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12C51CF-157C-41F6-A7FF-5CC183EAA551}" xr6:coauthVersionLast="36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  <sheet name="2022단타일지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9" l="1"/>
  <c r="C23" i="9" s="1"/>
  <c r="C19" i="9"/>
  <c r="C20" i="9" s="1"/>
  <c r="K32" i="11"/>
  <c r="K30" i="11"/>
  <c r="F46" i="11"/>
  <c r="D49" i="11" s="1"/>
  <c r="E43" i="11"/>
  <c r="D33" i="11"/>
  <c r="G32" i="11" s="1"/>
  <c r="I32" i="11" s="1"/>
  <c r="D31" i="11"/>
  <c r="G30" i="11" s="1"/>
  <c r="I30" i="11" s="1"/>
  <c r="C49" i="11" l="1"/>
  <c r="Q14" i="9"/>
  <c r="R14" i="9" s="1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I14" i="13"/>
  <c r="L14" i="13"/>
  <c r="L16" i="13" s="1"/>
  <c r="O14" i="13"/>
  <c r="O16" i="13" s="1"/>
  <c r="C16" i="13"/>
  <c r="F16" i="13"/>
  <c r="I16" i="13"/>
  <c r="C17" i="13"/>
  <c r="F17" i="13"/>
  <c r="I17" i="13"/>
  <c r="L17" i="13"/>
  <c r="O17" i="13"/>
  <c r="K14" i="9"/>
  <c r="M14" i="9" s="1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H14" i="9" l="1"/>
  <c r="I22" i="11"/>
  <c r="D23" i="11"/>
  <c r="E25" i="11" s="1"/>
  <c r="D25" i="11" l="1"/>
  <c r="F25" i="11"/>
  <c r="I23" i="11"/>
  <c r="H24" i="11" s="1"/>
  <c r="G25" i="11"/>
  <c r="A49" i="12"/>
  <c r="A18" i="12"/>
  <c r="D24" i="11" l="1"/>
  <c r="C24" i="11"/>
  <c r="I24" i="11" s="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W15" i="12" s="1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K6" i="12"/>
  <c r="K9" i="12"/>
  <c r="K10" i="12"/>
  <c r="K11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H7" i="12"/>
  <c r="K7" i="12" s="1"/>
  <c r="H8" i="12"/>
  <c r="K8" i="12" s="1"/>
  <c r="H9" i="12"/>
  <c r="H10" i="12"/>
  <c r="H11" i="12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75" i="12" l="1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Q7" i="12" l="1"/>
  <c r="R7" i="12" s="1"/>
  <c r="S7" i="12" s="1"/>
  <c r="M33" i="12"/>
  <c r="O8" i="12"/>
  <c r="Q8" i="12" l="1"/>
  <c r="R8" i="12" s="1"/>
  <c r="S8" i="12" s="1"/>
  <c r="M34" i="12"/>
  <c r="L19" i="11"/>
  <c r="O9" i="12" l="1"/>
  <c r="M35" i="12"/>
  <c r="Q9" i="12" l="1"/>
  <c r="O10" i="12" s="1"/>
  <c r="M36" i="12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Z87" i="12"/>
  <c r="Y87" i="12"/>
  <c r="R89" i="12"/>
  <c r="S89" i="12" s="1"/>
  <c r="O90" i="12"/>
  <c r="Q90" i="12" s="1"/>
  <c r="L102" i="12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s="1"/>
  <c r="R93" i="12" l="1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<sst xmlns="http://schemas.openxmlformats.org/spreadsheetml/2006/main" count="305" uniqueCount="145">
  <si>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</si>
  <si>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</si>
  <si>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</si>
  <si>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</si>
  <si>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</si>
  <si>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</si>
  <si>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</si>
  <si>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</si>
  <si>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</si>
  <si>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</si>
  <si>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</si>
  <si>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</si>
  <si>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</si>
  <si>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</si>
  <si>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</si>
  <si>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</si>
  <si>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</si>
  <si>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</si>
  <si>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</si>
  <si>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</si>
  <si>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</si>
  <si>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</si>
  <si>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</si>
  <si>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</si>
  <si>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</si>
  <si>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</si>
  <si>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</si>
  <si>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</si>
  <si>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</si>
  <si>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</si>
  <si>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</si>
  <si>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</si>
  <si>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</si>
  <si>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</si>
  <si>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</si>
  <si>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</si>
  <si>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</si>
  <si>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</si>
  <si>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</si>
  <si>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</si>
  <si>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</si>
  <si>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</si>
  <si>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</si>
  <si>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</si>
  <si>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</si>
  <si>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</si>
  <si>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</si>
  <si>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</si>
  <si>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</si>
  <si>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</si>
  <si>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</si>
  <si>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</si>
  <si>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</si>
  <si>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</si>
  <si>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</si>
  <si>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</si>
  <si>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</si>
  <si>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</si>
  <si>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</si>
  <si>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</si>
  <si>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</si>
  <si>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</si>
  <si>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</si>
  <si>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</si>
  <si>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</si>
  <si>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</si>
  <si>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</si>
  <si>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</si>
  <si>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</si>
  <si>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</si>
  <si>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</si>
  <si>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</si>
  <si>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</si>
  <si>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</si>
  <si>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</si>
  <si>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</si>
  <si>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</si>
  <si>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</si>
  <si>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</si>
  <si>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</si>
  <si>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</si>
  <si>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</si>
  <si>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</si>
  <si>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</si>
  <si>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</si>
  <si>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</si>
  <si>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</si>
  <si>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</si>
  <si>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</si>
  <si>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</si>
  <si>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</si>
  <si>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</si>
  <si>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</si>
  <si>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</si>
  <si>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</si>
  <si>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</si>
  <si>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</si>
  <si>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</si>
  <si>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</si>
  <si>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</si>
  <si>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</si>
  <si>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</si>
  <si>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</si>
  <si>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</si>
  <si>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</si>
  <si>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</si>
  <si>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</si>
  <si>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</si>
  <si>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</si>
  <si>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</si>
  <si>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</si>
  <si>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</si>
  <si>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</si>
  <si>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</si>
  <si>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</si>
  <si>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</si>
  <si>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</si>
  <si>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</si>
  <si>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</si>
  <si>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</si>
  <si>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</si>
  <si>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</si>
  <si>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</si>
  <si>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</si>
  <si>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</si>
  <si>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</si>
  <si>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</si>
  <si>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</si>
  <si>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</si>
  <si>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</si>
  <si>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</si>
  <si>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</si>
  <si>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</si>
  <si>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</si>
  <si>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</si>
  <si>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</si>
  <si>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</si>
  <si>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</si>
  <si>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자본잠식율 
= ((자본금 - 자기자본) / 자본금) *100
마이너스가 정상 50퍼이상이면 상폐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</si>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</sst>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80" formatCode="0.00000_ "/>
    <numFmt numFmtId="181" formatCode="#,##0_);[Red]\(#,##0\)"/>
    <numFmt numFmtId="182" formatCode="0.000_ "/>
    <numFmt numFmtId="183" formatCode="&quot;₩&quot;#,##0.00"/>
    <numFmt numFmtId="184" formatCode="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7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38" borderId="25" xfId="0" applyNumberFormat="1" applyFill="1" applyBorder="1">
      <alignment vertical="center"/>
    </xf>
    <xf numFmtId="0" fontId="0" fillId="0" borderId="25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2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81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81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2" fillId="43" borderId="44" xfId="0" applyNumberFormat="1" applyFont="1" applyFill="1" applyBorder="1">
      <alignment vertical="center"/>
    </xf>
    <xf numFmtId="0" fontId="0" fillId="43" borderId="26" xfId="0" applyFill="1" applyBorder="1">
      <alignment vertical="center"/>
    </xf>
    <xf numFmtId="0" fontId="0" fillId="43" borderId="1" xfId="0" applyFill="1" applyBorder="1">
      <alignment vertical="center"/>
    </xf>
    <xf numFmtId="0" fontId="0" fillId="43" borderId="4" xfId="0" applyFill="1" applyBorder="1">
      <alignment vertical="center"/>
    </xf>
    <xf numFmtId="176" fontId="0" fillId="43" borderId="35" xfId="0" applyNumberFormat="1" applyFill="1" applyBorder="1">
      <alignment vertical="center"/>
    </xf>
    <xf numFmtId="177" fontId="0" fillId="43" borderId="36" xfId="0" applyNumberFormat="1" applyFill="1" applyBorder="1">
      <alignment vertical="center"/>
    </xf>
    <xf numFmtId="176" fontId="0" fillId="43" borderId="36" xfId="0" applyNumberFormat="1" applyFill="1" applyBorder="1">
      <alignment vertical="center"/>
    </xf>
    <xf numFmtId="176" fontId="0" fillId="43" borderId="41" xfId="0" applyNumberFormat="1" applyFill="1" applyBorder="1">
      <alignment vertical="center"/>
    </xf>
    <xf numFmtId="177" fontId="0" fillId="43" borderId="40" xfId="0" applyNumberFormat="1" applyFill="1" applyBorder="1">
      <alignment vertical="center"/>
    </xf>
    <xf numFmtId="177" fontId="2" fillId="43" borderId="1" xfId="0" applyNumberFormat="1" applyFont="1" applyFill="1" applyBorder="1">
      <alignment vertical="center"/>
    </xf>
    <xf numFmtId="176" fontId="2" fillId="43" borderId="41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176" fontId="2" fillId="43" borderId="35" xfId="0" applyNumberFormat="1" applyFont="1" applyFill="1" applyBorder="1">
      <alignment vertical="center"/>
    </xf>
    <xf numFmtId="176" fontId="2" fillId="43" borderId="36" xfId="0" applyNumberFormat="1" applyFon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0" fillId="43" borderId="2" xfId="0" applyFill="1" applyBorder="1">
      <alignment vertical="center"/>
    </xf>
    <xf numFmtId="0" fontId="0" fillId="43" borderId="27" xfId="0" applyFill="1" applyBorder="1">
      <alignment vertical="center"/>
    </xf>
    <xf numFmtId="176" fontId="0" fillId="43" borderId="48" xfId="0" applyNumberFormat="1" applyFill="1" applyBorder="1">
      <alignment vertical="center"/>
    </xf>
    <xf numFmtId="177" fontId="0" fillId="43" borderId="49" xfId="0" applyNumberFormat="1" applyFill="1" applyBorder="1">
      <alignment vertical="center"/>
    </xf>
    <xf numFmtId="176" fontId="0" fillId="43" borderId="49" xfId="0" applyNumberFormat="1" applyFill="1" applyBorder="1">
      <alignment vertical="center"/>
    </xf>
    <xf numFmtId="176" fontId="0" fillId="43" borderId="50" xfId="0" applyNumberFormat="1" applyFill="1" applyBorder="1">
      <alignment vertical="center"/>
    </xf>
    <xf numFmtId="177" fontId="0" fillId="43" borderId="28" xfId="0" applyNumberFormat="1" applyFill="1" applyBorder="1">
      <alignment vertical="center"/>
    </xf>
    <xf numFmtId="177" fontId="2" fillId="43" borderId="2" xfId="0" applyNumberFormat="1" applyFont="1" applyFill="1" applyBorder="1">
      <alignment vertical="center"/>
    </xf>
    <xf numFmtId="176" fontId="2" fillId="43" borderId="50" xfId="0" applyNumberFormat="1" applyFont="1" applyFill="1" applyBorder="1">
      <alignment vertical="center"/>
    </xf>
    <xf numFmtId="176" fontId="2" fillId="43" borderId="64" xfId="0" applyNumberFormat="1" applyFont="1" applyFill="1" applyBorder="1">
      <alignment vertical="center"/>
    </xf>
    <xf numFmtId="176" fontId="2" fillId="43" borderId="48" xfId="0" applyNumberFormat="1" applyFont="1" applyFill="1" applyBorder="1">
      <alignment vertical="center"/>
    </xf>
    <xf numFmtId="176" fontId="2" fillId="43" borderId="49" xfId="0" applyNumberFormat="1" applyFont="1" applyFill="1" applyBorder="1">
      <alignment vertical="center"/>
    </xf>
    <xf numFmtId="177" fontId="0" fillId="43" borderId="29" xfId="0" applyNumberFormat="1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3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4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4" fontId="0" fillId="44" borderId="1" xfId="0" applyNumberFormat="1" applyFill="1" applyBorder="1">
      <alignment vertical="center"/>
    </xf>
    <xf numFmtId="184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2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81" fontId="2" fillId="40" borderId="62" xfId="0" applyNumberFormat="1" applyFont="1" applyFill="1" applyBorder="1" applyAlignment="1">
      <alignment horizontal="center" vertical="center"/>
    </xf>
    <xf numFmtId="181" fontId="2" fillId="40" borderId="58" xfId="0" applyNumberFormat="1" applyFont="1" applyFill="1" applyBorder="1" applyAlignment="1">
      <alignment horizontal="center" vertical="center"/>
    </xf>
    <xf numFmtId="181" fontId="2" fillId="40" borderId="55" xfId="0" applyNumberFormat="1" applyFont="1" applyFill="1" applyBorder="1" applyAlignment="1">
      <alignment horizontal="center" vertical="center"/>
    </xf>
    <xf numFmtId="0" fontId="26" fillId="4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0" fillId="44" borderId="4" xfId="0" applyNumberFormat="1" applyFill="1" applyBorder="1" applyAlignment="1">
      <alignment horizontal="center" vertical="center"/>
    </xf>
    <xf numFmtId="184" fontId="0" fillId="44" borderId="40" xfId="0" applyNumberFormat="1" applyFill="1" applyBorder="1" applyAlignment="1">
      <alignment horizontal="center" vertical="center"/>
    </xf>
    <xf numFmtId="184" fontId="0" fillId="44" borderId="5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 wrapText="1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72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3" fontId="0" fillId="0" borderId="69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184" fontId="0" fillId="0" borderId="20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0" fontId="2" fillId="0" borderId="6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2" fillId="0" borderId="6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3" fontId="0" fillId="0" borderId="22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43" borderId="0" xfId="0" applyFill="1" applyBorder="1">
      <alignment vertical="center"/>
    </xf>
    <xf numFmtId="0" fontId="0" fillId="43" borderId="0" xfId="0" applyFill="1">
      <alignment vertical="center"/>
    </xf>
    <xf numFmtId="176" fontId="0" fillId="43" borderId="0" xfId="0" applyNumberFormat="1" applyFill="1">
      <alignment vertical="center"/>
    </xf>
    <xf numFmtId="176" fontId="0" fillId="43" borderId="18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289560</xdr:colOff>
      <xdr:row>45</xdr:row>
      <xdr:rowOff>211455</xdr:rowOff>
    </xdr:from>
    <xdr:to>
      <xdr:col>11</xdr:col>
      <xdr:colOff>797144</xdr:colOff>
      <xdr:row>75</xdr:row>
      <xdr:rowOff>22011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4060" y="10429875"/>
          <a:ext cx="8440004" cy="6840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K7" workbookViewId="0">
      <selection activeCell="F17" sqref="F17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3" customWidth="1"/>
    <col min="6" max="6" width="14.375" style="34" bestFit="1" customWidth="1"/>
    <col min="7" max="7" width="14.25" style="34" customWidth="1"/>
    <col min="8" max="8" width="14.375" style="34" bestFit="1" customWidth="1"/>
    <col min="9" max="9" width="13" style="36" bestFit="1" customWidth="1"/>
    <col min="10" max="10" width="14.125" style="36" bestFit="1" customWidth="1"/>
    <col min="11" max="11" width="13.375" style="36" bestFit="1" customWidth="1"/>
    <col min="12" max="12" width="14" style="149" customWidth="1"/>
    <col min="13" max="13" width="14.875" style="147" bestFit="1" customWidth="1"/>
    <col min="14" max="14" width="13.375" style="35" bestFit="1" customWidth="1"/>
    <col min="15" max="15" width="16.625" style="175" bestFit="1" customWidth="1"/>
    <col min="16" max="16" width="9.125" bestFit="1" customWidth="1"/>
    <col min="17" max="17" width="17.375" style="149" bestFit="1" customWidth="1"/>
    <col min="18" max="18" width="20.625" style="177" bestFit="1" customWidth="1"/>
    <col min="19" max="19" width="16.625" style="139" bestFit="1" customWidth="1"/>
    <col min="20" max="20" width="13.75" style="37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17"/>
      <c r="B1" s="317"/>
      <c r="C1" s="317"/>
      <c r="D1" s="318"/>
      <c r="E1" s="309" t="s">
        <v>92</v>
      </c>
      <c r="F1" s="310"/>
      <c r="G1" s="310"/>
      <c r="H1" s="310"/>
      <c r="I1" s="310"/>
      <c r="J1" s="310"/>
      <c r="K1" s="311"/>
      <c r="L1" s="51"/>
      <c r="M1" s="97" t="s">
        <v>91</v>
      </c>
      <c r="N1" s="312" t="s">
        <v>90</v>
      </c>
      <c r="O1" s="313"/>
      <c r="P1" s="313"/>
      <c r="Q1" s="314"/>
      <c r="R1" s="319" t="s">
        <v>96</v>
      </c>
      <c r="S1" s="308" t="s">
        <v>97</v>
      </c>
      <c r="T1" s="112"/>
      <c r="U1" s="298" t="s">
        <v>14</v>
      </c>
      <c r="V1" s="301" t="s">
        <v>17</v>
      </c>
      <c r="W1" s="304" t="s">
        <v>102</v>
      </c>
      <c r="X1" s="301" t="s">
        <v>103</v>
      </c>
      <c r="Y1" s="305" t="s">
        <v>104</v>
      </c>
    </row>
    <row r="2" spans="1:26" ht="33.75" thickBot="1" x14ac:dyDescent="0.35">
      <c r="A2" s="317"/>
      <c r="B2" s="317"/>
      <c r="C2" s="317"/>
      <c r="D2" s="318"/>
      <c r="E2" s="52" t="s">
        <v>14</v>
      </c>
      <c r="F2" s="53" t="s">
        <v>17</v>
      </c>
      <c r="G2" s="53" t="s">
        <v>93</v>
      </c>
      <c r="H2" s="53" t="s">
        <v>95</v>
      </c>
      <c r="I2" s="54" t="s">
        <v>109</v>
      </c>
      <c r="J2" s="55" t="s">
        <v>106</v>
      </c>
      <c r="K2" s="56" t="s">
        <v>99</v>
      </c>
      <c r="L2" s="56" t="s">
        <v>100</v>
      </c>
      <c r="M2" s="98" t="s">
        <v>94</v>
      </c>
      <c r="N2" s="57" t="s">
        <v>101</v>
      </c>
      <c r="O2" s="170" t="s">
        <v>98</v>
      </c>
      <c r="P2" s="58" t="s">
        <v>15</v>
      </c>
      <c r="Q2" s="59" t="s">
        <v>89</v>
      </c>
      <c r="R2" s="320"/>
      <c r="S2" s="307"/>
      <c r="T2" s="112"/>
      <c r="U2" s="299"/>
      <c r="V2" s="302"/>
      <c r="W2" s="302"/>
      <c r="X2" s="302"/>
      <c r="Y2" s="306"/>
      <c r="Z2" t="s">
        <v>105</v>
      </c>
    </row>
    <row r="3" spans="1:26" s="31" customFormat="1" ht="17.25" thickBot="1" x14ac:dyDescent="0.35">
      <c r="A3" s="129" t="s">
        <v>108</v>
      </c>
      <c r="B3" s="128" t="s">
        <v>16</v>
      </c>
      <c r="C3" s="64"/>
      <c r="D3" s="65"/>
      <c r="E3" s="66">
        <v>0</v>
      </c>
      <c r="F3" s="67"/>
      <c r="G3" s="67"/>
      <c r="H3" s="67"/>
      <c r="I3" s="66">
        <v>0</v>
      </c>
      <c r="J3" s="66"/>
      <c r="K3" s="66"/>
      <c r="L3" s="66">
        <v>0</v>
      </c>
      <c r="M3" s="99">
        <v>800000</v>
      </c>
      <c r="N3" s="68">
        <v>0</v>
      </c>
      <c r="O3" s="99">
        <v>0</v>
      </c>
      <c r="P3" s="66"/>
      <c r="Q3" s="66">
        <v>0</v>
      </c>
      <c r="R3" s="176"/>
      <c r="S3" s="69"/>
      <c r="T3" s="113"/>
      <c r="U3" s="300"/>
      <c r="V3" s="303"/>
      <c r="W3" s="303"/>
      <c r="X3" s="303"/>
      <c r="Y3" s="307"/>
    </row>
    <row r="4" spans="1:26" s="60" customFormat="1" x14ac:dyDescent="0.3">
      <c r="A4" s="182"/>
      <c r="B4" s="183">
        <v>1</v>
      </c>
      <c r="C4" s="321">
        <v>2022</v>
      </c>
      <c r="D4" s="184">
        <v>1</v>
      </c>
      <c r="E4" s="185">
        <v>2500000</v>
      </c>
      <c r="F4" s="186">
        <v>0</v>
      </c>
      <c r="G4" s="186">
        <v>400000</v>
      </c>
      <c r="H4" s="186">
        <f xml:space="preserve"> E4 - G4 - F4</f>
        <v>2100000</v>
      </c>
      <c r="I4" s="187">
        <v>0</v>
      </c>
      <c r="J4" s="188">
        <v>0</v>
      </c>
      <c r="K4" s="189">
        <f xml:space="preserve"> H4 + J4 - I4</f>
        <v>2100000</v>
      </c>
      <c r="L4" s="190">
        <f xml:space="preserve"> L3 +I4 - J4 - N4 - F4</f>
        <v>0</v>
      </c>
      <c r="M4" s="191">
        <f xml:space="preserve"> (M3 + G4) + ((M3 + G4) * P4 )</f>
        <v>1212000</v>
      </c>
      <c r="N4" s="192">
        <v>0</v>
      </c>
      <c r="O4" s="193">
        <f xml:space="preserve"> Q3 + K4 + N4</f>
        <v>2100000</v>
      </c>
      <c r="P4" s="183">
        <v>0.01</v>
      </c>
      <c r="Q4" s="181">
        <f xml:space="preserve"> ((O4 +N4) * P4) + (O4+N4)</f>
        <v>2121000</v>
      </c>
      <c r="R4" s="193">
        <f xml:space="preserve"> M4 + Q4 + L4</f>
        <v>3333000</v>
      </c>
      <c r="S4" s="194">
        <f xml:space="preserve"> R4 - M4</f>
        <v>2121000</v>
      </c>
      <c r="T4" s="195"/>
      <c r="U4" s="114"/>
      <c r="V4" s="115"/>
      <c r="W4" s="115"/>
      <c r="X4" s="115"/>
      <c r="Y4" s="115"/>
    </row>
    <row r="5" spans="1:26" s="60" customFormat="1" x14ac:dyDescent="0.3">
      <c r="A5" s="183"/>
      <c r="B5" s="183"/>
      <c r="C5" s="321"/>
      <c r="D5" s="184">
        <v>2</v>
      </c>
      <c r="E5" s="185">
        <v>2500000</v>
      </c>
      <c r="F5" s="186">
        <v>0</v>
      </c>
      <c r="G5" s="186">
        <v>400000</v>
      </c>
      <c r="H5" s="186">
        <f t="shared" ref="H5:H27" si="0" xml:space="preserve"> E5 - G5 - F5</f>
        <v>2100000</v>
      </c>
      <c r="I5" s="187">
        <v>0</v>
      </c>
      <c r="J5" s="188">
        <v>0</v>
      </c>
      <c r="K5" s="189">
        <f t="shared" ref="K5:K27" si="1" xml:space="preserve"> H5 + J5 - I5</f>
        <v>2100000</v>
      </c>
      <c r="L5" s="190">
        <f t="shared" ref="L5:L27" si="2" xml:space="preserve"> L4 +I5 - J5 - N5</f>
        <v>0</v>
      </c>
      <c r="M5" s="191">
        <f t="shared" ref="M5:M15" si="3" xml:space="preserve"> (M4 + G5) + ((M4 + G5) * P5 )</f>
        <v>1628120</v>
      </c>
      <c r="N5" s="192">
        <v>0</v>
      </c>
      <c r="O5" s="193">
        <f t="shared" ref="O5:O27" si="4" xml:space="preserve"> Q4 + K5</f>
        <v>4221000</v>
      </c>
      <c r="P5" s="183">
        <v>0.01</v>
      </c>
      <c r="Q5" s="181">
        <f xml:space="preserve"> ((O5 +N5) * P5) + (O5+N5)</f>
        <v>4263210</v>
      </c>
      <c r="R5" s="193">
        <f t="shared" ref="R5:R27" si="5" xml:space="preserve"> M5 + Q5 + L5</f>
        <v>5891330</v>
      </c>
      <c r="S5" s="194">
        <f t="shared" ref="S5:S27" si="6" xml:space="preserve"> R5 - M5</f>
        <v>4263210</v>
      </c>
      <c r="T5" s="195"/>
      <c r="U5" s="61"/>
    </row>
    <row r="6" spans="1:26" s="60" customFormat="1" x14ac:dyDescent="0.3">
      <c r="A6" s="183"/>
      <c r="B6" s="183"/>
      <c r="C6" s="321"/>
      <c r="D6" s="184">
        <v>3</v>
      </c>
      <c r="E6" s="185">
        <v>2500000</v>
      </c>
      <c r="F6" s="186">
        <v>0</v>
      </c>
      <c r="G6" s="186">
        <v>400000</v>
      </c>
      <c r="H6" s="186">
        <f t="shared" si="0"/>
        <v>2100000</v>
      </c>
      <c r="I6" s="187">
        <v>0</v>
      </c>
      <c r="J6" s="188">
        <v>0</v>
      </c>
      <c r="K6" s="189">
        <f t="shared" si="1"/>
        <v>2100000</v>
      </c>
      <c r="L6" s="190">
        <f t="shared" si="2"/>
        <v>0</v>
      </c>
      <c r="M6" s="191">
        <f t="shared" si="3"/>
        <v>2048401.2</v>
      </c>
      <c r="N6" s="192">
        <v>0</v>
      </c>
      <c r="O6" s="193">
        <f t="shared" si="4"/>
        <v>6363210</v>
      </c>
      <c r="P6" s="183">
        <v>0.01</v>
      </c>
      <c r="Q6" s="181">
        <f xml:space="preserve"> ((O6 +N6) * P6) + (O6+N6)</f>
        <v>6426842.0999999996</v>
      </c>
      <c r="R6" s="193">
        <f t="shared" si="5"/>
        <v>8475243.2999999989</v>
      </c>
      <c r="S6" s="194">
        <f t="shared" si="6"/>
        <v>6426842.0999999987</v>
      </c>
      <c r="T6" s="195"/>
      <c r="U6" s="61"/>
    </row>
    <row r="7" spans="1:26" s="60" customFormat="1" x14ac:dyDescent="0.3">
      <c r="A7" s="183"/>
      <c r="B7" s="183"/>
      <c r="C7" s="321"/>
      <c r="D7" s="184">
        <v>4</v>
      </c>
      <c r="E7" s="185">
        <v>2500000</v>
      </c>
      <c r="F7" s="186">
        <v>0</v>
      </c>
      <c r="G7" s="186">
        <v>400000</v>
      </c>
      <c r="H7" s="186">
        <f t="shared" si="0"/>
        <v>2100000</v>
      </c>
      <c r="I7" s="187">
        <v>0</v>
      </c>
      <c r="J7" s="188">
        <v>0</v>
      </c>
      <c r="K7" s="189">
        <f t="shared" si="1"/>
        <v>2100000</v>
      </c>
      <c r="L7" s="190">
        <f t="shared" si="2"/>
        <v>0</v>
      </c>
      <c r="M7" s="191">
        <f t="shared" si="3"/>
        <v>2472885.2120000003</v>
      </c>
      <c r="N7" s="192">
        <v>0</v>
      </c>
      <c r="O7" s="193">
        <f t="shared" si="4"/>
        <v>8526842.0999999996</v>
      </c>
      <c r="P7" s="183">
        <v>0.01</v>
      </c>
      <c r="Q7" s="181">
        <f t="shared" ref="Q7:Q70" si="7" xml:space="preserve"> ((O7 +N7) * P7) + (O7+N7)</f>
        <v>8612110.5209999997</v>
      </c>
      <c r="R7" s="193">
        <f t="shared" si="5"/>
        <v>11084995.732999999</v>
      </c>
      <c r="S7" s="194">
        <f t="shared" si="6"/>
        <v>8612110.5209999979</v>
      </c>
      <c r="T7" s="195"/>
      <c r="U7" s="61"/>
    </row>
    <row r="8" spans="1:26" s="60" customFormat="1" x14ac:dyDescent="0.3">
      <c r="A8" s="183"/>
      <c r="B8" s="183"/>
      <c r="C8" s="321"/>
      <c r="D8" s="184">
        <v>5</v>
      </c>
      <c r="E8" s="185">
        <v>2500000</v>
      </c>
      <c r="F8" s="186">
        <v>1000000</v>
      </c>
      <c r="G8" s="186">
        <v>400000</v>
      </c>
      <c r="H8" s="186">
        <f t="shared" si="0"/>
        <v>1100000</v>
      </c>
      <c r="I8" s="187">
        <v>0</v>
      </c>
      <c r="J8" s="188">
        <v>0</v>
      </c>
      <c r="K8" s="189">
        <f t="shared" si="1"/>
        <v>1100000</v>
      </c>
      <c r="L8" s="190">
        <f t="shared" si="2"/>
        <v>0</v>
      </c>
      <c r="M8" s="191">
        <f t="shared" si="3"/>
        <v>2901614.0641200002</v>
      </c>
      <c r="N8" s="192">
        <v>0</v>
      </c>
      <c r="O8" s="193">
        <f t="shared" si="4"/>
        <v>9712110.5209999997</v>
      </c>
      <c r="P8" s="183">
        <v>0.01</v>
      </c>
      <c r="Q8" s="181">
        <f t="shared" si="7"/>
        <v>9809231.6262100004</v>
      </c>
      <c r="R8" s="193">
        <f t="shared" si="5"/>
        <v>12710845.690330001</v>
      </c>
      <c r="S8" s="194">
        <f t="shared" si="6"/>
        <v>9809231.6262100004</v>
      </c>
      <c r="T8" s="195"/>
      <c r="U8" s="61"/>
    </row>
    <row r="9" spans="1:26" s="60" customFormat="1" x14ac:dyDescent="0.3">
      <c r="A9" s="183"/>
      <c r="B9" s="183"/>
      <c r="C9" s="321"/>
      <c r="D9" s="184">
        <v>6</v>
      </c>
      <c r="E9" s="185">
        <v>2500000</v>
      </c>
      <c r="F9" s="186">
        <v>0</v>
      </c>
      <c r="G9" s="186">
        <v>400000</v>
      </c>
      <c r="H9" s="186">
        <f t="shared" si="0"/>
        <v>2100000</v>
      </c>
      <c r="I9" s="187">
        <v>0</v>
      </c>
      <c r="J9" s="188">
        <v>0</v>
      </c>
      <c r="K9" s="189">
        <f t="shared" si="1"/>
        <v>2100000</v>
      </c>
      <c r="L9" s="190">
        <f t="shared" si="2"/>
        <v>0</v>
      </c>
      <c r="M9" s="191">
        <f t="shared" si="3"/>
        <v>3334630.2047612001</v>
      </c>
      <c r="N9" s="192">
        <v>0</v>
      </c>
      <c r="O9" s="193">
        <f t="shared" si="4"/>
        <v>11909231.62621</v>
      </c>
      <c r="P9" s="183">
        <v>0.01</v>
      </c>
      <c r="Q9" s="181">
        <f t="shared" si="7"/>
        <v>12028323.9424721</v>
      </c>
      <c r="R9" s="193">
        <f t="shared" si="5"/>
        <v>15362954.1472333</v>
      </c>
      <c r="S9" s="194">
        <f t="shared" si="6"/>
        <v>12028323.9424721</v>
      </c>
      <c r="T9" s="195"/>
      <c r="U9" s="61"/>
    </row>
    <row r="10" spans="1:26" s="60" customFormat="1" x14ac:dyDescent="0.3">
      <c r="A10" s="183"/>
      <c r="B10" s="183"/>
      <c r="C10" s="321"/>
      <c r="D10" s="184">
        <v>7</v>
      </c>
      <c r="E10" s="185">
        <v>2500000</v>
      </c>
      <c r="F10" s="186">
        <v>600000</v>
      </c>
      <c r="G10" s="186">
        <v>400000</v>
      </c>
      <c r="H10" s="186">
        <f t="shared" si="0"/>
        <v>1500000</v>
      </c>
      <c r="I10" s="187">
        <v>0</v>
      </c>
      <c r="J10" s="188">
        <v>0</v>
      </c>
      <c r="K10" s="189">
        <f t="shared" si="1"/>
        <v>1500000</v>
      </c>
      <c r="L10" s="190">
        <f t="shared" si="2"/>
        <v>0</v>
      </c>
      <c r="M10" s="191">
        <f t="shared" si="3"/>
        <v>3771976.5068088123</v>
      </c>
      <c r="N10" s="192">
        <v>0</v>
      </c>
      <c r="O10" s="193">
        <f t="shared" si="4"/>
        <v>13528323.9424721</v>
      </c>
      <c r="P10" s="183">
        <v>0.01</v>
      </c>
      <c r="Q10" s="181">
        <f t="shared" si="7"/>
        <v>13663607.181896821</v>
      </c>
      <c r="R10" s="193">
        <f t="shared" si="5"/>
        <v>17435583.688705634</v>
      </c>
      <c r="S10" s="194">
        <f t="shared" si="6"/>
        <v>13663607.181896823</v>
      </c>
      <c r="T10" s="195"/>
      <c r="U10" s="61"/>
    </row>
    <row r="11" spans="1:26" s="60" customFormat="1" x14ac:dyDescent="0.3">
      <c r="A11" s="183"/>
      <c r="B11" s="183"/>
      <c r="C11" s="321"/>
      <c r="D11" s="184">
        <v>8</v>
      </c>
      <c r="E11" s="185">
        <v>2500000</v>
      </c>
      <c r="F11" s="186">
        <v>5056544</v>
      </c>
      <c r="G11" s="186">
        <v>400000</v>
      </c>
      <c r="H11" s="186">
        <f t="shared" si="0"/>
        <v>-2956544</v>
      </c>
      <c r="I11" s="187">
        <v>0</v>
      </c>
      <c r="J11" s="188">
        <v>0</v>
      </c>
      <c r="K11" s="189">
        <f t="shared" si="1"/>
        <v>-2956544</v>
      </c>
      <c r="L11" s="190">
        <f t="shared" si="2"/>
        <v>0</v>
      </c>
      <c r="M11" s="191">
        <f t="shared" si="3"/>
        <v>4213696.2718769005</v>
      </c>
      <c r="N11" s="192">
        <v>0</v>
      </c>
      <c r="O11" s="193">
        <f t="shared" si="4"/>
        <v>10707063.181896821</v>
      </c>
      <c r="P11" s="183">
        <v>0.01</v>
      </c>
      <c r="Q11" s="181">
        <f t="shared" si="7"/>
        <v>10814133.813715789</v>
      </c>
      <c r="R11" s="193">
        <f t="shared" si="5"/>
        <v>15027830.085592691</v>
      </c>
      <c r="S11" s="194">
        <f t="shared" si="6"/>
        <v>10814133.813715789</v>
      </c>
      <c r="T11" s="195"/>
      <c r="U11" s="61"/>
    </row>
    <row r="12" spans="1:26" s="60" customFormat="1" x14ac:dyDescent="0.3">
      <c r="A12" s="183"/>
      <c r="B12" s="183"/>
      <c r="C12" s="321"/>
      <c r="D12" s="184">
        <v>9</v>
      </c>
      <c r="E12" s="185">
        <v>1800000</v>
      </c>
      <c r="F12" s="186">
        <v>1600000</v>
      </c>
      <c r="G12" s="186">
        <v>400000</v>
      </c>
      <c r="H12" s="186">
        <f t="shared" si="0"/>
        <v>-200000</v>
      </c>
      <c r="I12" s="187">
        <v>0</v>
      </c>
      <c r="J12" s="188">
        <v>0</v>
      </c>
      <c r="K12" s="189">
        <f t="shared" si="1"/>
        <v>-200000</v>
      </c>
      <c r="L12" s="190">
        <f t="shared" si="2"/>
        <v>0</v>
      </c>
      <c r="M12" s="191">
        <f t="shared" si="3"/>
        <v>4696742.8047706848</v>
      </c>
      <c r="N12" s="192">
        <v>0</v>
      </c>
      <c r="O12" s="193">
        <f t="shared" si="4"/>
        <v>10614133.813715789</v>
      </c>
      <c r="P12" s="183">
        <v>1.7999999999999999E-2</v>
      </c>
      <c r="Q12" s="181">
        <f t="shared" si="7"/>
        <v>10805188.222362673</v>
      </c>
      <c r="R12" s="193">
        <f t="shared" si="5"/>
        <v>15501931.027133357</v>
      </c>
      <c r="S12" s="194">
        <f t="shared" si="6"/>
        <v>10805188.222362671</v>
      </c>
      <c r="T12" s="195"/>
      <c r="U12" s="61"/>
    </row>
    <row r="13" spans="1:26" s="60" customFormat="1" x14ac:dyDescent="0.3">
      <c r="A13" s="183"/>
      <c r="B13" s="183"/>
      <c r="C13" s="321"/>
      <c r="D13" s="184">
        <v>10</v>
      </c>
      <c r="E13" s="185">
        <v>4500000</v>
      </c>
      <c r="F13" s="186">
        <v>3700000</v>
      </c>
      <c r="G13" s="186">
        <v>400000</v>
      </c>
      <c r="H13" s="186">
        <f t="shared" si="0"/>
        <v>400000</v>
      </c>
      <c r="I13" s="187">
        <v>0</v>
      </c>
      <c r="J13" s="188">
        <v>0</v>
      </c>
      <c r="K13" s="189">
        <f t="shared" si="1"/>
        <v>400000</v>
      </c>
      <c r="L13" s="190">
        <f t="shared" si="2"/>
        <v>0</v>
      </c>
      <c r="M13" s="191">
        <f t="shared" si="3"/>
        <v>4638035.9523413228</v>
      </c>
      <c r="N13" s="192">
        <v>0</v>
      </c>
      <c r="O13" s="193">
        <f t="shared" si="4"/>
        <v>11205188.222362673</v>
      </c>
      <c r="P13" s="183">
        <v>-0.09</v>
      </c>
      <c r="Q13" s="181">
        <f t="shared" si="7"/>
        <v>10196721.282350032</v>
      </c>
      <c r="R13" s="193">
        <f t="shared" si="5"/>
        <v>14834757.234691355</v>
      </c>
      <c r="S13" s="194">
        <f t="shared" si="6"/>
        <v>10196721.282350034</v>
      </c>
      <c r="T13" s="195"/>
      <c r="U13" s="61"/>
    </row>
    <row r="14" spans="1:26" s="62" customFormat="1" ht="15.75" customHeight="1" thickBot="1" x14ac:dyDescent="0.35">
      <c r="A14" s="196"/>
      <c r="B14" s="196"/>
      <c r="C14" s="321"/>
      <c r="D14" s="197">
        <v>11</v>
      </c>
      <c r="E14" s="198">
        <v>3500000</v>
      </c>
      <c r="F14" s="199">
        <v>0</v>
      </c>
      <c r="G14" s="199">
        <v>400000</v>
      </c>
      <c r="H14" s="199">
        <f t="shared" si="0"/>
        <v>3100000</v>
      </c>
      <c r="I14" s="200">
        <v>0</v>
      </c>
      <c r="J14" s="201">
        <v>0</v>
      </c>
      <c r="K14" s="202">
        <f t="shared" si="1"/>
        <v>3100000</v>
      </c>
      <c r="L14" s="203">
        <f t="shared" si="2"/>
        <v>0</v>
      </c>
      <c r="M14" s="204">
        <f t="shared" si="3"/>
        <v>5128720.5994834667</v>
      </c>
      <c r="N14" s="205">
        <v>0</v>
      </c>
      <c r="O14" s="206">
        <f t="shared" si="4"/>
        <v>13296721.282350032</v>
      </c>
      <c r="P14" s="196">
        <v>1.7999999999999999E-2</v>
      </c>
      <c r="Q14" s="181">
        <f t="shared" si="7"/>
        <v>13536062.265432332</v>
      </c>
      <c r="R14" s="206">
        <f t="shared" si="5"/>
        <v>18664782.864915799</v>
      </c>
      <c r="S14" s="207">
        <f t="shared" si="6"/>
        <v>13536062.265432332</v>
      </c>
      <c r="T14" s="208"/>
      <c r="U14" s="63"/>
    </row>
    <row r="15" spans="1:26" s="45" customFormat="1" ht="17.25" thickBot="1" x14ac:dyDescent="0.35">
      <c r="A15" s="127"/>
      <c r="B15" s="38"/>
      <c r="C15" s="321"/>
      <c r="D15" s="39">
        <v>12</v>
      </c>
      <c r="E15" s="40">
        <v>2500000</v>
      </c>
      <c r="F15" s="41">
        <v>1000000</v>
      </c>
      <c r="G15" s="41">
        <v>400000</v>
      </c>
      <c r="H15" s="41">
        <f t="shared" si="0"/>
        <v>1100000</v>
      </c>
      <c r="I15" s="42">
        <v>7110000</v>
      </c>
      <c r="J15" s="43">
        <v>0</v>
      </c>
      <c r="K15" s="47">
        <f t="shared" si="1"/>
        <v>-6010000</v>
      </c>
      <c r="L15" s="150">
        <f t="shared" si="2"/>
        <v>7110000</v>
      </c>
      <c r="M15" s="209">
        <f t="shared" si="3"/>
        <v>5241227.1283103265</v>
      </c>
      <c r="N15" s="50">
        <v>0</v>
      </c>
      <c r="O15" s="130">
        <f t="shared" si="4"/>
        <v>7526062.2654323317</v>
      </c>
      <c r="P15" s="45">
        <v>-5.1999999999999998E-2</v>
      </c>
      <c r="Q15" s="210">
        <f t="shared" si="7"/>
        <v>7134707.0276298504</v>
      </c>
      <c r="R15" s="130">
        <f t="shared" si="5"/>
        <v>19485934.155940175</v>
      </c>
      <c r="S15" s="132">
        <f t="shared" si="6"/>
        <v>14244707.027629849</v>
      </c>
      <c r="T15" s="179">
        <f xml:space="preserve"> S15 / 4</f>
        <v>3561176.7569074621</v>
      </c>
      <c r="U15" s="46">
        <f>SUM(E4:E15)</f>
        <v>32300000</v>
      </c>
      <c r="V15" s="46">
        <f>SUM(F4:F15)</f>
        <v>12956544</v>
      </c>
      <c r="W15" s="48">
        <f xml:space="preserve"> U15 - V15</f>
        <v>19343456</v>
      </c>
      <c r="X15" s="48">
        <f>R15-W15</f>
        <v>142478.15594017506</v>
      </c>
      <c r="Y15" s="116">
        <f xml:space="preserve"> X15 / W15 * 100</f>
        <v>0.73657032094045172</v>
      </c>
      <c r="Z15" s="48">
        <f xml:space="preserve"> (X15 - 2500000) * 0.16</f>
        <v>-377203.49504957203</v>
      </c>
    </row>
    <row r="16" spans="1:26" s="115" customFormat="1" x14ac:dyDescent="0.3">
      <c r="B16" s="115">
        <v>2</v>
      </c>
      <c r="C16" s="316">
        <v>2023</v>
      </c>
      <c r="D16" s="279">
        <v>1</v>
      </c>
      <c r="E16" s="280">
        <v>2500000</v>
      </c>
      <c r="F16" s="281">
        <v>0</v>
      </c>
      <c r="G16" s="281">
        <v>400000</v>
      </c>
      <c r="H16" s="281">
        <f t="shared" si="0"/>
        <v>2100000</v>
      </c>
      <c r="I16" s="282">
        <v>502920</v>
      </c>
      <c r="J16" s="283">
        <f xml:space="preserve"> L15 / 10</f>
        <v>711000</v>
      </c>
      <c r="K16" s="284">
        <f t="shared" si="1"/>
        <v>2308080</v>
      </c>
      <c r="L16" s="285">
        <f t="shared" si="2"/>
        <v>6901920</v>
      </c>
      <c r="M16" s="286">
        <f t="shared" ref="M16:M47" si="8" xml:space="preserve"> (M15 + 400000) + ((M15 + 400000) * P16 )</f>
        <v>5906364.8033409119</v>
      </c>
      <c r="N16" s="287">
        <v>0</v>
      </c>
      <c r="O16" s="288">
        <f t="shared" si="4"/>
        <v>9442787.0276298504</v>
      </c>
      <c r="P16" s="115">
        <v>4.7E-2</v>
      </c>
      <c r="Q16" s="289">
        <f t="shared" si="7"/>
        <v>9886598.0179284532</v>
      </c>
      <c r="R16" s="288">
        <f t="shared" si="5"/>
        <v>22694882.821269363</v>
      </c>
      <c r="S16" s="290">
        <f t="shared" si="6"/>
        <v>16788518.017928451</v>
      </c>
      <c r="T16" s="291"/>
      <c r="U16" s="114"/>
    </row>
    <row r="17" spans="1:28" s="32" customFormat="1" x14ac:dyDescent="0.3">
      <c r="A17" s="11">
        <v>0</v>
      </c>
      <c r="C17" s="316"/>
      <c r="D17" s="79">
        <v>2</v>
      </c>
      <c r="E17" s="80">
        <v>2500000</v>
      </c>
      <c r="F17" s="81">
        <v>0</v>
      </c>
      <c r="G17" s="81">
        <v>400000</v>
      </c>
      <c r="H17" s="81">
        <f t="shared" si="0"/>
        <v>2100000</v>
      </c>
      <c r="I17" s="82">
        <v>0</v>
      </c>
      <c r="J17" s="83">
        <f xml:space="preserve"> J16</f>
        <v>711000</v>
      </c>
      <c r="K17" s="84">
        <f t="shared" si="1"/>
        <v>2811000</v>
      </c>
      <c r="L17" s="151">
        <f t="shared" si="2"/>
        <v>6190920</v>
      </c>
      <c r="M17" s="141">
        <f t="shared" si="8"/>
        <v>6419879.3698010482</v>
      </c>
      <c r="N17" s="68">
        <v>0</v>
      </c>
      <c r="O17" s="171">
        <f t="shared" si="4"/>
        <v>12697598.017928453</v>
      </c>
      <c r="P17" s="32">
        <v>1.7999999999999999E-2</v>
      </c>
      <c r="Q17" s="148">
        <f t="shared" si="7"/>
        <v>12926154.782251166</v>
      </c>
      <c r="R17" s="171">
        <f t="shared" si="5"/>
        <v>25536954.152052216</v>
      </c>
      <c r="S17" s="134">
        <f t="shared" si="6"/>
        <v>19117074.782251168</v>
      </c>
      <c r="T17" s="85"/>
      <c r="U17" s="11"/>
    </row>
    <row r="18" spans="1:28" s="32" customFormat="1" x14ac:dyDescent="0.3">
      <c r="A18" s="11">
        <f xml:space="preserve"> A17 +0</f>
        <v>0</v>
      </c>
      <c r="C18" s="316"/>
      <c r="D18" s="79">
        <v>3</v>
      </c>
      <c r="E18" s="80">
        <v>2500000</v>
      </c>
      <c r="F18" s="81">
        <v>0</v>
      </c>
      <c r="G18" s="81">
        <v>400000</v>
      </c>
      <c r="H18" s="81">
        <f t="shared" si="0"/>
        <v>2100000</v>
      </c>
      <c r="I18" s="82">
        <v>0</v>
      </c>
      <c r="J18" s="83">
        <f t="shared" ref="J18:J24" si="9" xml:space="preserve"> J17</f>
        <v>711000</v>
      </c>
      <c r="K18" s="84">
        <f t="shared" si="1"/>
        <v>2811000</v>
      </c>
      <c r="L18" s="151">
        <f t="shared" si="2"/>
        <v>5479920</v>
      </c>
      <c r="M18" s="141">
        <f t="shared" si="8"/>
        <v>6942637.1984574674</v>
      </c>
      <c r="N18" s="68">
        <v>0</v>
      </c>
      <c r="O18" s="171">
        <f t="shared" si="4"/>
        <v>15737154.782251166</v>
      </c>
      <c r="P18" s="32">
        <v>1.7999999999999999E-2</v>
      </c>
      <c r="Q18" s="148">
        <f t="shared" si="7"/>
        <v>16020423.568331687</v>
      </c>
      <c r="R18" s="171">
        <f t="shared" si="5"/>
        <v>28442980.766789153</v>
      </c>
      <c r="S18" s="134">
        <f t="shared" si="6"/>
        <v>21500343.568331685</v>
      </c>
      <c r="T18" s="85"/>
      <c r="U18" s="11"/>
    </row>
    <row r="19" spans="1:28" s="32" customFormat="1" x14ac:dyDescent="0.3">
      <c r="A19" s="11">
        <f xml:space="preserve"> A18 +1000000</f>
        <v>1000000</v>
      </c>
      <c r="C19" s="316"/>
      <c r="D19" s="79">
        <v>4</v>
      </c>
      <c r="E19" s="80">
        <v>2500000</v>
      </c>
      <c r="F19" s="81">
        <v>0</v>
      </c>
      <c r="G19" s="81">
        <v>400000</v>
      </c>
      <c r="H19" s="81">
        <f t="shared" si="0"/>
        <v>2100000</v>
      </c>
      <c r="I19" s="82">
        <v>0</v>
      </c>
      <c r="J19" s="83">
        <f t="shared" si="9"/>
        <v>711000</v>
      </c>
      <c r="K19" s="84">
        <f t="shared" si="1"/>
        <v>2811000</v>
      </c>
      <c r="L19" s="151">
        <f t="shared" si="2"/>
        <v>4768920</v>
      </c>
      <c r="M19" s="141">
        <f t="shared" si="8"/>
        <v>7474804.6680297013</v>
      </c>
      <c r="N19" s="68">
        <v>0</v>
      </c>
      <c r="O19" s="171">
        <f t="shared" si="4"/>
        <v>18831423.568331689</v>
      </c>
      <c r="P19" s="32">
        <v>1.7999999999999999E-2</v>
      </c>
      <c r="Q19" s="148">
        <f t="shared" si="7"/>
        <v>19170389.19256166</v>
      </c>
      <c r="R19" s="171">
        <f t="shared" si="5"/>
        <v>31414113.860591359</v>
      </c>
      <c r="S19" s="134">
        <f t="shared" si="6"/>
        <v>23939309.192561656</v>
      </c>
      <c r="T19" s="85"/>
      <c r="U19" s="11"/>
    </row>
    <row r="20" spans="1:28" s="32" customFormat="1" x14ac:dyDescent="0.3">
      <c r="A20" s="11">
        <f t="shared" ref="A20:A83" si="10" xml:space="preserve"> A19 +1000000</f>
        <v>2000000</v>
      </c>
      <c r="C20" s="316"/>
      <c r="D20" s="79">
        <v>5</v>
      </c>
      <c r="E20" s="80">
        <v>2500000</v>
      </c>
      <c r="F20" s="81">
        <v>0</v>
      </c>
      <c r="G20" s="81">
        <v>400000</v>
      </c>
      <c r="H20" s="81">
        <f t="shared" si="0"/>
        <v>2100000</v>
      </c>
      <c r="I20" s="82">
        <v>0</v>
      </c>
      <c r="J20" s="83">
        <f t="shared" si="9"/>
        <v>711000</v>
      </c>
      <c r="K20" s="84">
        <f t="shared" si="1"/>
        <v>2811000</v>
      </c>
      <c r="L20" s="151">
        <f t="shared" si="2"/>
        <v>4057920</v>
      </c>
      <c r="M20" s="141">
        <f t="shared" si="8"/>
        <v>8016551.1520542363</v>
      </c>
      <c r="N20" s="68">
        <v>0</v>
      </c>
      <c r="O20" s="171">
        <f t="shared" si="4"/>
        <v>21981389.19256166</v>
      </c>
      <c r="P20" s="32">
        <v>1.7999999999999999E-2</v>
      </c>
      <c r="Q20" s="148">
        <f t="shared" si="7"/>
        <v>22377054.198027771</v>
      </c>
      <c r="R20" s="171">
        <f t="shared" si="5"/>
        <v>34451525.35008201</v>
      </c>
      <c r="S20" s="134">
        <f t="shared" si="6"/>
        <v>26434974.198027775</v>
      </c>
      <c r="T20" s="85"/>
      <c r="U20" s="11"/>
    </row>
    <row r="21" spans="1:28" s="32" customFormat="1" x14ac:dyDescent="0.3">
      <c r="A21" s="11">
        <f t="shared" si="10"/>
        <v>3000000</v>
      </c>
      <c r="C21" s="316"/>
      <c r="D21" s="79">
        <v>6</v>
      </c>
      <c r="E21" s="80">
        <v>2500000</v>
      </c>
      <c r="F21" s="81">
        <v>0</v>
      </c>
      <c r="G21" s="81">
        <v>400000</v>
      </c>
      <c r="H21" s="81">
        <f t="shared" si="0"/>
        <v>2100000</v>
      </c>
      <c r="I21" s="82">
        <v>0</v>
      </c>
      <c r="J21" s="83">
        <f t="shared" si="9"/>
        <v>711000</v>
      </c>
      <c r="K21" s="84">
        <f t="shared" si="1"/>
        <v>2811000</v>
      </c>
      <c r="L21" s="151">
        <f t="shared" si="2"/>
        <v>3346920</v>
      </c>
      <c r="M21" s="141">
        <f t="shared" si="8"/>
        <v>8568049.0727912113</v>
      </c>
      <c r="N21" s="68">
        <v>0</v>
      </c>
      <c r="O21" s="171">
        <f t="shared" si="4"/>
        <v>25188054.198027771</v>
      </c>
      <c r="P21" s="32">
        <v>1.7999999999999999E-2</v>
      </c>
      <c r="Q21" s="148">
        <f t="shared" si="7"/>
        <v>25641439.173592269</v>
      </c>
      <c r="R21" s="171">
        <f t="shared" si="5"/>
        <v>37556408.246383481</v>
      </c>
      <c r="S21" s="134">
        <f t="shared" si="6"/>
        <v>28988359.173592269</v>
      </c>
      <c r="T21" s="85"/>
      <c r="U21" s="11"/>
    </row>
    <row r="22" spans="1:28" s="32" customFormat="1" x14ac:dyDescent="0.3">
      <c r="A22" s="11">
        <f t="shared" si="10"/>
        <v>4000000</v>
      </c>
      <c r="C22" s="316"/>
      <c r="D22" s="79">
        <v>7</v>
      </c>
      <c r="E22" s="80">
        <v>2500000</v>
      </c>
      <c r="F22" s="81">
        <v>0</v>
      </c>
      <c r="G22" s="81">
        <v>400000</v>
      </c>
      <c r="H22" s="81">
        <f t="shared" si="0"/>
        <v>2100000</v>
      </c>
      <c r="I22" s="82">
        <v>0</v>
      </c>
      <c r="J22" s="83">
        <f t="shared" si="9"/>
        <v>711000</v>
      </c>
      <c r="K22" s="84">
        <f t="shared" si="1"/>
        <v>2811000</v>
      </c>
      <c r="L22" s="151">
        <f t="shared" si="2"/>
        <v>2635920</v>
      </c>
      <c r="M22" s="141">
        <f t="shared" si="8"/>
        <v>9129473.9561014529</v>
      </c>
      <c r="N22" s="68">
        <v>0</v>
      </c>
      <c r="O22" s="171">
        <f t="shared" si="4"/>
        <v>28452439.173592269</v>
      </c>
      <c r="P22" s="32">
        <v>1.7999999999999999E-2</v>
      </c>
      <c r="Q22" s="148">
        <f t="shared" si="7"/>
        <v>28964583.07871693</v>
      </c>
      <c r="R22" s="171">
        <f t="shared" si="5"/>
        <v>40729977.034818381</v>
      </c>
      <c r="S22" s="134">
        <f t="shared" si="6"/>
        <v>31600503.078716926</v>
      </c>
      <c r="T22" s="85"/>
      <c r="U22" s="11"/>
    </row>
    <row r="23" spans="1:28" s="32" customFormat="1" x14ac:dyDescent="0.3">
      <c r="A23" s="11">
        <f t="shared" si="10"/>
        <v>5000000</v>
      </c>
      <c r="C23" s="316"/>
      <c r="D23" s="79">
        <v>8</v>
      </c>
      <c r="E23" s="80">
        <v>2500000</v>
      </c>
      <c r="F23" s="81">
        <v>0</v>
      </c>
      <c r="G23" s="81">
        <v>400000</v>
      </c>
      <c r="H23" s="81">
        <f t="shared" si="0"/>
        <v>2100000</v>
      </c>
      <c r="I23" s="82">
        <v>0</v>
      </c>
      <c r="J23" s="83">
        <f t="shared" si="9"/>
        <v>711000</v>
      </c>
      <c r="K23" s="84">
        <f t="shared" si="1"/>
        <v>2811000</v>
      </c>
      <c r="L23" s="151">
        <f t="shared" si="2"/>
        <v>1924920</v>
      </c>
      <c r="M23" s="141">
        <f t="shared" si="8"/>
        <v>9701004.4873112794</v>
      </c>
      <c r="N23" s="68">
        <v>0</v>
      </c>
      <c r="O23" s="171">
        <f t="shared" si="4"/>
        <v>31775583.07871693</v>
      </c>
      <c r="P23" s="32">
        <v>1.7999999999999999E-2</v>
      </c>
      <c r="Q23" s="148">
        <f t="shared" si="7"/>
        <v>32347543.574133836</v>
      </c>
      <c r="R23" s="171">
        <f t="shared" si="5"/>
        <v>43973468.061445117</v>
      </c>
      <c r="S23" s="134">
        <f t="shared" si="6"/>
        <v>34272463.574133836</v>
      </c>
      <c r="T23" s="85"/>
      <c r="U23" s="11"/>
    </row>
    <row r="24" spans="1:28" s="32" customFormat="1" x14ac:dyDescent="0.3">
      <c r="A24" s="11">
        <f t="shared" si="10"/>
        <v>6000000</v>
      </c>
      <c r="C24" s="316"/>
      <c r="D24" s="79">
        <v>9</v>
      </c>
      <c r="E24" s="80">
        <v>2500000</v>
      </c>
      <c r="F24" s="81">
        <v>0</v>
      </c>
      <c r="G24" s="81">
        <v>400000</v>
      </c>
      <c r="H24" s="81">
        <f t="shared" si="0"/>
        <v>2100000</v>
      </c>
      <c r="I24" s="82">
        <v>0</v>
      </c>
      <c r="J24" s="83">
        <f t="shared" si="9"/>
        <v>711000</v>
      </c>
      <c r="K24" s="84">
        <f t="shared" si="1"/>
        <v>2811000</v>
      </c>
      <c r="L24" s="151">
        <f t="shared" si="2"/>
        <v>1213920</v>
      </c>
      <c r="M24" s="141">
        <f t="shared" si="8"/>
        <v>10282822.568082882</v>
      </c>
      <c r="N24" s="68">
        <v>0</v>
      </c>
      <c r="O24" s="171">
        <f t="shared" si="4"/>
        <v>35158543.574133836</v>
      </c>
      <c r="P24" s="32">
        <v>1.7999999999999999E-2</v>
      </c>
      <c r="Q24" s="148">
        <f t="shared" si="7"/>
        <v>35791397.358468242</v>
      </c>
      <c r="R24" s="171">
        <f t="shared" si="5"/>
        <v>47288139.926551126</v>
      </c>
      <c r="S24" s="134">
        <f t="shared" si="6"/>
        <v>37005317.358468242</v>
      </c>
      <c r="T24" s="85"/>
      <c r="U24" s="11"/>
    </row>
    <row r="25" spans="1:28" s="32" customFormat="1" x14ac:dyDescent="0.3">
      <c r="A25" s="11">
        <f t="shared" si="10"/>
        <v>7000000</v>
      </c>
      <c r="C25" s="316"/>
      <c r="D25" s="79">
        <v>10</v>
      </c>
      <c r="E25" s="80">
        <v>2500000</v>
      </c>
      <c r="F25" s="81">
        <v>0</v>
      </c>
      <c r="G25" s="81">
        <v>400000</v>
      </c>
      <c r="H25" s="81">
        <f t="shared" si="0"/>
        <v>2100000</v>
      </c>
      <c r="I25" s="82">
        <v>0</v>
      </c>
      <c r="J25" s="83">
        <f xml:space="preserve"> J24</f>
        <v>711000</v>
      </c>
      <c r="K25" s="84">
        <f t="shared" si="1"/>
        <v>2811000</v>
      </c>
      <c r="L25" s="151">
        <f t="shared" si="2"/>
        <v>502920</v>
      </c>
      <c r="M25" s="141">
        <f t="shared" si="8"/>
        <v>10875113.374308374</v>
      </c>
      <c r="N25" s="68">
        <v>0</v>
      </c>
      <c r="O25" s="171">
        <f t="shared" si="4"/>
        <v>38602397.358468242</v>
      </c>
      <c r="P25" s="32">
        <v>1.7999999999999999E-2</v>
      </c>
      <c r="Q25" s="148">
        <f t="shared" si="7"/>
        <v>39297240.510920674</v>
      </c>
      <c r="R25" s="171">
        <f t="shared" si="5"/>
        <v>50675273.885229051</v>
      </c>
      <c r="S25" s="134">
        <f t="shared" si="6"/>
        <v>39800160.510920674</v>
      </c>
      <c r="T25" s="85"/>
      <c r="U25" s="11"/>
    </row>
    <row r="26" spans="1:28" s="86" customFormat="1" ht="17.25" thickBot="1" x14ac:dyDescent="0.35">
      <c r="A26" s="11">
        <f t="shared" si="10"/>
        <v>8000000</v>
      </c>
      <c r="C26" s="316"/>
      <c r="D26" s="87">
        <v>11</v>
      </c>
      <c r="E26" s="88">
        <v>2500000</v>
      </c>
      <c r="F26" s="89">
        <v>0</v>
      </c>
      <c r="G26" s="89">
        <v>400000</v>
      </c>
      <c r="H26" s="89">
        <f t="shared" si="0"/>
        <v>2100000</v>
      </c>
      <c r="I26" s="90">
        <v>11000000</v>
      </c>
      <c r="J26" s="91">
        <v>0</v>
      </c>
      <c r="K26" s="92">
        <f t="shared" si="1"/>
        <v>-8900000</v>
      </c>
      <c r="L26" s="152">
        <f t="shared" si="2"/>
        <v>11502920</v>
      </c>
      <c r="M26" s="142">
        <f t="shared" si="8"/>
        <v>11478065.415045924</v>
      </c>
      <c r="N26" s="100">
        <v>0</v>
      </c>
      <c r="O26" s="172">
        <f t="shared" si="4"/>
        <v>30397240.510920674</v>
      </c>
      <c r="P26" s="86">
        <v>1.7999999999999999E-2</v>
      </c>
      <c r="Q26" s="148">
        <f t="shared" si="7"/>
        <v>30944390.840117246</v>
      </c>
      <c r="R26" s="172">
        <f t="shared" si="5"/>
        <v>53925376.25516317</v>
      </c>
      <c r="S26" s="135">
        <f t="shared" si="6"/>
        <v>42447310.840117246</v>
      </c>
      <c r="T26" s="93"/>
      <c r="U26" s="94"/>
    </row>
    <row r="27" spans="1:28" s="45" customFormat="1" ht="17.25" thickBot="1" x14ac:dyDescent="0.35">
      <c r="A27" s="178">
        <f t="shared" si="10"/>
        <v>9000000</v>
      </c>
      <c r="B27" s="38"/>
      <c r="C27" s="316"/>
      <c r="D27" s="39">
        <v>12</v>
      </c>
      <c r="E27" s="40">
        <v>2500000</v>
      </c>
      <c r="F27" s="41">
        <v>0</v>
      </c>
      <c r="G27" s="41">
        <v>400000</v>
      </c>
      <c r="H27" s="41">
        <f t="shared" si="0"/>
        <v>2100000</v>
      </c>
      <c r="I27" s="42">
        <v>11000000</v>
      </c>
      <c r="J27" s="44">
        <v>0</v>
      </c>
      <c r="K27" s="47">
        <f t="shared" si="1"/>
        <v>-8900000</v>
      </c>
      <c r="L27" s="150">
        <f t="shared" si="2"/>
        <v>22502920</v>
      </c>
      <c r="M27" s="145">
        <f t="shared" si="8"/>
        <v>12091870.592516752</v>
      </c>
      <c r="N27" s="50">
        <v>0</v>
      </c>
      <c r="O27" s="130">
        <f t="shared" si="4"/>
        <v>22044390.840117246</v>
      </c>
      <c r="P27" s="45">
        <v>1.7999999999999999E-2</v>
      </c>
      <c r="Q27" s="210">
        <f t="shared" si="7"/>
        <v>22441189.875239357</v>
      </c>
      <c r="R27" s="130">
        <f t="shared" si="5"/>
        <v>57035980.467756107</v>
      </c>
      <c r="S27" s="132">
        <f t="shared" si="6"/>
        <v>44944109.875239357</v>
      </c>
      <c r="T27" s="179">
        <f xml:space="preserve"> S27 / 4</f>
        <v>11236027.468809839</v>
      </c>
      <c r="U27" s="46">
        <f>SUM(E4:E27)</f>
        <v>62300000</v>
      </c>
      <c r="V27" s="46">
        <f>SUM(F4:F27)</f>
        <v>12956544</v>
      </c>
      <c r="W27" s="48">
        <f xml:space="preserve"> U27 - V27</f>
        <v>49343456</v>
      </c>
      <c r="X27" s="48">
        <f>R27-W27</f>
        <v>7692524.4677561074</v>
      </c>
      <c r="Y27" s="116">
        <f xml:space="preserve"> X27 / W27 * 100</f>
        <v>15.589756152783679</v>
      </c>
      <c r="Z27" s="48">
        <f xml:space="preserve"> (X27 - 2500000) * 0.16</f>
        <v>830803.91484097717</v>
      </c>
      <c r="AA27" s="214">
        <f xml:space="preserve"> R27 - ((2500000 * 12) + R15)</f>
        <v>7550046.3118159324</v>
      </c>
      <c r="AB27" s="214">
        <f xml:space="preserve"> (AA27 -2500000) * 0.16</f>
        <v>808007.40989054926</v>
      </c>
    </row>
    <row r="28" spans="1:28" s="70" customFormat="1" x14ac:dyDescent="0.3">
      <c r="A28" s="11">
        <f t="shared" si="10"/>
        <v>10000000</v>
      </c>
      <c r="B28" s="70">
        <v>3</v>
      </c>
      <c r="C28" s="316">
        <v>2024</v>
      </c>
      <c r="D28" s="71">
        <v>1</v>
      </c>
      <c r="E28" s="72">
        <v>2500000</v>
      </c>
      <c r="F28" s="73">
        <v>0</v>
      </c>
      <c r="G28" s="73">
        <v>400000</v>
      </c>
      <c r="H28" s="73">
        <f t="shared" ref="H28:H87" si="11" xml:space="preserve"> E28 - G28 - F28</f>
        <v>2100000</v>
      </c>
      <c r="I28" s="74">
        <v>0</v>
      </c>
      <c r="J28" s="75">
        <f xml:space="preserve"> L27 / 10</f>
        <v>2250292</v>
      </c>
      <c r="K28" s="76">
        <f t="shared" ref="K28:K87" si="12" xml:space="preserve"> H28 + J28 - I28</f>
        <v>4350292</v>
      </c>
      <c r="L28" s="67">
        <f t="shared" ref="L28:L87" si="13" xml:space="preserve"> L27 +I28 - J28 - N28</f>
        <v>20252628</v>
      </c>
      <c r="M28" s="140">
        <f t="shared" si="8"/>
        <v>12541838.074886819</v>
      </c>
      <c r="N28" s="68">
        <v>0</v>
      </c>
      <c r="O28" s="174">
        <f t="shared" ref="O28:O87" si="14" xml:space="preserve"> Q27 + K28</f>
        <v>26791481.875239357</v>
      </c>
      <c r="P28" s="70">
        <v>4.0000000000000001E-3</v>
      </c>
      <c r="Q28" s="148">
        <f t="shared" si="7"/>
        <v>26898647.802740313</v>
      </c>
      <c r="R28" s="174">
        <f t="shared" ref="R28:R87" si="15" xml:space="preserve"> M28 + Q28 + L28</f>
        <v>59693113.877627134</v>
      </c>
      <c r="S28" s="133">
        <f t="shared" ref="S28:S87" si="16" xml:space="preserve"> R28 - M28</f>
        <v>47151275.802740313</v>
      </c>
      <c r="T28" s="77"/>
      <c r="U28" s="78"/>
    </row>
    <row r="29" spans="1:28" s="101" customFormat="1" x14ac:dyDescent="0.3">
      <c r="A29" s="110">
        <f t="shared" si="10"/>
        <v>11000000</v>
      </c>
      <c r="C29" s="316"/>
      <c r="D29" s="102">
        <v>2</v>
      </c>
      <c r="E29" s="103">
        <v>2500000</v>
      </c>
      <c r="F29" s="104">
        <v>0</v>
      </c>
      <c r="G29" s="104">
        <v>400000</v>
      </c>
      <c r="H29" s="104">
        <f t="shared" si="11"/>
        <v>2100000</v>
      </c>
      <c r="I29" s="105">
        <v>0</v>
      </c>
      <c r="J29" s="106">
        <f xml:space="preserve"> J28</f>
        <v>2250292</v>
      </c>
      <c r="K29" s="107">
        <f t="shared" si="12"/>
        <v>4350292</v>
      </c>
      <c r="L29" s="153">
        <f t="shared" si="13"/>
        <v>18002336</v>
      </c>
      <c r="M29" s="144">
        <f t="shared" si="8"/>
        <v>13174791.160234783</v>
      </c>
      <c r="N29" s="108">
        <v>0</v>
      </c>
      <c r="O29" s="171">
        <f t="shared" si="14"/>
        <v>31248939.802740313</v>
      </c>
      <c r="P29" s="101">
        <v>1.7999999999999999E-2</v>
      </c>
      <c r="Q29" s="148">
        <f t="shared" si="7"/>
        <v>31811420.71918964</v>
      </c>
      <c r="R29" s="171">
        <f t="shared" si="15"/>
        <v>62988547.879424423</v>
      </c>
      <c r="S29" s="136">
        <f t="shared" si="16"/>
        <v>49813756.719189644</v>
      </c>
      <c r="T29" s="109"/>
      <c r="U29" s="110"/>
    </row>
    <row r="30" spans="1:28" s="32" customFormat="1" x14ac:dyDescent="0.3">
      <c r="A30" s="11">
        <f t="shared" si="10"/>
        <v>12000000</v>
      </c>
      <c r="C30" s="316"/>
      <c r="D30" s="79">
        <v>3</v>
      </c>
      <c r="E30" s="80">
        <v>2500000</v>
      </c>
      <c r="F30" s="81">
        <v>0</v>
      </c>
      <c r="G30" s="81">
        <v>400000</v>
      </c>
      <c r="H30" s="81">
        <f t="shared" si="11"/>
        <v>2100000</v>
      </c>
      <c r="I30" s="82">
        <v>0</v>
      </c>
      <c r="J30" s="83">
        <f t="shared" ref="J30:J36" si="17" xml:space="preserve"> J29</f>
        <v>2250292</v>
      </c>
      <c r="K30" s="84">
        <f t="shared" si="12"/>
        <v>4350292</v>
      </c>
      <c r="L30" s="151">
        <f t="shared" si="13"/>
        <v>15752044</v>
      </c>
      <c r="M30" s="141">
        <f t="shared" si="8"/>
        <v>13819137.401119009</v>
      </c>
      <c r="N30" s="68">
        <v>0</v>
      </c>
      <c r="O30" s="171">
        <f t="shared" si="14"/>
        <v>36161712.719189644</v>
      </c>
      <c r="P30" s="32">
        <v>1.7999999999999999E-2</v>
      </c>
      <c r="Q30" s="148">
        <f t="shared" si="7"/>
        <v>36812623.548135057</v>
      </c>
      <c r="R30" s="171">
        <f t="shared" si="15"/>
        <v>66383804.949254066</v>
      </c>
      <c r="S30" s="134">
        <f t="shared" si="16"/>
        <v>52564667.548135057</v>
      </c>
      <c r="T30" s="85"/>
      <c r="U30" s="11"/>
    </row>
    <row r="31" spans="1:28" s="32" customFormat="1" x14ac:dyDescent="0.3">
      <c r="A31" s="11">
        <f t="shared" si="10"/>
        <v>13000000</v>
      </c>
      <c r="C31" s="316"/>
      <c r="D31" s="79">
        <v>4</v>
      </c>
      <c r="E31" s="80">
        <v>2500000</v>
      </c>
      <c r="F31" s="81">
        <v>0</v>
      </c>
      <c r="G31" s="81">
        <v>400000</v>
      </c>
      <c r="H31" s="81">
        <f t="shared" si="11"/>
        <v>2100000</v>
      </c>
      <c r="I31" s="82">
        <v>0</v>
      </c>
      <c r="J31" s="83">
        <f t="shared" si="17"/>
        <v>2250292</v>
      </c>
      <c r="K31" s="84">
        <f t="shared" si="12"/>
        <v>4350292</v>
      </c>
      <c r="L31" s="151">
        <f t="shared" si="13"/>
        <v>13501752</v>
      </c>
      <c r="M31" s="141">
        <f t="shared" si="8"/>
        <v>14475081.87433915</v>
      </c>
      <c r="N31" s="68">
        <v>0</v>
      </c>
      <c r="O31" s="171">
        <f t="shared" si="14"/>
        <v>41162915.548135057</v>
      </c>
      <c r="P31" s="32">
        <v>1.7999999999999999E-2</v>
      </c>
      <c r="Q31" s="148">
        <f t="shared" si="7"/>
        <v>41903848.028001487</v>
      </c>
      <c r="R31" s="171">
        <f t="shared" si="15"/>
        <v>69880681.902340636</v>
      </c>
      <c r="S31" s="134">
        <f t="shared" si="16"/>
        <v>55405600.028001487</v>
      </c>
      <c r="T31" s="85"/>
      <c r="U31" s="11"/>
    </row>
    <row r="32" spans="1:28" s="32" customFormat="1" x14ac:dyDescent="0.3">
      <c r="A32" s="11">
        <f t="shared" si="10"/>
        <v>14000000</v>
      </c>
      <c r="C32" s="316"/>
      <c r="D32" s="79">
        <v>5</v>
      </c>
      <c r="E32" s="80">
        <v>2500000</v>
      </c>
      <c r="F32" s="81">
        <v>760000</v>
      </c>
      <c r="G32" s="81">
        <v>400000</v>
      </c>
      <c r="H32" s="81">
        <f t="shared" si="11"/>
        <v>1340000</v>
      </c>
      <c r="I32" s="82">
        <v>0</v>
      </c>
      <c r="J32" s="83">
        <f t="shared" si="17"/>
        <v>2250292</v>
      </c>
      <c r="K32" s="84">
        <f t="shared" si="12"/>
        <v>3590292</v>
      </c>
      <c r="L32" s="151">
        <f t="shared" si="13"/>
        <v>11251460</v>
      </c>
      <c r="M32" s="141">
        <f t="shared" si="8"/>
        <v>15142833.348077254</v>
      </c>
      <c r="N32" s="68">
        <v>0</v>
      </c>
      <c r="O32" s="171">
        <f t="shared" si="14"/>
        <v>45494140.028001487</v>
      </c>
      <c r="P32" s="32">
        <v>1.7999999999999999E-2</v>
      </c>
      <c r="Q32" s="148">
        <f t="shared" si="7"/>
        <v>46313034.548505515</v>
      </c>
      <c r="R32" s="171">
        <f t="shared" si="15"/>
        <v>72707327.896582767</v>
      </c>
      <c r="S32" s="134">
        <f t="shared" si="16"/>
        <v>57564494.548505515</v>
      </c>
      <c r="T32" s="85"/>
      <c r="U32" s="11"/>
    </row>
    <row r="33" spans="1:28" s="32" customFormat="1" x14ac:dyDescent="0.3">
      <c r="A33" s="11">
        <f t="shared" si="10"/>
        <v>15000000</v>
      </c>
      <c r="C33" s="316"/>
      <c r="D33" s="79">
        <v>6</v>
      </c>
      <c r="E33" s="80">
        <v>2500000</v>
      </c>
      <c r="F33" s="81">
        <v>0</v>
      </c>
      <c r="G33" s="81">
        <v>400000</v>
      </c>
      <c r="H33" s="81">
        <f t="shared" si="11"/>
        <v>2100000</v>
      </c>
      <c r="I33" s="82">
        <v>0</v>
      </c>
      <c r="J33" s="83">
        <f t="shared" si="17"/>
        <v>2250292</v>
      </c>
      <c r="K33" s="84">
        <f t="shared" si="12"/>
        <v>4350292</v>
      </c>
      <c r="L33" s="151">
        <f t="shared" si="13"/>
        <v>9001168</v>
      </c>
      <c r="M33" s="141">
        <f t="shared" si="8"/>
        <v>15822604.348342644</v>
      </c>
      <c r="N33" s="68">
        <v>0</v>
      </c>
      <c r="O33" s="171">
        <f t="shared" si="14"/>
        <v>50663326.548505515</v>
      </c>
      <c r="P33" s="32">
        <v>1.7999999999999999E-2</v>
      </c>
      <c r="Q33" s="148">
        <f t="shared" si="7"/>
        <v>51575266.426378615</v>
      </c>
      <c r="R33" s="171">
        <f t="shared" si="15"/>
        <v>76399038.774721265</v>
      </c>
      <c r="S33" s="134">
        <f t="shared" si="16"/>
        <v>60576434.426378623</v>
      </c>
      <c r="T33" s="85"/>
      <c r="U33" s="11"/>
    </row>
    <row r="34" spans="1:28" s="32" customFormat="1" x14ac:dyDescent="0.3">
      <c r="A34" s="11">
        <f t="shared" si="10"/>
        <v>16000000</v>
      </c>
      <c r="C34" s="316"/>
      <c r="D34" s="79">
        <v>7</v>
      </c>
      <c r="E34" s="80">
        <v>2500000</v>
      </c>
      <c r="F34" s="81">
        <v>0</v>
      </c>
      <c r="G34" s="81">
        <v>400000</v>
      </c>
      <c r="H34" s="81">
        <f t="shared" si="11"/>
        <v>2100000</v>
      </c>
      <c r="I34" s="82">
        <v>0</v>
      </c>
      <c r="J34" s="83">
        <f t="shared" si="17"/>
        <v>2250292</v>
      </c>
      <c r="K34" s="84">
        <f t="shared" si="12"/>
        <v>4350292</v>
      </c>
      <c r="L34" s="151">
        <f t="shared" si="13"/>
        <v>6750876</v>
      </c>
      <c r="M34" s="141">
        <f t="shared" si="8"/>
        <v>16514611.226612812</v>
      </c>
      <c r="N34" s="68">
        <v>0</v>
      </c>
      <c r="O34" s="171">
        <f t="shared" si="14"/>
        <v>55925558.426378615</v>
      </c>
      <c r="P34" s="32">
        <v>1.7999999999999999E-2</v>
      </c>
      <c r="Q34" s="148">
        <f t="shared" si="7"/>
        <v>56932218.478053428</v>
      </c>
      <c r="R34" s="171">
        <f t="shared" si="15"/>
        <v>80197705.704666242</v>
      </c>
      <c r="S34" s="134">
        <f t="shared" si="16"/>
        <v>63683094.478053428</v>
      </c>
      <c r="T34" s="85"/>
      <c r="U34" s="11"/>
    </row>
    <row r="35" spans="1:28" s="32" customFormat="1" x14ac:dyDescent="0.3">
      <c r="A35" s="11">
        <f t="shared" si="10"/>
        <v>17000000</v>
      </c>
      <c r="C35" s="316"/>
      <c r="D35" s="79">
        <v>8</v>
      </c>
      <c r="E35" s="80">
        <v>2500000</v>
      </c>
      <c r="F35" s="81">
        <v>0</v>
      </c>
      <c r="G35" s="81">
        <v>400000</v>
      </c>
      <c r="H35" s="81">
        <f t="shared" si="11"/>
        <v>2100000</v>
      </c>
      <c r="I35" s="82">
        <v>0</v>
      </c>
      <c r="J35" s="83">
        <f t="shared" si="17"/>
        <v>2250292</v>
      </c>
      <c r="K35" s="84">
        <f t="shared" si="12"/>
        <v>4350292</v>
      </c>
      <c r="L35" s="151">
        <f t="shared" si="13"/>
        <v>4500584</v>
      </c>
      <c r="M35" s="141">
        <f t="shared" si="8"/>
        <v>17219074.228691846</v>
      </c>
      <c r="N35" s="68">
        <v>0</v>
      </c>
      <c r="O35" s="171">
        <f t="shared" si="14"/>
        <v>61282510.478053428</v>
      </c>
      <c r="P35" s="32">
        <v>1.7999999999999999E-2</v>
      </c>
      <c r="Q35" s="148">
        <f t="shared" si="7"/>
        <v>62385595.666658387</v>
      </c>
      <c r="R35" s="171">
        <f t="shared" si="15"/>
        <v>84105253.895350233</v>
      </c>
      <c r="S35" s="134">
        <f t="shared" si="16"/>
        <v>66886179.666658387</v>
      </c>
      <c r="T35" s="85"/>
      <c r="U35" s="11"/>
    </row>
    <row r="36" spans="1:28" s="32" customFormat="1" x14ac:dyDescent="0.3">
      <c r="A36" s="11">
        <f t="shared" si="10"/>
        <v>18000000</v>
      </c>
      <c r="C36" s="316"/>
      <c r="D36" s="79">
        <v>9</v>
      </c>
      <c r="E36" s="80">
        <v>2500000</v>
      </c>
      <c r="F36" s="81">
        <v>0</v>
      </c>
      <c r="G36" s="81">
        <v>400000</v>
      </c>
      <c r="H36" s="81">
        <f t="shared" si="11"/>
        <v>2100000</v>
      </c>
      <c r="I36" s="82">
        <v>0</v>
      </c>
      <c r="J36" s="83">
        <f t="shared" si="17"/>
        <v>2250292</v>
      </c>
      <c r="K36" s="84">
        <f t="shared" si="12"/>
        <v>4350292</v>
      </c>
      <c r="L36" s="151">
        <f t="shared" si="13"/>
        <v>2250292</v>
      </c>
      <c r="M36" s="141">
        <f t="shared" si="8"/>
        <v>17936217.564808298</v>
      </c>
      <c r="N36" s="68">
        <v>0</v>
      </c>
      <c r="O36" s="171">
        <f t="shared" si="14"/>
        <v>66735887.666658387</v>
      </c>
      <c r="P36" s="32">
        <v>1.7999999999999999E-2</v>
      </c>
      <c r="Q36" s="148">
        <f t="shared" si="7"/>
        <v>67937133.644658238</v>
      </c>
      <c r="R36" s="171">
        <f t="shared" si="15"/>
        <v>88123643.209466532</v>
      </c>
      <c r="S36" s="134">
        <f t="shared" si="16"/>
        <v>70187425.644658238</v>
      </c>
      <c r="T36" s="85"/>
      <c r="U36" s="11"/>
    </row>
    <row r="37" spans="1:28" s="32" customFormat="1" x14ac:dyDescent="0.3">
      <c r="A37" s="11">
        <f t="shared" si="10"/>
        <v>19000000</v>
      </c>
      <c r="C37" s="316"/>
      <c r="D37" s="79">
        <v>10</v>
      </c>
      <c r="E37" s="80">
        <v>2500000</v>
      </c>
      <c r="F37" s="81">
        <v>0</v>
      </c>
      <c r="G37" s="81">
        <v>400000</v>
      </c>
      <c r="H37" s="81">
        <f t="shared" si="11"/>
        <v>2100000</v>
      </c>
      <c r="I37" s="82">
        <v>0</v>
      </c>
      <c r="J37" s="83">
        <f xml:space="preserve"> J36</f>
        <v>2250292</v>
      </c>
      <c r="K37" s="84">
        <f t="shared" si="12"/>
        <v>4350292</v>
      </c>
      <c r="L37" s="151">
        <f t="shared" si="13"/>
        <v>0</v>
      </c>
      <c r="M37" s="141">
        <f t="shared" si="8"/>
        <v>18666269.480974846</v>
      </c>
      <c r="N37" s="68">
        <v>0</v>
      </c>
      <c r="O37" s="171">
        <f t="shared" si="14"/>
        <v>72287425.644658238</v>
      </c>
      <c r="P37" s="32">
        <v>1.7999999999999999E-2</v>
      </c>
      <c r="Q37" s="148">
        <f t="shared" si="7"/>
        <v>73588599.306262091</v>
      </c>
      <c r="R37" s="171">
        <f t="shared" si="15"/>
        <v>92254868.787236929</v>
      </c>
      <c r="S37" s="134">
        <f t="shared" si="16"/>
        <v>73588599.306262076</v>
      </c>
      <c r="T37" s="85"/>
      <c r="U37" s="11"/>
    </row>
    <row r="38" spans="1:28" s="86" customFormat="1" ht="17.25" thickBot="1" x14ac:dyDescent="0.35">
      <c r="A38" s="11">
        <f t="shared" si="10"/>
        <v>20000000</v>
      </c>
      <c r="C38" s="316"/>
      <c r="D38" s="87">
        <v>11</v>
      </c>
      <c r="E38" s="88">
        <v>2500000</v>
      </c>
      <c r="F38" s="89">
        <v>0</v>
      </c>
      <c r="G38" s="89">
        <v>400000</v>
      </c>
      <c r="H38" s="89">
        <f t="shared" si="11"/>
        <v>2100000</v>
      </c>
      <c r="I38" s="90">
        <v>20000000</v>
      </c>
      <c r="J38" s="91">
        <v>0</v>
      </c>
      <c r="K38" s="92">
        <f t="shared" si="12"/>
        <v>-17900000</v>
      </c>
      <c r="L38" s="152">
        <f t="shared" si="13"/>
        <v>20000000</v>
      </c>
      <c r="M38" s="142">
        <f t="shared" si="8"/>
        <v>19409462.331632394</v>
      </c>
      <c r="N38" s="100">
        <v>0</v>
      </c>
      <c r="O38" s="172">
        <f t="shared" si="14"/>
        <v>55688599.306262091</v>
      </c>
      <c r="P38" s="86">
        <v>1.7999999999999999E-2</v>
      </c>
      <c r="Q38" s="148">
        <f t="shared" si="7"/>
        <v>56690994.09377481</v>
      </c>
      <c r="R38" s="172">
        <f t="shared" si="15"/>
        <v>96100456.425407201</v>
      </c>
      <c r="S38" s="135">
        <f t="shared" si="16"/>
        <v>76690994.09377481</v>
      </c>
      <c r="T38" s="93"/>
      <c r="U38" s="94"/>
    </row>
    <row r="39" spans="1:28" s="45" customFormat="1" ht="17.25" thickBot="1" x14ac:dyDescent="0.35">
      <c r="A39" s="178">
        <f t="shared" si="10"/>
        <v>21000000</v>
      </c>
      <c r="B39" s="38"/>
      <c r="C39" s="316"/>
      <c r="D39" s="39">
        <v>12</v>
      </c>
      <c r="E39" s="40">
        <v>2500000</v>
      </c>
      <c r="F39" s="41">
        <v>0</v>
      </c>
      <c r="G39" s="41">
        <v>400000</v>
      </c>
      <c r="H39" s="41">
        <f t="shared" si="11"/>
        <v>2100000</v>
      </c>
      <c r="I39" s="42">
        <v>20000000</v>
      </c>
      <c r="J39" s="44">
        <v>0</v>
      </c>
      <c r="K39" s="47">
        <f t="shared" si="12"/>
        <v>-17900000</v>
      </c>
      <c r="L39" s="150">
        <f t="shared" si="13"/>
        <v>40000000</v>
      </c>
      <c r="M39" s="145">
        <f t="shared" si="8"/>
        <v>20166032.653601777</v>
      </c>
      <c r="N39" s="50">
        <v>0</v>
      </c>
      <c r="O39" s="130">
        <f t="shared" si="14"/>
        <v>38790994.09377481</v>
      </c>
      <c r="P39" s="45">
        <v>1.7999999999999999E-2</v>
      </c>
      <c r="Q39" s="148">
        <f t="shared" si="7"/>
        <v>39489231.987462759</v>
      </c>
      <c r="R39" s="130">
        <f t="shared" si="15"/>
        <v>99655264.64106454</v>
      </c>
      <c r="S39" s="132">
        <f t="shared" si="16"/>
        <v>79489231.987462759</v>
      </c>
      <c r="T39" s="179">
        <f xml:space="preserve"> S39 / 4</f>
        <v>19872307.99686569</v>
      </c>
      <c r="U39" s="46">
        <f>SUM(E4:E39)</f>
        <v>92300000</v>
      </c>
      <c r="V39" s="46">
        <f>SUM(F4:F39)</f>
        <v>13716544</v>
      </c>
      <c r="W39" s="48">
        <f xml:space="preserve"> U39 - V39</f>
        <v>78583456</v>
      </c>
      <c r="X39" s="48">
        <f>R39-W39</f>
        <v>21071808.64106454</v>
      </c>
      <c r="Y39" s="116">
        <f xml:space="preserve"> X39 / W39 * 100</f>
        <v>26.814560867702919</v>
      </c>
      <c r="Z39" s="48">
        <f xml:space="preserve"> (X39 - 2500000) * 0.16</f>
        <v>2971489.3825703263</v>
      </c>
      <c r="AA39" s="214">
        <f xml:space="preserve"> R39 - ((2500000 * 12) + R27)</f>
        <v>12619284.173308432</v>
      </c>
      <c r="AB39" s="214">
        <f xml:space="preserve"> (AA39 -2500000) * 0.16</f>
        <v>1619085.4677293492</v>
      </c>
    </row>
    <row r="40" spans="1:28" s="70" customFormat="1" x14ac:dyDescent="0.3">
      <c r="A40" s="11">
        <f t="shared" si="10"/>
        <v>22000000</v>
      </c>
      <c r="B40" s="70">
        <v>4</v>
      </c>
      <c r="C40" s="316">
        <v>2025</v>
      </c>
      <c r="D40" s="71">
        <v>1</v>
      </c>
      <c r="E40" s="72">
        <v>2500000</v>
      </c>
      <c r="F40" s="73">
        <v>0</v>
      </c>
      <c r="G40" s="73">
        <v>400000</v>
      </c>
      <c r="H40" s="73">
        <f t="shared" ref="H40:H51" si="18" xml:space="preserve"> E40 - G40 - F40</f>
        <v>2100000</v>
      </c>
      <c r="I40" s="74">
        <v>0</v>
      </c>
      <c r="J40" s="75">
        <f xml:space="preserve"> L39 / 10</f>
        <v>4000000</v>
      </c>
      <c r="K40" s="76">
        <f t="shared" ref="K40:K51" si="19" xml:space="preserve"> H40 + J40 - I40</f>
        <v>6100000</v>
      </c>
      <c r="L40" s="67">
        <f t="shared" ref="L40:L50" si="20" xml:space="preserve"> L39 +I40 - J40 - N40</f>
        <v>36000000</v>
      </c>
      <c r="M40" s="140">
        <f t="shared" si="8"/>
        <v>20648296.784216184</v>
      </c>
      <c r="N40" s="68">
        <v>0</v>
      </c>
      <c r="O40" s="174">
        <f t="shared" ref="O40:O51" si="21" xml:space="preserve"> Q39 + K40</f>
        <v>45589231.987462759</v>
      </c>
      <c r="P40" s="70">
        <v>4.0000000000000001E-3</v>
      </c>
      <c r="Q40" s="148">
        <f t="shared" si="7"/>
        <v>45771588.915412612</v>
      </c>
      <c r="R40" s="174">
        <f t="shared" ref="R40:R51" si="22" xml:space="preserve"> M40 + Q40 + L40</f>
        <v>102419885.6996288</v>
      </c>
      <c r="S40" s="133">
        <f t="shared" ref="S40:S51" si="23" xml:space="preserve"> R40 - M40</f>
        <v>81771588.91541262</v>
      </c>
      <c r="T40" s="77"/>
      <c r="U40" s="78"/>
    </row>
    <row r="41" spans="1:28" s="32" customFormat="1" x14ac:dyDescent="0.3">
      <c r="A41" s="11">
        <f t="shared" si="10"/>
        <v>23000000</v>
      </c>
      <c r="C41" s="316"/>
      <c r="D41" s="79">
        <v>2</v>
      </c>
      <c r="E41" s="80">
        <v>2500000</v>
      </c>
      <c r="F41" s="81">
        <v>0</v>
      </c>
      <c r="G41" s="81">
        <v>400000</v>
      </c>
      <c r="H41" s="81">
        <f t="shared" si="18"/>
        <v>2100000</v>
      </c>
      <c r="I41" s="82">
        <v>0</v>
      </c>
      <c r="J41" s="83">
        <f xml:space="preserve"> J40</f>
        <v>4000000</v>
      </c>
      <c r="K41" s="84">
        <f t="shared" si="19"/>
        <v>6100000</v>
      </c>
      <c r="L41" s="151">
        <f t="shared" si="20"/>
        <v>32000000</v>
      </c>
      <c r="M41" s="141">
        <f t="shared" si="8"/>
        <v>21427166.126332074</v>
      </c>
      <c r="N41" s="68">
        <v>0</v>
      </c>
      <c r="O41" s="171">
        <f t="shared" si="21"/>
        <v>51871588.915412612</v>
      </c>
      <c r="P41" s="32">
        <v>1.7999999999999999E-2</v>
      </c>
      <c r="Q41" s="148">
        <f t="shared" si="7"/>
        <v>52805277.51589004</v>
      </c>
      <c r="R41" s="171">
        <f t="shared" si="22"/>
        <v>106232443.64222211</v>
      </c>
      <c r="S41" s="134">
        <f t="shared" si="23"/>
        <v>84805277.515890032</v>
      </c>
      <c r="T41" s="85"/>
      <c r="U41" s="11"/>
    </row>
    <row r="42" spans="1:28" s="32" customFormat="1" x14ac:dyDescent="0.3">
      <c r="A42" s="11">
        <f t="shared" si="10"/>
        <v>24000000</v>
      </c>
      <c r="C42" s="316"/>
      <c r="D42" s="79">
        <v>3</v>
      </c>
      <c r="E42" s="80">
        <v>2500000</v>
      </c>
      <c r="F42" s="81">
        <v>0</v>
      </c>
      <c r="G42" s="81">
        <v>400000</v>
      </c>
      <c r="H42" s="81">
        <f t="shared" si="18"/>
        <v>2100000</v>
      </c>
      <c r="I42" s="82">
        <v>0</v>
      </c>
      <c r="J42" s="83">
        <f t="shared" ref="J42:J48" si="24" xml:space="preserve"> J41</f>
        <v>4000000</v>
      </c>
      <c r="K42" s="84">
        <f t="shared" si="19"/>
        <v>6100000</v>
      </c>
      <c r="L42" s="151">
        <f t="shared" si="20"/>
        <v>28000000</v>
      </c>
      <c r="M42" s="141">
        <f t="shared" si="8"/>
        <v>22220055.116606053</v>
      </c>
      <c r="N42" s="68">
        <v>0</v>
      </c>
      <c r="O42" s="171">
        <f t="shared" si="21"/>
        <v>58905277.51589004</v>
      </c>
      <c r="P42" s="32">
        <v>1.7999999999999999E-2</v>
      </c>
      <c r="Q42" s="148">
        <f t="shared" si="7"/>
        <v>59965572.511176057</v>
      </c>
      <c r="R42" s="171">
        <f t="shared" si="22"/>
        <v>110185627.62778211</v>
      </c>
      <c r="S42" s="134">
        <f t="shared" si="23"/>
        <v>87965572.51117605</v>
      </c>
      <c r="T42" s="85"/>
      <c r="U42" s="11"/>
    </row>
    <row r="43" spans="1:28" s="32" customFormat="1" x14ac:dyDescent="0.3">
      <c r="A43" s="11">
        <f t="shared" si="10"/>
        <v>25000000</v>
      </c>
      <c r="C43" s="316"/>
      <c r="D43" s="79">
        <v>4</v>
      </c>
      <c r="E43" s="80">
        <v>2500000</v>
      </c>
      <c r="F43" s="81">
        <v>0</v>
      </c>
      <c r="G43" s="81">
        <v>400000</v>
      </c>
      <c r="H43" s="81">
        <f t="shared" si="18"/>
        <v>2100000</v>
      </c>
      <c r="I43" s="82">
        <v>0</v>
      </c>
      <c r="J43" s="83">
        <f t="shared" si="24"/>
        <v>4000000</v>
      </c>
      <c r="K43" s="84">
        <f t="shared" si="19"/>
        <v>6100000</v>
      </c>
      <c r="L43" s="151">
        <f t="shared" si="20"/>
        <v>24000000</v>
      </c>
      <c r="M43" s="141">
        <f t="shared" si="8"/>
        <v>23027216.108704962</v>
      </c>
      <c r="N43" s="68">
        <v>0</v>
      </c>
      <c r="O43" s="171">
        <f t="shared" si="21"/>
        <v>66065572.511176057</v>
      </c>
      <c r="P43" s="32">
        <v>1.7999999999999999E-2</v>
      </c>
      <c r="Q43" s="148">
        <f t="shared" si="7"/>
        <v>67254752.816377223</v>
      </c>
      <c r="R43" s="171">
        <f t="shared" si="22"/>
        <v>114281968.92508218</v>
      </c>
      <c r="S43" s="134">
        <f t="shared" si="23"/>
        <v>91254752.816377223</v>
      </c>
      <c r="T43" s="85"/>
      <c r="U43" s="11"/>
    </row>
    <row r="44" spans="1:28" s="32" customFormat="1" x14ac:dyDescent="0.3">
      <c r="A44" s="11">
        <f t="shared" si="10"/>
        <v>26000000</v>
      </c>
      <c r="C44" s="316"/>
      <c r="D44" s="79">
        <v>5</v>
      </c>
      <c r="E44" s="80">
        <v>2500000</v>
      </c>
      <c r="F44" s="81">
        <v>1610000</v>
      </c>
      <c r="G44" s="81">
        <v>400000</v>
      </c>
      <c r="H44" s="81">
        <f t="shared" si="18"/>
        <v>490000</v>
      </c>
      <c r="I44" s="82">
        <v>0</v>
      </c>
      <c r="J44" s="83">
        <f t="shared" si="24"/>
        <v>4000000</v>
      </c>
      <c r="K44" s="84">
        <f t="shared" si="19"/>
        <v>4490000</v>
      </c>
      <c r="L44" s="151">
        <f t="shared" si="20"/>
        <v>20000000</v>
      </c>
      <c r="M44" s="141">
        <f t="shared" si="8"/>
        <v>23848905.998661652</v>
      </c>
      <c r="N44" s="68">
        <v>0</v>
      </c>
      <c r="O44" s="171">
        <f t="shared" si="21"/>
        <v>71744752.816377223</v>
      </c>
      <c r="P44" s="32">
        <v>1.7999999999999999E-2</v>
      </c>
      <c r="Q44" s="148">
        <f t="shared" si="7"/>
        <v>73036158.367072016</v>
      </c>
      <c r="R44" s="171">
        <f t="shared" si="22"/>
        <v>116885064.36573367</v>
      </c>
      <c r="S44" s="134">
        <f t="shared" si="23"/>
        <v>93036158.367072016</v>
      </c>
      <c r="T44" s="85"/>
      <c r="U44" s="11"/>
    </row>
    <row r="45" spans="1:28" s="32" customFormat="1" x14ac:dyDescent="0.3">
      <c r="A45" s="11">
        <f t="shared" si="10"/>
        <v>27000000</v>
      </c>
      <c r="C45" s="316"/>
      <c r="D45" s="79">
        <v>6</v>
      </c>
      <c r="E45" s="80">
        <v>2500000</v>
      </c>
      <c r="F45" s="81">
        <v>0</v>
      </c>
      <c r="G45" s="81">
        <v>400000</v>
      </c>
      <c r="H45" s="81">
        <f t="shared" si="18"/>
        <v>2100000</v>
      </c>
      <c r="I45" s="82">
        <v>0</v>
      </c>
      <c r="J45" s="83">
        <f t="shared" si="24"/>
        <v>4000000</v>
      </c>
      <c r="K45" s="84">
        <f t="shared" si="19"/>
        <v>6100000</v>
      </c>
      <c r="L45" s="151">
        <f t="shared" si="20"/>
        <v>16000000</v>
      </c>
      <c r="M45" s="141">
        <f t="shared" si="8"/>
        <v>24685386.306637563</v>
      </c>
      <c r="N45" s="68">
        <v>0</v>
      </c>
      <c r="O45" s="171">
        <f t="shared" si="21"/>
        <v>79136158.367072016</v>
      </c>
      <c r="P45" s="32">
        <v>1.7999999999999999E-2</v>
      </c>
      <c r="Q45" s="148">
        <f t="shared" si="7"/>
        <v>80560609.217679307</v>
      </c>
      <c r="R45" s="171">
        <f t="shared" si="22"/>
        <v>121245995.52431688</v>
      </c>
      <c r="S45" s="134">
        <f t="shared" si="23"/>
        <v>96560609.217679322</v>
      </c>
      <c r="T45" s="85"/>
      <c r="U45" s="11"/>
    </row>
    <row r="46" spans="1:28" s="32" customFormat="1" x14ac:dyDescent="0.3">
      <c r="A46" s="11">
        <f t="shared" si="10"/>
        <v>28000000</v>
      </c>
      <c r="C46" s="316"/>
      <c r="D46" s="79">
        <v>7</v>
      </c>
      <c r="E46" s="80">
        <v>2500000</v>
      </c>
      <c r="F46" s="81">
        <v>0</v>
      </c>
      <c r="G46" s="81">
        <v>400000</v>
      </c>
      <c r="H46" s="81">
        <f t="shared" si="18"/>
        <v>2100000</v>
      </c>
      <c r="I46" s="82">
        <v>0</v>
      </c>
      <c r="J46" s="83">
        <f t="shared" si="24"/>
        <v>4000000</v>
      </c>
      <c r="K46" s="84">
        <f t="shared" si="19"/>
        <v>6100000</v>
      </c>
      <c r="L46" s="151">
        <f t="shared" si="20"/>
        <v>12000000</v>
      </c>
      <c r="M46" s="141">
        <f t="shared" si="8"/>
        <v>25536923.260157038</v>
      </c>
      <c r="N46" s="68">
        <v>0</v>
      </c>
      <c r="O46" s="171">
        <f t="shared" si="21"/>
        <v>86660609.217679307</v>
      </c>
      <c r="P46" s="32">
        <v>1.7999999999999999E-2</v>
      </c>
      <c r="Q46" s="148">
        <f t="shared" si="7"/>
        <v>88220500.183597535</v>
      </c>
      <c r="R46" s="171">
        <f t="shared" si="22"/>
        <v>125757423.44375457</v>
      </c>
      <c r="S46" s="134">
        <f t="shared" si="23"/>
        <v>100220500.18359753</v>
      </c>
      <c r="T46" s="85"/>
      <c r="U46" s="11"/>
    </row>
    <row r="47" spans="1:28" s="32" customFormat="1" x14ac:dyDescent="0.3">
      <c r="A47" s="11">
        <f t="shared" si="10"/>
        <v>29000000</v>
      </c>
      <c r="C47" s="316"/>
      <c r="D47" s="79">
        <v>8</v>
      </c>
      <c r="E47" s="80">
        <v>2500000</v>
      </c>
      <c r="F47" s="81">
        <v>0</v>
      </c>
      <c r="G47" s="81">
        <v>400000</v>
      </c>
      <c r="H47" s="81">
        <f t="shared" si="18"/>
        <v>2100000</v>
      </c>
      <c r="I47" s="82">
        <v>0</v>
      </c>
      <c r="J47" s="83">
        <f t="shared" si="24"/>
        <v>4000000</v>
      </c>
      <c r="K47" s="84">
        <f t="shared" si="19"/>
        <v>6100000</v>
      </c>
      <c r="L47" s="151">
        <f t="shared" si="20"/>
        <v>8000000</v>
      </c>
      <c r="M47" s="141">
        <f t="shared" si="8"/>
        <v>26403787.878839865</v>
      </c>
      <c r="N47" s="68">
        <v>0</v>
      </c>
      <c r="O47" s="171">
        <f t="shared" si="21"/>
        <v>94320500.183597535</v>
      </c>
      <c r="P47" s="32">
        <v>1.7999999999999999E-2</v>
      </c>
      <c r="Q47" s="148">
        <f t="shared" si="7"/>
        <v>96018269.186902285</v>
      </c>
      <c r="R47" s="171">
        <f t="shared" si="22"/>
        <v>130422057.06574215</v>
      </c>
      <c r="S47" s="134">
        <f t="shared" si="23"/>
        <v>104018269.18690228</v>
      </c>
      <c r="T47" s="85"/>
      <c r="U47" s="11"/>
    </row>
    <row r="48" spans="1:28" s="157" customFormat="1" x14ac:dyDescent="0.3">
      <c r="A48" s="156">
        <f t="shared" si="10"/>
        <v>30000000</v>
      </c>
      <c r="C48" s="316"/>
      <c r="D48" s="158">
        <v>9</v>
      </c>
      <c r="E48" s="159">
        <v>2500000</v>
      </c>
      <c r="F48" s="160">
        <v>60000000</v>
      </c>
      <c r="G48" s="160">
        <v>400000</v>
      </c>
      <c r="H48" s="160">
        <f t="shared" si="18"/>
        <v>-57900000</v>
      </c>
      <c r="I48" s="161">
        <v>0</v>
      </c>
      <c r="J48" s="162">
        <f t="shared" si="24"/>
        <v>4000000</v>
      </c>
      <c r="K48" s="163">
        <f t="shared" si="19"/>
        <v>-53900000</v>
      </c>
      <c r="L48" s="164">
        <f t="shared" si="20"/>
        <v>4000000</v>
      </c>
      <c r="M48" s="165">
        <f t="shared" ref="M48:M79" si="25" xml:space="preserve"> (M47 + 400000) + ((M47 + 400000) * P48 )</f>
        <v>27286256.060658984</v>
      </c>
      <c r="N48" s="166">
        <v>0</v>
      </c>
      <c r="O48" s="171">
        <f t="shared" si="21"/>
        <v>42118269.186902285</v>
      </c>
      <c r="P48" s="157">
        <v>1.7999999999999999E-2</v>
      </c>
      <c r="Q48" s="148">
        <f t="shared" si="7"/>
        <v>42876398.032266527</v>
      </c>
      <c r="R48" s="171">
        <f t="shared" si="22"/>
        <v>74162654.092925519</v>
      </c>
      <c r="S48" s="167">
        <f t="shared" si="23"/>
        <v>46876398.032266535</v>
      </c>
      <c r="T48" s="168"/>
      <c r="U48" s="156"/>
    </row>
    <row r="49" spans="1:28" s="32" customFormat="1" x14ac:dyDescent="0.3">
      <c r="A49" s="169">
        <f xml:space="preserve"> 0 +1000000</f>
        <v>1000000</v>
      </c>
      <c r="C49" s="316"/>
      <c r="D49" s="79">
        <v>10</v>
      </c>
      <c r="E49" s="80">
        <v>2500000</v>
      </c>
      <c r="F49" s="81">
        <v>0</v>
      </c>
      <c r="G49" s="81">
        <v>400000</v>
      </c>
      <c r="H49" s="81">
        <f t="shared" si="18"/>
        <v>2100000</v>
      </c>
      <c r="I49" s="82">
        <v>0</v>
      </c>
      <c r="J49" s="83">
        <f xml:space="preserve"> J48</f>
        <v>4000000</v>
      </c>
      <c r="K49" s="84">
        <f t="shared" si="19"/>
        <v>6100000</v>
      </c>
      <c r="L49" s="151">
        <f t="shared" si="20"/>
        <v>0</v>
      </c>
      <c r="M49" s="141">
        <f t="shared" si="25"/>
        <v>28184608.669750847</v>
      </c>
      <c r="N49" s="68">
        <v>0</v>
      </c>
      <c r="O49" s="171">
        <f t="shared" si="21"/>
        <v>48976398.032266527</v>
      </c>
      <c r="P49" s="32">
        <v>1.7999999999999999E-2</v>
      </c>
      <c r="Q49" s="148">
        <f t="shared" si="7"/>
        <v>49857973.196847327</v>
      </c>
      <c r="R49" s="171">
        <f t="shared" si="22"/>
        <v>78042581.866598174</v>
      </c>
      <c r="S49" s="134">
        <f t="shared" si="23"/>
        <v>49857973.196847327</v>
      </c>
      <c r="T49" s="85"/>
      <c r="U49" s="11"/>
    </row>
    <row r="50" spans="1:28" s="86" customFormat="1" ht="17.25" thickBot="1" x14ac:dyDescent="0.35">
      <c r="A50" s="169">
        <f t="shared" si="10"/>
        <v>2000000</v>
      </c>
      <c r="C50" s="316"/>
      <c r="D50" s="87">
        <v>11</v>
      </c>
      <c r="E50" s="88">
        <v>2500000</v>
      </c>
      <c r="F50" s="89">
        <v>0</v>
      </c>
      <c r="G50" s="89">
        <v>400000</v>
      </c>
      <c r="H50" s="89">
        <f t="shared" si="18"/>
        <v>2100000</v>
      </c>
      <c r="I50" s="90">
        <v>13800000</v>
      </c>
      <c r="J50" s="91">
        <v>0</v>
      </c>
      <c r="K50" s="92">
        <f t="shared" si="19"/>
        <v>-11700000</v>
      </c>
      <c r="L50" s="152">
        <f t="shared" si="20"/>
        <v>13800000</v>
      </c>
      <c r="M50" s="142">
        <f t="shared" si="25"/>
        <v>29099131.625806361</v>
      </c>
      <c r="N50" s="100">
        <v>0</v>
      </c>
      <c r="O50" s="172">
        <f t="shared" si="21"/>
        <v>38157973.196847327</v>
      </c>
      <c r="P50" s="86">
        <v>1.7999999999999999E-2</v>
      </c>
      <c r="Q50" s="148">
        <f t="shared" si="7"/>
        <v>38844816.714390576</v>
      </c>
      <c r="R50" s="172">
        <f t="shared" si="22"/>
        <v>81743948.340196937</v>
      </c>
      <c r="S50" s="135">
        <f t="shared" si="23"/>
        <v>52644816.714390576</v>
      </c>
      <c r="T50" s="93"/>
      <c r="U50" s="94"/>
    </row>
    <row r="51" spans="1:28" s="45" customFormat="1" ht="17.25" thickBot="1" x14ac:dyDescent="0.35">
      <c r="A51" s="178">
        <f t="shared" si="10"/>
        <v>3000000</v>
      </c>
      <c r="B51" s="38"/>
      <c r="C51" s="316"/>
      <c r="D51" s="39">
        <v>12</v>
      </c>
      <c r="E51" s="40">
        <v>2500000</v>
      </c>
      <c r="F51" s="41">
        <v>0</v>
      </c>
      <c r="G51" s="41">
        <v>400000</v>
      </c>
      <c r="H51" s="41">
        <f t="shared" si="18"/>
        <v>2100000</v>
      </c>
      <c r="I51" s="90">
        <v>13800000</v>
      </c>
      <c r="J51" s="44">
        <v>0</v>
      </c>
      <c r="K51" s="47">
        <f t="shared" si="19"/>
        <v>-11700000</v>
      </c>
      <c r="L51" s="150">
        <f xml:space="preserve"> L50 +I51 - J51 - N51</f>
        <v>27600000</v>
      </c>
      <c r="M51" s="145">
        <f t="shared" si="25"/>
        <v>30030115.995070875</v>
      </c>
      <c r="N51" s="50">
        <v>0</v>
      </c>
      <c r="O51" s="130">
        <f t="shared" si="21"/>
        <v>27144816.714390576</v>
      </c>
      <c r="P51" s="45">
        <v>1.7999999999999999E-2</v>
      </c>
      <c r="Q51" s="148">
        <f t="shared" si="7"/>
        <v>27633423.415249605</v>
      </c>
      <c r="R51" s="130">
        <f t="shared" si="22"/>
        <v>85263539.410320476</v>
      </c>
      <c r="S51" s="132">
        <f t="shared" si="23"/>
        <v>55233423.415249601</v>
      </c>
      <c r="T51" s="179">
        <f xml:space="preserve"> S51 / 4</f>
        <v>13808355.8538124</v>
      </c>
      <c r="U51" s="46">
        <f>SUM(E4:E51)</f>
        <v>122300000</v>
      </c>
      <c r="V51" s="46">
        <f>SUM(F4:F51)</f>
        <v>75326544</v>
      </c>
      <c r="W51" s="48">
        <f xml:space="preserve"> U51 - V51</f>
        <v>46973456</v>
      </c>
      <c r="X51" s="48">
        <f>R51-W51</f>
        <v>38290083.410320476</v>
      </c>
      <c r="Y51" s="116">
        <f xml:space="preserve"> X51 / W51 * 100</f>
        <v>81.514299076313392</v>
      </c>
      <c r="Z51" s="48">
        <f xml:space="preserve"> (X51 - 2500000) * 0.16</f>
        <v>5726413.3456512764</v>
      </c>
      <c r="AA51" s="215">
        <f xml:space="preserve"> (R51+60000000) - ((2500000 * 12) + R39)</f>
        <v>15608274.769255921</v>
      </c>
      <c r="AB51" s="214">
        <f xml:space="preserve"> (AA51 -2500000) * 0.16</f>
        <v>2097323.9630809473</v>
      </c>
    </row>
    <row r="52" spans="1:28" s="70" customFormat="1" x14ac:dyDescent="0.3">
      <c r="A52" s="169">
        <f t="shared" si="10"/>
        <v>4000000</v>
      </c>
      <c r="B52" s="70">
        <v>4</v>
      </c>
      <c r="C52" s="316">
        <v>2026</v>
      </c>
      <c r="D52" s="71">
        <v>1</v>
      </c>
      <c r="E52" s="72">
        <v>2500000</v>
      </c>
      <c r="F52" s="73">
        <v>0</v>
      </c>
      <c r="G52" s="73">
        <v>400000</v>
      </c>
      <c r="H52" s="73">
        <f t="shared" ref="H52:H63" si="26" xml:space="preserve"> E52 - G52 - F52</f>
        <v>2100000</v>
      </c>
      <c r="I52" s="74">
        <v>0</v>
      </c>
      <c r="J52" s="75">
        <f xml:space="preserve"> L51 / 10</f>
        <v>2760000</v>
      </c>
      <c r="K52" s="76">
        <f t="shared" ref="K52:K63" si="27" xml:space="preserve"> H52 + J52 - I52</f>
        <v>4860000</v>
      </c>
      <c r="L52" s="67">
        <f t="shared" ref="L52:L63" si="28" xml:space="preserve"> L51 +I52 - J52 - N52</f>
        <v>24840000</v>
      </c>
      <c r="M52" s="140">
        <f t="shared" si="25"/>
        <v>30551836.459051158</v>
      </c>
      <c r="N52" s="68">
        <v>0</v>
      </c>
      <c r="O52" s="174">
        <f t="shared" ref="O52:O63" si="29" xml:space="preserve"> Q51 + K52</f>
        <v>32493423.415249605</v>
      </c>
      <c r="P52" s="70">
        <v>4.0000000000000001E-3</v>
      </c>
      <c r="Q52" s="148">
        <f t="shared" si="7"/>
        <v>32623397.108910602</v>
      </c>
      <c r="R52" s="174">
        <f t="shared" ref="R52:R63" si="30" xml:space="preserve"> M52 + Q52 + L52</f>
        <v>88015233.567961752</v>
      </c>
      <c r="S52" s="133">
        <f t="shared" ref="S52:S63" si="31" xml:space="preserve"> R52 - M52</f>
        <v>57463397.10891059</v>
      </c>
      <c r="T52" s="77"/>
      <c r="U52" s="78"/>
    </row>
    <row r="53" spans="1:28" s="101" customFormat="1" x14ac:dyDescent="0.3">
      <c r="A53" s="169">
        <f t="shared" si="10"/>
        <v>5000000</v>
      </c>
      <c r="C53" s="316"/>
      <c r="D53" s="102">
        <v>2</v>
      </c>
      <c r="E53" s="103">
        <v>2500000</v>
      </c>
      <c r="F53" s="104">
        <v>0</v>
      </c>
      <c r="G53" s="104">
        <v>400000</v>
      </c>
      <c r="H53" s="104">
        <f t="shared" si="26"/>
        <v>2100000</v>
      </c>
      <c r="I53" s="105">
        <v>0</v>
      </c>
      <c r="J53" s="106">
        <f xml:space="preserve"> J52</f>
        <v>2760000</v>
      </c>
      <c r="K53" s="107">
        <f t="shared" si="27"/>
        <v>4860000</v>
      </c>
      <c r="L53" s="153">
        <f t="shared" si="28"/>
        <v>22080000</v>
      </c>
      <c r="M53" s="144">
        <f t="shared" si="25"/>
        <v>31508969.51531408</v>
      </c>
      <c r="N53" s="108">
        <v>0</v>
      </c>
      <c r="O53" s="171">
        <f t="shared" si="29"/>
        <v>37483397.108910605</v>
      </c>
      <c r="P53" s="101">
        <v>1.7999999999999999E-2</v>
      </c>
      <c r="Q53" s="148">
        <f t="shared" si="7"/>
        <v>38158098.256871</v>
      </c>
      <c r="R53" s="171">
        <f t="shared" si="30"/>
        <v>91747067.772185087</v>
      </c>
      <c r="S53" s="136">
        <f t="shared" si="31"/>
        <v>60238098.256871007</v>
      </c>
      <c r="T53" s="109"/>
      <c r="U53" s="110"/>
    </row>
    <row r="54" spans="1:28" s="32" customFormat="1" x14ac:dyDescent="0.3">
      <c r="A54" s="169">
        <f t="shared" si="10"/>
        <v>6000000</v>
      </c>
      <c r="C54" s="316"/>
      <c r="D54" s="79">
        <v>3</v>
      </c>
      <c r="E54" s="80">
        <v>2500000</v>
      </c>
      <c r="F54" s="81">
        <v>0</v>
      </c>
      <c r="G54" s="81">
        <v>400000</v>
      </c>
      <c r="H54" s="81">
        <f t="shared" si="26"/>
        <v>2100000</v>
      </c>
      <c r="I54" s="82">
        <v>0</v>
      </c>
      <c r="J54" s="83">
        <f t="shared" ref="J54:J60" si="32" xml:space="preserve"> J53</f>
        <v>2760000</v>
      </c>
      <c r="K54" s="84">
        <f t="shared" si="27"/>
        <v>4860000</v>
      </c>
      <c r="L54" s="151">
        <f t="shared" si="28"/>
        <v>19320000</v>
      </c>
      <c r="M54" s="141">
        <f t="shared" si="25"/>
        <v>32483330.966589734</v>
      </c>
      <c r="N54" s="68">
        <v>0</v>
      </c>
      <c r="O54" s="171">
        <f t="shared" si="29"/>
        <v>43018098.256871</v>
      </c>
      <c r="P54" s="32">
        <v>1.7999999999999999E-2</v>
      </c>
      <c r="Q54" s="148">
        <f t="shared" si="7"/>
        <v>43792424.02549468</v>
      </c>
      <c r="R54" s="171">
        <f t="shared" si="30"/>
        <v>95595754.992084414</v>
      </c>
      <c r="S54" s="134">
        <f t="shared" si="31"/>
        <v>63112424.02549468</v>
      </c>
      <c r="T54" s="85"/>
      <c r="U54" s="11"/>
    </row>
    <row r="55" spans="1:28" s="32" customFormat="1" x14ac:dyDescent="0.3">
      <c r="A55" s="169">
        <f t="shared" si="10"/>
        <v>7000000</v>
      </c>
      <c r="C55" s="316"/>
      <c r="D55" s="79">
        <v>4</v>
      </c>
      <c r="E55" s="80">
        <v>2500000</v>
      </c>
      <c r="F55" s="81">
        <v>0</v>
      </c>
      <c r="G55" s="81">
        <v>400000</v>
      </c>
      <c r="H55" s="81">
        <f t="shared" si="26"/>
        <v>2100000</v>
      </c>
      <c r="I55" s="82">
        <v>0</v>
      </c>
      <c r="J55" s="83">
        <f t="shared" si="32"/>
        <v>2760000</v>
      </c>
      <c r="K55" s="84">
        <f t="shared" si="27"/>
        <v>4860000</v>
      </c>
      <c r="L55" s="151">
        <f t="shared" si="28"/>
        <v>16560000</v>
      </c>
      <c r="M55" s="141">
        <f t="shared" si="25"/>
        <v>33475230.92398835</v>
      </c>
      <c r="N55" s="68">
        <v>0</v>
      </c>
      <c r="O55" s="171">
        <f t="shared" si="29"/>
        <v>48652424.02549468</v>
      </c>
      <c r="P55" s="32">
        <v>1.7999999999999999E-2</v>
      </c>
      <c r="Q55" s="148">
        <f t="shared" si="7"/>
        <v>49528167.657953583</v>
      </c>
      <c r="R55" s="171">
        <f t="shared" si="30"/>
        <v>99563398.581941932</v>
      </c>
      <c r="S55" s="134">
        <f t="shared" si="31"/>
        <v>66088167.657953583</v>
      </c>
      <c r="T55" s="85"/>
      <c r="U55" s="11"/>
    </row>
    <row r="56" spans="1:28" s="32" customFormat="1" x14ac:dyDescent="0.3">
      <c r="A56" s="169">
        <f t="shared" si="10"/>
        <v>8000000</v>
      </c>
      <c r="C56" s="316"/>
      <c r="D56" s="79">
        <v>5</v>
      </c>
      <c r="E56" s="80">
        <v>2500000</v>
      </c>
      <c r="F56" s="81">
        <v>2100000</v>
      </c>
      <c r="G56" s="81">
        <v>400000</v>
      </c>
      <c r="H56" s="81">
        <f t="shared" si="26"/>
        <v>0</v>
      </c>
      <c r="I56" s="82">
        <v>0</v>
      </c>
      <c r="J56" s="83">
        <f t="shared" si="32"/>
        <v>2760000</v>
      </c>
      <c r="K56" s="84">
        <f t="shared" si="27"/>
        <v>2760000</v>
      </c>
      <c r="L56" s="151">
        <f t="shared" si="28"/>
        <v>13800000</v>
      </c>
      <c r="M56" s="141">
        <f t="shared" si="25"/>
        <v>34484985.08062014</v>
      </c>
      <c r="N56" s="68">
        <v>0</v>
      </c>
      <c r="O56" s="171">
        <f t="shared" si="29"/>
        <v>52288167.657953583</v>
      </c>
      <c r="P56" s="32">
        <v>1.7999999999999999E-2</v>
      </c>
      <c r="Q56" s="148">
        <f t="shared" si="7"/>
        <v>53229354.675796747</v>
      </c>
      <c r="R56" s="171">
        <f t="shared" si="30"/>
        <v>101514339.75641689</v>
      </c>
      <c r="S56" s="134">
        <f t="shared" si="31"/>
        <v>67029354.675796747</v>
      </c>
      <c r="T56" s="85"/>
      <c r="U56" s="11"/>
    </row>
    <row r="57" spans="1:28" s="32" customFormat="1" x14ac:dyDescent="0.3">
      <c r="A57" s="169">
        <f t="shared" si="10"/>
        <v>9000000</v>
      </c>
      <c r="C57" s="316"/>
      <c r="D57" s="79">
        <v>6</v>
      </c>
      <c r="E57" s="80">
        <v>2500000</v>
      </c>
      <c r="F57" s="81">
        <v>0</v>
      </c>
      <c r="G57" s="81">
        <v>400000</v>
      </c>
      <c r="H57" s="81">
        <f t="shared" si="26"/>
        <v>2100000</v>
      </c>
      <c r="I57" s="82">
        <v>0</v>
      </c>
      <c r="J57" s="83">
        <f t="shared" si="32"/>
        <v>2760000</v>
      </c>
      <c r="K57" s="84">
        <f t="shared" si="27"/>
        <v>4860000</v>
      </c>
      <c r="L57" s="151">
        <f t="shared" si="28"/>
        <v>11040000</v>
      </c>
      <c r="M57" s="141">
        <f t="shared" si="25"/>
        <v>35512914.812071301</v>
      </c>
      <c r="N57" s="68">
        <v>0</v>
      </c>
      <c r="O57" s="171">
        <f t="shared" si="29"/>
        <v>58089354.675796747</v>
      </c>
      <c r="P57" s="32">
        <v>1.7999999999999999E-2</v>
      </c>
      <c r="Q57" s="148">
        <f t="shared" si="7"/>
        <v>59134963.059961088</v>
      </c>
      <c r="R57" s="171">
        <f t="shared" si="30"/>
        <v>105687877.87203239</v>
      </c>
      <c r="S57" s="134">
        <f t="shared" si="31"/>
        <v>70174963.059961081</v>
      </c>
      <c r="T57" s="85"/>
      <c r="U57" s="11"/>
    </row>
    <row r="58" spans="1:28" s="32" customFormat="1" x14ac:dyDescent="0.3">
      <c r="A58" s="169">
        <f t="shared" si="10"/>
        <v>10000000</v>
      </c>
      <c r="C58" s="316"/>
      <c r="D58" s="79">
        <v>7</v>
      </c>
      <c r="E58" s="80">
        <v>2500000</v>
      </c>
      <c r="F58" s="81">
        <v>0</v>
      </c>
      <c r="G58" s="81">
        <v>400000</v>
      </c>
      <c r="H58" s="81">
        <f t="shared" si="26"/>
        <v>2100000</v>
      </c>
      <c r="I58" s="82">
        <v>0</v>
      </c>
      <c r="J58" s="83">
        <f t="shared" si="32"/>
        <v>2760000</v>
      </c>
      <c r="K58" s="84">
        <f t="shared" si="27"/>
        <v>4860000</v>
      </c>
      <c r="L58" s="151">
        <f t="shared" si="28"/>
        <v>8280000</v>
      </c>
      <c r="M58" s="141">
        <f t="shared" si="25"/>
        <v>36559347.278688587</v>
      </c>
      <c r="N58" s="68">
        <v>0</v>
      </c>
      <c r="O58" s="171">
        <f t="shared" si="29"/>
        <v>63994963.059961088</v>
      </c>
      <c r="P58" s="32">
        <v>1.7999999999999999E-2</v>
      </c>
      <c r="Q58" s="148">
        <f t="shared" si="7"/>
        <v>65146872.395040385</v>
      </c>
      <c r="R58" s="171">
        <f t="shared" si="30"/>
        <v>109986219.67372897</v>
      </c>
      <c r="S58" s="134">
        <f t="shared" si="31"/>
        <v>73426872.395040393</v>
      </c>
      <c r="T58" s="85"/>
      <c r="U58" s="11"/>
    </row>
    <row r="59" spans="1:28" s="32" customFormat="1" x14ac:dyDescent="0.3">
      <c r="A59" s="169">
        <f t="shared" si="10"/>
        <v>11000000</v>
      </c>
      <c r="C59" s="316"/>
      <c r="D59" s="79">
        <v>8</v>
      </c>
      <c r="E59" s="80">
        <v>2500000</v>
      </c>
      <c r="F59" s="81">
        <v>0</v>
      </c>
      <c r="G59" s="81">
        <v>400000</v>
      </c>
      <c r="H59" s="81">
        <f t="shared" si="26"/>
        <v>2100000</v>
      </c>
      <c r="I59" s="82">
        <v>0</v>
      </c>
      <c r="J59" s="83">
        <f t="shared" si="32"/>
        <v>2760000</v>
      </c>
      <c r="K59" s="84">
        <f t="shared" si="27"/>
        <v>4860000</v>
      </c>
      <c r="L59" s="151">
        <f t="shared" si="28"/>
        <v>5520000</v>
      </c>
      <c r="M59" s="141">
        <f t="shared" si="25"/>
        <v>37624615.529704981</v>
      </c>
      <c r="N59" s="68">
        <v>0</v>
      </c>
      <c r="O59" s="171">
        <f t="shared" si="29"/>
        <v>70006872.395040393</v>
      </c>
      <c r="P59" s="32">
        <v>1.7999999999999999E-2</v>
      </c>
      <c r="Q59" s="148">
        <f t="shared" si="7"/>
        <v>71266996.098151118</v>
      </c>
      <c r="R59" s="171">
        <f t="shared" si="30"/>
        <v>114411611.62785611</v>
      </c>
      <c r="S59" s="134">
        <f t="shared" si="31"/>
        <v>76786996.098151118</v>
      </c>
      <c r="T59" s="85"/>
      <c r="U59" s="11"/>
    </row>
    <row r="60" spans="1:28" s="32" customFormat="1" x14ac:dyDescent="0.3">
      <c r="A60" s="169">
        <f t="shared" si="10"/>
        <v>12000000</v>
      </c>
      <c r="C60" s="316"/>
      <c r="D60" s="79">
        <v>9</v>
      </c>
      <c r="E60" s="80">
        <v>2500000</v>
      </c>
      <c r="F60" s="81">
        <v>0</v>
      </c>
      <c r="G60" s="81">
        <v>400000</v>
      </c>
      <c r="H60" s="81">
        <f t="shared" si="26"/>
        <v>2100000</v>
      </c>
      <c r="I60" s="82">
        <v>0</v>
      </c>
      <c r="J60" s="83">
        <f t="shared" si="32"/>
        <v>2760000</v>
      </c>
      <c r="K60" s="84">
        <f t="shared" si="27"/>
        <v>4860000</v>
      </c>
      <c r="L60" s="151">
        <f t="shared" si="28"/>
        <v>2760000</v>
      </c>
      <c r="M60" s="141">
        <f t="shared" si="25"/>
        <v>38709058.609239668</v>
      </c>
      <c r="N60" s="68">
        <v>0</v>
      </c>
      <c r="O60" s="171">
        <f t="shared" si="29"/>
        <v>76126996.098151118</v>
      </c>
      <c r="P60" s="32">
        <v>1.7999999999999999E-2</v>
      </c>
      <c r="Q60" s="148">
        <f t="shared" si="7"/>
        <v>77497282.027917832</v>
      </c>
      <c r="R60" s="171">
        <f t="shared" si="30"/>
        <v>118966340.6371575</v>
      </c>
      <c r="S60" s="134">
        <f t="shared" si="31"/>
        <v>80257282.027917832</v>
      </c>
      <c r="T60" s="85"/>
      <c r="U60" s="11"/>
    </row>
    <row r="61" spans="1:28" s="32" customFormat="1" x14ac:dyDescent="0.3">
      <c r="A61" s="169">
        <f t="shared" si="10"/>
        <v>13000000</v>
      </c>
      <c r="C61" s="316"/>
      <c r="D61" s="79">
        <v>10</v>
      </c>
      <c r="E61" s="80">
        <v>2500000</v>
      </c>
      <c r="F61" s="81">
        <v>0</v>
      </c>
      <c r="G61" s="81">
        <v>400000</v>
      </c>
      <c r="H61" s="81">
        <f t="shared" si="26"/>
        <v>2100000</v>
      </c>
      <c r="I61" s="82">
        <v>0</v>
      </c>
      <c r="J61" s="83">
        <f xml:space="preserve"> J60</f>
        <v>2760000</v>
      </c>
      <c r="K61" s="84">
        <f t="shared" si="27"/>
        <v>4860000</v>
      </c>
      <c r="L61" s="151">
        <f t="shared" si="28"/>
        <v>0</v>
      </c>
      <c r="M61" s="141">
        <f t="shared" si="25"/>
        <v>39813021.664205983</v>
      </c>
      <c r="N61" s="68">
        <v>0</v>
      </c>
      <c r="O61" s="171">
        <f t="shared" si="29"/>
        <v>82357282.027917832</v>
      </c>
      <c r="P61" s="32">
        <v>1.7999999999999999E-2</v>
      </c>
      <c r="Q61" s="148">
        <f t="shared" si="7"/>
        <v>83839713.104420349</v>
      </c>
      <c r="R61" s="171">
        <f t="shared" si="30"/>
        <v>123652734.76862633</v>
      </c>
      <c r="S61" s="134">
        <f t="shared" si="31"/>
        <v>83839713.104420349</v>
      </c>
      <c r="T61" s="85"/>
      <c r="U61" s="11"/>
    </row>
    <row r="62" spans="1:28" s="86" customFormat="1" ht="17.25" thickBot="1" x14ac:dyDescent="0.35">
      <c r="A62" s="169">
        <f t="shared" si="10"/>
        <v>14000000</v>
      </c>
      <c r="C62" s="316"/>
      <c r="D62" s="87">
        <v>11</v>
      </c>
      <c r="E62" s="88">
        <v>2500000</v>
      </c>
      <c r="F62" s="89">
        <v>0</v>
      </c>
      <c r="G62" s="89">
        <v>400000</v>
      </c>
      <c r="H62" s="89">
        <f t="shared" si="26"/>
        <v>2100000</v>
      </c>
      <c r="I62" s="90">
        <v>22400000</v>
      </c>
      <c r="J62" s="91">
        <v>0</v>
      </c>
      <c r="K62" s="92">
        <f t="shared" si="27"/>
        <v>-20300000</v>
      </c>
      <c r="L62" s="152">
        <f t="shared" si="28"/>
        <v>22400000</v>
      </c>
      <c r="M62" s="142">
        <f t="shared" si="25"/>
        <v>40936856.05416169</v>
      </c>
      <c r="N62" s="100">
        <v>0</v>
      </c>
      <c r="O62" s="172">
        <f t="shared" si="29"/>
        <v>63539713.104420349</v>
      </c>
      <c r="P62" s="86">
        <v>1.7999999999999999E-2</v>
      </c>
      <c r="Q62" s="148">
        <f t="shared" si="7"/>
        <v>64683427.940299913</v>
      </c>
      <c r="R62" s="172">
        <f t="shared" si="30"/>
        <v>128020283.9944616</v>
      </c>
      <c r="S62" s="135">
        <f t="shared" si="31"/>
        <v>87083427.940299898</v>
      </c>
      <c r="T62" s="93"/>
      <c r="U62" s="94"/>
    </row>
    <row r="63" spans="1:28" s="45" customFormat="1" ht="17.25" thickBot="1" x14ac:dyDescent="0.35">
      <c r="A63" s="178">
        <f t="shared" si="10"/>
        <v>15000000</v>
      </c>
      <c r="B63" s="38"/>
      <c r="C63" s="316"/>
      <c r="D63" s="39">
        <v>12</v>
      </c>
      <c r="E63" s="40">
        <v>2500000</v>
      </c>
      <c r="F63" s="41">
        <v>0</v>
      </c>
      <c r="G63" s="41">
        <v>400000</v>
      </c>
      <c r="H63" s="41">
        <f t="shared" si="26"/>
        <v>2100000</v>
      </c>
      <c r="I63" s="42">
        <v>22400000</v>
      </c>
      <c r="J63" s="44">
        <v>0</v>
      </c>
      <c r="K63" s="47">
        <f t="shared" si="27"/>
        <v>-20300000</v>
      </c>
      <c r="L63" s="150">
        <f t="shared" si="28"/>
        <v>44800000</v>
      </c>
      <c r="M63" s="145">
        <f t="shared" si="25"/>
        <v>42080919.463136598</v>
      </c>
      <c r="N63" s="50">
        <v>0</v>
      </c>
      <c r="O63" s="130">
        <f t="shared" si="29"/>
        <v>44383427.940299913</v>
      </c>
      <c r="P63" s="45">
        <v>1.7999999999999999E-2</v>
      </c>
      <c r="Q63" s="148">
        <f t="shared" si="7"/>
        <v>45182329.643225312</v>
      </c>
      <c r="R63" s="130">
        <f t="shared" si="30"/>
        <v>132063249.10636191</v>
      </c>
      <c r="S63" s="132">
        <f t="shared" si="31"/>
        <v>89982329.643225312</v>
      </c>
      <c r="T63" s="179">
        <f xml:space="preserve"> S63 / 4</f>
        <v>22495582.410806328</v>
      </c>
      <c r="U63" s="46">
        <f>SUM(E4:E63)</f>
        <v>152300000</v>
      </c>
      <c r="V63" s="46">
        <f>SUM(F4:F63)</f>
        <v>77426544</v>
      </c>
      <c r="W63" s="48">
        <f xml:space="preserve"> U63 - V63</f>
        <v>74873456</v>
      </c>
      <c r="X63" s="48">
        <f>R63-W63</f>
        <v>57189793.106361911</v>
      </c>
      <c r="Y63" s="116">
        <f xml:space="preserve"> X63 / W63 * 100</f>
        <v>76.381933146457015</v>
      </c>
      <c r="Z63" s="48">
        <f xml:space="preserve"> (X63 - 2500000) * 0.16</f>
        <v>8750366.8970179055</v>
      </c>
      <c r="AA63" s="214">
        <f xml:space="preserve"> R63 - ((2500000 * 12) + R51)</f>
        <v>16799709.696041435</v>
      </c>
      <c r="AB63" s="214">
        <f xml:space="preserve"> (AA63 -2500000) * 0.16</f>
        <v>2287953.5513666295</v>
      </c>
    </row>
    <row r="64" spans="1:28" s="70" customFormat="1" x14ac:dyDescent="0.3">
      <c r="A64" s="169">
        <f t="shared" si="10"/>
        <v>16000000</v>
      </c>
      <c r="B64" s="70">
        <v>6</v>
      </c>
      <c r="C64" s="316">
        <v>2027</v>
      </c>
      <c r="D64" s="71">
        <v>1</v>
      </c>
      <c r="E64" s="72">
        <v>2500000</v>
      </c>
      <c r="F64" s="73">
        <v>0</v>
      </c>
      <c r="G64" s="73">
        <v>400000</v>
      </c>
      <c r="H64" s="73">
        <f t="shared" si="11"/>
        <v>2100000</v>
      </c>
      <c r="I64" s="74">
        <v>0</v>
      </c>
      <c r="J64" s="75">
        <f xml:space="preserve"> L63 / 10</f>
        <v>4480000</v>
      </c>
      <c r="K64" s="76">
        <f t="shared" si="12"/>
        <v>6580000</v>
      </c>
      <c r="L64" s="67">
        <f t="shared" si="13"/>
        <v>40320000</v>
      </c>
      <c r="M64" s="140">
        <f t="shared" si="25"/>
        <v>42650843.140989147</v>
      </c>
      <c r="N64" s="68">
        <v>0</v>
      </c>
      <c r="O64" s="174">
        <f t="shared" si="14"/>
        <v>51762329.643225312</v>
      </c>
      <c r="P64" s="70">
        <v>4.0000000000000001E-3</v>
      </c>
      <c r="Q64" s="148">
        <f t="shared" si="7"/>
        <v>51969378.961798213</v>
      </c>
      <c r="R64" s="174">
        <f t="shared" si="15"/>
        <v>134940222.10278738</v>
      </c>
      <c r="S64" s="133">
        <f t="shared" si="16"/>
        <v>92289378.961798221</v>
      </c>
      <c r="T64" s="77"/>
      <c r="U64" s="78"/>
    </row>
    <row r="65" spans="1:28" s="32" customFormat="1" x14ac:dyDescent="0.3">
      <c r="A65" s="169">
        <f t="shared" si="10"/>
        <v>17000000</v>
      </c>
      <c r="C65" s="316"/>
      <c r="D65" s="79">
        <v>2</v>
      </c>
      <c r="E65" s="80">
        <v>2500000</v>
      </c>
      <c r="F65" s="81">
        <v>0</v>
      </c>
      <c r="G65" s="81">
        <v>400000</v>
      </c>
      <c r="H65" s="81">
        <f t="shared" si="11"/>
        <v>2100000</v>
      </c>
      <c r="I65" s="82">
        <v>0</v>
      </c>
      <c r="J65" s="83">
        <f xml:space="preserve"> J64</f>
        <v>4480000</v>
      </c>
      <c r="K65" s="84">
        <f t="shared" si="12"/>
        <v>6580000</v>
      </c>
      <c r="L65" s="151">
        <f t="shared" si="13"/>
        <v>35840000</v>
      </c>
      <c r="M65" s="141">
        <f t="shared" si="25"/>
        <v>43825758.317526951</v>
      </c>
      <c r="N65" s="68">
        <v>0</v>
      </c>
      <c r="O65" s="171">
        <f t="shared" si="14"/>
        <v>58549378.961798213</v>
      </c>
      <c r="P65" s="32">
        <v>1.7999999999999999E-2</v>
      </c>
      <c r="Q65" s="148">
        <f t="shared" si="7"/>
        <v>59603267.783110581</v>
      </c>
      <c r="R65" s="171">
        <f t="shared" si="15"/>
        <v>139269026.10063753</v>
      </c>
      <c r="S65" s="134">
        <f t="shared" si="16"/>
        <v>95443267.783110574</v>
      </c>
      <c r="T65" s="85"/>
      <c r="U65" s="11"/>
    </row>
    <row r="66" spans="1:28" s="32" customFormat="1" x14ac:dyDescent="0.3">
      <c r="A66" s="169">
        <f t="shared" si="10"/>
        <v>18000000</v>
      </c>
      <c r="C66" s="316"/>
      <c r="D66" s="79">
        <v>3</v>
      </c>
      <c r="E66" s="80">
        <v>2500000</v>
      </c>
      <c r="F66" s="81">
        <v>0</v>
      </c>
      <c r="G66" s="81">
        <v>400000</v>
      </c>
      <c r="H66" s="81">
        <f t="shared" si="11"/>
        <v>2100000</v>
      </c>
      <c r="I66" s="82">
        <v>0</v>
      </c>
      <c r="J66" s="83">
        <f t="shared" ref="J66:J72" si="33" xml:space="preserve"> J65</f>
        <v>4480000</v>
      </c>
      <c r="K66" s="84">
        <f t="shared" si="12"/>
        <v>6580000</v>
      </c>
      <c r="L66" s="151">
        <f t="shared" si="13"/>
        <v>31360000</v>
      </c>
      <c r="M66" s="141">
        <f t="shared" si="25"/>
        <v>45021821.967242435</v>
      </c>
      <c r="N66" s="68">
        <v>0</v>
      </c>
      <c r="O66" s="171">
        <f t="shared" si="14"/>
        <v>66183267.783110581</v>
      </c>
      <c r="P66" s="32">
        <v>1.7999999999999999E-2</v>
      </c>
      <c r="Q66" s="148">
        <f t="shared" si="7"/>
        <v>67374566.603206575</v>
      </c>
      <c r="R66" s="171">
        <f t="shared" si="15"/>
        <v>143756388.57044899</v>
      </c>
      <c r="S66" s="134">
        <f t="shared" si="16"/>
        <v>98734566.60320656</v>
      </c>
      <c r="T66" s="85"/>
      <c r="U66" s="11"/>
    </row>
    <row r="67" spans="1:28" s="32" customFormat="1" x14ac:dyDescent="0.3">
      <c r="A67" s="169">
        <f t="shared" si="10"/>
        <v>19000000</v>
      </c>
      <c r="C67" s="316"/>
      <c r="D67" s="79">
        <v>4</v>
      </c>
      <c r="E67" s="80">
        <v>2500000</v>
      </c>
      <c r="F67" s="81">
        <v>0</v>
      </c>
      <c r="G67" s="81">
        <v>400000</v>
      </c>
      <c r="H67" s="81">
        <f t="shared" si="11"/>
        <v>2100000</v>
      </c>
      <c r="I67" s="82">
        <v>0</v>
      </c>
      <c r="J67" s="83">
        <f t="shared" si="33"/>
        <v>4480000</v>
      </c>
      <c r="K67" s="84">
        <f t="shared" si="12"/>
        <v>6580000</v>
      </c>
      <c r="L67" s="151">
        <f t="shared" si="13"/>
        <v>26880000</v>
      </c>
      <c r="M67" s="141">
        <f t="shared" si="25"/>
        <v>46239414.762652799</v>
      </c>
      <c r="N67" s="68">
        <v>0</v>
      </c>
      <c r="O67" s="171">
        <f t="shared" si="14"/>
        <v>73954566.603206575</v>
      </c>
      <c r="P67" s="32">
        <v>1.7999999999999999E-2</v>
      </c>
      <c r="Q67" s="148">
        <f t="shared" si="7"/>
        <v>75285748.8020643</v>
      </c>
      <c r="R67" s="171">
        <f t="shared" si="15"/>
        <v>148405163.56471711</v>
      </c>
      <c r="S67" s="134">
        <f t="shared" si="16"/>
        <v>102165748.80206431</v>
      </c>
      <c r="T67" s="85"/>
      <c r="U67" s="11"/>
    </row>
    <row r="68" spans="1:28" s="32" customFormat="1" x14ac:dyDescent="0.3">
      <c r="A68" s="169">
        <f t="shared" si="10"/>
        <v>20000000</v>
      </c>
      <c r="C68" s="316"/>
      <c r="D68" s="79">
        <v>5</v>
      </c>
      <c r="E68" s="80">
        <v>2500000</v>
      </c>
      <c r="F68" s="81">
        <v>2250000</v>
      </c>
      <c r="G68" s="81">
        <v>400000</v>
      </c>
      <c r="H68" s="81">
        <f t="shared" si="11"/>
        <v>-150000</v>
      </c>
      <c r="I68" s="82">
        <v>0</v>
      </c>
      <c r="J68" s="83">
        <f t="shared" si="33"/>
        <v>4480000</v>
      </c>
      <c r="K68" s="84">
        <f t="shared" si="12"/>
        <v>4330000</v>
      </c>
      <c r="L68" s="151">
        <f t="shared" si="13"/>
        <v>22400000</v>
      </c>
      <c r="M68" s="141">
        <f t="shared" si="25"/>
        <v>47478924.228380553</v>
      </c>
      <c r="N68" s="68">
        <v>0</v>
      </c>
      <c r="O68" s="171">
        <f t="shared" si="14"/>
        <v>79615748.8020643</v>
      </c>
      <c r="P68" s="32">
        <v>1.7999999999999999E-2</v>
      </c>
      <c r="Q68" s="148">
        <f t="shared" si="7"/>
        <v>81048832.280501455</v>
      </c>
      <c r="R68" s="171">
        <f t="shared" si="15"/>
        <v>150927756.50888202</v>
      </c>
      <c r="S68" s="134">
        <f t="shared" si="16"/>
        <v>103448832.28050146</v>
      </c>
      <c r="T68" s="85"/>
      <c r="U68" s="11"/>
    </row>
    <row r="69" spans="1:28" s="32" customFormat="1" x14ac:dyDescent="0.3">
      <c r="A69" s="169">
        <f t="shared" si="10"/>
        <v>21000000</v>
      </c>
      <c r="C69" s="316"/>
      <c r="D69" s="79">
        <v>6</v>
      </c>
      <c r="E69" s="80">
        <v>2500000</v>
      </c>
      <c r="F69" s="81">
        <v>0</v>
      </c>
      <c r="G69" s="81">
        <v>400000</v>
      </c>
      <c r="H69" s="81">
        <f t="shared" si="11"/>
        <v>2100000</v>
      </c>
      <c r="I69" s="82">
        <v>0</v>
      </c>
      <c r="J69" s="83">
        <f t="shared" si="33"/>
        <v>4480000</v>
      </c>
      <c r="K69" s="84">
        <f t="shared" si="12"/>
        <v>6580000</v>
      </c>
      <c r="L69" s="151">
        <f t="shared" si="13"/>
        <v>17920000</v>
      </c>
      <c r="M69" s="141">
        <f t="shared" si="25"/>
        <v>48740744.864491403</v>
      </c>
      <c r="N69" s="68">
        <v>0</v>
      </c>
      <c r="O69" s="171">
        <f t="shared" si="14"/>
        <v>87628832.280501455</v>
      </c>
      <c r="P69" s="32">
        <v>1.7999999999999999E-2</v>
      </c>
      <c r="Q69" s="148">
        <f t="shared" si="7"/>
        <v>89206151.261550486</v>
      </c>
      <c r="R69" s="171">
        <f t="shared" si="15"/>
        <v>155866896.12604189</v>
      </c>
      <c r="S69" s="134">
        <f t="shared" si="16"/>
        <v>107126151.26155049</v>
      </c>
      <c r="T69" s="85"/>
      <c r="U69" s="11"/>
    </row>
    <row r="70" spans="1:28" s="32" customFormat="1" x14ac:dyDescent="0.3">
      <c r="A70" s="169">
        <f t="shared" si="10"/>
        <v>22000000</v>
      </c>
      <c r="C70" s="316"/>
      <c r="D70" s="79">
        <v>7</v>
      </c>
      <c r="E70" s="80">
        <v>2500000</v>
      </c>
      <c r="F70" s="81">
        <v>0</v>
      </c>
      <c r="G70" s="81">
        <v>400000</v>
      </c>
      <c r="H70" s="81">
        <f t="shared" si="11"/>
        <v>2100000</v>
      </c>
      <c r="I70" s="82">
        <v>0</v>
      </c>
      <c r="J70" s="83">
        <f t="shared" si="33"/>
        <v>4480000</v>
      </c>
      <c r="K70" s="84">
        <f t="shared" si="12"/>
        <v>6580000</v>
      </c>
      <c r="L70" s="151">
        <f t="shared" si="13"/>
        <v>13440000</v>
      </c>
      <c r="M70" s="141">
        <f t="shared" si="25"/>
        <v>50025278.272052251</v>
      </c>
      <c r="N70" s="68">
        <v>0</v>
      </c>
      <c r="O70" s="171">
        <f t="shared" si="14"/>
        <v>95786151.261550486</v>
      </c>
      <c r="P70" s="32">
        <v>1.7999999999999999E-2</v>
      </c>
      <c r="Q70" s="148">
        <f t="shared" si="7"/>
        <v>97510301.984258398</v>
      </c>
      <c r="R70" s="171">
        <f t="shared" si="15"/>
        <v>160975580.25631064</v>
      </c>
      <c r="S70" s="134">
        <f t="shared" si="16"/>
        <v>110950301.98425838</v>
      </c>
      <c r="T70" s="85"/>
      <c r="U70" s="11"/>
    </row>
    <row r="71" spans="1:28" s="32" customFormat="1" x14ac:dyDescent="0.3">
      <c r="A71" s="169">
        <f t="shared" si="10"/>
        <v>23000000</v>
      </c>
      <c r="C71" s="316"/>
      <c r="D71" s="79">
        <v>8</v>
      </c>
      <c r="E71" s="80">
        <v>2500000</v>
      </c>
      <c r="F71" s="81">
        <v>0</v>
      </c>
      <c r="G71" s="81">
        <v>400000</v>
      </c>
      <c r="H71" s="81">
        <f t="shared" si="11"/>
        <v>2100000</v>
      </c>
      <c r="I71" s="82">
        <v>0</v>
      </c>
      <c r="J71" s="83">
        <f t="shared" si="33"/>
        <v>4480000</v>
      </c>
      <c r="K71" s="84">
        <f t="shared" si="12"/>
        <v>6580000</v>
      </c>
      <c r="L71" s="151">
        <f t="shared" si="13"/>
        <v>8960000</v>
      </c>
      <c r="M71" s="141">
        <f t="shared" si="25"/>
        <v>51332933.28094919</v>
      </c>
      <c r="N71" s="68">
        <v>0</v>
      </c>
      <c r="O71" s="171">
        <f t="shared" si="14"/>
        <v>104090301.9842584</v>
      </c>
      <c r="P71" s="32">
        <v>1.7999999999999999E-2</v>
      </c>
      <c r="Q71" s="148">
        <f t="shared" ref="Q71:Q134" si="34" xml:space="preserve"> ((O71 +N71) * P71) + (O71+N71)</f>
        <v>105963927.41997504</v>
      </c>
      <c r="R71" s="171">
        <f t="shared" si="15"/>
        <v>166256860.70092422</v>
      </c>
      <c r="S71" s="134">
        <f t="shared" si="16"/>
        <v>114923927.41997503</v>
      </c>
      <c r="T71" s="85"/>
      <c r="U71" s="11"/>
    </row>
    <row r="72" spans="1:28" s="32" customFormat="1" x14ac:dyDescent="0.3">
      <c r="A72" s="169">
        <f t="shared" si="10"/>
        <v>24000000</v>
      </c>
      <c r="C72" s="316"/>
      <c r="D72" s="79">
        <v>9</v>
      </c>
      <c r="E72" s="80">
        <v>2500000</v>
      </c>
      <c r="F72" s="81">
        <v>0</v>
      </c>
      <c r="G72" s="81">
        <v>400000</v>
      </c>
      <c r="H72" s="81">
        <f t="shared" si="11"/>
        <v>2100000</v>
      </c>
      <c r="I72" s="82">
        <v>0</v>
      </c>
      <c r="J72" s="83">
        <f t="shared" si="33"/>
        <v>4480000</v>
      </c>
      <c r="K72" s="84">
        <f t="shared" si="12"/>
        <v>6580000</v>
      </c>
      <c r="L72" s="151">
        <f t="shared" si="13"/>
        <v>4480000</v>
      </c>
      <c r="M72" s="141">
        <f t="shared" si="25"/>
        <v>52664126.080006279</v>
      </c>
      <c r="N72" s="68">
        <v>0</v>
      </c>
      <c r="O72" s="171">
        <f t="shared" si="14"/>
        <v>112543927.41997504</v>
      </c>
      <c r="P72" s="32">
        <v>1.7999999999999999E-2</v>
      </c>
      <c r="Q72" s="148">
        <f t="shared" si="34"/>
        <v>114569718.1135346</v>
      </c>
      <c r="R72" s="171">
        <f t="shared" si="15"/>
        <v>171713844.19354087</v>
      </c>
      <c r="S72" s="134">
        <f t="shared" si="16"/>
        <v>119049718.1135346</v>
      </c>
      <c r="T72" s="85"/>
      <c r="U72" s="11"/>
    </row>
    <row r="73" spans="1:28" s="32" customFormat="1" x14ac:dyDescent="0.3">
      <c r="A73" s="169">
        <f t="shared" si="10"/>
        <v>25000000</v>
      </c>
      <c r="C73" s="316"/>
      <c r="D73" s="79">
        <v>10</v>
      </c>
      <c r="E73" s="80">
        <v>2500000</v>
      </c>
      <c r="F73" s="81">
        <v>0</v>
      </c>
      <c r="G73" s="81">
        <v>400000</v>
      </c>
      <c r="H73" s="81">
        <f t="shared" si="11"/>
        <v>2100000</v>
      </c>
      <c r="I73" s="82">
        <v>0</v>
      </c>
      <c r="J73" s="83">
        <f xml:space="preserve"> J72</f>
        <v>4480000</v>
      </c>
      <c r="K73" s="84">
        <f t="shared" si="12"/>
        <v>6580000</v>
      </c>
      <c r="L73" s="151">
        <f t="shared" si="13"/>
        <v>0</v>
      </c>
      <c r="M73" s="141">
        <f t="shared" si="25"/>
        <v>54019280.349446394</v>
      </c>
      <c r="N73" s="68">
        <v>0</v>
      </c>
      <c r="O73" s="171">
        <f t="shared" si="14"/>
        <v>121149718.1135346</v>
      </c>
      <c r="P73" s="32">
        <v>1.7999999999999999E-2</v>
      </c>
      <c r="Q73" s="148">
        <f t="shared" si="34"/>
        <v>123330413.03957823</v>
      </c>
      <c r="R73" s="171">
        <f t="shared" si="15"/>
        <v>177349693.38902462</v>
      </c>
      <c r="S73" s="134">
        <f t="shared" si="16"/>
        <v>123330413.03957823</v>
      </c>
      <c r="T73" s="85"/>
      <c r="U73" s="11"/>
    </row>
    <row r="74" spans="1:28" s="86" customFormat="1" ht="17.25" thickBot="1" x14ac:dyDescent="0.35">
      <c r="A74" s="169">
        <f t="shared" si="10"/>
        <v>26000000</v>
      </c>
      <c r="C74" s="316"/>
      <c r="D74" s="87">
        <v>11</v>
      </c>
      <c r="E74" s="88">
        <v>2500000</v>
      </c>
      <c r="F74" s="89">
        <v>0</v>
      </c>
      <c r="G74" s="89">
        <v>400000</v>
      </c>
      <c r="H74" s="89">
        <f t="shared" si="11"/>
        <v>2100000</v>
      </c>
      <c r="I74" s="90">
        <v>32500000</v>
      </c>
      <c r="J74" s="91">
        <v>0</v>
      </c>
      <c r="K74" s="92">
        <f t="shared" si="12"/>
        <v>-30400000</v>
      </c>
      <c r="L74" s="152">
        <f t="shared" si="13"/>
        <v>32500000</v>
      </c>
      <c r="M74" s="142">
        <f t="shared" si="25"/>
        <v>55398827.395736426</v>
      </c>
      <c r="N74" s="100">
        <v>0</v>
      </c>
      <c r="O74" s="172">
        <f t="shared" si="14"/>
        <v>92930413.039578229</v>
      </c>
      <c r="P74" s="86">
        <v>1.7999999999999999E-2</v>
      </c>
      <c r="Q74" s="148">
        <f t="shared" si="34"/>
        <v>94603160.474290639</v>
      </c>
      <c r="R74" s="172">
        <f t="shared" si="15"/>
        <v>182501987.87002707</v>
      </c>
      <c r="S74" s="135">
        <f t="shared" si="16"/>
        <v>127103160.47429064</v>
      </c>
      <c r="T74" s="93"/>
      <c r="U74" s="94"/>
    </row>
    <row r="75" spans="1:28" s="45" customFormat="1" ht="17.25" thickBot="1" x14ac:dyDescent="0.35">
      <c r="A75" s="178">
        <f t="shared" si="10"/>
        <v>27000000</v>
      </c>
      <c r="B75" s="38"/>
      <c r="C75" s="316"/>
      <c r="D75" s="39">
        <v>12</v>
      </c>
      <c r="E75" s="40">
        <v>2500000</v>
      </c>
      <c r="F75" s="41">
        <v>0</v>
      </c>
      <c r="G75" s="41">
        <v>400000</v>
      </c>
      <c r="H75" s="41">
        <f t="shared" si="11"/>
        <v>2100000</v>
      </c>
      <c r="I75" s="90">
        <v>32500000</v>
      </c>
      <c r="J75" s="44">
        <v>0</v>
      </c>
      <c r="K75" s="47">
        <f t="shared" si="12"/>
        <v>-30400000</v>
      </c>
      <c r="L75" s="150">
        <f t="shared" si="13"/>
        <v>65000000</v>
      </c>
      <c r="M75" s="145">
        <f t="shared" si="25"/>
        <v>56803206.28885968</v>
      </c>
      <c r="N75" s="50">
        <v>0</v>
      </c>
      <c r="O75" s="130">
        <f t="shared" si="14"/>
        <v>64203160.474290639</v>
      </c>
      <c r="P75" s="45">
        <v>1.7999999999999999E-2</v>
      </c>
      <c r="Q75" s="148">
        <f t="shared" si="34"/>
        <v>65358817.362827867</v>
      </c>
      <c r="R75" s="130">
        <f t="shared" si="15"/>
        <v>187162023.65168756</v>
      </c>
      <c r="S75" s="132">
        <f t="shared" si="16"/>
        <v>130358817.36282788</v>
      </c>
      <c r="T75" s="179">
        <f xml:space="preserve"> S75 / 4</f>
        <v>32589704.340706971</v>
      </c>
      <c r="U75" s="46">
        <f>SUM(E4:E75)</f>
        <v>182300000</v>
      </c>
      <c r="V75" s="46">
        <f>SUM(F4:F75)</f>
        <v>79676544</v>
      </c>
      <c r="W75" s="48">
        <f xml:space="preserve"> U75 - V75</f>
        <v>102623456</v>
      </c>
      <c r="X75" s="48">
        <f>R75-W75</f>
        <v>84538567.651687562</v>
      </c>
      <c r="Y75" s="116">
        <f xml:space="preserve"> X75 / W75 * 100</f>
        <v>82.377431970024048</v>
      </c>
      <c r="Z75" s="48">
        <f xml:space="preserve"> (X75 - 2500000) * 0.16</f>
        <v>13126170.82427001</v>
      </c>
      <c r="AA75" s="214">
        <f xml:space="preserve"> R75 - ((2500000 * 12) + R63)</f>
        <v>25098774.545325637</v>
      </c>
      <c r="AB75" s="214">
        <f xml:space="preserve"> (AA75 -2500000) * 0.16</f>
        <v>3615803.9272521022</v>
      </c>
    </row>
    <row r="76" spans="1:28" s="70" customFormat="1" x14ac:dyDescent="0.3">
      <c r="A76" s="169">
        <f t="shared" si="10"/>
        <v>28000000</v>
      </c>
      <c r="B76" s="70">
        <v>7</v>
      </c>
      <c r="C76" s="316">
        <v>2028</v>
      </c>
      <c r="D76" s="71">
        <v>1</v>
      </c>
      <c r="E76" s="72">
        <v>2500000</v>
      </c>
      <c r="F76" s="73">
        <v>0</v>
      </c>
      <c r="G76" s="73">
        <v>400000</v>
      </c>
      <c r="H76" s="73">
        <f t="shared" si="11"/>
        <v>2100000</v>
      </c>
      <c r="I76" s="74">
        <v>0</v>
      </c>
      <c r="J76" s="75">
        <f xml:space="preserve"> L75 / 10</f>
        <v>6500000</v>
      </c>
      <c r="K76" s="76">
        <f t="shared" si="12"/>
        <v>8600000</v>
      </c>
      <c r="L76" s="67">
        <f t="shared" si="13"/>
        <v>58500000</v>
      </c>
      <c r="M76" s="140">
        <f t="shared" si="25"/>
        <v>57432019.114015117</v>
      </c>
      <c r="N76" s="68">
        <v>0</v>
      </c>
      <c r="O76" s="174">
        <f t="shared" si="14"/>
        <v>73958817.362827867</v>
      </c>
      <c r="P76" s="70">
        <v>4.0000000000000001E-3</v>
      </c>
      <c r="Q76" s="148">
        <f t="shared" si="34"/>
        <v>74254652.632279173</v>
      </c>
      <c r="R76" s="174">
        <f t="shared" si="15"/>
        <v>190186671.74629429</v>
      </c>
      <c r="S76" s="133">
        <f t="shared" si="16"/>
        <v>132754652.63227917</v>
      </c>
      <c r="T76" s="77"/>
      <c r="U76" s="78"/>
    </row>
    <row r="77" spans="1:28" s="32" customFormat="1" x14ac:dyDescent="0.3">
      <c r="A77" s="169">
        <f t="shared" si="10"/>
        <v>29000000</v>
      </c>
      <c r="C77" s="316"/>
      <c r="D77" s="79">
        <v>2</v>
      </c>
      <c r="E77" s="80">
        <v>2500000</v>
      </c>
      <c r="F77" s="81">
        <v>0</v>
      </c>
      <c r="G77" s="81">
        <v>400000</v>
      </c>
      <c r="H77" s="81">
        <f t="shared" si="11"/>
        <v>2100000</v>
      </c>
      <c r="I77" s="82">
        <v>0</v>
      </c>
      <c r="J77" s="83">
        <f xml:space="preserve"> J76</f>
        <v>6500000</v>
      </c>
      <c r="K77" s="84">
        <f t="shared" si="12"/>
        <v>8600000</v>
      </c>
      <c r="L77" s="151">
        <f t="shared" si="13"/>
        <v>52000000</v>
      </c>
      <c r="M77" s="141">
        <f t="shared" si="25"/>
        <v>58872995.458067387</v>
      </c>
      <c r="N77" s="68">
        <v>0</v>
      </c>
      <c r="O77" s="171">
        <f t="shared" si="14"/>
        <v>82854652.632279173</v>
      </c>
      <c r="P77" s="32">
        <v>1.7999999999999999E-2</v>
      </c>
      <c r="Q77" s="148">
        <f t="shared" si="34"/>
        <v>84346036.379660204</v>
      </c>
      <c r="R77" s="171">
        <f t="shared" si="15"/>
        <v>195219031.83772761</v>
      </c>
      <c r="S77" s="134">
        <f t="shared" si="16"/>
        <v>136346036.37966022</v>
      </c>
      <c r="T77" s="85"/>
      <c r="U77" s="11"/>
    </row>
    <row r="78" spans="1:28" s="32" customFormat="1" x14ac:dyDescent="0.3">
      <c r="A78" s="169">
        <f t="shared" si="10"/>
        <v>30000000</v>
      </c>
      <c r="C78" s="316"/>
      <c r="D78" s="79">
        <v>3</v>
      </c>
      <c r="E78" s="80">
        <v>2500000</v>
      </c>
      <c r="F78" s="81">
        <v>0</v>
      </c>
      <c r="G78" s="81">
        <v>400000</v>
      </c>
      <c r="H78" s="81">
        <f t="shared" si="11"/>
        <v>2100000</v>
      </c>
      <c r="I78" s="82">
        <v>0</v>
      </c>
      <c r="J78" s="83">
        <f t="shared" ref="J78:J84" si="35" xml:space="preserve"> J77</f>
        <v>6500000</v>
      </c>
      <c r="K78" s="84">
        <f t="shared" si="12"/>
        <v>8600000</v>
      </c>
      <c r="L78" s="151">
        <f t="shared" si="13"/>
        <v>45500000</v>
      </c>
      <c r="M78" s="141">
        <f t="shared" si="25"/>
        <v>60339909.376312599</v>
      </c>
      <c r="N78" s="68">
        <v>0</v>
      </c>
      <c r="O78" s="171">
        <f t="shared" si="14"/>
        <v>92946036.379660204</v>
      </c>
      <c r="P78" s="32">
        <v>1.7999999999999999E-2</v>
      </c>
      <c r="Q78" s="148">
        <f t="shared" si="34"/>
        <v>94619065.034494087</v>
      </c>
      <c r="R78" s="171">
        <f t="shared" si="15"/>
        <v>200458974.41080669</v>
      </c>
      <c r="S78" s="134">
        <f t="shared" si="16"/>
        <v>140119065.0344941</v>
      </c>
      <c r="T78" s="85"/>
      <c r="U78" s="11"/>
    </row>
    <row r="79" spans="1:28" s="32" customFormat="1" x14ac:dyDescent="0.3">
      <c r="A79" s="169">
        <f t="shared" si="10"/>
        <v>31000000</v>
      </c>
      <c r="C79" s="316"/>
      <c r="D79" s="79">
        <v>4</v>
      </c>
      <c r="E79" s="80">
        <v>2500000</v>
      </c>
      <c r="F79" s="81">
        <v>0</v>
      </c>
      <c r="G79" s="81">
        <v>400000</v>
      </c>
      <c r="H79" s="81">
        <f t="shared" si="11"/>
        <v>2100000</v>
      </c>
      <c r="I79" s="82">
        <v>0</v>
      </c>
      <c r="J79" s="83">
        <f t="shared" si="35"/>
        <v>6500000</v>
      </c>
      <c r="K79" s="84">
        <f t="shared" si="12"/>
        <v>8600000</v>
      </c>
      <c r="L79" s="151">
        <f t="shared" si="13"/>
        <v>39000000</v>
      </c>
      <c r="M79" s="141">
        <f t="shared" si="25"/>
        <v>61833227.745086223</v>
      </c>
      <c r="N79" s="68">
        <v>0</v>
      </c>
      <c r="O79" s="171">
        <f t="shared" si="14"/>
        <v>103219065.03449409</v>
      </c>
      <c r="P79" s="32">
        <v>1.7999999999999999E-2</v>
      </c>
      <c r="Q79" s="148">
        <f t="shared" si="34"/>
        <v>105077008.20511498</v>
      </c>
      <c r="R79" s="171">
        <f t="shared" si="15"/>
        <v>205910235.95020121</v>
      </c>
      <c r="S79" s="134">
        <f t="shared" si="16"/>
        <v>144077008.20511499</v>
      </c>
      <c r="T79" s="85"/>
      <c r="U79" s="11"/>
    </row>
    <row r="80" spans="1:28" s="32" customFormat="1" x14ac:dyDescent="0.3">
      <c r="A80" s="169">
        <f t="shared" si="10"/>
        <v>32000000</v>
      </c>
      <c r="C80" s="316"/>
      <c r="D80" s="79">
        <v>5</v>
      </c>
      <c r="E80" s="80">
        <v>2500000</v>
      </c>
      <c r="F80" s="81">
        <v>3550000</v>
      </c>
      <c r="G80" s="81">
        <v>400000</v>
      </c>
      <c r="H80" s="81">
        <f t="shared" si="11"/>
        <v>-1450000</v>
      </c>
      <c r="I80" s="82">
        <v>0</v>
      </c>
      <c r="J80" s="83">
        <f t="shared" si="35"/>
        <v>6500000</v>
      </c>
      <c r="K80" s="84">
        <f t="shared" si="12"/>
        <v>5050000</v>
      </c>
      <c r="L80" s="151">
        <f t="shared" si="13"/>
        <v>32500000</v>
      </c>
      <c r="M80" s="141">
        <f t="shared" ref="M80:M111" si="36" xml:space="preserve"> (M79 + 400000) + ((M79 + 400000) * P80 )</f>
        <v>63353425.844497778</v>
      </c>
      <c r="N80" s="68">
        <v>0</v>
      </c>
      <c r="O80" s="171">
        <f t="shared" si="14"/>
        <v>110127008.20511498</v>
      </c>
      <c r="P80" s="32">
        <v>1.7999999999999999E-2</v>
      </c>
      <c r="Q80" s="148">
        <f t="shared" si="34"/>
        <v>112109294.35280704</v>
      </c>
      <c r="R80" s="171">
        <f t="shared" si="15"/>
        <v>207962720.19730482</v>
      </c>
      <c r="S80" s="134">
        <f t="shared" si="16"/>
        <v>144609294.35280704</v>
      </c>
      <c r="T80" s="85"/>
      <c r="U80" s="11"/>
    </row>
    <row r="81" spans="1:28" s="32" customFormat="1" x14ac:dyDescent="0.3">
      <c r="A81" s="169">
        <f t="shared" si="10"/>
        <v>33000000</v>
      </c>
      <c r="C81" s="316"/>
      <c r="D81" s="79">
        <v>6</v>
      </c>
      <c r="E81" s="80">
        <v>2500000</v>
      </c>
      <c r="F81" s="81">
        <v>0</v>
      </c>
      <c r="G81" s="81">
        <v>400000</v>
      </c>
      <c r="H81" s="81">
        <f t="shared" si="11"/>
        <v>2100000</v>
      </c>
      <c r="I81" s="82">
        <v>0</v>
      </c>
      <c r="J81" s="83">
        <f t="shared" si="35"/>
        <v>6500000</v>
      </c>
      <c r="K81" s="84">
        <f t="shared" si="12"/>
        <v>8600000</v>
      </c>
      <c r="L81" s="151">
        <f t="shared" si="13"/>
        <v>26000000</v>
      </c>
      <c r="M81" s="141">
        <f t="shared" si="36"/>
        <v>64900987.509698734</v>
      </c>
      <c r="N81" s="68">
        <v>0</v>
      </c>
      <c r="O81" s="171">
        <f t="shared" si="14"/>
        <v>120709294.35280704</v>
      </c>
      <c r="P81" s="32">
        <v>1.7999999999999999E-2</v>
      </c>
      <c r="Q81" s="148">
        <f t="shared" si="34"/>
        <v>122882061.65115757</v>
      </c>
      <c r="R81" s="171">
        <f t="shared" si="15"/>
        <v>213783049.16085631</v>
      </c>
      <c r="S81" s="134">
        <f t="shared" si="16"/>
        <v>148882061.65115756</v>
      </c>
      <c r="T81" s="85"/>
      <c r="U81" s="11"/>
    </row>
    <row r="82" spans="1:28" s="32" customFormat="1" x14ac:dyDescent="0.3">
      <c r="A82" s="169">
        <f t="shared" si="10"/>
        <v>34000000</v>
      </c>
      <c r="C82" s="316"/>
      <c r="D82" s="79">
        <v>7</v>
      </c>
      <c r="E82" s="80">
        <v>2500000</v>
      </c>
      <c r="F82" s="81">
        <v>0</v>
      </c>
      <c r="G82" s="81">
        <v>400000</v>
      </c>
      <c r="H82" s="81">
        <f t="shared" si="11"/>
        <v>2100000</v>
      </c>
      <c r="I82" s="82">
        <v>0</v>
      </c>
      <c r="J82" s="83">
        <f t="shared" si="35"/>
        <v>6500000</v>
      </c>
      <c r="K82" s="84">
        <f t="shared" si="12"/>
        <v>8600000</v>
      </c>
      <c r="L82" s="151">
        <f t="shared" si="13"/>
        <v>19500000</v>
      </c>
      <c r="M82" s="141">
        <f t="shared" si="36"/>
        <v>66476405.284873314</v>
      </c>
      <c r="N82" s="68">
        <v>0</v>
      </c>
      <c r="O82" s="171">
        <f t="shared" si="14"/>
        <v>131482061.65115757</v>
      </c>
      <c r="P82" s="32">
        <v>1.7999999999999999E-2</v>
      </c>
      <c r="Q82" s="148">
        <f t="shared" si="34"/>
        <v>133848738.76087841</v>
      </c>
      <c r="R82" s="171">
        <f t="shared" si="15"/>
        <v>219825144.04575172</v>
      </c>
      <c r="S82" s="134">
        <f t="shared" si="16"/>
        <v>153348738.76087841</v>
      </c>
      <c r="T82" s="85"/>
      <c r="U82" s="11"/>
    </row>
    <row r="83" spans="1:28" s="32" customFormat="1" x14ac:dyDescent="0.3">
      <c r="A83" s="169">
        <f t="shared" si="10"/>
        <v>35000000</v>
      </c>
      <c r="C83" s="316"/>
      <c r="D83" s="79">
        <v>8</v>
      </c>
      <c r="E83" s="80">
        <v>2500000</v>
      </c>
      <c r="F83" s="81">
        <v>0</v>
      </c>
      <c r="G83" s="81">
        <v>400000</v>
      </c>
      <c r="H83" s="81">
        <f t="shared" si="11"/>
        <v>2100000</v>
      </c>
      <c r="I83" s="82">
        <v>0</v>
      </c>
      <c r="J83" s="83">
        <f t="shared" si="35"/>
        <v>6500000</v>
      </c>
      <c r="K83" s="84">
        <f t="shared" si="12"/>
        <v>8600000</v>
      </c>
      <c r="L83" s="151">
        <f t="shared" si="13"/>
        <v>13000000</v>
      </c>
      <c r="M83" s="141">
        <f t="shared" si="36"/>
        <v>68080180.580001026</v>
      </c>
      <c r="N83" s="68">
        <v>0</v>
      </c>
      <c r="O83" s="171">
        <f t="shared" si="14"/>
        <v>142448738.76087841</v>
      </c>
      <c r="P83" s="32">
        <v>1.7999999999999999E-2</v>
      </c>
      <c r="Q83" s="148">
        <f t="shared" si="34"/>
        <v>145012816.05857423</v>
      </c>
      <c r="R83" s="171">
        <f t="shared" si="15"/>
        <v>226092996.63857526</v>
      </c>
      <c r="S83" s="134">
        <f t="shared" si="16"/>
        <v>158012816.05857423</v>
      </c>
      <c r="T83" s="85"/>
      <c r="U83" s="11"/>
    </row>
    <row r="84" spans="1:28" s="32" customFormat="1" x14ac:dyDescent="0.3">
      <c r="A84" s="169">
        <f t="shared" ref="A84:A135" si="37" xml:space="preserve"> A83 +1000000</f>
        <v>36000000</v>
      </c>
      <c r="C84" s="316"/>
      <c r="D84" s="79">
        <v>9</v>
      </c>
      <c r="E84" s="80">
        <v>2500000</v>
      </c>
      <c r="F84" s="81">
        <v>0</v>
      </c>
      <c r="G84" s="81">
        <v>400000</v>
      </c>
      <c r="H84" s="81">
        <f t="shared" si="11"/>
        <v>2100000</v>
      </c>
      <c r="I84" s="82">
        <v>0</v>
      </c>
      <c r="J84" s="83">
        <f t="shared" si="35"/>
        <v>6500000</v>
      </c>
      <c r="K84" s="84">
        <f t="shared" si="12"/>
        <v>8600000</v>
      </c>
      <c r="L84" s="151">
        <f t="shared" si="13"/>
        <v>6500000</v>
      </c>
      <c r="M84" s="141">
        <f t="shared" si="36"/>
        <v>69712823.830441043</v>
      </c>
      <c r="N84" s="68">
        <v>0</v>
      </c>
      <c r="O84" s="171">
        <f t="shared" si="14"/>
        <v>153612816.05857423</v>
      </c>
      <c r="P84" s="32">
        <v>1.7999999999999999E-2</v>
      </c>
      <c r="Q84" s="148">
        <f t="shared" si="34"/>
        <v>156377846.74762857</v>
      </c>
      <c r="R84" s="171">
        <f t="shared" si="15"/>
        <v>232590670.57806963</v>
      </c>
      <c r="S84" s="134">
        <f t="shared" si="16"/>
        <v>162877846.74762857</v>
      </c>
      <c r="T84" s="85"/>
      <c r="U84" s="11"/>
    </row>
    <row r="85" spans="1:28" s="32" customFormat="1" x14ac:dyDescent="0.3">
      <c r="A85" s="169">
        <f t="shared" si="37"/>
        <v>37000000</v>
      </c>
      <c r="C85" s="316"/>
      <c r="D85" s="79">
        <v>10</v>
      </c>
      <c r="E85" s="80">
        <v>2500000</v>
      </c>
      <c r="F85" s="81">
        <v>0</v>
      </c>
      <c r="G85" s="81">
        <v>400000</v>
      </c>
      <c r="H85" s="81">
        <f t="shared" si="11"/>
        <v>2100000</v>
      </c>
      <c r="I85" s="82">
        <v>0</v>
      </c>
      <c r="J85" s="83">
        <f xml:space="preserve"> J84</f>
        <v>6500000</v>
      </c>
      <c r="K85" s="84">
        <f t="shared" si="12"/>
        <v>8600000</v>
      </c>
      <c r="L85" s="151">
        <f t="shared" si="13"/>
        <v>0</v>
      </c>
      <c r="M85" s="141">
        <f t="shared" si="36"/>
        <v>71374854.659388974</v>
      </c>
      <c r="N85" s="68">
        <v>0</v>
      </c>
      <c r="O85" s="171">
        <f t="shared" si="14"/>
        <v>164977846.74762857</v>
      </c>
      <c r="P85" s="32">
        <v>1.7999999999999999E-2</v>
      </c>
      <c r="Q85" s="148">
        <f t="shared" si="34"/>
        <v>167947447.98908588</v>
      </c>
      <c r="R85" s="171">
        <f t="shared" si="15"/>
        <v>239322302.64847487</v>
      </c>
      <c r="S85" s="134">
        <f t="shared" si="16"/>
        <v>167947447.98908591</v>
      </c>
      <c r="T85" s="85"/>
      <c r="U85" s="11"/>
    </row>
    <row r="86" spans="1:28" s="32" customFormat="1" ht="17.25" thickBot="1" x14ac:dyDescent="0.35">
      <c r="A86" s="169">
        <f t="shared" si="37"/>
        <v>38000000</v>
      </c>
      <c r="C86" s="316"/>
      <c r="D86" s="87">
        <v>11</v>
      </c>
      <c r="E86" s="88">
        <v>2500000</v>
      </c>
      <c r="F86" s="89">
        <v>0</v>
      </c>
      <c r="G86" s="89">
        <v>400000</v>
      </c>
      <c r="H86" s="89">
        <f t="shared" si="11"/>
        <v>2100000</v>
      </c>
      <c r="I86" s="90">
        <v>43900000</v>
      </c>
      <c r="J86" s="91">
        <v>0</v>
      </c>
      <c r="K86" s="92">
        <f t="shared" si="12"/>
        <v>-41800000</v>
      </c>
      <c r="L86" s="151">
        <f t="shared" si="13"/>
        <v>43900000</v>
      </c>
      <c r="M86" s="142">
        <f t="shared" si="36"/>
        <v>73066802.043257982</v>
      </c>
      <c r="N86" s="68">
        <v>0</v>
      </c>
      <c r="O86" s="172">
        <f t="shared" si="14"/>
        <v>126147447.98908588</v>
      </c>
      <c r="P86" s="86">
        <v>1.7999999999999999E-2</v>
      </c>
      <c r="Q86" s="148">
        <f t="shared" si="34"/>
        <v>128418102.05288942</v>
      </c>
      <c r="R86" s="171">
        <f t="shared" si="15"/>
        <v>245384904.09614742</v>
      </c>
      <c r="S86" s="134">
        <f t="shared" si="16"/>
        <v>172318102.05288944</v>
      </c>
      <c r="T86" s="85"/>
      <c r="U86" s="11"/>
    </row>
    <row r="87" spans="1:28" s="180" customFormat="1" ht="17.25" thickBot="1" x14ac:dyDescent="0.35">
      <c r="A87" s="178">
        <f t="shared" si="37"/>
        <v>39000000</v>
      </c>
      <c r="C87" s="316"/>
      <c r="D87" s="39">
        <v>12</v>
      </c>
      <c r="E87" s="40">
        <v>2500000</v>
      </c>
      <c r="F87" s="41">
        <v>0</v>
      </c>
      <c r="G87" s="41">
        <v>400000</v>
      </c>
      <c r="H87" s="41">
        <f t="shared" si="11"/>
        <v>2100000</v>
      </c>
      <c r="I87" s="90">
        <v>43900000</v>
      </c>
      <c r="J87" s="44">
        <v>0</v>
      </c>
      <c r="K87" s="47">
        <f t="shared" si="12"/>
        <v>-41800000</v>
      </c>
      <c r="L87" s="154">
        <f t="shared" si="13"/>
        <v>87800000</v>
      </c>
      <c r="M87" s="145">
        <f t="shared" si="36"/>
        <v>74789204.480036631</v>
      </c>
      <c r="N87" s="49">
        <v>0</v>
      </c>
      <c r="O87" s="130">
        <f t="shared" si="14"/>
        <v>86618102.052889422</v>
      </c>
      <c r="P87" s="45">
        <v>1.7999999999999999E-2</v>
      </c>
      <c r="Q87" s="148">
        <f t="shared" si="34"/>
        <v>88177227.889841437</v>
      </c>
      <c r="R87" s="131">
        <f t="shared" si="15"/>
        <v>250766432.36987805</v>
      </c>
      <c r="S87" s="137">
        <f t="shared" si="16"/>
        <v>175977227.88984144</v>
      </c>
      <c r="T87" s="179">
        <f xml:space="preserve"> S87 / 4</f>
        <v>43994306.972460359</v>
      </c>
      <c r="U87" s="46">
        <f>SUM(E4:E87)</f>
        <v>212300000</v>
      </c>
      <c r="V87" s="46">
        <f>SUM(F4:F87)</f>
        <v>83226544</v>
      </c>
      <c r="W87" s="48">
        <f xml:space="preserve"> U87 - V87</f>
        <v>129073456</v>
      </c>
      <c r="X87" s="48">
        <f>R87-W87</f>
        <v>121692976.36987805</v>
      </c>
      <c r="Y87" s="116">
        <f xml:space="preserve"> X87 / W87 * 100</f>
        <v>94.281953967265011</v>
      </c>
      <c r="Z87" s="48">
        <f xml:space="preserve"> (X87 - 2500000) * 0.16</f>
        <v>19070876.219180491</v>
      </c>
      <c r="AA87" s="214">
        <f xml:space="preserve"> R87 - ((2500000 * 12) + R75)</f>
        <v>33604408.718190491</v>
      </c>
      <c r="AB87" s="214">
        <f xml:space="preserve"> (AA87 -2500000) * 0.16</f>
        <v>4976705.394910479</v>
      </c>
    </row>
    <row r="88" spans="1:28" s="32" customFormat="1" x14ac:dyDescent="0.3">
      <c r="A88" s="169">
        <f t="shared" si="37"/>
        <v>40000000</v>
      </c>
      <c r="B88" s="32">
        <v>8</v>
      </c>
      <c r="C88" s="316">
        <v>2029</v>
      </c>
      <c r="D88" s="71">
        <v>1</v>
      </c>
      <c r="E88" s="72">
        <v>2500000</v>
      </c>
      <c r="F88" s="73">
        <v>0</v>
      </c>
      <c r="G88" s="73">
        <v>400000</v>
      </c>
      <c r="H88" s="73">
        <f t="shared" ref="H88:H99" si="38" xml:space="preserve"> E88 - G88 - F88</f>
        <v>2100000</v>
      </c>
      <c r="I88" s="74">
        <v>0</v>
      </c>
      <c r="J88" s="75">
        <f xml:space="preserve"> L87 / 10</f>
        <v>8780000</v>
      </c>
      <c r="K88" s="76">
        <f t="shared" ref="K88:K99" si="39" xml:space="preserve"> H88 + J88 - I88</f>
        <v>10880000</v>
      </c>
      <c r="L88" s="67">
        <f t="shared" ref="L88:L99" si="40" xml:space="preserve"> L87 +I88 - J88 - N88</f>
        <v>79020000</v>
      </c>
      <c r="M88" s="140">
        <f t="shared" si="36"/>
        <v>75489961.29795678</v>
      </c>
      <c r="N88" s="68">
        <v>0</v>
      </c>
      <c r="O88" s="174">
        <f t="shared" ref="O88:O99" si="41" xml:space="preserve"> Q87 + K88</f>
        <v>99057227.889841437</v>
      </c>
      <c r="P88" s="70">
        <v>4.0000000000000001E-3</v>
      </c>
      <c r="Q88" s="148">
        <f t="shared" si="34"/>
        <v>99453456.80140081</v>
      </c>
      <c r="R88" s="174">
        <f t="shared" ref="R88:R99" si="42" xml:space="preserve"> M88 + Q88 + L88</f>
        <v>253963418.0993576</v>
      </c>
      <c r="S88" s="133">
        <f t="shared" ref="S88:S99" si="43" xml:space="preserve"> R88 - M88</f>
        <v>178473456.80140084</v>
      </c>
      <c r="T88" s="77"/>
      <c r="U88" s="11"/>
    </row>
    <row r="89" spans="1:28" s="32" customFormat="1" x14ac:dyDescent="0.3">
      <c r="A89" s="169">
        <f t="shared" si="37"/>
        <v>41000000</v>
      </c>
      <c r="C89" s="316"/>
      <c r="D89" s="79">
        <v>2</v>
      </c>
      <c r="E89" s="80">
        <v>2500000</v>
      </c>
      <c r="F89" s="81">
        <v>0</v>
      </c>
      <c r="G89" s="81">
        <v>400000</v>
      </c>
      <c r="H89" s="81">
        <f t="shared" si="38"/>
        <v>2100000</v>
      </c>
      <c r="I89" s="82">
        <v>0</v>
      </c>
      <c r="J89" s="83">
        <f xml:space="preserve"> J88</f>
        <v>8780000</v>
      </c>
      <c r="K89" s="84">
        <f t="shared" si="39"/>
        <v>10880000</v>
      </c>
      <c r="L89" s="151">
        <f t="shared" si="40"/>
        <v>70240000</v>
      </c>
      <c r="M89" s="141">
        <f t="shared" si="36"/>
        <v>77255980.601319999</v>
      </c>
      <c r="N89" s="68">
        <v>0</v>
      </c>
      <c r="O89" s="171">
        <f t="shared" si="41"/>
        <v>110333456.80140081</v>
      </c>
      <c r="P89" s="32">
        <v>1.7999999999999999E-2</v>
      </c>
      <c r="Q89" s="148">
        <f t="shared" si="34"/>
        <v>112319459.02382602</v>
      </c>
      <c r="R89" s="171">
        <f t="shared" si="42"/>
        <v>259815439.62514603</v>
      </c>
      <c r="S89" s="134">
        <f t="shared" si="43"/>
        <v>182559459.02382603</v>
      </c>
      <c r="T89" s="85"/>
      <c r="U89" s="11"/>
    </row>
    <row r="90" spans="1:28" s="32" customFormat="1" x14ac:dyDescent="0.3">
      <c r="A90" s="169">
        <f t="shared" si="37"/>
        <v>42000000</v>
      </c>
      <c r="C90" s="316"/>
      <c r="D90" s="79">
        <v>3</v>
      </c>
      <c r="E90" s="80">
        <v>2500000</v>
      </c>
      <c r="F90" s="81">
        <v>0</v>
      </c>
      <c r="G90" s="81">
        <v>400000</v>
      </c>
      <c r="H90" s="81">
        <f t="shared" si="38"/>
        <v>2100000</v>
      </c>
      <c r="I90" s="82">
        <v>0</v>
      </c>
      <c r="J90" s="83">
        <f t="shared" ref="J90:J96" si="44" xml:space="preserve"> J89</f>
        <v>8780000</v>
      </c>
      <c r="K90" s="84">
        <f t="shared" si="39"/>
        <v>10880000</v>
      </c>
      <c r="L90" s="151">
        <f t="shared" si="40"/>
        <v>61460000</v>
      </c>
      <c r="M90" s="141">
        <f t="shared" si="36"/>
        <v>79053788.252143756</v>
      </c>
      <c r="N90" s="68">
        <v>0</v>
      </c>
      <c r="O90" s="171">
        <f t="shared" si="41"/>
        <v>123199459.02382602</v>
      </c>
      <c r="P90" s="32">
        <v>1.7999999999999999E-2</v>
      </c>
      <c r="Q90" s="148">
        <f t="shared" si="34"/>
        <v>125417049.28625488</v>
      </c>
      <c r="R90" s="171">
        <f t="shared" si="42"/>
        <v>265930837.53839862</v>
      </c>
      <c r="S90" s="134">
        <f t="shared" si="43"/>
        <v>186877049.28625488</v>
      </c>
      <c r="T90" s="85"/>
      <c r="U90" s="11"/>
    </row>
    <row r="91" spans="1:28" s="32" customFormat="1" x14ac:dyDescent="0.3">
      <c r="A91" s="169">
        <f t="shared" si="37"/>
        <v>43000000</v>
      </c>
      <c r="C91" s="316"/>
      <c r="D91" s="79">
        <v>4</v>
      </c>
      <c r="E91" s="80">
        <v>2500000</v>
      </c>
      <c r="F91" s="81">
        <v>0</v>
      </c>
      <c r="G91" s="81">
        <v>400000</v>
      </c>
      <c r="H91" s="81">
        <f t="shared" si="38"/>
        <v>2100000</v>
      </c>
      <c r="I91" s="82">
        <v>0</v>
      </c>
      <c r="J91" s="83">
        <f t="shared" si="44"/>
        <v>8780000</v>
      </c>
      <c r="K91" s="84">
        <f t="shared" si="39"/>
        <v>10880000</v>
      </c>
      <c r="L91" s="151">
        <f t="shared" si="40"/>
        <v>52680000</v>
      </c>
      <c r="M91" s="141">
        <f t="shared" si="36"/>
        <v>80883956.440682337</v>
      </c>
      <c r="N91" s="68">
        <v>0</v>
      </c>
      <c r="O91" s="171">
        <f t="shared" si="41"/>
        <v>136297049.28625488</v>
      </c>
      <c r="P91" s="32">
        <v>1.7999999999999999E-2</v>
      </c>
      <c r="Q91" s="148">
        <f t="shared" si="34"/>
        <v>138750396.17340747</v>
      </c>
      <c r="R91" s="171">
        <f t="shared" si="42"/>
        <v>272314352.61408979</v>
      </c>
      <c r="S91" s="134">
        <f t="shared" si="43"/>
        <v>191430396.17340744</v>
      </c>
      <c r="T91" s="85"/>
      <c r="U91" s="11"/>
    </row>
    <row r="92" spans="1:28" s="32" customFormat="1" x14ac:dyDescent="0.3">
      <c r="A92" s="169">
        <f t="shared" si="37"/>
        <v>44000000</v>
      </c>
      <c r="C92" s="316"/>
      <c r="D92" s="79">
        <v>5</v>
      </c>
      <c r="E92" s="80">
        <v>2500000</v>
      </c>
      <c r="F92" s="81">
        <v>4900000</v>
      </c>
      <c r="G92" s="81">
        <v>400000</v>
      </c>
      <c r="H92" s="81">
        <f t="shared" si="38"/>
        <v>-2800000</v>
      </c>
      <c r="I92" s="82">
        <v>0</v>
      </c>
      <c r="J92" s="83">
        <f t="shared" si="44"/>
        <v>8780000</v>
      </c>
      <c r="K92" s="84">
        <f t="shared" si="39"/>
        <v>5980000</v>
      </c>
      <c r="L92" s="151">
        <f t="shared" si="40"/>
        <v>43900000</v>
      </c>
      <c r="M92" s="141">
        <f t="shared" si="36"/>
        <v>82747067.656614617</v>
      </c>
      <c r="N92" s="68">
        <v>0</v>
      </c>
      <c r="O92" s="171">
        <f t="shared" si="41"/>
        <v>144730396.17340747</v>
      </c>
      <c r="P92" s="32">
        <v>1.7999999999999999E-2</v>
      </c>
      <c r="Q92" s="148">
        <f t="shared" si="34"/>
        <v>147335543.3045288</v>
      </c>
      <c r="R92" s="171">
        <f t="shared" si="42"/>
        <v>273982610.96114343</v>
      </c>
      <c r="S92" s="134">
        <f t="shared" si="43"/>
        <v>191235543.30452883</v>
      </c>
      <c r="T92" s="85"/>
      <c r="U92" s="11"/>
    </row>
    <row r="93" spans="1:28" s="32" customFormat="1" x14ac:dyDescent="0.3">
      <c r="A93" s="169">
        <f t="shared" si="37"/>
        <v>45000000</v>
      </c>
      <c r="C93" s="316"/>
      <c r="D93" s="79">
        <v>6</v>
      </c>
      <c r="E93" s="80">
        <v>2500000</v>
      </c>
      <c r="F93" s="81">
        <v>0</v>
      </c>
      <c r="G93" s="81">
        <v>400000</v>
      </c>
      <c r="H93" s="81">
        <f t="shared" si="38"/>
        <v>2100000</v>
      </c>
      <c r="I93" s="82">
        <v>0</v>
      </c>
      <c r="J93" s="83">
        <f t="shared" si="44"/>
        <v>8780000</v>
      </c>
      <c r="K93" s="84">
        <f t="shared" si="39"/>
        <v>10880000</v>
      </c>
      <c r="L93" s="151">
        <f t="shared" si="40"/>
        <v>35120000</v>
      </c>
      <c r="M93" s="141">
        <f t="shared" si="36"/>
        <v>84643714.874433681</v>
      </c>
      <c r="N93" s="68">
        <v>0</v>
      </c>
      <c r="O93" s="171">
        <f t="shared" si="41"/>
        <v>158215543.3045288</v>
      </c>
      <c r="P93" s="32">
        <v>1.7999999999999999E-2</v>
      </c>
      <c r="Q93" s="148">
        <f t="shared" si="34"/>
        <v>161063423.08401033</v>
      </c>
      <c r="R93" s="171">
        <f t="shared" si="42"/>
        <v>280827137.958444</v>
      </c>
      <c r="S93" s="134">
        <f t="shared" si="43"/>
        <v>196183423.0840103</v>
      </c>
      <c r="T93" s="85"/>
      <c r="U93" s="11"/>
    </row>
    <row r="94" spans="1:28" s="32" customFormat="1" x14ac:dyDescent="0.3">
      <c r="A94" s="169">
        <f t="shared" si="37"/>
        <v>46000000</v>
      </c>
      <c r="C94" s="316"/>
      <c r="D94" s="79">
        <v>7</v>
      </c>
      <c r="E94" s="80">
        <v>2500000</v>
      </c>
      <c r="F94" s="81">
        <v>0</v>
      </c>
      <c r="G94" s="81">
        <v>400000</v>
      </c>
      <c r="H94" s="81">
        <f t="shared" si="38"/>
        <v>2100000</v>
      </c>
      <c r="I94" s="82">
        <v>0</v>
      </c>
      <c r="J94" s="83">
        <f t="shared" si="44"/>
        <v>8780000</v>
      </c>
      <c r="K94" s="84">
        <f t="shared" si="39"/>
        <v>10880000</v>
      </c>
      <c r="L94" s="151">
        <f t="shared" si="40"/>
        <v>26340000</v>
      </c>
      <c r="M94" s="141">
        <f t="shared" si="36"/>
        <v>86574501.742173493</v>
      </c>
      <c r="N94" s="68">
        <v>0</v>
      </c>
      <c r="O94" s="171">
        <f t="shared" si="41"/>
        <v>171943423.08401033</v>
      </c>
      <c r="P94" s="32">
        <v>1.7999999999999999E-2</v>
      </c>
      <c r="Q94" s="148">
        <f t="shared" si="34"/>
        <v>175038404.69952253</v>
      </c>
      <c r="R94" s="171">
        <f t="shared" si="42"/>
        <v>287952906.44169605</v>
      </c>
      <c r="S94" s="134">
        <f t="shared" si="43"/>
        <v>201378404.69952255</v>
      </c>
      <c r="T94" s="85"/>
      <c r="U94" s="11"/>
    </row>
    <row r="95" spans="1:28" s="32" customFormat="1" x14ac:dyDescent="0.3">
      <c r="A95" s="169">
        <f t="shared" si="37"/>
        <v>47000000</v>
      </c>
      <c r="C95" s="316"/>
      <c r="D95" s="79">
        <v>8</v>
      </c>
      <c r="E95" s="80">
        <v>2500000</v>
      </c>
      <c r="F95" s="81">
        <v>0</v>
      </c>
      <c r="G95" s="81">
        <v>400000</v>
      </c>
      <c r="H95" s="81">
        <f t="shared" si="38"/>
        <v>2100000</v>
      </c>
      <c r="I95" s="82">
        <v>0</v>
      </c>
      <c r="J95" s="83">
        <f t="shared" si="44"/>
        <v>8780000</v>
      </c>
      <c r="K95" s="84">
        <f t="shared" si="39"/>
        <v>10880000</v>
      </c>
      <c r="L95" s="151">
        <f t="shared" si="40"/>
        <v>17560000</v>
      </c>
      <c r="M95" s="141">
        <f t="shared" si="36"/>
        <v>88540042.773532614</v>
      </c>
      <c r="N95" s="68">
        <v>0</v>
      </c>
      <c r="O95" s="171">
        <f t="shared" si="41"/>
        <v>185918404.69952253</v>
      </c>
      <c r="P95" s="32">
        <v>1.7999999999999999E-2</v>
      </c>
      <c r="Q95" s="148">
        <f t="shared" si="34"/>
        <v>189264935.98411393</v>
      </c>
      <c r="R95" s="171">
        <f t="shared" si="42"/>
        <v>295364978.75764656</v>
      </c>
      <c r="S95" s="134">
        <f t="shared" si="43"/>
        <v>206824935.98411393</v>
      </c>
      <c r="T95" s="85"/>
      <c r="U95" s="11"/>
    </row>
    <row r="96" spans="1:28" s="32" customFormat="1" x14ac:dyDescent="0.3">
      <c r="A96" s="169">
        <f t="shared" si="37"/>
        <v>48000000</v>
      </c>
      <c r="C96" s="316"/>
      <c r="D96" s="79">
        <v>9</v>
      </c>
      <c r="E96" s="80">
        <v>2500000</v>
      </c>
      <c r="F96" s="81">
        <v>0</v>
      </c>
      <c r="G96" s="81">
        <v>400000</v>
      </c>
      <c r="H96" s="81">
        <f t="shared" si="38"/>
        <v>2100000</v>
      </c>
      <c r="I96" s="82">
        <v>0</v>
      </c>
      <c r="J96" s="83">
        <f t="shared" si="44"/>
        <v>8780000</v>
      </c>
      <c r="K96" s="84">
        <f t="shared" si="39"/>
        <v>10880000</v>
      </c>
      <c r="L96" s="151">
        <f t="shared" si="40"/>
        <v>8780000</v>
      </c>
      <c r="M96" s="141">
        <f t="shared" si="36"/>
        <v>90540963.543456197</v>
      </c>
      <c r="N96" s="68">
        <v>0</v>
      </c>
      <c r="O96" s="171">
        <f t="shared" si="41"/>
        <v>200144935.98411393</v>
      </c>
      <c r="P96" s="32">
        <v>1.7999999999999999E-2</v>
      </c>
      <c r="Q96" s="148">
        <f t="shared" si="34"/>
        <v>203747544.83182797</v>
      </c>
      <c r="R96" s="171">
        <f t="shared" si="42"/>
        <v>303068508.37528419</v>
      </c>
      <c r="S96" s="134">
        <f t="shared" si="43"/>
        <v>212527544.831828</v>
      </c>
      <c r="T96" s="85"/>
      <c r="U96" s="11"/>
    </row>
    <row r="97" spans="1:28" s="32" customFormat="1" x14ac:dyDescent="0.3">
      <c r="A97" s="169">
        <f t="shared" si="37"/>
        <v>49000000</v>
      </c>
      <c r="C97" s="316"/>
      <c r="D97" s="79">
        <v>10</v>
      </c>
      <c r="E97" s="80">
        <v>2500000</v>
      </c>
      <c r="F97" s="81">
        <v>0</v>
      </c>
      <c r="G97" s="81">
        <v>400000</v>
      </c>
      <c r="H97" s="81">
        <f t="shared" si="38"/>
        <v>2100000</v>
      </c>
      <c r="I97" s="82">
        <v>0</v>
      </c>
      <c r="J97" s="83">
        <f xml:space="preserve"> J96</f>
        <v>8780000</v>
      </c>
      <c r="K97" s="84">
        <f t="shared" si="39"/>
        <v>10880000</v>
      </c>
      <c r="L97" s="151">
        <f t="shared" si="40"/>
        <v>0</v>
      </c>
      <c r="M97" s="141">
        <f t="shared" si="36"/>
        <v>92577900.887238413</v>
      </c>
      <c r="N97" s="68">
        <v>0</v>
      </c>
      <c r="O97" s="171">
        <f t="shared" si="41"/>
        <v>214627544.83182797</v>
      </c>
      <c r="P97" s="32">
        <v>1.7999999999999999E-2</v>
      </c>
      <c r="Q97" s="148">
        <f t="shared" si="34"/>
        <v>218490840.63880086</v>
      </c>
      <c r="R97" s="171">
        <f t="shared" si="42"/>
        <v>311068741.52603924</v>
      </c>
      <c r="S97" s="134">
        <f t="shared" si="43"/>
        <v>218490840.63880083</v>
      </c>
      <c r="T97" s="85"/>
      <c r="U97" s="11"/>
    </row>
    <row r="98" spans="1:28" s="32" customFormat="1" ht="17.25" thickBot="1" x14ac:dyDescent="0.35">
      <c r="A98" s="169">
        <f t="shared" si="37"/>
        <v>50000000</v>
      </c>
      <c r="C98" s="316"/>
      <c r="D98" s="87">
        <v>11</v>
      </c>
      <c r="E98" s="88">
        <v>2500000</v>
      </c>
      <c r="F98" s="89">
        <v>0</v>
      </c>
      <c r="G98" s="89">
        <v>400000</v>
      </c>
      <c r="H98" s="89">
        <f t="shared" si="38"/>
        <v>2100000</v>
      </c>
      <c r="I98" s="90">
        <v>56700000</v>
      </c>
      <c r="J98" s="91">
        <v>0</v>
      </c>
      <c r="K98" s="92">
        <f t="shared" si="39"/>
        <v>-54600000</v>
      </c>
      <c r="L98" s="151">
        <f t="shared" si="40"/>
        <v>56700000</v>
      </c>
      <c r="M98" s="142">
        <f t="shared" si="36"/>
        <v>94651503.103208706</v>
      </c>
      <c r="N98" s="68">
        <v>0</v>
      </c>
      <c r="O98" s="172">
        <f t="shared" si="41"/>
        <v>163890840.63880086</v>
      </c>
      <c r="P98" s="86">
        <v>1.7999999999999999E-2</v>
      </c>
      <c r="Q98" s="148">
        <f t="shared" si="34"/>
        <v>166840875.77029929</v>
      </c>
      <c r="R98" s="171">
        <f t="shared" si="42"/>
        <v>318192378.87350798</v>
      </c>
      <c r="S98" s="134">
        <f t="shared" si="43"/>
        <v>223540875.77029926</v>
      </c>
      <c r="T98" s="85"/>
      <c r="U98" s="11"/>
    </row>
    <row r="99" spans="1:28" s="32" customFormat="1" ht="17.25" thickBot="1" x14ac:dyDescent="0.35">
      <c r="A99" s="169">
        <f t="shared" si="37"/>
        <v>51000000</v>
      </c>
      <c r="C99" s="316"/>
      <c r="D99" s="39">
        <v>12</v>
      </c>
      <c r="E99" s="40">
        <v>2500000</v>
      </c>
      <c r="F99" s="41">
        <v>0</v>
      </c>
      <c r="G99" s="41">
        <v>400000</v>
      </c>
      <c r="H99" s="41">
        <f t="shared" si="38"/>
        <v>2100000</v>
      </c>
      <c r="I99" s="42">
        <v>56700000</v>
      </c>
      <c r="J99" s="44">
        <v>0</v>
      </c>
      <c r="K99" s="47">
        <f t="shared" si="39"/>
        <v>-54600000</v>
      </c>
      <c r="L99" s="154">
        <f t="shared" si="40"/>
        <v>113400000</v>
      </c>
      <c r="M99" s="143">
        <f t="shared" si="36"/>
        <v>96762430.159066468</v>
      </c>
      <c r="N99" s="49">
        <v>0</v>
      </c>
      <c r="O99" s="173">
        <f t="shared" si="41"/>
        <v>112240875.77029929</v>
      </c>
      <c r="P99" s="45">
        <v>1.7999999999999999E-2</v>
      </c>
      <c r="Q99" s="148">
        <f t="shared" si="34"/>
        <v>114261211.53416467</v>
      </c>
      <c r="R99" s="171">
        <f t="shared" si="42"/>
        <v>324423641.69323111</v>
      </c>
      <c r="S99" s="137">
        <f t="shared" si="43"/>
        <v>227661211.53416464</v>
      </c>
      <c r="T99" s="85">
        <f xml:space="preserve"> S99 / 4</f>
        <v>56915302.883541159</v>
      </c>
      <c r="U99" s="46">
        <f>SUM(E4:E99)</f>
        <v>242300000</v>
      </c>
      <c r="V99" s="46">
        <f>SUM(F4:F99)</f>
        <v>88126544</v>
      </c>
      <c r="W99" s="48">
        <f xml:space="preserve"> U99 - V99</f>
        <v>154173456</v>
      </c>
      <c r="X99" s="48">
        <f>R99-W99</f>
        <v>170250185.69323111</v>
      </c>
      <c r="Y99" s="116">
        <f xml:space="preserve"> X99 / W99 * 100</f>
        <v>110.42768976601984</v>
      </c>
      <c r="Z99" s="48">
        <f xml:space="preserve"> (X99 - 2500000) * 0.16</f>
        <v>26840029.710916977</v>
      </c>
      <c r="AA99" s="214">
        <f xml:space="preserve"> R99 - ((2500000 * 12) + R87)</f>
        <v>43657209.323353052</v>
      </c>
      <c r="AB99" s="214">
        <f xml:space="preserve"> (AA99 -2500000) * 0.16</f>
        <v>6585153.4917364884</v>
      </c>
    </row>
    <row r="100" spans="1:28" s="32" customFormat="1" x14ac:dyDescent="0.3">
      <c r="A100" s="169">
        <f t="shared" si="37"/>
        <v>52000000</v>
      </c>
      <c r="B100" s="32">
        <v>9</v>
      </c>
      <c r="C100" s="316">
        <v>2030</v>
      </c>
      <c r="D100" s="71">
        <v>1</v>
      </c>
      <c r="E100" s="72">
        <v>2500000</v>
      </c>
      <c r="F100" s="73">
        <v>0</v>
      </c>
      <c r="G100" s="73">
        <v>400000</v>
      </c>
      <c r="H100" s="73">
        <f t="shared" ref="H100:H111" si="45" xml:space="preserve"> E100 - G100 - F100</f>
        <v>2100000</v>
      </c>
      <c r="I100" s="74">
        <v>0</v>
      </c>
      <c r="J100" s="75">
        <f xml:space="preserve"> L99 / 10</f>
        <v>11340000</v>
      </c>
      <c r="K100" s="76">
        <f t="shared" ref="K100:K111" si="46" xml:space="preserve"> H100 + J100 - I100</f>
        <v>13440000</v>
      </c>
      <c r="L100" s="67">
        <f t="shared" ref="L100:L111" si="47" xml:space="preserve"> L99 +I100 - J100 - N100</f>
        <v>102060000</v>
      </c>
      <c r="M100" s="140">
        <f t="shared" si="36"/>
        <v>97551079.879702732</v>
      </c>
      <c r="N100" s="68">
        <v>0</v>
      </c>
      <c r="O100" s="174">
        <f t="shared" ref="O100:O111" si="48" xml:space="preserve"> Q99 + K100</f>
        <v>127701211.53416467</v>
      </c>
      <c r="P100" s="70">
        <v>4.0000000000000001E-3</v>
      </c>
      <c r="Q100" s="148">
        <f t="shared" si="34"/>
        <v>128212016.38030133</v>
      </c>
      <c r="R100" s="174">
        <f t="shared" ref="R100:R111" si="49" xml:space="preserve"> M100 + Q100 + L100</f>
        <v>327823096.26000404</v>
      </c>
      <c r="S100" s="133">
        <f t="shared" ref="S100:S111" si="50" xml:space="preserve"> R100 - M100</f>
        <v>230272016.3803013</v>
      </c>
      <c r="T100" s="77"/>
      <c r="U100" s="11"/>
    </row>
    <row r="101" spans="1:28" s="32" customFormat="1" x14ac:dyDescent="0.3">
      <c r="A101" s="169">
        <f t="shared" si="37"/>
        <v>53000000</v>
      </c>
      <c r="C101" s="316"/>
      <c r="D101" s="79">
        <v>2</v>
      </c>
      <c r="E101" s="80">
        <v>2500000</v>
      </c>
      <c r="F101" s="81">
        <v>0</v>
      </c>
      <c r="G101" s="81">
        <v>400000</v>
      </c>
      <c r="H101" s="81">
        <f t="shared" si="45"/>
        <v>2100000</v>
      </c>
      <c r="I101" s="82">
        <v>0</v>
      </c>
      <c r="J101" s="83">
        <f xml:space="preserve"> J100</f>
        <v>11340000</v>
      </c>
      <c r="K101" s="84">
        <f t="shared" si="46"/>
        <v>13440000</v>
      </c>
      <c r="L101" s="151">
        <f t="shared" si="47"/>
        <v>90720000</v>
      </c>
      <c r="M101" s="141">
        <f t="shared" si="36"/>
        <v>99714199.317537382</v>
      </c>
      <c r="N101" s="68">
        <v>0</v>
      </c>
      <c r="O101" s="171">
        <f t="shared" si="48"/>
        <v>141652016.38030133</v>
      </c>
      <c r="P101" s="32">
        <v>1.7999999999999999E-2</v>
      </c>
      <c r="Q101" s="148">
        <f t="shared" si="34"/>
        <v>144201752.67514676</v>
      </c>
      <c r="R101" s="171">
        <f t="shared" si="49"/>
        <v>334635951.99268413</v>
      </c>
      <c r="S101" s="134">
        <f t="shared" si="50"/>
        <v>234921752.67514676</v>
      </c>
      <c r="T101" s="85"/>
      <c r="U101" s="11"/>
    </row>
    <row r="102" spans="1:28" s="32" customFormat="1" x14ac:dyDescent="0.3">
      <c r="A102" s="169">
        <f t="shared" si="37"/>
        <v>54000000</v>
      </c>
      <c r="C102" s="316"/>
      <c r="D102" s="79">
        <v>3</v>
      </c>
      <c r="E102" s="80">
        <v>2500000</v>
      </c>
      <c r="F102" s="81">
        <v>0</v>
      </c>
      <c r="G102" s="81">
        <v>400000</v>
      </c>
      <c r="H102" s="81">
        <f t="shared" si="45"/>
        <v>2100000</v>
      </c>
      <c r="I102" s="82">
        <v>0</v>
      </c>
      <c r="J102" s="83">
        <f t="shared" ref="J102:J108" si="51" xml:space="preserve"> J101</f>
        <v>11340000</v>
      </c>
      <c r="K102" s="84">
        <f t="shared" si="46"/>
        <v>13440000</v>
      </c>
      <c r="L102" s="151">
        <f t="shared" si="47"/>
        <v>79380000</v>
      </c>
      <c r="M102" s="141">
        <f t="shared" si="36"/>
        <v>101916254.90525305</v>
      </c>
      <c r="N102" s="68">
        <v>0</v>
      </c>
      <c r="O102" s="171">
        <f t="shared" si="48"/>
        <v>157641752.67514676</v>
      </c>
      <c r="P102" s="32">
        <v>1.7999999999999999E-2</v>
      </c>
      <c r="Q102" s="148">
        <f t="shared" si="34"/>
        <v>160479304.22329941</v>
      </c>
      <c r="R102" s="171">
        <f t="shared" si="49"/>
        <v>341775559.12855244</v>
      </c>
      <c r="S102" s="134">
        <f t="shared" si="50"/>
        <v>239859304.22329938</v>
      </c>
      <c r="T102" s="85"/>
      <c r="U102" s="11"/>
    </row>
    <row r="103" spans="1:28" s="32" customFormat="1" x14ac:dyDescent="0.3">
      <c r="A103" s="169">
        <f t="shared" si="37"/>
        <v>55000000</v>
      </c>
      <c r="C103" s="316"/>
      <c r="D103" s="79">
        <v>4</v>
      </c>
      <c r="E103" s="80">
        <v>2500000</v>
      </c>
      <c r="F103" s="81">
        <v>0</v>
      </c>
      <c r="G103" s="81">
        <v>400000</v>
      </c>
      <c r="H103" s="81">
        <f t="shared" si="45"/>
        <v>2100000</v>
      </c>
      <c r="I103" s="82">
        <v>0</v>
      </c>
      <c r="J103" s="83">
        <f t="shared" si="51"/>
        <v>11340000</v>
      </c>
      <c r="K103" s="84">
        <f t="shared" si="46"/>
        <v>13440000</v>
      </c>
      <c r="L103" s="151">
        <f t="shared" si="47"/>
        <v>68040000</v>
      </c>
      <c r="M103" s="141">
        <f t="shared" si="36"/>
        <v>104157947.4935476</v>
      </c>
      <c r="N103" s="68">
        <v>0</v>
      </c>
      <c r="O103" s="171">
        <f t="shared" si="48"/>
        <v>173919304.22329941</v>
      </c>
      <c r="P103" s="32">
        <v>1.7999999999999999E-2</v>
      </c>
      <c r="Q103" s="148">
        <f t="shared" si="34"/>
        <v>177049851.6993188</v>
      </c>
      <c r="R103" s="171">
        <f t="shared" si="49"/>
        <v>349247799.19286638</v>
      </c>
      <c r="S103" s="134">
        <f t="shared" si="50"/>
        <v>245089851.69931877</v>
      </c>
      <c r="T103" s="85"/>
      <c r="U103" s="11"/>
    </row>
    <row r="104" spans="1:28" s="32" customFormat="1" x14ac:dyDescent="0.3">
      <c r="A104" s="169">
        <f t="shared" si="37"/>
        <v>56000000</v>
      </c>
      <c r="C104" s="316"/>
      <c r="D104" s="79">
        <v>5</v>
      </c>
      <c r="E104" s="80">
        <v>2500000</v>
      </c>
      <c r="F104" s="81">
        <v>6400000</v>
      </c>
      <c r="G104" s="81">
        <v>400000</v>
      </c>
      <c r="H104" s="81">
        <f t="shared" si="45"/>
        <v>-4300000</v>
      </c>
      <c r="I104" s="82">
        <v>0</v>
      </c>
      <c r="J104" s="83">
        <f t="shared" si="51"/>
        <v>11340000</v>
      </c>
      <c r="K104" s="84">
        <f t="shared" si="46"/>
        <v>7040000</v>
      </c>
      <c r="L104" s="151">
        <f t="shared" si="47"/>
        <v>56700000</v>
      </c>
      <c r="M104" s="141">
        <f t="shared" si="36"/>
        <v>106439990.54843146</v>
      </c>
      <c r="N104" s="68">
        <v>0</v>
      </c>
      <c r="O104" s="171">
        <f t="shared" si="48"/>
        <v>184089851.6993188</v>
      </c>
      <c r="P104" s="32">
        <v>1.7999999999999999E-2</v>
      </c>
      <c r="Q104" s="148">
        <f t="shared" si="34"/>
        <v>187403469.02990654</v>
      </c>
      <c r="R104" s="171">
        <f t="shared" si="49"/>
        <v>350543459.57833803</v>
      </c>
      <c r="S104" s="134">
        <f t="shared" si="50"/>
        <v>244103469.02990657</v>
      </c>
      <c r="T104" s="85"/>
      <c r="U104" s="11"/>
    </row>
    <row r="105" spans="1:28" s="32" customFormat="1" x14ac:dyDescent="0.3">
      <c r="A105" s="169">
        <f t="shared" si="37"/>
        <v>57000000</v>
      </c>
      <c r="C105" s="316"/>
      <c r="D105" s="79">
        <v>6</v>
      </c>
      <c r="E105" s="80">
        <v>2500000</v>
      </c>
      <c r="F105" s="81">
        <v>0</v>
      </c>
      <c r="G105" s="81">
        <v>400000</v>
      </c>
      <c r="H105" s="81">
        <f t="shared" si="45"/>
        <v>2100000</v>
      </c>
      <c r="I105" s="82">
        <v>0</v>
      </c>
      <c r="J105" s="83">
        <f t="shared" si="51"/>
        <v>11340000</v>
      </c>
      <c r="K105" s="84">
        <f t="shared" si="46"/>
        <v>13440000</v>
      </c>
      <c r="L105" s="151">
        <f t="shared" si="47"/>
        <v>45360000</v>
      </c>
      <c r="M105" s="141">
        <f t="shared" si="36"/>
        <v>108763110.37830321</v>
      </c>
      <c r="N105" s="68">
        <v>0</v>
      </c>
      <c r="O105" s="171">
        <f t="shared" si="48"/>
        <v>200843469.02990654</v>
      </c>
      <c r="P105" s="32">
        <v>1.7999999999999999E-2</v>
      </c>
      <c r="Q105" s="148">
        <f t="shared" si="34"/>
        <v>204458651.47244486</v>
      </c>
      <c r="R105" s="171">
        <f t="shared" si="49"/>
        <v>358581761.85074806</v>
      </c>
      <c r="S105" s="134">
        <f t="shared" si="50"/>
        <v>249818651.47244483</v>
      </c>
      <c r="T105" s="85"/>
      <c r="U105" s="11"/>
    </row>
    <row r="106" spans="1:28" s="32" customFormat="1" x14ac:dyDescent="0.3">
      <c r="A106" s="169">
        <f t="shared" si="37"/>
        <v>58000000</v>
      </c>
      <c r="C106" s="316"/>
      <c r="D106" s="79">
        <v>7</v>
      </c>
      <c r="E106" s="80">
        <v>2500000</v>
      </c>
      <c r="F106" s="81">
        <v>0</v>
      </c>
      <c r="G106" s="81">
        <v>400000</v>
      </c>
      <c r="H106" s="81">
        <f t="shared" si="45"/>
        <v>2100000</v>
      </c>
      <c r="I106" s="82">
        <v>0</v>
      </c>
      <c r="J106" s="83">
        <f t="shared" si="51"/>
        <v>11340000</v>
      </c>
      <c r="K106" s="84">
        <f t="shared" si="46"/>
        <v>13440000</v>
      </c>
      <c r="L106" s="151">
        <f t="shared" si="47"/>
        <v>34020000</v>
      </c>
      <c r="M106" s="141">
        <f t="shared" si="36"/>
        <v>111128046.36511268</v>
      </c>
      <c r="N106" s="68">
        <v>0</v>
      </c>
      <c r="O106" s="171">
        <f t="shared" si="48"/>
        <v>217898651.47244486</v>
      </c>
      <c r="P106" s="32">
        <v>1.7999999999999999E-2</v>
      </c>
      <c r="Q106" s="148">
        <f t="shared" si="34"/>
        <v>221820827.19894886</v>
      </c>
      <c r="R106" s="171">
        <f t="shared" si="49"/>
        <v>366968873.56406152</v>
      </c>
      <c r="S106" s="134">
        <f t="shared" si="50"/>
        <v>255840827.19894886</v>
      </c>
      <c r="T106" s="85"/>
      <c r="U106" s="11"/>
    </row>
    <row r="107" spans="1:28" s="32" customFormat="1" x14ac:dyDescent="0.3">
      <c r="A107" s="169">
        <f t="shared" si="37"/>
        <v>59000000</v>
      </c>
      <c r="C107" s="316"/>
      <c r="D107" s="79">
        <v>8</v>
      </c>
      <c r="E107" s="80">
        <v>2500000</v>
      </c>
      <c r="F107" s="81">
        <v>0</v>
      </c>
      <c r="G107" s="81">
        <v>400000</v>
      </c>
      <c r="H107" s="81">
        <f t="shared" si="45"/>
        <v>2100000</v>
      </c>
      <c r="I107" s="82">
        <v>0</v>
      </c>
      <c r="J107" s="83">
        <f t="shared" si="51"/>
        <v>11340000</v>
      </c>
      <c r="K107" s="84">
        <f t="shared" si="46"/>
        <v>13440000</v>
      </c>
      <c r="L107" s="151">
        <f t="shared" si="47"/>
        <v>22680000</v>
      </c>
      <c r="M107" s="141">
        <f t="shared" si="36"/>
        <v>113535551.19968471</v>
      </c>
      <c r="N107" s="68">
        <v>0</v>
      </c>
      <c r="O107" s="171">
        <f t="shared" si="48"/>
        <v>235260827.19894886</v>
      </c>
      <c r="P107" s="32">
        <v>1.7999999999999999E-2</v>
      </c>
      <c r="Q107" s="148">
        <f t="shared" si="34"/>
        <v>239495522.08852994</v>
      </c>
      <c r="R107" s="171">
        <f t="shared" si="49"/>
        <v>375711073.28821468</v>
      </c>
      <c r="S107" s="134">
        <f t="shared" si="50"/>
        <v>262175522.08852997</v>
      </c>
      <c r="T107" s="85"/>
      <c r="U107" s="11"/>
    </row>
    <row r="108" spans="1:28" s="32" customFormat="1" x14ac:dyDescent="0.3">
      <c r="A108" s="169">
        <f t="shared" si="37"/>
        <v>60000000</v>
      </c>
      <c r="C108" s="316"/>
      <c r="D108" s="79">
        <v>9</v>
      </c>
      <c r="E108" s="80">
        <v>2500000</v>
      </c>
      <c r="F108" s="81">
        <v>0</v>
      </c>
      <c r="G108" s="81">
        <v>400000</v>
      </c>
      <c r="H108" s="81">
        <f t="shared" si="45"/>
        <v>2100000</v>
      </c>
      <c r="I108" s="82">
        <v>0</v>
      </c>
      <c r="J108" s="83">
        <f t="shared" si="51"/>
        <v>11340000</v>
      </c>
      <c r="K108" s="84">
        <f t="shared" si="46"/>
        <v>13440000</v>
      </c>
      <c r="L108" s="151">
        <f t="shared" si="47"/>
        <v>11340000</v>
      </c>
      <c r="M108" s="141">
        <f t="shared" si="36"/>
        <v>115986391.12127903</v>
      </c>
      <c r="N108" s="68">
        <v>0</v>
      </c>
      <c r="O108" s="171">
        <f t="shared" si="48"/>
        <v>252935522.08852994</v>
      </c>
      <c r="P108" s="32">
        <v>1.7999999999999999E-2</v>
      </c>
      <c r="Q108" s="148">
        <f t="shared" si="34"/>
        <v>257488361.48612347</v>
      </c>
      <c r="R108" s="171">
        <f t="shared" si="49"/>
        <v>384814752.6074025</v>
      </c>
      <c r="S108" s="134">
        <f t="shared" si="50"/>
        <v>268828361.48612344</v>
      </c>
      <c r="T108" s="85"/>
      <c r="U108" s="11"/>
    </row>
    <row r="109" spans="1:28" s="32" customFormat="1" x14ac:dyDescent="0.3">
      <c r="A109" s="169">
        <f t="shared" si="37"/>
        <v>61000000</v>
      </c>
      <c r="C109" s="316"/>
      <c r="D109" s="79">
        <v>10</v>
      </c>
      <c r="E109" s="80">
        <v>2500000</v>
      </c>
      <c r="F109" s="81">
        <v>0</v>
      </c>
      <c r="G109" s="81">
        <v>400000</v>
      </c>
      <c r="H109" s="81">
        <f t="shared" si="45"/>
        <v>2100000</v>
      </c>
      <c r="I109" s="82">
        <v>0</v>
      </c>
      <c r="J109" s="83">
        <f xml:space="preserve"> J108</f>
        <v>11340000</v>
      </c>
      <c r="K109" s="84">
        <f t="shared" si="46"/>
        <v>13440000</v>
      </c>
      <c r="L109" s="151">
        <f t="shared" si="47"/>
        <v>0</v>
      </c>
      <c r="M109" s="141">
        <f t="shared" si="36"/>
        <v>118481346.16146205</v>
      </c>
      <c r="N109" s="68">
        <v>0</v>
      </c>
      <c r="O109" s="171">
        <f t="shared" si="48"/>
        <v>270928361.48612344</v>
      </c>
      <c r="P109" s="32">
        <v>1.7999999999999999E-2</v>
      </c>
      <c r="Q109" s="148">
        <f t="shared" si="34"/>
        <v>275805071.99287367</v>
      </c>
      <c r="R109" s="171">
        <f t="shared" si="49"/>
        <v>394286418.15433574</v>
      </c>
      <c r="S109" s="134">
        <f t="shared" si="50"/>
        <v>275805071.99287367</v>
      </c>
      <c r="T109" s="85"/>
      <c r="U109" s="11"/>
    </row>
    <row r="110" spans="1:28" s="32" customFormat="1" ht="17.25" thickBot="1" x14ac:dyDescent="0.35">
      <c r="A110" s="169">
        <f t="shared" si="37"/>
        <v>62000000</v>
      </c>
      <c r="C110" s="316"/>
      <c r="D110" s="87">
        <v>11</v>
      </c>
      <c r="E110" s="88">
        <v>2500000</v>
      </c>
      <c r="F110" s="89">
        <v>0</v>
      </c>
      <c r="G110" s="89">
        <v>400000</v>
      </c>
      <c r="H110" s="89">
        <f t="shared" si="45"/>
        <v>2100000</v>
      </c>
      <c r="I110" s="90">
        <v>71400000</v>
      </c>
      <c r="J110" s="91">
        <v>0</v>
      </c>
      <c r="K110" s="92">
        <f t="shared" si="46"/>
        <v>-69300000</v>
      </c>
      <c r="L110" s="151">
        <f t="shared" si="47"/>
        <v>71400000</v>
      </c>
      <c r="M110" s="142">
        <f t="shared" si="36"/>
        <v>121021210.39236838</v>
      </c>
      <c r="N110" s="68">
        <v>0</v>
      </c>
      <c r="O110" s="172">
        <f t="shared" si="48"/>
        <v>206505071.99287367</v>
      </c>
      <c r="P110" s="86">
        <v>1.7999999999999999E-2</v>
      </c>
      <c r="Q110" s="148">
        <f t="shared" si="34"/>
        <v>210222163.2887454</v>
      </c>
      <c r="R110" s="171">
        <f t="shared" si="49"/>
        <v>402643373.68111378</v>
      </c>
      <c r="S110" s="134">
        <f t="shared" si="50"/>
        <v>281622163.2887454</v>
      </c>
      <c r="T110" s="85"/>
      <c r="U110" s="11"/>
    </row>
    <row r="111" spans="1:28" s="180" customFormat="1" ht="17.25" thickBot="1" x14ac:dyDescent="0.35">
      <c r="A111" s="178">
        <f t="shared" si="37"/>
        <v>63000000</v>
      </c>
      <c r="C111" s="316"/>
      <c r="D111" s="39">
        <v>12</v>
      </c>
      <c r="E111" s="40">
        <v>2500000</v>
      </c>
      <c r="F111" s="41">
        <v>0</v>
      </c>
      <c r="G111" s="41">
        <v>400000</v>
      </c>
      <c r="H111" s="41">
        <f t="shared" si="45"/>
        <v>2100000</v>
      </c>
      <c r="I111" s="42">
        <v>71400000</v>
      </c>
      <c r="J111" s="44">
        <v>0</v>
      </c>
      <c r="K111" s="47">
        <f t="shared" si="46"/>
        <v>-69300000</v>
      </c>
      <c r="L111" s="154">
        <f t="shared" si="47"/>
        <v>142800000</v>
      </c>
      <c r="M111" s="145">
        <f t="shared" si="36"/>
        <v>123606792.17943101</v>
      </c>
      <c r="N111" s="49">
        <v>0</v>
      </c>
      <c r="O111" s="130">
        <f t="shared" si="48"/>
        <v>140922163.2887454</v>
      </c>
      <c r="P111" s="45">
        <v>1.7999999999999999E-2</v>
      </c>
      <c r="Q111" s="210">
        <f t="shared" si="34"/>
        <v>143458762.22794282</v>
      </c>
      <c r="R111" s="131">
        <f t="shared" si="49"/>
        <v>409865554.40737385</v>
      </c>
      <c r="S111" s="137">
        <f t="shared" si="50"/>
        <v>286258762.22794282</v>
      </c>
      <c r="T111" s="179">
        <f xml:space="preserve"> S111 / 4</f>
        <v>71564690.556985706</v>
      </c>
      <c r="U111" s="46">
        <f>SUM(E4:E111)</f>
        <v>272300000</v>
      </c>
      <c r="V111" s="46">
        <f>SUM(F4:F111)</f>
        <v>94526544</v>
      </c>
      <c r="W111" s="48">
        <f xml:space="preserve"> U111 - V111</f>
        <v>177773456</v>
      </c>
      <c r="X111" s="48">
        <f>R111-W111</f>
        <v>232092098.40737385</v>
      </c>
      <c r="Y111" s="116">
        <f xml:space="preserve"> X111 / W111 * 100</f>
        <v>130.55497914569082</v>
      </c>
      <c r="Z111" s="48">
        <f xml:space="preserve"> (X111 - 2500000) * 0.16</f>
        <v>36734735.745179817</v>
      </c>
      <c r="AA111" s="214">
        <f xml:space="preserve"> R111 - ((2500000 * 12) + R99)</f>
        <v>55441912.71414274</v>
      </c>
      <c r="AB111" s="214">
        <f xml:space="preserve"> (AA111 -2500000) * 0.16</f>
        <v>8470706.0342628378</v>
      </c>
    </row>
    <row r="112" spans="1:28" s="32" customFormat="1" x14ac:dyDescent="0.3">
      <c r="A112" s="169">
        <f t="shared" si="37"/>
        <v>64000000</v>
      </c>
      <c r="B112" s="32">
        <v>10</v>
      </c>
      <c r="C112" s="316">
        <v>2031</v>
      </c>
      <c r="D112" s="71">
        <v>1</v>
      </c>
      <c r="E112" s="72">
        <v>2500000</v>
      </c>
      <c r="F112" s="73">
        <v>0</v>
      </c>
      <c r="G112" s="73">
        <v>400000</v>
      </c>
      <c r="H112" s="73">
        <f t="shared" ref="H112:H123" si="52" xml:space="preserve"> E112 - G112 - F112</f>
        <v>2100000</v>
      </c>
      <c r="I112" s="74">
        <v>0</v>
      </c>
      <c r="J112" s="75">
        <f xml:space="preserve"> L111 / 10</f>
        <v>14280000</v>
      </c>
      <c r="K112" s="76">
        <f t="shared" ref="K112:K123" si="53" xml:space="preserve"> H112 + J112 - I112</f>
        <v>16380000</v>
      </c>
      <c r="L112" s="67">
        <f t="shared" ref="L112:L123" si="54" xml:space="preserve"> L111 +I112 - J112 - N112</f>
        <v>128520000</v>
      </c>
      <c r="M112" s="140">
        <f t="shared" ref="M112:M143" si="55" xml:space="preserve"> (M111 + 400000) + ((M111 + 400000) * P112 )</f>
        <v>124502819.34814873</v>
      </c>
      <c r="N112" s="68">
        <v>0</v>
      </c>
      <c r="O112" s="174">
        <f t="shared" ref="O112:O123" si="56" xml:space="preserve"> Q111 + K112</f>
        <v>159838762.22794282</v>
      </c>
      <c r="P112" s="70">
        <v>4.0000000000000001E-3</v>
      </c>
      <c r="Q112" s="148">
        <f t="shared" si="34"/>
        <v>160478117.2768546</v>
      </c>
      <c r="R112" s="174">
        <f t="shared" ref="R112:R123" si="57" xml:space="preserve"> M112 + Q112 + L112</f>
        <v>413500936.62500334</v>
      </c>
      <c r="S112" s="133">
        <f t="shared" ref="S112:S123" si="58" xml:space="preserve"> R112 - M112</f>
        <v>288998117.27685463</v>
      </c>
      <c r="T112" s="77"/>
      <c r="U112" s="11"/>
    </row>
    <row r="113" spans="1:28" s="32" customFormat="1" x14ac:dyDescent="0.3">
      <c r="A113" s="169">
        <f t="shared" si="37"/>
        <v>65000000</v>
      </c>
      <c r="C113" s="316"/>
      <c r="D113" s="79">
        <v>2</v>
      </c>
      <c r="E113" s="80">
        <v>2500000</v>
      </c>
      <c r="F113" s="81">
        <v>0</v>
      </c>
      <c r="G113" s="81">
        <v>400000</v>
      </c>
      <c r="H113" s="81">
        <f t="shared" si="52"/>
        <v>2100000</v>
      </c>
      <c r="I113" s="82">
        <v>0</v>
      </c>
      <c r="J113" s="83">
        <f xml:space="preserve"> J112</f>
        <v>14280000</v>
      </c>
      <c r="K113" s="84">
        <f t="shared" si="53"/>
        <v>16380000</v>
      </c>
      <c r="L113" s="151">
        <f t="shared" si="54"/>
        <v>114240000</v>
      </c>
      <c r="M113" s="141">
        <f t="shared" si="55"/>
        <v>127151070.09641542</v>
      </c>
      <c r="N113" s="68">
        <v>0</v>
      </c>
      <c r="O113" s="171">
        <f t="shared" si="56"/>
        <v>176858117.2768546</v>
      </c>
      <c r="P113" s="32">
        <v>1.7999999999999999E-2</v>
      </c>
      <c r="Q113" s="148">
        <f t="shared" si="34"/>
        <v>180041563.38783798</v>
      </c>
      <c r="R113" s="171">
        <f t="shared" si="57"/>
        <v>421432633.48425341</v>
      </c>
      <c r="S113" s="134">
        <f t="shared" si="58"/>
        <v>294281563.38783801</v>
      </c>
      <c r="T113" s="85"/>
      <c r="U113" s="11"/>
    </row>
    <row r="114" spans="1:28" s="32" customFormat="1" x14ac:dyDescent="0.3">
      <c r="A114" s="169">
        <f t="shared" si="37"/>
        <v>66000000</v>
      </c>
      <c r="C114" s="316"/>
      <c r="D114" s="79">
        <v>3</v>
      </c>
      <c r="E114" s="80">
        <v>2500000</v>
      </c>
      <c r="F114" s="81">
        <v>0</v>
      </c>
      <c r="G114" s="81">
        <v>400000</v>
      </c>
      <c r="H114" s="81">
        <f t="shared" si="52"/>
        <v>2100000</v>
      </c>
      <c r="I114" s="82">
        <v>0</v>
      </c>
      <c r="J114" s="83">
        <f t="shared" ref="J114:J120" si="59" xml:space="preserve"> J113</f>
        <v>14280000</v>
      </c>
      <c r="K114" s="84">
        <f t="shared" si="53"/>
        <v>16380000</v>
      </c>
      <c r="L114" s="151">
        <f t="shared" si="54"/>
        <v>99960000</v>
      </c>
      <c r="M114" s="141">
        <f t="shared" si="55"/>
        <v>129846989.3581509</v>
      </c>
      <c r="N114" s="68">
        <v>0</v>
      </c>
      <c r="O114" s="171">
        <f t="shared" si="56"/>
        <v>196421563.38783798</v>
      </c>
      <c r="P114" s="32">
        <v>1.7999999999999999E-2</v>
      </c>
      <c r="Q114" s="148">
        <f t="shared" si="34"/>
        <v>199957151.52881905</v>
      </c>
      <c r="R114" s="171">
        <f t="shared" si="57"/>
        <v>429764140.88696992</v>
      </c>
      <c r="S114" s="134">
        <f t="shared" si="58"/>
        <v>299917151.52881902</v>
      </c>
      <c r="T114" s="85"/>
      <c r="U114" s="11"/>
    </row>
    <row r="115" spans="1:28" s="32" customFormat="1" x14ac:dyDescent="0.3">
      <c r="A115" s="169">
        <f t="shared" si="37"/>
        <v>67000000</v>
      </c>
      <c r="C115" s="316"/>
      <c r="D115" s="79">
        <v>4</v>
      </c>
      <c r="E115" s="80">
        <v>2500000</v>
      </c>
      <c r="F115" s="81">
        <v>0</v>
      </c>
      <c r="G115" s="81">
        <v>400000</v>
      </c>
      <c r="H115" s="81">
        <f t="shared" si="52"/>
        <v>2100000</v>
      </c>
      <c r="I115" s="82">
        <v>0</v>
      </c>
      <c r="J115" s="83">
        <f t="shared" si="59"/>
        <v>14280000</v>
      </c>
      <c r="K115" s="84">
        <f t="shared" si="53"/>
        <v>16380000</v>
      </c>
      <c r="L115" s="151">
        <f t="shared" si="54"/>
        <v>85680000</v>
      </c>
      <c r="M115" s="141">
        <f t="shared" si="55"/>
        <v>132591435.16659762</v>
      </c>
      <c r="N115" s="68">
        <v>0</v>
      </c>
      <c r="O115" s="171">
        <f t="shared" si="56"/>
        <v>216337151.52881905</v>
      </c>
      <c r="P115" s="32">
        <v>1.7999999999999999E-2</v>
      </c>
      <c r="Q115" s="148">
        <f t="shared" si="34"/>
        <v>220231220.25633779</v>
      </c>
      <c r="R115" s="171">
        <f t="shared" si="57"/>
        <v>438502655.42293543</v>
      </c>
      <c r="S115" s="134">
        <f t="shared" si="58"/>
        <v>305911220.25633782</v>
      </c>
      <c r="T115" s="85"/>
      <c r="U115" s="11"/>
    </row>
    <row r="116" spans="1:28" s="32" customFormat="1" x14ac:dyDescent="0.3">
      <c r="A116" s="169">
        <f t="shared" si="37"/>
        <v>68000000</v>
      </c>
      <c r="C116" s="316"/>
      <c r="D116" s="79">
        <v>5</v>
      </c>
      <c r="E116" s="80">
        <v>2500000</v>
      </c>
      <c r="F116" s="81">
        <v>8170000</v>
      </c>
      <c r="G116" s="81">
        <v>400000</v>
      </c>
      <c r="H116" s="81">
        <f t="shared" si="52"/>
        <v>-6070000</v>
      </c>
      <c r="I116" s="82">
        <v>0</v>
      </c>
      <c r="J116" s="83">
        <f t="shared" si="59"/>
        <v>14280000</v>
      </c>
      <c r="K116" s="84">
        <f t="shared" si="53"/>
        <v>8210000</v>
      </c>
      <c r="L116" s="151">
        <f t="shared" si="54"/>
        <v>71400000</v>
      </c>
      <c r="M116" s="141">
        <f t="shared" si="55"/>
        <v>135385280.99959639</v>
      </c>
      <c r="N116" s="68">
        <v>0</v>
      </c>
      <c r="O116" s="171">
        <f t="shared" si="56"/>
        <v>228441220.25633779</v>
      </c>
      <c r="P116" s="32">
        <v>1.7999999999999999E-2</v>
      </c>
      <c r="Q116" s="148">
        <f t="shared" si="34"/>
        <v>232553162.22095188</v>
      </c>
      <c r="R116" s="171">
        <f t="shared" si="57"/>
        <v>439338443.22054827</v>
      </c>
      <c r="S116" s="134">
        <f t="shared" si="58"/>
        <v>303953162.22095191</v>
      </c>
      <c r="T116" s="85"/>
      <c r="U116" s="11"/>
    </row>
    <row r="117" spans="1:28" s="32" customFormat="1" x14ac:dyDescent="0.3">
      <c r="A117" s="169">
        <f t="shared" si="37"/>
        <v>69000000</v>
      </c>
      <c r="C117" s="316"/>
      <c r="D117" s="79">
        <v>6</v>
      </c>
      <c r="E117" s="80">
        <v>2500000</v>
      </c>
      <c r="F117" s="81">
        <v>0</v>
      </c>
      <c r="G117" s="81">
        <v>400000</v>
      </c>
      <c r="H117" s="81">
        <f t="shared" si="52"/>
        <v>2100000</v>
      </c>
      <c r="I117" s="82">
        <v>0</v>
      </c>
      <c r="J117" s="83">
        <f t="shared" si="59"/>
        <v>14280000</v>
      </c>
      <c r="K117" s="84">
        <f t="shared" si="53"/>
        <v>16380000</v>
      </c>
      <c r="L117" s="151">
        <f t="shared" si="54"/>
        <v>57120000</v>
      </c>
      <c r="M117" s="141">
        <f t="shared" si="55"/>
        <v>138229416.05758911</v>
      </c>
      <c r="N117" s="68">
        <v>0</v>
      </c>
      <c r="O117" s="171">
        <f t="shared" si="56"/>
        <v>248933162.22095188</v>
      </c>
      <c r="P117" s="32">
        <v>1.7999999999999999E-2</v>
      </c>
      <c r="Q117" s="148">
        <f t="shared" si="34"/>
        <v>253413959.14092901</v>
      </c>
      <c r="R117" s="171">
        <f t="shared" si="57"/>
        <v>448763375.19851816</v>
      </c>
      <c r="S117" s="134">
        <f t="shared" si="58"/>
        <v>310533959.14092904</v>
      </c>
      <c r="T117" s="85"/>
      <c r="U117" s="11"/>
    </row>
    <row r="118" spans="1:28" s="32" customFormat="1" x14ac:dyDescent="0.3">
      <c r="A118" s="169">
        <f t="shared" si="37"/>
        <v>70000000</v>
      </c>
      <c r="C118" s="316"/>
      <c r="D118" s="79">
        <v>7</v>
      </c>
      <c r="E118" s="80">
        <v>2500000</v>
      </c>
      <c r="F118" s="81">
        <v>0</v>
      </c>
      <c r="G118" s="81">
        <v>400000</v>
      </c>
      <c r="H118" s="81">
        <f t="shared" si="52"/>
        <v>2100000</v>
      </c>
      <c r="I118" s="82">
        <v>0</v>
      </c>
      <c r="J118" s="83">
        <f t="shared" si="59"/>
        <v>14280000</v>
      </c>
      <c r="K118" s="84">
        <f t="shared" si="53"/>
        <v>16380000</v>
      </c>
      <c r="L118" s="151">
        <f t="shared" si="54"/>
        <v>42840000</v>
      </c>
      <c r="M118" s="141">
        <f t="shared" si="55"/>
        <v>141124745.5466257</v>
      </c>
      <c r="N118" s="68">
        <v>0</v>
      </c>
      <c r="O118" s="171">
        <f t="shared" si="56"/>
        <v>269793959.14092898</v>
      </c>
      <c r="P118" s="32">
        <v>1.7999999999999999E-2</v>
      </c>
      <c r="Q118" s="148">
        <f t="shared" si="34"/>
        <v>274650250.40546572</v>
      </c>
      <c r="R118" s="171">
        <f t="shared" si="57"/>
        <v>458614995.95209146</v>
      </c>
      <c r="S118" s="134">
        <f t="shared" si="58"/>
        <v>317490250.40546572</v>
      </c>
      <c r="T118" s="85"/>
      <c r="U118" s="11"/>
    </row>
    <row r="119" spans="1:28" s="32" customFormat="1" x14ac:dyDescent="0.3">
      <c r="A119" s="169">
        <f t="shared" si="37"/>
        <v>71000000</v>
      </c>
      <c r="C119" s="316"/>
      <c r="D119" s="79">
        <v>8</v>
      </c>
      <c r="E119" s="80">
        <v>2500000</v>
      </c>
      <c r="F119" s="81">
        <v>0</v>
      </c>
      <c r="G119" s="81">
        <v>400000</v>
      </c>
      <c r="H119" s="81">
        <f t="shared" si="52"/>
        <v>2100000</v>
      </c>
      <c r="I119" s="82">
        <v>0</v>
      </c>
      <c r="J119" s="83">
        <f t="shared" si="59"/>
        <v>14280000</v>
      </c>
      <c r="K119" s="84">
        <f t="shared" si="53"/>
        <v>16380000</v>
      </c>
      <c r="L119" s="151">
        <f t="shared" si="54"/>
        <v>28560000</v>
      </c>
      <c r="M119" s="141">
        <f t="shared" si="55"/>
        <v>144072190.96646497</v>
      </c>
      <c r="N119" s="68">
        <v>0</v>
      </c>
      <c r="O119" s="171">
        <f t="shared" si="56"/>
        <v>291030250.40546572</v>
      </c>
      <c r="P119" s="32">
        <v>1.7999999999999999E-2</v>
      </c>
      <c r="Q119" s="148">
        <f t="shared" si="34"/>
        <v>296268794.91276413</v>
      </c>
      <c r="R119" s="171">
        <f t="shared" si="57"/>
        <v>468900985.87922907</v>
      </c>
      <c r="S119" s="134">
        <f t="shared" si="58"/>
        <v>324828794.91276407</v>
      </c>
      <c r="T119" s="85"/>
      <c r="U119" s="11"/>
    </row>
    <row r="120" spans="1:28" s="32" customFormat="1" x14ac:dyDescent="0.3">
      <c r="A120" s="169">
        <f t="shared" si="37"/>
        <v>72000000</v>
      </c>
      <c r="C120" s="316"/>
      <c r="D120" s="79">
        <v>9</v>
      </c>
      <c r="E120" s="80">
        <v>2500000</v>
      </c>
      <c r="F120" s="81">
        <v>0</v>
      </c>
      <c r="G120" s="81">
        <v>400000</v>
      </c>
      <c r="H120" s="81">
        <f t="shared" si="52"/>
        <v>2100000</v>
      </c>
      <c r="I120" s="82">
        <v>0</v>
      </c>
      <c r="J120" s="83">
        <f t="shared" si="59"/>
        <v>14280000</v>
      </c>
      <c r="K120" s="84">
        <f t="shared" si="53"/>
        <v>16380000</v>
      </c>
      <c r="L120" s="151">
        <f t="shared" si="54"/>
        <v>14280000</v>
      </c>
      <c r="M120" s="141">
        <f t="shared" si="55"/>
        <v>147072690.40386134</v>
      </c>
      <c r="N120" s="68">
        <v>0</v>
      </c>
      <c r="O120" s="171">
        <f t="shared" si="56"/>
        <v>312648794.91276413</v>
      </c>
      <c r="P120" s="32">
        <v>1.7999999999999999E-2</v>
      </c>
      <c r="Q120" s="148">
        <f t="shared" si="34"/>
        <v>318276473.22119391</v>
      </c>
      <c r="R120" s="171">
        <f t="shared" si="57"/>
        <v>479629163.62505525</v>
      </c>
      <c r="S120" s="134">
        <f t="shared" si="58"/>
        <v>332556473.22119391</v>
      </c>
      <c r="T120" s="85"/>
      <c r="U120" s="11"/>
    </row>
    <row r="121" spans="1:28" s="32" customFormat="1" x14ac:dyDescent="0.3">
      <c r="A121" s="169">
        <f t="shared" si="37"/>
        <v>73000000</v>
      </c>
      <c r="C121" s="316"/>
      <c r="D121" s="79">
        <v>10</v>
      </c>
      <c r="E121" s="80">
        <v>2500000</v>
      </c>
      <c r="F121" s="81">
        <v>0</v>
      </c>
      <c r="G121" s="81">
        <v>400000</v>
      </c>
      <c r="H121" s="81">
        <f t="shared" si="52"/>
        <v>2100000</v>
      </c>
      <c r="I121" s="82">
        <v>0</v>
      </c>
      <c r="J121" s="83">
        <f xml:space="preserve"> J120</f>
        <v>14280000</v>
      </c>
      <c r="K121" s="84">
        <f t="shared" si="53"/>
        <v>16380000</v>
      </c>
      <c r="L121" s="151">
        <f t="shared" si="54"/>
        <v>0</v>
      </c>
      <c r="M121" s="141">
        <f t="shared" si="55"/>
        <v>150127198.83113086</v>
      </c>
      <c r="N121" s="68">
        <v>0</v>
      </c>
      <c r="O121" s="171">
        <f t="shared" si="56"/>
        <v>334656473.22119391</v>
      </c>
      <c r="P121" s="32">
        <v>1.7999999999999999E-2</v>
      </c>
      <c r="Q121" s="148">
        <f t="shared" si="34"/>
        <v>340680289.73917538</v>
      </c>
      <c r="R121" s="171">
        <f t="shared" si="57"/>
        <v>490807488.57030624</v>
      </c>
      <c r="S121" s="134">
        <f t="shared" si="58"/>
        <v>340680289.73917538</v>
      </c>
      <c r="T121" s="85"/>
      <c r="U121" s="11"/>
    </row>
    <row r="122" spans="1:28" s="32" customFormat="1" ht="17.25" thickBot="1" x14ac:dyDescent="0.35">
      <c r="A122" s="169">
        <f t="shared" si="37"/>
        <v>74000000</v>
      </c>
      <c r="C122" s="316"/>
      <c r="D122" s="87">
        <v>11</v>
      </c>
      <c r="E122" s="88">
        <v>2500000</v>
      </c>
      <c r="F122" s="89">
        <v>0</v>
      </c>
      <c r="G122" s="89">
        <v>400000</v>
      </c>
      <c r="H122" s="89">
        <f t="shared" si="52"/>
        <v>2100000</v>
      </c>
      <c r="I122" s="90">
        <v>88000000</v>
      </c>
      <c r="J122" s="91">
        <v>0</v>
      </c>
      <c r="K122" s="92">
        <f t="shared" si="53"/>
        <v>-85900000</v>
      </c>
      <c r="L122" s="151">
        <f t="shared" si="54"/>
        <v>88000000</v>
      </c>
      <c r="M122" s="142">
        <f t="shared" si="55"/>
        <v>153236688.41009122</v>
      </c>
      <c r="N122" s="68">
        <v>0</v>
      </c>
      <c r="O122" s="172">
        <f t="shared" si="56"/>
        <v>254780289.73917538</v>
      </c>
      <c r="P122" s="86">
        <v>1.7999999999999999E-2</v>
      </c>
      <c r="Q122" s="148">
        <f t="shared" si="34"/>
        <v>259366334.95448053</v>
      </c>
      <c r="R122" s="171">
        <f t="shared" si="57"/>
        <v>500603023.36457175</v>
      </c>
      <c r="S122" s="134">
        <f t="shared" si="58"/>
        <v>347366334.95448053</v>
      </c>
      <c r="T122" s="85"/>
      <c r="U122" s="11"/>
    </row>
    <row r="123" spans="1:28" s="32" customFormat="1" ht="17.25" thickBot="1" x14ac:dyDescent="0.35">
      <c r="A123" s="169">
        <f t="shared" si="37"/>
        <v>75000000</v>
      </c>
      <c r="C123" s="316"/>
      <c r="D123" s="39">
        <v>12</v>
      </c>
      <c r="E123" s="40">
        <v>2500000</v>
      </c>
      <c r="F123" s="41">
        <v>0</v>
      </c>
      <c r="G123" s="41">
        <v>400000</v>
      </c>
      <c r="H123" s="41">
        <f t="shared" si="52"/>
        <v>2100000</v>
      </c>
      <c r="I123" s="42">
        <v>88000000</v>
      </c>
      <c r="J123" s="44">
        <v>0</v>
      </c>
      <c r="K123" s="47">
        <f t="shared" si="53"/>
        <v>-85900000</v>
      </c>
      <c r="L123" s="154">
        <f t="shared" si="54"/>
        <v>176000000</v>
      </c>
      <c r="M123" s="143">
        <f t="shared" si="55"/>
        <v>156402148.80147287</v>
      </c>
      <c r="N123" s="49">
        <v>0</v>
      </c>
      <c r="O123" s="173">
        <f t="shared" si="56"/>
        <v>173466334.95448053</v>
      </c>
      <c r="P123" s="45">
        <v>1.7999999999999999E-2</v>
      </c>
      <c r="Q123" s="148">
        <f t="shared" si="34"/>
        <v>176588728.98366117</v>
      </c>
      <c r="R123" s="171">
        <f t="shared" si="57"/>
        <v>508990877.78513408</v>
      </c>
      <c r="S123" s="137">
        <f t="shared" si="58"/>
        <v>352588728.98366117</v>
      </c>
      <c r="T123" s="85">
        <f xml:space="preserve"> S123 / 4</f>
        <v>88147182.245915294</v>
      </c>
      <c r="U123" s="46">
        <f>SUM(E4:E123)</f>
        <v>302300000</v>
      </c>
      <c r="V123" s="46">
        <f>SUM(F4:F123)</f>
        <v>102696544</v>
      </c>
      <c r="W123" s="48">
        <f xml:space="preserve"> U123 - V123</f>
        <v>199603456</v>
      </c>
      <c r="X123" s="48">
        <f>R123-W123</f>
        <v>309387421.78513408</v>
      </c>
      <c r="Y123" s="116">
        <f xml:space="preserve"> X123 / W123 * 100</f>
        <v>155.00103454377768</v>
      </c>
      <c r="Z123" s="48">
        <f xml:space="preserve"> (X123 - 2500000) * 0.16</f>
        <v>49101987.485621452</v>
      </c>
      <c r="AA123" s="214">
        <f xml:space="preserve"> R123 - ((2500000 * 12) + R111)</f>
        <v>69125323.377760231</v>
      </c>
      <c r="AB123" s="214">
        <f xml:space="preserve"> (AA123 -2500000) * 0.16</f>
        <v>10660051.740441637</v>
      </c>
    </row>
    <row r="124" spans="1:28" s="32" customFormat="1" x14ac:dyDescent="0.3">
      <c r="A124" s="169">
        <f t="shared" si="37"/>
        <v>76000000</v>
      </c>
      <c r="B124" s="32">
        <v>11</v>
      </c>
      <c r="C124" s="316">
        <v>2032</v>
      </c>
      <c r="D124" s="71">
        <v>1</v>
      </c>
      <c r="E124" s="72">
        <v>2500000</v>
      </c>
      <c r="F124" s="73">
        <v>0</v>
      </c>
      <c r="G124" s="73">
        <v>400000</v>
      </c>
      <c r="H124" s="73">
        <f t="shared" ref="H124:H135" si="60" xml:space="preserve"> E124 - G124 - F124</f>
        <v>2100000</v>
      </c>
      <c r="I124" s="74">
        <v>0</v>
      </c>
      <c r="J124" s="75">
        <f xml:space="preserve"> L123 / 10</f>
        <v>17600000</v>
      </c>
      <c r="K124" s="76">
        <f t="shared" ref="K124:K135" si="61" xml:space="preserve"> H124 + J124 - I124</f>
        <v>19700000</v>
      </c>
      <c r="L124" s="67">
        <f t="shared" ref="L124:L135" si="62" xml:space="preserve"> L123 +I124 - J124 - N124</f>
        <v>158400000</v>
      </c>
      <c r="M124" s="140">
        <f t="shared" si="55"/>
        <v>157429357.39667878</v>
      </c>
      <c r="N124" s="68">
        <v>0</v>
      </c>
      <c r="O124" s="174">
        <f t="shared" ref="O124:O135" si="63" xml:space="preserve"> Q123 + K124</f>
        <v>196288728.98366117</v>
      </c>
      <c r="P124" s="70">
        <v>4.0000000000000001E-3</v>
      </c>
      <c r="Q124" s="148">
        <f t="shared" si="34"/>
        <v>197073883.89959583</v>
      </c>
      <c r="R124" s="174">
        <f t="shared" ref="R124:R135" si="64" xml:space="preserve"> M124 + Q124 + L124</f>
        <v>512903241.2962746</v>
      </c>
      <c r="S124" s="133">
        <f t="shared" ref="S124:S135" si="65" xml:space="preserve"> R124 - M124</f>
        <v>355473883.89959586</v>
      </c>
      <c r="T124" s="77"/>
      <c r="U124" s="11"/>
    </row>
    <row r="125" spans="1:28" s="32" customFormat="1" x14ac:dyDescent="0.3">
      <c r="A125" s="169">
        <f t="shared" si="37"/>
        <v>77000000</v>
      </c>
      <c r="C125" s="316"/>
      <c r="D125" s="79">
        <v>2</v>
      </c>
      <c r="E125" s="80">
        <v>2500000</v>
      </c>
      <c r="F125" s="81">
        <v>0</v>
      </c>
      <c r="G125" s="81">
        <v>400000</v>
      </c>
      <c r="H125" s="81">
        <f t="shared" si="60"/>
        <v>2100000</v>
      </c>
      <c r="I125" s="82">
        <v>0</v>
      </c>
      <c r="J125" s="83">
        <f xml:space="preserve"> J124</f>
        <v>17600000</v>
      </c>
      <c r="K125" s="84">
        <f t="shared" si="61"/>
        <v>19700000</v>
      </c>
      <c r="L125" s="151">
        <f t="shared" si="62"/>
        <v>140800000</v>
      </c>
      <c r="M125" s="141">
        <f t="shared" si="55"/>
        <v>160670285.82981899</v>
      </c>
      <c r="N125" s="68">
        <v>0</v>
      </c>
      <c r="O125" s="171">
        <f t="shared" si="63"/>
        <v>216773883.89959583</v>
      </c>
      <c r="P125" s="32">
        <v>1.7999999999999999E-2</v>
      </c>
      <c r="Q125" s="148">
        <f t="shared" si="34"/>
        <v>220675813.80978855</v>
      </c>
      <c r="R125" s="171">
        <f t="shared" si="64"/>
        <v>522146099.63960755</v>
      </c>
      <c r="S125" s="134">
        <f t="shared" si="65"/>
        <v>361475813.80978858</v>
      </c>
      <c r="T125" s="85"/>
      <c r="U125" s="11"/>
    </row>
    <row r="126" spans="1:28" s="32" customFormat="1" x14ac:dyDescent="0.3">
      <c r="A126" s="169">
        <f t="shared" si="37"/>
        <v>78000000</v>
      </c>
      <c r="C126" s="316"/>
      <c r="D126" s="79">
        <v>3</v>
      </c>
      <c r="E126" s="80">
        <v>2500000</v>
      </c>
      <c r="F126" s="81">
        <v>0</v>
      </c>
      <c r="G126" s="81">
        <v>400000</v>
      </c>
      <c r="H126" s="81">
        <f t="shared" si="60"/>
        <v>2100000</v>
      </c>
      <c r="I126" s="82">
        <v>0</v>
      </c>
      <c r="J126" s="83">
        <f t="shared" ref="J126:J132" si="66" xml:space="preserve"> J125</f>
        <v>17600000</v>
      </c>
      <c r="K126" s="84">
        <f t="shared" si="61"/>
        <v>19700000</v>
      </c>
      <c r="L126" s="151">
        <f t="shared" si="62"/>
        <v>123200000</v>
      </c>
      <c r="M126" s="141">
        <f t="shared" si="55"/>
        <v>163969550.97475573</v>
      </c>
      <c r="N126" s="68">
        <v>0</v>
      </c>
      <c r="O126" s="171">
        <f t="shared" si="63"/>
        <v>240375813.80978855</v>
      </c>
      <c r="P126" s="32">
        <v>1.7999999999999999E-2</v>
      </c>
      <c r="Q126" s="148">
        <f t="shared" si="34"/>
        <v>244702578.45836475</v>
      </c>
      <c r="R126" s="171">
        <f t="shared" si="64"/>
        <v>531872129.43312049</v>
      </c>
      <c r="S126" s="134">
        <f t="shared" si="65"/>
        <v>367902578.45836473</v>
      </c>
      <c r="T126" s="85"/>
      <c r="U126" s="11"/>
    </row>
    <row r="127" spans="1:28" s="32" customFormat="1" x14ac:dyDescent="0.3">
      <c r="A127" s="169">
        <f t="shared" si="37"/>
        <v>79000000</v>
      </c>
      <c r="C127" s="316"/>
      <c r="D127" s="79">
        <v>4</v>
      </c>
      <c r="E127" s="80">
        <v>2500000</v>
      </c>
      <c r="F127" s="81">
        <v>0</v>
      </c>
      <c r="G127" s="81">
        <v>400000</v>
      </c>
      <c r="H127" s="81">
        <f t="shared" si="60"/>
        <v>2100000</v>
      </c>
      <c r="I127" s="82">
        <v>0</v>
      </c>
      <c r="J127" s="83">
        <f t="shared" si="66"/>
        <v>17600000</v>
      </c>
      <c r="K127" s="84">
        <f t="shared" si="61"/>
        <v>19700000</v>
      </c>
      <c r="L127" s="151">
        <f t="shared" si="62"/>
        <v>105600000</v>
      </c>
      <c r="M127" s="141">
        <f t="shared" si="55"/>
        <v>167328202.89230135</v>
      </c>
      <c r="N127" s="68">
        <v>0</v>
      </c>
      <c r="O127" s="171">
        <f t="shared" si="63"/>
        <v>264402578.45836475</v>
      </c>
      <c r="P127" s="32">
        <v>1.7999999999999999E-2</v>
      </c>
      <c r="Q127" s="148">
        <f t="shared" si="34"/>
        <v>269161824.8706153</v>
      </c>
      <c r="R127" s="171">
        <f t="shared" si="64"/>
        <v>542090027.76291668</v>
      </c>
      <c r="S127" s="134">
        <f t="shared" si="65"/>
        <v>374761824.87061536</v>
      </c>
      <c r="T127" s="85"/>
      <c r="U127" s="11"/>
    </row>
    <row r="128" spans="1:28" s="32" customFormat="1" x14ac:dyDescent="0.3">
      <c r="A128" s="169">
        <f t="shared" si="37"/>
        <v>80000000</v>
      </c>
      <c r="C128" s="316"/>
      <c r="D128" s="79">
        <v>5</v>
      </c>
      <c r="E128" s="80">
        <v>2500000</v>
      </c>
      <c r="F128" s="81">
        <v>10190000</v>
      </c>
      <c r="G128" s="81">
        <v>400000</v>
      </c>
      <c r="H128" s="81">
        <f t="shared" si="60"/>
        <v>-8090000</v>
      </c>
      <c r="I128" s="82">
        <v>0</v>
      </c>
      <c r="J128" s="83">
        <f t="shared" si="66"/>
        <v>17600000</v>
      </c>
      <c r="K128" s="84">
        <f t="shared" si="61"/>
        <v>9510000</v>
      </c>
      <c r="L128" s="151">
        <f t="shared" si="62"/>
        <v>88000000</v>
      </c>
      <c r="M128" s="141">
        <f t="shared" si="55"/>
        <v>170747310.54436278</v>
      </c>
      <c r="N128" s="68">
        <v>0</v>
      </c>
      <c r="O128" s="171">
        <f t="shared" si="63"/>
        <v>278671824.8706153</v>
      </c>
      <c r="P128" s="32">
        <v>1.7999999999999999E-2</v>
      </c>
      <c r="Q128" s="148">
        <f t="shared" si="34"/>
        <v>283687917.7182864</v>
      </c>
      <c r="R128" s="171">
        <f t="shared" si="64"/>
        <v>542435228.26264918</v>
      </c>
      <c r="S128" s="134">
        <f t="shared" si="65"/>
        <v>371687917.7182864</v>
      </c>
      <c r="T128" s="85"/>
      <c r="U128" s="11"/>
    </row>
    <row r="129" spans="1:28" s="32" customFormat="1" x14ac:dyDescent="0.3">
      <c r="A129" s="169">
        <f t="shared" si="37"/>
        <v>81000000</v>
      </c>
      <c r="C129" s="316"/>
      <c r="D129" s="79">
        <v>6</v>
      </c>
      <c r="E129" s="80">
        <v>2500000</v>
      </c>
      <c r="F129" s="81">
        <v>0</v>
      </c>
      <c r="G129" s="81">
        <v>400000</v>
      </c>
      <c r="H129" s="81">
        <f t="shared" si="60"/>
        <v>2100000</v>
      </c>
      <c r="I129" s="82">
        <v>0</v>
      </c>
      <c r="J129" s="83">
        <f t="shared" si="66"/>
        <v>17600000</v>
      </c>
      <c r="K129" s="84">
        <f t="shared" si="61"/>
        <v>19700000</v>
      </c>
      <c r="L129" s="151">
        <f t="shared" si="62"/>
        <v>70400000</v>
      </c>
      <c r="M129" s="141">
        <f t="shared" si="55"/>
        <v>174227962.13416132</v>
      </c>
      <c r="N129" s="68">
        <v>0</v>
      </c>
      <c r="O129" s="171">
        <f t="shared" si="63"/>
        <v>303387917.7182864</v>
      </c>
      <c r="P129" s="32">
        <v>1.7999999999999999E-2</v>
      </c>
      <c r="Q129" s="148">
        <f t="shared" si="34"/>
        <v>308848900.23721558</v>
      </c>
      <c r="R129" s="171">
        <f t="shared" si="64"/>
        <v>553476862.37137687</v>
      </c>
      <c r="S129" s="134">
        <f t="shared" si="65"/>
        <v>379248900.23721552</v>
      </c>
      <c r="T129" s="85"/>
      <c r="U129" s="11"/>
    </row>
    <row r="130" spans="1:28" s="32" customFormat="1" x14ac:dyDescent="0.3">
      <c r="A130" s="169">
        <f t="shared" si="37"/>
        <v>82000000</v>
      </c>
      <c r="C130" s="316"/>
      <c r="D130" s="79">
        <v>7</v>
      </c>
      <c r="E130" s="80">
        <v>2500000</v>
      </c>
      <c r="F130" s="81">
        <v>0</v>
      </c>
      <c r="G130" s="81">
        <v>400000</v>
      </c>
      <c r="H130" s="81">
        <f t="shared" si="60"/>
        <v>2100000</v>
      </c>
      <c r="I130" s="82">
        <v>0</v>
      </c>
      <c r="J130" s="83">
        <f t="shared" si="66"/>
        <v>17600000</v>
      </c>
      <c r="K130" s="84">
        <f t="shared" si="61"/>
        <v>19700000</v>
      </c>
      <c r="L130" s="151">
        <f t="shared" si="62"/>
        <v>52800000</v>
      </c>
      <c r="M130" s="141">
        <f t="shared" si="55"/>
        <v>177771265.45257622</v>
      </c>
      <c r="N130" s="68">
        <v>0</v>
      </c>
      <c r="O130" s="171">
        <f t="shared" si="63"/>
        <v>328548900.23721558</v>
      </c>
      <c r="P130" s="32">
        <v>1.7999999999999999E-2</v>
      </c>
      <c r="Q130" s="148">
        <f t="shared" si="34"/>
        <v>334462780.44148546</v>
      </c>
      <c r="R130" s="171">
        <f t="shared" si="64"/>
        <v>565034045.89406168</v>
      </c>
      <c r="S130" s="134">
        <f t="shared" si="65"/>
        <v>387262780.44148546</v>
      </c>
      <c r="T130" s="85"/>
      <c r="U130" s="11"/>
    </row>
    <row r="131" spans="1:28" s="32" customFormat="1" x14ac:dyDescent="0.3">
      <c r="A131" s="169">
        <f t="shared" si="37"/>
        <v>83000000</v>
      </c>
      <c r="C131" s="316"/>
      <c r="D131" s="79">
        <v>8</v>
      </c>
      <c r="E131" s="80">
        <v>2500000</v>
      </c>
      <c r="F131" s="81">
        <v>0</v>
      </c>
      <c r="G131" s="81">
        <v>400000</v>
      </c>
      <c r="H131" s="81">
        <f t="shared" si="60"/>
        <v>2100000</v>
      </c>
      <c r="I131" s="82">
        <v>0</v>
      </c>
      <c r="J131" s="83">
        <f t="shared" si="66"/>
        <v>17600000</v>
      </c>
      <c r="K131" s="84">
        <f t="shared" si="61"/>
        <v>19700000</v>
      </c>
      <c r="L131" s="151">
        <f t="shared" si="62"/>
        <v>35200000</v>
      </c>
      <c r="M131" s="141">
        <f t="shared" si="55"/>
        <v>181378348.23072261</v>
      </c>
      <c r="N131" s="68">
        <v>0</v>
      </c>
      <c r="O131" s="171">
        <f t="shared" si="63"/>
        <v>354162780.44148546</v>
      </c>
      <c r="P131" s="32">
        <v>1.7999999999999999E-2</v>
      </c>
      <c r="Q131" s="148">
        <f t="shared" si="34"/>
        <v>360537710.48943222</v>
      </c>
      <c r="R131" s="171">
        <f t="shared" si="64"/>
        <v>577116058.72015476</v>
      </c>
      <c r="S131" s="134">
        <f t="shared" si="65"/>
        <v>395737710.48943216</v>
      </c>
      <c r="T131" s="85"/>
      <c r="U131" s="11"/>
    </row>
    <row r="132" spans="1:28" s="32" customFormat="1" x14ac:dyDescent="0.3">
      <c r="A132" s="169">
        <f t="shared" si="37"/>
        <v>84000000</v>
      </c>
      <c r="C132" s="316"/>
      <c r="D132" s="79">
        <v>9</v>
      </c>
      <c r="E132" s="80">
        <v>2500000</v>
      </c>
      <c r="F132" s="81">
        <v>0</v>
      </c>
      <c r="G132" s="81">
        <v>400000</v>
      </c>
      <c r="H132" s="81">
        <f t="shared" si="60"/>
        <v>2100000</v>
      </c>
      <c r="I132" s="82">
        <v>0</v>
      </c>
      <c r="J132" s="83">
        <f t="shared" si="66"/>
        <v>17600000</v>
      </c>
      <c r="K132" s="84">
        <f t="shared" si="61"/>
        <v>19700000</v>
      </c>
      <c r="L132" s="151">
        <f t="shared" si="62"/>
        <v>17600000</v>
      </c>
      <c r="M132" s="141">
        <f t="shared" si="55"/>
        <v>185050358.49887562</v>
      </c>
      <c r="N132" s="68">
        <v>0</v>
      </c>
      <c r="O132" s="171">
        <f t="shared" si="63"/>
        <v>380237710.48943222</v>
      </c>
      <c r="P132" s="32">
        <v>1.7999999999999999E-2</v>
      </c>
      <c r="Q132" s="148">
        <f t="shared" si="34"/>
        <v>387081989.27824199</v>
      </c>
      <c r="R132" s="171">
        <f t="shared" si="64"/>
        <v>589732347.77711761</v>
      </c>
      <c r="S132" s="134">
        <f t="shared" si="65"/>
        <v>404681989.27824199</v>
      </c>
      <c r="T132" s="85"/>
      <c r="U132" s="11"/>
    </row>
    <row r="133" spans="1:28" s="32" customFormat="1" x14ac:dyDescent="0.3">
      <c r="A133" s="169">
        <f t="shared" si="37"/>
        <v>85000000</v>
      </c>
      <c r="C133" s="316"/>
      <c r="D133" s="79">
        <v>10</v>
      </c>
      <c r="E133" s="80">
        <v>2500000</v>
      </c>
      <c r="F133" s="81">
        <v>0</v>
      </c>
      <c r="G133" s="81">
        <v>400000</v>
      </c>
      <c r="H133" s="81">
        <f t="shared" si="60"/>
        <v>2100000</v>
      </c>
      <c r="I133" s="82">
        <v>0</v>
      </c>
      <c r="J133" s="83">
        <f xml:space="preserve"> J132</f>
        <v>17600000</v>
      </c>
      <c r="K133" s="84">
        <f t="shared" si="61"/>
        <v>19700000</v>
      </c>
      <c r="L133" s="151">
        <f t="shared" si="62"/>
        <v>0</v>
      </c>
      <c r="M133" s="141">
        <f t="shared" si="55"/>
        <v>188788464.95185539</v>
      </c>
      <c r="N133" s="68">
        <v>0</v>
      </c>
      <c r="O133" s="171">
        <f t="shared" si="63"/>
        <v>406781989.27824199</v>
      </c>
      <c r="P133" s="32">
        <v>1.7999999999999999E-2</v>
      </c>
      <c r="Q133" s="148">
        <f t="shared" si="34"/>
        <v>414104065.08525032</v>
      </c>
      <c r="R133" s="171">
        <f t="shared" si="64"/>
        <v>602892530.03710568</v>
      </c>
      <c r="S133" s="134">
        <f t="shared" si="65"/>
        <v>414104065.08525026</v>
      </c>
      <c r="T133" s="85"/>
      <c r="U133" s="11"/>
    </row>
    <row r="134" spans="1:28" s="32" customFormat="1" ht="17.25" thickBot="1" x14ac:dyDescent="0.35">
      <c r="A134" s="169">
        <f t="shared" si="37"/>
        <v>86000000</v>
      </c>
      <c r="C134" s="316"/>
      <c r="D134" s="87">
        <v>11</v>
      </c>
      <c r="E134" s="88">
        <v>2500000</v>
      </c>
      <c r="F134" s="89">
        <v>0</v>
      </c>
      <c r="G134" s="89">
        <v>400000</v>
      </c>
      <c r="H134" s="89">
        <f t="shared" si="60"/>
        <v>2100000</v>
      </c>
      <c r="I134" s="90">
        <v>106500000</v>
      </c>
      <c r="J134" s="91">
        <v>0</v>
      </c>
      <c r="K134" s="92">
        <f t="shared" si="61"/>
        <v>-104400000</v>
      </c>
      <c r="L134" s="151">
        <f t="shared" si="62"/>
        <v>106500000</v>
      </c>
      <c r="M134" s="142">
        <f t="shared" si="55"/>
        <v>192593857.32098877</v>
      </c>
      <c r="N134" s="68">
        <v>0</v>
      </c>
      <c r="O134" s="172">
        <f t="shared" si="63"/>
        <v>309704065.08525032</v>
      </c>
      <c r="P134" s="86">
        <v>1.7999999999999999E-2</v>
      </c>
      <c r="Q134" s="148">
        <f t="shared" si="34"/>
        <v>315278738.2567848</v>
      </c>
      <c r="R134" s="171">
        <f t="shared" si="64"/>
        <v>614372595.57777357</v>
      </c>
      <c r="S134" s="134">
        <f t="shared" si="65"/>
        <v>421778738.2567848</v>
      </c>
      <c r="T134" s="85"/>
      <c r="U134" s="11"/>
    </row>
    <row r="135" spans="1:28" s="32" customFormat="1" ht="17.25" thickBot="1" x14ac:dyDescent="0.35">
      <c r="A135" s="169">
        <f t="shared" si="37"/>
        <v>87000000</v>
      </c>
      <c r="C135" s="316"/>
      <c r="D135" s="39">
        <v>12</v>
      </c>
      <c r="E135" s="40">
        <v>2500000</v>
      </c>
      <c r="F135" s="41">
        <v>0</v>
      </c>
      <c r="G135" s="41">
        <v>400000</v>
      </c>
      <c r="H135" s="41">
        <f t="shared" si="60"/>
        <v>2100000</v>
      </c>
      <c r="I135" s="42">
        <v>106500000</v>
      </c>
      <c r="J135" s="44">
        <v>0</v>
      </c>
      <c r="K135" s="47">
        <f t="shared" si="61"/>
        <v>-104400000</v>
      </c>
      <c r="L135" s="154">
        <f t="shared" si="62"/>
        <v>213000000</v>
      </c>
      <c r="M135" s="143">
        <f t="shared" si="55"/>
        <v>196467746.75276658</v>
      </c>
      <c r="N135" s="49">
        <v>0</v>
      </c>
      <c r="O135" s="173">
        <f t="shared" si="63"/>
        <v>210878738.2567848</v>
      </c>
      <c r="P135" s="45">
        <v>1.7999999999999999E-2</v>
      </c>
      <c r="Q135" s="148">
        <f t="shared" ref="Q135:Q198" si="67" xml:space="preserve"> ((O135 +N135) * P135) + (O135+N135)</f>
        <v>214674555.54540694</v>
      </c>
      <c r="R135" s="171">
        <f t="shared" si="64"/>
        <v>624142302.29817355</v>
      </c>
      <c r="S135" s="137">
        <f t="shared" si="65"/>
        <v>427674555.54540694</v>
      </c>
      <c r="T135" s="85">
        <f xml:space="preserve"> S135 / 4</f>
        <v>106918638.88635173</v>
      </c>
      <c r="U135" s="46">
        <f>SUM(E4:E135)</f>
        <v>332300000</v>
      </c>
      <c r="V135" s="46">
        <f>SUM(F4:F135)</f>
        <v>112886544</v>
      </c>
      <c r="W135" s="48">
        <f xml:space="preserve"> U135 - V135</f>
        <v>219413456</v>
      </c>
      <c r="X135" s="48">
        <f>R135-W135</f>
        <v>404728846.29817355</v>
      </c>
      <c r="Y135" s="116">
        <f xml:space="preserve"> X135 / W135 * 100</f>
        <v>184.45944641525247</v>
      </c>
      <c r="Z135" s="48">
        <f xml:space="preserve"> (X135 - 2500000) * 0.16</f>
        <v>64356615.407707766</v>
      </c>
      <c r="AA135" s="214">
        <f xml:space="preserve"> R135 - ((2500000 * 12) + R123)</f>
        <v>85151424.51303947</v>
      </c>
      <c r="AB135" s="214">
        <f xml:space="preserve"> (AA135 -2500000) * 0.16</f>
        <v>13224227.922086315</v>
      </c>
    </row>
    <row r="136" spans="1:28" s="126" customFormat="1" x14ac:dyDescent="0.3">
      <c r="A136" s="11"/>
      <c r="B136" s="101">
        <v>12</v>
      </c>
      <c r="C136" s="316">
        <v>2033</v>
      </c>
      <c r="D136" s="117">
        <v>1</v>
      </c>
      <c r="E136" s="118">
        <v>0</v>
      </c>
      <c r="F136" s="119">
        <v>36000000</v>
      </c>
      <c r="G136" s="119">
        <v>400000</v>
      </c>
      <c r="H136" s="119">
        <f t="shared" ref="H136:H147" si="68" xml:space="preserve"> E136 - G136 - F136</f>
        <v>-36400000</v>
      </c>
      <c r="I136" s="120">
        <v>0</v>
      </c>
      <c r="J136" s="121">
        <f xml:space="preserve"> L135 / 10</f>
        <v>21300000</v>
      </c>
      <c r="K136" s="122">
        <f t="shared" ref="K136:K147" si="69" xml:space="preserve"> H136 + J136 - I136</f>
        <v>-15100000</v>
      </c>
      <c r="L136" s="155">
        <f t="shared" ref="L136:L147" si="70" xml:space="preserve"> L135 +I136 - J136 - N136</f>
        <v>191700000</v>
      </c>
      <c r="M136" s="146">
        <f t="shared" si="55"/>
        <v>197655217.73977765</v>
      </c>
      <c r="N136" s="108">
        <v>0</v>
      </c>
      <c r="O136" s="174">
        <f t="shared" ref="O136:O147" si="71" xml:space="preserve"> Q135 + K136</f>
        <v>199574555.54540694</v>
      </c>
      <c r="P136" s="123">
        <v>4.0000000000000001E-3</v>
      </c>
      <c r="Q136" s="148">
        <f t="shared" si="67"/>
        <v>200372853.76758856</v>
      </c>
      <c r="R136" s="174">
        <f t="shared" ref="R136:R147" si="72" xml:space="preserve"> M136 + Q136 + L136</f>
        <v>589728071.50736618</v>
      </c>
      <c r="S136" s="138">
        <f t="shared" ref="S136:S147" si="73" xml:space="preserve"> R136 - M136</f>
        <v>392072853.7675885</v>
      </c>
      <c r="T136" s="124"/>
      <c r="U136" s="125"/>
    </row>
    <row r="137" spans="1:28" x14ac:dyDescent="0.3">
      <c r="A137" s="11"/>
      <c r="B137" s="32"/>
      <c r="C137" s="316"/>
      <c r="D137" s="79">
        <v>2</v>
      </c>
      <c r="E137" s="80">
        <v>0</v>
      </c>
      <c r="F137" s="81">
        <v>0</v>
      </c>
      <c r="G137" s="81">
        <v>400000</v>
      </c>
      <c r="H137" s="81">
        <f t="shared" si="68"/>
        <v>-400000</v>
      </c>
      <c r="I137" s="82">
        <v>0</v>
      </c>
      <c r="J137" s="83">
        <f xml:space="preserve"> J136</f>
        <v>21300000</v>
      </c>
      <c r="K137" s="84">
        <f t="shared" si="69"/>
        <v>20900000</v>
      </c>
      <c r="L137" s="151">
        <f t="shared" si="70"/>
        <v>170400000</v>
      </c>
      <c r="M137" s="141">
        <f t="shared" si="55"/>
        <v>201620211.65909365</v>
      </c>
      <c r="N137" s="68">
        <v>0</v>
      </c>
      <c r="O137" s="171">
        <f t="shared" si="71"/>
        <v>221272853.76758856</v>
      </c>
      <c r="P137" s="32">
        <v>1.7999999999999999E-2</v>
      </c>
      <c r="Q137" s="148">
        <f t="shared" si="67"/>
        <v>225255765.13540515</v>
      </c>
      <c r="R137" s="171">
        <f t="shared" si="72"/>
        <v>597275976.7944988</v>
      </c>
      <c r="S137" s="134">
        <f t="shared" si="73"/>
        <v>395655765.13540518</v>
      </c>
      <c r="T137" s="85"/>
    </row>
    <row r="138" spans="1:28" x14ac:dyDescent="0.3">
      <c r="A138" s="11"/>
      <c r="B138" s="32"/>
      <c r="C138" s="316"/>
      <c r="D138" s="79">
        <v>3</v>
      </c>
      <c r="E138" s="80">
        <v>0</v>
      </c>
      <c r="F138" s="81">
        <v>0</v>
      </c>
      <c r="G138" s="81">
        <v>400000</v>
      </c>
      <c r="H138" s="81">
        <f t="shared" si="68"/>
        <v>-400000</v>
      </c>
      <c r="I138" s="82">
        <v>0</v>
      </c>
      <c r="J138" s="83">
        <f t="shared" ref="J138:J144" si="74" xml:space="preserve"> J137</f>
        <v>21300000</v>
      </c>
      <c r="K138" s="84">
        <f t="shared" si="69"/>
        <v>20900000</v>
      </c>
      <c r="L138" s="151">
        <f t="shared" si="70"/>
        <v>149100000</v>
      </c>
      <c r="M138" s="141">
        <f t="shared" si="55"/>
        <v>205656575.46895733</v>
      </c>
      <c r="N138" s="68">
        <v>0</v>
      </c>
      <c r="O138" s="171">
        <f t="shared" si="71"/>
        <v>246155765.13540515</v>
      </c>
      <c r="P138" s="32">
        <v>1.7999999999999999E-2</v>
      </c>
      <c r="Q138" s="148">
        <f t="shared" si="67"/>
        <v>250586568.90784246</v>
      </c>
      <c r="R138" s="171">
        <f t="shared" si="72"/>
        <v>605343144.37679982</v>
      </c>
      <c r="S138" s="134">
        <f t="shared" si="73"/>
        <v>399686568.90784252</v>
      </c>
      <c r="T138" s="85"/>
    </row>
    <row r="139" spans="1:28" x14ac:dyDescent="0.3">
      <c r="A139" s="11"/>
      <c r="B139" s="32"/>
      <c r="C139" s="316"/>
      <c r="D139" s="79">
        <v>4</v>
      </c>
      <c r="E139" s="80">
        <v>0</v>
      </c>
      <c r="F139" s="81">
        <v>0</v>
      </c>
      <c r="G139" s="81">
        <v>400000</v>
      </c>
      <c r="H139" s="81">
        <f t="shared" si="68"/>
        <v>-400000</v>
      </c>
      <c r="I139" s="82">
        <v>0</v>
      </c>
      <c r="J139" s="83">
        <f t="shared" si="74"/>
        <v>21300000</v>
      </c>
      <c r="K139" s="84">
        <f t="shared" si="69"/>
        <v>20900000</v>
      </c>
      <c r="L139" s="151">
        <f t="shared" si="70"/>
        <v>127800000</v>
      </c>
      <c r="M139" s="141">
        <f t="shared" si="55"/>
        <v>209765593.82739857</v>
      </c>
      <c r="N139" s="68">
        <v>0</v>
      </c>
      <c r="O139" s="171">
        <f t="shared" si="71"/>
        <v>271486568.90784246</v>
      </c>
      <c r="P139" s="32">
        <v>1.7999999999999999E-2</v>
      </c>
      <c r="Q139" s="148">
        <f t="shared" si="67"/>
        <v>276373327.14818364</v>
      </c>
      <c r="R139" s="171">
        <f t="shared" si="72"/>
        <v>613938920.97558224</v>
      </c>
      <c r="S139" s="134">
        <f t="shared" si="73"/>
        <v>404173327.1481837</v>
      </c>
      <c r="T139" s="85"/>
    </row>
    <row r="140" spans="1:28" x14ac:dyDescent="0.3">
      <c r="A140" s="11"/>
      <c r="B140" s="32"/>
      <c r="C140" s="316"/>
      <c r="D140" s="79">
        <v>5</v>
      </c>
      <c r="E140" s="80">
        <v>0</v>
      </c>
      <c r="F140" s="81">
        <v>0</v>
      </c>
      <c r="G140" s="81">
        <v>400000</v>
      </c>
      <c r="H140" s="81">
        <f t="shared" si="68"/>
        <v>-400000</v>
      </c>
      <c r="I140" s="82">
        <v>0</v>
      </c>
      <c r="J140" s="83">
        <f t="shared" si="74"/>
        <v>21300000</v>
      </c>
      <c r="K140" s="84">
        <f t="shared" si="69"/>
        <v>20900000</v>
      </c>
      <c r="L140" s="151">
        <f t="shared" si="70"/>
        <v>106500000</v>
      </c>
      <c r="M140" s="141">
        <f t="shared" si="55"/>
        <v>213948574.51629174</v>
      </c>
      <c r="N140" s="68">
        <v>0</v>
      </c>
      <c r="O140" s="171">
        <f t="shared" si="71"/>
        <v>297273327.14818364</v>
      </c>
      <c r="P140" s="32">
        <v>1.7999999999999999E-2</v>
      </c>
      <c r="Q140" s="148">
        <f t="shared" si="67"/>
        <v>302624247.03685093</v>
      </c>
      <c r="R140" s="171">
        <f t="shared" si="72"/>
        <v>623072821.55314267</v>
      </c>
      <c r="S140" s="134">
        <f t="shared" si="73"/>
        <v>409124247.03685093</v>
      </c>
      <c r="T140" s="85"/>
    </row>
    <row r="141" spans="1:28" x14ac:dyDescent="0.3">
      <c r="A141" s="11"/>
      <c r="B141" s="32"/>
      <c r="C141" s="316"/>
      <c r="D141" s="79">
        <v>6</v>
      </c>
      <c r="E141" s="80">
        <v>0</v>
      </c>
      <c r="F141" s="81">
        <v>0</v>
      </c>
      <c r="G141" s="81">
        <v>400000</v>
      </c>
      <c r="H141" s="81">
        <f t="shared" si="68"/>
        <v>-400000</v>
      </c>
      <c r="I141" s="82">
        <v>0</v>
      </c>
      <c r="J141" s="83">
        <f t="shared" si="74"/>
        <v>21300000</v>
      </c>
      <c r="K141" s="84">
        <f t="shared" si="69"/>
        <v>20900000</v>
      </c>
      <c r="L141" s="151">
        <f t="shared" si="70"/>
        <v>85200000</v>
      </c>
      <c r="M141" s="141">
        <f t="shared" si="55"/>
        <v>218206848.85758498</v>
      </c>
      <c r="N141" s="68">
        <v>0</v>
      </c>
      <c r="O141" s="171">
        <f t="shared" si="71"/>
        <v>323524247.03685093</v>
      </c>
      <c r="P141" s="32">
        <v>1.7999999999999999E-2</v>
      </c>
      <c r="Q141" s="148">
        <f t="shared" si="67"/>
        <v>329347683.48351425</v>
      </c>
      <c r="R141" s="171">
        <f t="shared" si="72"/>
        <v>632754532.34109926</v>
      </c>
      <c r="S141" s="134">
        <f t="shared" si="73"/>
        <v>414547683.48351431</v>
      </c>
      <c r="T141" s="85"/>
    </row>
    <row r="142" spans="1:28" x14ac:dyDescent="0.3">
      <c r="A142" s="11"/>
      <c r="B142" s="32"/>
      <c r="C142" s="316"/>
      <c r="D142" s="79">
        <v>7</v>
      </c>
      <c r="E142" s="80">
        <v>0</v>
      </c>
      <c r="F142" s="81">
        <v>0</v>
      </c>
      <c r="G142" s="81">
        <v>400000</v>
      </c>
      <c r="H142" s="81">
        <f t="shared" si="68"/>
        <v>-400000</v>
      </c>
      <c r="I142" s="82">
        <v>0</v>
      </c>
      <c r="J142" s="83">
        <f t="shared" si="74"/>
        <v>21300000</v>
      </c>
      <c r="K142" s="84">
        <f t="shared" si="69"/>
        <v>20900000</v>
      </c>
      <c r="L142" s="151">
        <f t="shared" si="70"/>
        <v>63900000</v>
      </c>
      <c r="M142" s="141">
        <f t="shared" si="55"/>
        <v>222541772.13702151</v>
      </c>
      <c r="N142" s="68">
        <v>0</v>
      </c>
      <c r="O142" s="171">
        <f t="shared" si="71"/>
        <v>350247683.48351425</v>
      </c>
      <c r="P142" s="32">
        <v>1.7999999999999999E-2</v>
      </c>
      <c r="Q142" s="148">
        <f t="shared" si="67"/>
        <v>356552141.78621751</v>
      </c>
      <c r="R142" s="171">
        <f t="shared" si="72"/>
        <v>642993913.92323899</v>
      </c>
      <c r="S142" s="134">
        <f t="shared" si="73"/>
        <v>420452141.78621745</v>
      </c>
      <c r="T142" s="85"/>
    </row>
    <row r="143" spans="1:28" x14ac:dyDescent="0.3">
      <c r="A143" s="11"/>
      <c r="B143" s="32"/>
      <c r="C143" s="316"/>
      <c r="D143" s="79">
        <v>8</v>
      </c>
      <c r="E143" s="80">
        <v>0</v>
      </c>
      <c r="F143" s="81">
        <v>0</v>
      </c>
      <c r="G143" s="81">
        <v>400000</v>
      </c>
      <c r="H143" s="81">
        <f t="shared" si="68"/>
        <v>-400000</v>
      </c>
      <c r="I143" s="82">
        <v>0</v>
      </c>
      <c r="J143" s="83">
        <f t="shared" si="74"/>
        <v>21300000</v>
      </c>
      <c r="K143" s="84">
        <f t="shared" si="69"/>
        <v>20900000</v>
      </c>
      <c r="L143" s="151">
        <f t="shared" si="70"/>
        <v>42600000</v>
      </c>
      <c r="M143" s="141">
        <f t="shared" si="55"/>
        <v>226954724.03548789</v>
      </c>
      <c r="N143" s="68">
        <v>0</v>
      </c>
      <c r="O143" s="171">
        <f t="shared" si="71"/>
        <v>377452141.78621751</v>
      </c>
      <c r="P143" s="32">
        <v>1.7999999999999999E-2</v>
      </c>
      <c r="Q143" s="148">
        <f t="shared" si="67"/>
        <v>384246280.33836943</v>
      </c>
      <c r="R143" s="171">
        <f t="shared" si="72"/>
        <v>653801004.37385726</v>
      </c>
      <c r="S143" s="134">
        <f t="shared" si="73"/>
        <v>426846280.33836937</v>
      </c>
      <c r="T143" s="85"/>
    </row>
    <row r="144" spans="1:28" x14ac:dyDescent="0.3">
      <c r="A144" s="11"/>
      <c r="B144" s="32"/>
      <c r="C144" s="316"/>
      <c r="D144" s="79">
        <v>9</v>
      </c>
      <c r="E144" s="80">
        <v>0</v>
      </c>
      <c r="F144" s="81">
        <v>0</v>
      </c>
      <c r="G144" s="81">
        <v>400000</v>
      </c>
      <c r="H144" s="81">
        <f t="shared" si="68"/>
        <v>-400000</v>
      </c>
      <c r="I144" s="82">
        <v>0</v>
      </c>
      <c r="J144" s="83">
        <f t="shared" si="74"/>
        <v>21300000</v>
      </c>
      <c r="K144" s="84">
        <f t="shared" si="69"/>
        <v>20900000</v>
      </c>
      <c r="L144" s="151">
        <f t="shared" si="70"/>
        <v>21300000</v>
      </c>
      <c r="M144" s="141">
        <f t="shared" ref="M144:M175" si="75" xml:space="preserve"> (M143 + 400000) + ((M143 + 400000) * P144 )</f>
        <v>231447109.06812668</v>
      </c>
      <c r="N144" s="68">
        <v>0</v>
      </c>
      <c r="O144" s="171">
        <f t="shared" si="71"/>
        <v>405146280.33836943</v>
      </c>
      <c r="P144" s="32">
        <v>1.7999999999999999E-2</v>
      </c>
      <c r="Q144" s="148">
        <f t="shared" si="67"/>
        <v>412438913.38446009</v>
      </c>
      <c r="R144" s="171">
        <f t="shared" si="72"/>
        <v>665186022.45258677</v>
      </c>
      <c r="S144" s="134">
        <f t="shared" si="73"/>
        <v>433738913.38446009</v>
      </c>
      <c r="T144" s="85"/>
    </row>
    <row r="145" spans="1:26" x14ac:dyDescent="0.3">
      <c r="A145" s="11"/>
      <c r="B145" s="32"/>
      <c r="C145" s="316"/>
      <c r="D145" s="79">
        <v>10</v>
      </c>
      <c r="E145" s="80">
        <v>0</v>
      </c>
      <c r="F145" s="81">
        <v>0</v>
      </c>
      <c r="G145" s="81">
        <v>400000</v>
      </c>
      <c r="H145" s="81">
        <f t="shared" si="68"/>
        <v>-400000</v>
      </c>
      <c r="I145" s="82">
        <v>0</v>
      </c>
      <c r="J145" s="83">
        <f xml:space="preserve"> J144</f>
        <v>21300000</v>
      </c>
      <c r="K145" s="84">
        <f t="shared" si="69"/>
        <v>20900000</v>
      </c>
      <c r="L145" s="151">
        <f t="shared" si="70"/>
        <v>0</v>
      </c>
      <c r="M145" s="141">
        <f t="shared" si="75"/>
        <v>236020357.03135297</v>
      </c>
      <c r="N145" s="68">
        <v>0</v>
      </c>
      <c r="O145" s="171">
        <f t="shared" si="71"/>
        <v>433338913.38446009</v>
      </c>
      <c r="P145" s="32">
        <v>1.7999999999999999E-2</v>
      </c>
      <c r="Q145" s="148">
        <f t="shared" si="67"/>
        <v>441139013.82538038</v>
      </c>
      <c r="R145" s="171">
        <f t="shared" si="72"/>
        <v>677159370.85673332</v>
      </c>
      <c r="S145" s="134">
        <f t="shared" si="73"/>
        <v>441139013.82538033</v>
      </c>
      <c r="T145" s="85"/>
    </row>
    <row r="146" spans="1:26" ht="17.25" thickBot="1" x14ac:dyDescent="0.35">
      <c r="A146" s="11"/>
      <c r="B146" s="32"/>
      <c r="C146" s="316"/>
      <c r="D146" s="87">
        <v>11</v>
      </c>
      <c r="E146" s="88">
        <v>0</v>
      </c>
      <c r="F146" s="89">
        <v>0</v>
      </c>
      <c r="G146" s="89">
        <v>400000</v>
      </c>
      <c r="H146" s="89">
        <f t="shared" si="68"/>
        <v>-400000</v>
      </c>
      <c r="I146" s="90">
        <v>108400000</v>
      </c>
      <c r="J146" s="91">
        <v>0</v>
      </c>
      <c r="K146" s="92">
        <f t="shared" si="69"/>
        <v>-108800000</v>
      </c>
      <c r="L146" s="151">
        <f t="shared" si="70"/>
        <v>108400000</v>
      </c>
      <c r="M146" s="142">
        <f t="shared" si="75"/>
        <v>240675923.45791733</v>
      </c>
      <c r="N146" s="68">
        <v>0</v>
      </c>
      <c r="O146" s="172">
        <f t="shared" si="71"/>
        <v>332339013.82538038</v>
      </c>
      <c r="P146" s="86">
        <v>1.7999999999999999E-2</v>
      </c>
      <c r="Q146" s="148">
        <f t="shared" si="67"/>
        <v>338321116.07423723</v>
      </c>
      <c r="R146" s="171">
        <f t="shared" si="72"/>
        <v>687397039.53215456</v>
      </c>
      <c r="S146" s="134">
        <f t="shared" si="73"/>
        <v>446721116.07423723</v>
      </c>
      <c r="T146" s="85"/>
    </row>
    <row r="147" spans="1:26" ht="17.25" thickBot="1" x14ac:dyDescent="0.35">
      <c r="A147" s="11"/>
      <c r="B147" s="32"/>
      <c r="C147" s="316"/>
      <c r="D147" s="39">
        <v>12</v>
      </c>
      <c r="E147" s="40">
        <v>0</v>
      </c>
      <c r="F147" s="41">
        <v>0</v>
      </c>
      <c r="G147" s="41">
        <v>400000</v>
      </c>
      <c r="H147" s="41">
        <f t="shared" si="68"/>
        <v>-400000</v>
      </c>
      <c r="I147" s="42">
        <v>108400000</v>
      </c>
      <c r="J147" s="44">
        <v>0</v>
      </c>
      <c r="K147" s="47">
        <f t="shared" si="69"/>
        <v>-108800000</v>
      </c>
      <c r="L147" s="154">
        <f t="shared" si="70"/>
        <v>216800000</v>
      </c>
      <c r="M147" s="143">
        <f t="shared" si="75"/>
        <v>245415290.08015984</v>
      </c>
      <c r="N147" s="49">
        <v>0</v>
      </c>
      <c r="O147" s="173">
        <f t="shared" si="71"/>
        <v>229521116.07423723</v>
      </c>
      <c r="P147" s="45">
        <v>1.7999999999999999E-2</v>
      </c>
      <c r="Q147" s="148">
        <f t="shared" si="67"/>
        <v>233652496.1635735</v>
      </c>
      <c r="R147" s="171">
        <f t="shared" si="72"/>
        <v>695867786.24373341</v>
      </c>
      <c r="S147" s="137">
        <f t="shared" si="73"/>
        <v>450452496.16357356</v>
      </c>
      <c r="T147" s="85">
        <f xml:space="preserve"> S147 / 4</f>
        <v>112613124.04089339</v>
      </c>
      <c r="U147" s="46">
        <f>SUM(E4:E147)</f>
        <v>332300000</v>
      </c>
      <c r="V147" s="46">
        <f>SUM(F4:F147)</f>
        <v>148886544</v>
      </c>
      <c r="W147" s="48">
        <f xml:space="preserve"> U147 - V147</f>
        <v>183413456</v>
      </c>
      <c r="X147" s="48">
        <f>R147-W147</f>
        <v>512454330.24373341</v>
      </c>
      <c r="Y147" s="116">
        <f xml:space="preserve"> X147 / W147 * 100</f>
        <v>279.3984375081692</v>
      </c>
      <c r="Z147" s="48">
        <f xml:space="preserve"> (X147 - 2500000) * 0.16</f>
        <v>81592692.838997349</v>
      </c>
    </row>
    <row r="148" spans="1:26" x14ac:dyDescent="0.3">
      <c r="A148" s="11"/>
      <c r="B148" s="32">
        <v>13</v>
      </c>
      <c r="C148" s="316">
        <v>2034</v>
      </c>
      <c r="D148" s="71">
        <v>1</v>
      </c>
      <c r="E148" s="72">
        <v>0</v>
      </c>
      <c r="F148" s="119">
        <v>36000000</v>
      </c>
      <c r="G148" s="73">
        <v>400000</v>
      </c>
      <c r="H148" s="73">
        <f t="shared" ref="H148:H195" si="76" xml:space="preserve"> E148 - G148 - F148</f>
        <v>-36400000</v>
      </c>
      <c r="I148" s="74">
        <v>0</v>
      </c>
      <c r="J148" s="75">
        <f xml:space="preserve"> L147 / 10</f>
        <v>21680000</v>
      </c>
      <c r="K148" s="76">
        <f t="shared" ref="K148:K195" si="77" xml:space="preserve"> H148 + J148 - I148</f>
        <v>-14720000</v>
      </c>
      <c r="L148" s="67">
        <f t="shared" ref="L148:L195" si="78" xml:space="preserve"> L147 +I148 - J148 - N148</f>
        <v>195120000</v>
      </c>
      <c r="M148" s="140">
        <f t="shared" si="75"/>
        <v>246798551.24048048</v>
      </c>
      <c r="N148" s="68">
        <v>0</v>
      </c>
      <c r="O148" s="174">
        <f t="shared" ref="O148:O195" si="79" xml:space="preserve"> Q147 + K148</f>
        <v>218932496.1635735</v>
      </c>
      <c r="P148" s="70">
        <v>4.0000000000000001E-3</v>
      </c>
      <c r="Q148" s="148">
        <f t="shared" si="67"/>
        <v>219808226.14822781</v>
      </c>
      <c r="R148" s="174">
        <f t="shared" ref="R148:R195" si="80" xml:space="preserve"> M148 + Q148 + L148</f>
        <v>661726777.38870835</v>
      </c>
      <c r="S148" s="133">
        <f t="shared" ref="S148:S195" si="81" xml:space="preserve"> R148 - M148</f>
        <v>414928226.14822787</v>
      </c>
      <c r="T148" s="77"/>
    </row>
    <row r="149" spans="1:26" x14ac:dyDescent="0.3">
      <c r="A149" s="11"/>
      <c r="B149" s="32"/>
      <c r="C149" s="316"/>
      <c r="D149" s="79">
        <v>2</v>
      </c>
      <c r="E149" s="80">
        <v>0</v>
      </c>
      <c r="F149" s="81">
        <v>0</v>
      </c>
      <c r="G149" s="81">
        <v>400000</v>
      </c>
      <c r="H149" s="81">
        <f t="shared" si="76"/>
        <v>-400000</v>
      </c>
      <c r="I149" s="82">
        <v>0</v>
      </c>
      <c r="J149" s="83">
        <f xml:space="preserve"> J148</f>
        <v>21680000</v>
      </c>
      <c r="K149" s="84">
        <f t="shared" si="77"/>
        <v>21280000</v>
      </c>
      <c r="L149" s="151">
        <f t="shared" si="78"/>
        <v>173440000</v>
      </c>
      <c r="M149" s="141">
        <f t="shared" si="75"/>
        <v>251648125.16280913</v>
      </c>
      <c r="N149" s="68">
        <v>0</v>
      </c>
      <c r="O149" s="171">
        <f t="shared" si="79"/>
        <v>241088226.14822781</v>
      </c>
      <c r="P149" s="32">
        <v>1.7999999999999999E-2</v>
      </c>
      <c r="Q149" s="148">
        <f t="shared" si="67"/>
        <v>245427814.21889591</v>
      </c>
      <c r="R149" s="171">
        <f t="shared" si="80"/>
        <v>670515939.38170505</v>
      </c>
      <c r="S149" s="134">
        <f t="shared" si="81"/>
        <v>418867814.21889591</v>
      </c>
      <c r="T149" s="85"/>
    </row>
    <row r="150" spans="1:26" x14ac:dyDescent="0.3">
      <c r="A150" s="11"/>
      <c r="B150" s="32"/>
      <c r="C150" s="316"/>
      <c r="D150" s="79">
        <v>3</v>
      </c>
      <c r="E150" s="80">
        <v>0</v>
      </c>
      <c r="F150" s="81">
        <v>0</v>
      </c>
      <c r="G150" s="81">
        <v>400000</v>
      </c>
      <c r="H150" s="81">
        <f t="shared" si="76"/>
        <v>-400000</v>
      </c>
      <c r="I150" s="82">
        <v>0</v>
      </c>
      <c r="J150" s="83">
        <f t="shared" ref="J150:J156" si="82" xml:space="preserve"> J149</f>
        <v>21680000</v>
      </c>
      <c r="K150" s="84">
        <f t="shared" si="77"/>
        <v>21280000</v>
      </c>
      <c r="L150" s="151">
        <f t="shared" si="78"/>
        <v>151760000</v>
      </c>
      <c r="M150" s="141">
        <f t="shared" si="75"/>
        <v>256584991.41573969</v>
      </c>
      <c r="N150" s="68">
        <v>0</v>
      </c>
      <c r="O150" s="171">
        <f t="shared" si="79"/>
        <v>266707814.21889591</v>
      </c>
      <c r="P150" s="32">
        <v>1.7999999999999999E-2</v>
      </c>
      <c r="Q150" s="148">
        <f t="shared" si="67"/>
        <v>271508554.87483603</v>
      </c>
      <c r="R150" s="171">
        <f t="shared" si="80"/>
        <v>679853546.29057574</v>
      </c>
      <c r="S150" s="134">
        <f t="shared" si="81"/>
        <v>423268554.87483609</v>
      </c>
      <c r="T150" s="85"/>
    </row>
    <row r="151" spans="1:26" x14ac:dyDescent="0.3">
      <c r="A151" s="11"/>
      <c r="B151" s="32"/>
      <c r="C151" s="316"/>
      <c r="D151" s="79">
        <v>4</v>
      </c>
      <c r="E151" s="80">
        <v>0</v>
      </c>
      <c r="F151" s="81">
        <v>0</v>
      </c>
      <c r="G151" s="81">
        <v>400000</v>
      </c>
      <c r="H151" s="81">
        <f t="shared" si="76"/>
        <v>-400000</v>
      </c>
      <c r="I151" s="82">
        <v>0</v>
      </c>
      <c r="J151" s="83">
        <f t="shared" si="82"/>
        <v>21680000</v>
      </c>
      <c r="K151" s="84">
        <f t="shared" si="77"/>
        <v>21280000</v>
      </c>
      <c r="L151" s="151">
        <f t="shared" si="78"/>
        <v>130080000</v>
      </c>
      <c r="M151" s="141">
        <f t="shared" si="75"/>
        <v>261610721.26122299</v>
      </c>
      <c r="N151" s="68">
        <v>0</v>
      </c>
      <c r="O151" s="171">
        <f t="shared" si="79"/>
        <v>292788554.87483603</v>
      </c>
      <c r="P151" s="32">
        <v>1.7999999999999999E-2</v>
      </c>
      <c r="Q151" s="148">
        <f t="shared" si="67"/>
        <v>298058748.8625831</v>
      </c>
      <c r="R151" s="171">
        <f t="shared" si="80"/>
        <v>689749470.12380612</v>
      </c>
      <c r="S151" s="134">
        <f t="shared" si="81"/>
        <v>428138748.86258316</v>
      </c>
      <c r="T151" s="85"/>
    </row>
    <row r="152" spans="1:26" x14ac:dyDescent="0.3">
      <c r="A152" s="11"/>
      <c r="B152" s="32"/>
      <c r="C152" s="316"/>
      <c r="D152" s="79">
        <v>5</v>
      </c>
      <c r="E152" s="80">
        <v>0</v>
      </c>
      <c r="F152" s="81">
        <v>0</v>
      </c>
      <c r="G152" s="81">
        <v>400000</v>
      </c>
      <c r="H152" s="81">
        <f t="shared" si="76"/>
        <v>-400000</v>
      </c>
      <c r="I152" s="82">
        <v>0</v>
      </c>
      <c r="J152" s="83">
        <f t="shared" si="82"/>
        <v>21680000</v>
      </c>
      <c r="K152" s="84">
        <f t="shared" si="77"/>
        <v>21280000</v>
      </c>
      <c r="L152" s="151">
        <f t="shared" si="78"/>
        <v>108400000</v>
      </c>
      <c r="M152" s="141">
        <f t="shared" si="75"/>
        <v>266726914.24392501</v>
      </c>
      <c r="N152" s="68">
        <v>0</v>
      </c>
      <c r="O152" s="171">
        <f t="shared" si="79"/>
        <v>319338748.8625831</v>
      </c>
      <c r="P152" s="32">
        <v>1.7999999999999999E-2</v>
      </c>
      <c r="Q152" s="148">
        <f t="shared" si="67"/>
        <v>325086846.34210962</v>
      </c>
      <c r="R152" s="171">
        <f t="shared" si="80"/>
        <v>700213760.58603466</v>
      </c>
      <c r="S152" s="134">
        <f t="shared" si="81"/>
        <v>433486846.34210968</v>
      </c>
      <c r="T152" s="85"/>
    </row>
    <row r="153" spans="1:26" x14ac:dyDescent="0.3">
      <c r="A153" s="11"/>
      <c r="B153" s="32"/>
      <c r="C153" s="316"/>
      <c r="D153" s="79">
        <v>6</v>
      </c>
      <c r="E153" s="80">
        <v>0</v>
      </c>
      <c r="F153" s="81">
        <v>0</v>
      </c>
      <c r="G153" s="81">
        <v>400000</v>
      </c>
      <c r="H153" s="81">
        <f t="shared" si="76"/>
        <v>-400000</v>
      </c>
      <c r="I153" s="82">
        <v>0</v>
      </c>
      <c r="J153" s="83">
        <f t="shared" si="82"/>
        <v>21680000</v>
      </c>
      <c r="K153" s="84">
        <f t="shared" si="77"/>
        <v>21280000</v>
      </c>
      <c r="L153" s="151">
        <f t="shared" si="78"/>
        <v>86720000</v>
      </c>
      <c r="M153" s="141">
        <f t="shared" si="75"/>
        <v>271935198.70031565</v>
      </c>
      <c r="N153" s="68">
        <v>0</v>
      </c>
      <c r="O153" s="171">
        <f t="shared" si="79"/>
        <v>346366846.34210962</v>
      </c>
      <c r="P153" s="32">
        <v>1.7999999999999999E-2</v>
      </c>
      <c r="Q153" s="148">
        <f t="shared" si="67"/>
        <v>352601449.5762676</v>
      </c>
      <c r="R153" s="171">
        <f t="shared" si="80"/>
        <v>711256648.27658319</v>
      </c>
      <c r="S153" s="134">
        <f t="shared" si="81"/>
        <v>439321449.57626754</v>
      </c>
      <c r="T153" s="85"/>
    </row>
    <row r="154" spans="1:26" x14ac:dyDescent="0.3">
      <c r="A154" s="11"/>
      <c r="B154" s="32"/>
      <c r="C154" s="316"/>
      <c r="D154" s="79">
        <v>7</v>
      </c>
      <c r="E154" s="80">
        <v>0</v>
      </c>
      <c r="F154" s="81">
        <v>0</v>
      </c>
      <c r="G154" s="81">
        <v>400000</v>
      </c>
      <c r="H154" s="81">
        <f t="shared" si="76"/>
        <v>-400000</v>
      </c>
      <c r="I154" s="82">
        <v>0</v>
      </c>
      <c r="J154" s="83">
        <f t="shared" si="82"/>
        <v>21680000</v>
      </c>
      <c r="K154" s="84">
        <f t="shared" si="77"/>
        <v>21280000</v>
      </c>
      <c r="L154" s="151">
        <f t="shared" si="78"/>
        <v>65040000</v>
      </c>
      <c r="M154" s="141">
        <f t="shared" si="75"/>
        <v>277237232.27692133</v>
      </c>
      <c r="N154" s="68">
        <v>0</v>
      </c>
      <c r="O154" s="171">
        <f t="shared" si="79"/>
        <v>373881449.5762676</v>
      </c>
      <c r="P154" s="32">
        <v>1.7999999999999999E-2</v>
      </c>
      <c r="Q154" s="148">
        <f t="shared" si="67"/>
        <v>380611315.66864043</v>
      </c>
      <c r="R154" s="171">
        <f t="shared" si="80"/>
        <v>722888547.94556177</v>
      </c>
      <c r="S154" s="134">
        <f t="shared" si="81"/>
        <v>445651315.66864043</v>
      </c>
      <c r="T154" s="85"/>
    </row>
    <row r="155" spans="1:26" x14ac:dyDescent="0.3">
      <c r="A155" s="11"/>
      <c r="B155" s="32"/>
      <c r="C155" s="316"/>
      <c r="D155" s="79">
        <v>8</v>
      </c>
      <c r="E155" s="80">
        <v>0</v>
      </c>
      <c r="F155" s="81">
        <v>0</v>
      </c>
      <c r="G155" s="81">
        <v>400000</v>
      </c>
      <c r="H155" s="81">
        <f t="shared" si="76"/>
        <v>-400000</v>
      </c>
      <c r="I155" s="82">
        <v>0</v>
      </c>
      <c r="J155" s="83">
        <f t="shared" si="82"/>
        <v>21680000</v>
      </c>
      <c r="K155" s="84">
        <f t="shared" si="77"/>
        <v>21280000</v>
      </c>
      <c r="L155" s="151">
        <f t="shared" si="78"/>
        <v>43360000</v>
      </c>
      <c r="M155" s="141">
        <f t="shared" si="75"/>
        <v>282634702.45790589</v>
      </c>
      <c r="N155" s="68">
        <v>0</v>
      </c>
      <c r="O155" s="171">
        <f t="shared" si="79"/>
        <v>401891315.66864043</v>
      </c>
      <c r="P155" s="32">
        <v>1.7999999999999999E-2</v>
      </c>
      <c r="Q155" s="148">
        <f t="shared" si="67"/>
        <v>409125359.35067594</v>
      </c>
      <c r="R155" s="171">
        <f t="shared" si="80"/>
        <v>735120061.80858183</v>
      </c>
      <c r="S155" s="134">
        <f t="shared" si="81"/>
        <v>452485359.35067594</v>
      </c>
      <c r="T155" s="85"/>
    </row>
    <row r="156" spans="1:26" x14ac:dyDescent="0.3">
      <c r="A156" s="11"/>
      <c r="B156" s="32"/>
      <c r="C156" s="316"/>
      <c r="D156" s="79">
        <v>9</v>
      </c>
      <c r="E156" s="80">
        <v>0</v>
      </c>
      <c r="F156" s="81">
        <v>0</v>
      </c>
      <c r="G156" s="81">
        <v>400000</v>
      </c>
      <c r="H156" s="81">
        <f t="shared" si="76"/>
        <v>-400000</v>
      </c>
      <c r="I156" s="82">
        <v>0</v>
      </c>
      <c r="J156" s="83">
        <f t="shared" si="82"/>
        <v>21680000</v>
      </c>
      <c r="K156" s="84">
        <f t="shared" si="77"/>
        <v>21280000</v>
      </c>
      <c r="L156" s="151">
        <f t="shared" si="78"/>
        <v>21680000</v>
      </c>
      <c r="M156" s="141">
        <f t="shared" si="75"/>
        <v>288129327.10214818</v>
      </c>
      <c r="N156" s="68">
        <v>0</v>
      </c>
      <c r="O156" s="171">
        <f t="shared" si="79"/>
        <v>430405359.35067594</v>
      </c>
      <c r="P156" s="32">
        <v>1.7999999999999999E-2</v>
      </c>
      <c r="Q156" s="148">
        <f t="shared" si="67"/>
        <v>438152655.81898808</v>
      </c>
      <c r="R156" s="171">
        <f t="shared" si="80"/>
        <v>747961982.92113626</v>
      </c>
      <c r="S156" s="134">
        <f t="shared" si="81"/>
        <v>459832655.81898808</v>
      </c>
      <c r="T156" s="85"/>
    </row>
    <row r="157" spans="1:26" x14ac:dyDescent="0.3">
      <c r="A157" s="11"/>
      <c r="B157" s="32"/>
      <c r="C157" s="316"/>
      <c r="D157" s="79">
        <v>10</v>
      </c>
      <c r="E157" s="80">
        <v>0</v>
      </c>
      <c r="F157" s="81">
        <v>0</v>
      </c>
      <c r="G157" s="81">
        <v>400000</v>
      </c>
      <c r="H157" s="81">
        <f t="shared" si="76"/>
        <v>-400000</v>
      </c>
      <c r="I157" s="82">
        <v>0</v>
      </c>
      <c r="J157" s="83">
        <f xml:space="preserve"> J156</f>
        <v>21680000</v>
      </c>
      <c r="K157" s="84">
        <f t="shared" si="77"/>
        <v>21280000</v>
      </c>
      <c r="L157" s="151">
        <f t="shared" si="78"/>
        <v>0</v>
      </c>
      <c r="M157" s="141">
        <f t="shared" si="75"/>
        <v>293722854.98998684</v>
      </c>
      <c r="N157" s="68">
        <v>0</v>
      </c>
      <c r="O157" s="171">
        <f t="shared" si="79"/>
        <v>459432655.81898808</v>
      </c>
      <c r="P157" s="32">
        <v>1.7999999999999999E-2</v>
      </c>
      <c r="Q157" s="148">
        <f t="shared" si="67"/>
        <v>467702443.62372988</v>
      </c>
      <c r="R157" s="171">
        <f t="shared" si="80"/>
        <v>761425298.61371672</v>
      </c>
      <c r="S157" s="134">
        <f t="shared" si="81"/>
        <v>467702443.62372988</v>
      </c>
      <c r="T157" s="85"/>
    </row>
    <row r="158" spans="1:26" ht="17.25" thickBot="1" x14ac:dyDescent="0.35">
      <c r="A158" s="11"/>
      <c r="B158" s="32"/>
      <c r="C158" s="316"/>
      <c r="D158" s="87">
        <v>11</v>
      </c>
      <c r="E158" s="88">
        <v>0</v>
      </c>
      <c r="F158" s="89">
        <v>0</v>
      </c>
      <c r="G158" s="89">
        <v>400000</v>
      </c>
      <c r="H158" s="89">
        <f t="shared" si="76"/>
        <v>-400000</v>
      </c>
      <c r="I158" s="90">
        <v>110600000</v>
      </c>
      <c r="J158" s="91">
        <v>0</v>
      </c>
      <c r="K158" s="92">
        <f t="shared" si="77"/>
        <v>-111000000</v>
      </c>
      <c r="L158" s="151">
        <f t="shared" si="78"/>
        <v>110600000</v>
      </c>
      <c r="M158" s="142">
        <f t="shared" si="75"/>
        <v>299417066.37980658</v>
      </c>
      <c r="N158" s="68">
        <v>0</v>
      </c>
      <c r="O158" s="172">
        <f t="shared" si="79"/>
        <v>356702443.62372988</v>
      </c>
      <c r="P158" s="86">
        <v>1.7999999999999999E-2</v>
      </c>
      <c r="Q158" s="148">
        <f t="shared" si="67"/>
        <v>363123087.60895705</v>
      </c>
      <c r="R158" s="171">
        <f t="shared" si="80"/>
        <v>773140153.98876357</v>
      </c>
      <c r="S158" s="134">
        <f t="shared" si="81"/>
        <v>473723087.60895699</v>
      </c>
      <c r="T158" s="85"/>
    </row>
    <row r="159" spans="1:26" ht="17.25" thickBot="1" x14ac:dyDescent="0.35">
      <c r="A159" s="11"/>
      <c r="B159" s="32"/>
      <c r="C159" s="316"/>
      <c r="D159" s="39">
        <v>12</v>
      </c>
      <c r="E159" s="40">
        <v>0</v>
      </c>
      <c r="F159" s="41">
        <v>0</v>
      </c>
      <c r="G159" s="41">
        <v>400000</v>
      </c>
      <c r="H159" s="41">
        <f t="shared" si="76"/>
        <v>-400000</v>
      </c>
      <c r="I159" s="42">
        <v>110600000</v>
      </c>
      <c r="J159" s="44">
        <v>0</v>
      </c>
      <c r="K159" s="47">
        <f t="shared" si="77"/>
        <v>-111000000</v>
      </c>
      <c r="L159" s="154">
        <f t="shared" si="78"/>
        <v>221200000</v>
      </c>
      <c r="M159" s="143">
        <f t="shared" si="75"/>
        <v>305213773.57464308</v>
      </c>
      <c r="N159" s="49">
        <v>0</v>
      </c>
      <c r="O159" s="173">
        <f t="shared" si="79"/>
        <v>252123087.60895705</v>
      </c>
      <c r="P159" s="45">
        <v>1.7999999999999999E-2</v>
      </c>
      <c r="Q159" s="148">
        <f t="shared" si="67"/>
        <v>256661303.18591827</v>
      </c>
      <c r="R159" s="171">
        <f t="shared" si="80"/>
        <v>783075076.76056135</v>
      </c>
      <c r="S159" s="137">
        <f t="shared" si="81"/>
        <v>477861303.18591827</v>
      </c>
      <c r="T159" s="85">
        <f xml:space="preserve"> S159 / 4</f>
        <v>119465325.79647957</v>
      </c>
      <c r="U159" s="46">
        <f>SUM(E4:E159)</f>
        <v>332300000</v>
      </c>
      <c r="V159" s="46">
        <f>SUM(F4:F159)</f>
        <v>184886544</v>
      </c>
      <c r="W159" s="48">
        <f xml:space="preserve"> U159 - V159</f>
        <v>147413456</v>
      </c>
      <c r="X159" s="48">
        <f>R159-W159</f>
        <v>635661620.76056135</v>
      </c>
      <c r="Y159" s="116">
        <f xml:space="preserve"> X159 / W159 * 100</f>
        <v>431.21003876373499</v>
      </c>
    </row>
    <row r="160" spans="1:26" x14ac:dyDescent="0.3">
      <c r="A160" s="11"/>
      <c r="B160" s="32">
        <v>14</v>
      </c>
      <c r="C160" s="316">
        <v>2035</v>
      </c>
      <c r="D160" s="71">
        <v>1</v>
      </c>
      <c r="E160" s="72">
        <v>0</v>
      </c>
      <c r="F160" s="119">
        <v>36000000</v>
      </c>
      <c r="G160" s="73">
        <v>400000</v>
      </c>
      <c r="H160" s="73">
        <f t="shared" si="76"/>
        <v>-36400000</v>
      </c>
      <c r="I160" s="74">
        <v>0</v>
      </c>
      <c r="J160" s="75">
        <f xml:space="preserve"> L159 / 10</f>
        <v>22120000</v>
      </c>
      <c r="K160" s="76">
        <f t="shared" si="77"/>
        <v>-14280000</v>
      </c>
      <c r="L160" s="67">
        <f t="shared" si="78"/>
        <v>199080000</v>
      </c>
      <c r="M160" s="140">
        <f t="shared" si="75"/>
        <v>306836228.66894168</v>
      </c>
      <c r="N160" s="68">
        <v>0</v>
      </c>
      <c r="O160" s="174">
        <f t="shared" si="79"/>
        <v>242381303.18591827</v>
      </c>
      <c r="P160" s="70">
        <v>4.0000000000000001E-3</v>
      </c>
      <c r="Q160" s="148">
        <f t="shared" si="67"/>
        <v>243350828.39866194</v>
      </c>
      <c r="R160" s="174">
        <f t="shared" si="80"/>
        <v>749267057.06760359</v>
      </c>
      <c r="S160" s="133">
        <f t="shared" si="81"/>
        <v>442430828.39866191</v>
      </c>
      <c r="T160" s="77"/>
    </row>
    <row r="161" spans="1:25" x14ac:dyDescent="0.3">
      <c r="A161" s="11"/>
      <c r="B161" s="32"/>
      <c r="C161" s="316"/>
      <c r="D161" s="79">
        <v>2</v>
      </c>
      <c r="E161" s="80">
        <v>0</v>
      </c>
      <c r="F161" s="81">
        <v>0</v>
      </c>
      <c r="G161" s="81">
        <v>400000</v>
      </c>
      <c r="H161" s="81">
        <f t="shared" si="76"/>
        <v>-400000</v>
      </c>
      <c r="I161" s="82">
        <v>0</v>
      </c>
      <c r="J161" s="83">
        <f xml:space="preserve"> J160</f>
        <v>22120000</v>
      </c>
      <c r="K161" s="84">
        <f t="shared" si="77"/>
        <v>21720000</v>
      </c>
      <c r="L161" s="151">
        <f t="shared" si="78"/>
        <v>176960000</v>
      </c>
      <c r="M161" s="141">
        <f t="shared" si="75"/>
        <v>312766480.78498262</v>
      </c>
      <c r="N161" s="68">
        <v>0</v>
      </c>
      <c r="O161" s="171">
        <f t="shared" si="79"/>
        <v>265070828.39866194</v>
      </c>
      <c r="P161" s="32">
        <v>1.7999999999999999E-2</v>
      </c>
      <c r="Q161" s="148">
        <f t="shared" si="67"/>
        <v>269842103.30983788</v>
      </c>
      <c r="R161" s="171">
        <f t="shared" si="80"/>
        <v>759568584.0948205</v>
      </c>
      <c r="S161" s="134">
        <f t="shared" si="81"/>
        <v>446802103.30983788</v>
      </c>
      <c r="T161" s="85"/>
    </row>
    <row r="162" spans="1:25" x14ac:dyDescent="0.3">
      <c r="A162" s="11"/>
      <c r="B162" s="32"/>
      <c r="C162" s="316"/>
      <c r="D162" s="79">
        <v>3</v>
      </c>
      <c r="E162" s="80">
        <v>0</v>
      </c>
      <c r="F162" s="81">
        <v>0</v>
      </c>
      <c r="G162" s="81">
        <v>400000</v>
      </c>
      <c r="H162" s="81">
        <f t="shared" si="76"/>
        <v>-400000</v>
      </c>
      <c r="I162" s="82">
        <v>0</v>
      </c>
      <c r="J162" s="83">
        <f t="shared" ref="J162:J168" si="83" xml:space="preserve"> J161</f>
        <v>22120000</v>
      </c>
      <c r="K162" s="84">
        <f t="shared" si="77"/>
        <v>21720000</v>
      </c>
      <c r="L162" s="151">
        <f t="shared" si="78"/>
        <v>154840000</v>
      </c>
      <c r="M162" s="141">
        <f t="shared" si="75"/>
        <v>318803477.43911231</v>
      </c>
      <c r="N162" s="68">
        <v>0</v>
      </c>
      <c r="O162" s="171">
        <f t="shared" si="79"/>
        <v>291562103.30983788</v>
      </c>
      <c r="P162" s="32">
        <v>1.7999999999999999E-2</v>
      </c>
      <c r="Q162" s="148">
        <f t="shared" si="67"/>
        <v>296810221.16941494</v>
      </c>
      <c r="R162" s="171">
        <f t="shared" si="80"/>
        <v>770453698.60852718</v>
      </c>
      <c r="S162" s="134">
        <f t="shared" si="81"/>
        <v>451650221.16941488</v>
      </c>
      <c r="T162" s="85"/>
    </row>
    <row r="163" spans="1:25" x14ac:dyDescent="0.3">
      <c r="A163" s="11"/>
      <c r="B163" s="32"/>
      <c r="C163" s="316"/>
      <c r="D163" s="79">
        <v>4</v>
      </c>
      <c r="E163" s="80">
        <v>0</v>
      </c>
      <c r="F163" s="81">
        <v>0</v>
      </c>
      <c r="G163" s="81">
        <v>400000</v>
      </c>
      <c r="H163" s="81">
        <f t="shared" si="76"/>
        <v>-400000</v>
      </c>
      <c r="I163" s="82">
        <v>0</v>
      </c>
      <c r="J163" s="83">
        <f t="shared" si="83"/>
        <v>22120000</v>
      </c>
      <c r="K163" s="84">
        <f t="shared" si="77"/>
        <v>21720000</v>
      </c>
      <c r="L163" s="151">
        <f t="shared" si="78"/>
        <v>132720000</v>
      </c>
      <c r="M163" s="141">
        <f t="shared" si="75"/>
        <v>324949140.03301632</v>
      </c>
      <c r="N163" s="68">
        <v>0</v>
      </c>
      <c r="O163" s="171">
        <f t="shared" si="79"/>
        <v>318530221.16941494</v>
      </c>
      <c r="P163" s="32">
        <v>1.7999999999999999E-2</v>
      </c>
      <c r="Q163" s="148">
        <f t="shared" si="67"/>
        <v>324263765.15046442</v>
      </c>
      <c r="R163" s="171">
        <f t="shared" si="80"/>
        <v>781932905.18348074</v>
      </c>
      <c r="S163" s="134">
        <f t="shared" si="81"/>
        <v>456983765.15046442</v>
      </c>
      <c r="T163" s="85"/>
    </row>
    <row r="164" spans="1:25" x14ac:dyDescent="0.3">
      <c r="A164" s="11"/>
      <c r="B164" s="32"/>
      <c r="C164" s="316"/>
      <c r="D164" s="79">
        <v>5</v>
      </c>
      <c r="E164" s="80">
        <v>0</v>
      </c>
      <c r="F164" s="81">
        <v>0</v>
      </c>
      <c r="G164" s="81">
        <v>400000</v>
      </c>
      <c r="H164" s="81">
        <f t="shared" si="76"/>
        <v>-400000</v>
      </c>
      <c r="I164" s="82">
        <v>0</v>
      </c>
      <c r="J164" s="83">
        <f t="shared" si="83"/>
        <v>22120000</v>
      </c>
      <c r="K164" s="84">
        <f t="shared" si="77"/>
        <v>21720000</v>
      </c>
      <c r="L164" s="151">
        <f t="shared" si="78"/>
        <v>110600000</v>
      </c>
      <c r="M164" s="141">
        <f t="shared" si="75"/>
        <v>331205424.55361062</v>
      </c>
      <c r="N164" s="68">
        <v>0</v>
      </c>
      <c r="O164" s="171">
        <f t="shared" si="79"/>
        <v>345983765.15046442</v>
      </c>
      <c r="P164" s="32">
        <v>1.7999999999999999E-2</v>
      </c>
      <c r="Q164" s="148">
        <f t="shared" si="67"/>
        <v>352211472.92317277</v>
      </c>
      <c r="R164" s="171">
        <f t="shared" si="80"/>
        <v>794016897.47678339</v>
      </c>
      <c r="S164" s="134">
        <f t="shared" si="81"/>
        <v>462811472.92317277</v>
      </c>
      <c r="T164" s="85"/>
    </row>
    <row r="165" spans="1:25" x14ac:dyDescent="0.3">
      <c r="A165" s="11"/>
      <c r="B165" s="32"/>
      <c r="C165" s="316"/>
      <c r="D165" s="79">
        <v>6</v>
      </c>
      <c r="E165" s="80">
        <v>0</v>
      </c>
      <c r="F165" s="81">
        <v>0</v>
      </c>
      <c r="G165" s="81">
        <v>400000</v>
      </c>
      <c r="H165" s="81">
        <f t="shared" si="76"/>
        <v>-400000</v>
      </c>
      <c r="I165" s="82">
        <v>0</v>
      </c>
      <c r="J165" s="83">
        <f t="shared" si="83"/>
        <v>22120000</v>
      </c>
      <c r="K165" s="84">
        <f t="shared" si="77"/>
        <v>21720000</v>
      </c>
      <c r="L165" s="151">
        <f t="shared" si="78"/>
        <v>88480000</v>
      </c>
      <c r="M165" s="141">
        <f t="shared" si="75"/>
        <v>337574322.19557559</v>
      </c>
      <c r="N165" s="68">
        <v>0</v>
      </c>
      <c r="O165" s="171">
        <f t="shared" si="79"/>
        <v>373931472.92317277</v>
      </c>
      <c r="P165" s="32">
        <v>1.7999999999999999E-2</v>
      </c>
      <c r="Q165" s="148">
        <f t="shared" si="67"/>
        <v>380662239.43578988</v>
      </c>
      <c r="R165" s="171">
        <f t="shared" si="80"/>
        <v>806716561.63136554</v>
      </c>
      <c r="S165" s="134">
        <f t="shared" si="81"/>
        <v>469142239.43578994</v>
      </c>
      <c r="T165" s="85"/>
    </row>
    <row r="166" spans="1:25" x14ac:dyDescent="0.3">
      <c r="A166" s="11"/>
      <c r="B166" s="32"/>
      <c r="C166" s="316"/>
      <c r="D166" s="79">
        <v>7</v>
      </c>
      <c r="E166" s="80">
        <v>0</v>
      </c>
      <c r="F166" s="81">
        <v>0</v>
      </c>
      <c r="G166" s="81">
        <v>400000</v>
      </c>
      <c r="H166" s="81">
        <f t="shared" si="76"/>
        <v>-400000</v>
      </c>
      <c r="I166" s="82">
        <v>0</v>
      </c>
      <c r="J166" s="83">
        <f t="shared" si="83"/>
        <v>22120000</v>
      </c>
      <c r="K166" s="84">
        <f t="shared" si="77"/>
        <v>21720000</v>
      </c>
      <c r="L166" s="151">
        <f t="shared" si="78"/>
        <v>66360000</v>
      </c>
      <c r="M166" s="141">
        <f t="shared" si="75"/>
        <v>344057859.99509597</v>
      </c>
      <c r="N166" s="68">
        <v>0</v>
      </c>
      <c r="O166" s="171">
        <f t="shared" si="79"/>
        <v>402382239.43578988</v>
      </c>
      <c r="P166" s="32">
        <v>1.7999999999999999E-2</v>
      </c>
      <c r="Q166" s="148">
        <f t="shared" si="67"/>
        <v>409625119.74563408</v>
      </c>
      <c r="R166" s="171">
        <f t="shared" si="80"/>
        <v>820042979.74073005</v>
      </c>
      <c r="S166" s="134">
        <f t="shared" si="81"/>
        <v>475985119.74563408</v>
      </c>
      <c r="T166" s="85"/>
    </row>
    <row r="167" spans="1:25" x14ac:dyDescent="0.3">
      <c r="A167" s="11"/>
      <c r="B167" s="32"/>
      <c r="C167" s="316"/>
      <c r="D167" s="79">
        <v>8</v>
      </c>
      <c r="E167" s="80">
        <v>0</v>
      </c>
      <c r="F167" s="81">
        <v>0</v>
      </c>
      <c r="G167" s="81">
        <v>400000</v>
      </c>
      <c r="H167" s="81">
        <f t="shared" si="76"/>
        <v>-400000</v>
      </c>
      <c r="I167" s="82">
        <v>0</v>
      </c>
      <c r="J167" s="83">
        <f t="shared" si="83"/>
        <v>22120000</v>
      </c>
      <c r="K167" s="84">
        <f t="shared" si="77"/>
        <v>21720000</v>
      </c>
      <c r="L167" s="151">
        <f t="shared" si="78"/>
        <v>44240000</v>
      </c>
      <c r="M167" s="141">
        <f t="shared" si="75"/>
        <v>350658101.47500771</v>
      </c>
      <c r="N167" s="68">
        <v>0</v>
      </c>
      <c r="O167" s="171">
        <f t="shared" si="79"/>
        <v>431345119.74563408</v>
      </c>
      <c r="P167" s="32">
        <v>1.7999999999999999E-2</v>
      </c>
      <c r="Q167" s="148">
        <f t="shared" si="67"/>
        <v>439109331.90105551</v>
      </c>
      <c r="R167" s="171">
        <f t="shared" si="80"/>
        <v>834007433.37606323</v>
      </c>
      <c r="S167" s="134">
        <f t="shared" si="81"/>
        <v>483349331.90105551</v>
      </c>
      <c r="T167" s="85"/>
    </row>
    <row r="168" spans="1:25" x14ac:dyDescent="0.3">
      <c r="A168" s="11"/>
      <c r="B168" s="32"/>
      <c r="C168" s="316"/>
      <c r="D168" s="79">
        <v>9</v>
      </c>
      <c r="E168" s="80">
        <v>0</v>
      </c>
      <c r="F168" s="81">
        <v>0</v>
      </c>
      <c r="G168" s="81">
        <v>400000</v>
      </c>
      <c r="H168" s="81">
        <f t="shared" si="76"/>
        <v>-400000</v>
      </c>
      <c r="I168" s="82">
        <v>0</v>
      </c>
      <c r="J168" s="83">
        <f t="shared" si="83"/>
        <v>22120000</v>
      </c>
      <c r="K168" s="84">
        <f t="shared" si="77"/>
        <v>21720000</v>
      </c>
      <c r="L168" s="151">
        <f t="shared" si="78"/>
        <v>22120000</v>
      </c>
      <c r="M168" s="141">
        <f t="shared" si="75"/>
        <v>357377147.30155784</v>
      </c>
      <c r="N168" s="68">
        <v>0</v>
      </c>
      <c r="O168" s="171">
        <f t="shared" si="79"/>
        <v>460829331.90105551</v>
      </c>
      <c r="P168" s="32">
        <v>1.7999999999999999E-2</v>
      </c>
      <c r="Q168" s="148">
        <f t="shared" si="67"/>
        <v>469124259.87527454</v>
      </c>
      <c r="R168" s="171">
        <f t="shared" si="80"/>
        <v>848621407.17683244</v>
      </c>
      <c r="S168" s="134">
        <f t="shared" si="81"/>
        <v>491244259.8752746</v>
      </c>
      <c r="T168" s="85"/>
    </row>
    <row r="169" spans="1:25" x14ac:dyDescent="0.3">
      <c r="A169" s="11"/>
      <c r="B169" s="32"/>
      <c r="C169" s="316"/>
      <c r="D169" s="79">
        <v>10</v>
      </c>
      <c r="E169" s="80">
        <v>0</v>
      </c>
      <c r="F169" s="81">
        <v>0</v>
      </c>
      <c r="G169" s="81">
        <v>400000</v>
      </c>
      <c r="H169" s="81">
        <f t="shared" si="76"/>
        <v>-400000</v>
      </c>
      <c r="I169" s="82">
        <v>0</v>
      </c>
      <c r="J169" s="83">
        <f xml:space="preserve"> J168</f>
        <v>22120000</v>
      </c>
      <c r="K169" s="84">
        <f t="shared" si="77"/>
        <v>21720000</v>
      </c>
      <c r="L169" s="151">
        <f t="shared" si="78"/>
        <v>0</v>
      </c>
      <c r="M169" s="141">
        <f t="shared" si="75"/>
        <v>364217135.95298588</v>
      </c>
      <c r="N169" s="68">
        <v>0</v>
      </c>
      <c r="O169" s="171">
        <f t="shared" si="79"/>
        <v>490844259.87527454</v>
      </c>
      <c r="P169" s="32">
        <v>1.7999999999999999E-2</v>
      </c>
      <c r="Q169" s="148">
        <f t="shared" si="67"/>
        <v>499679456.55302948</v>
      </c>
      <c r="R169" s="171">
        <f t="shared" si="80"/>
        <v>863896592.5060153</v>
      </c>
      <c r="S169" s="134">
        <f t="shared" si="81"/>
        <v>499679456.55302942</v>
      </c>
      <c r="T169" s="85"/>
    </row>
    <row r="170" spans="1:25" ht="17.25" thickBot="1" x14ac:dyDescent="0.35">
      <c r="A170" s="11"/>
      <c r="B170" s="32"/>
      <c r="C170" s="316"/>
      <c r="D170" s="87">
        <v>11</v>
      </c>
      <c r="E170" s="88">
        <v>0</v>
      </c>
      <c r="F170" s="89">
        <v>0</v>
      </c>
      <c r="G170" s="89">
        <v>400000</v>
      </c>
      <c r="H170" s="89">
        <f t="shared" si="76"/>
        <v>-400000</v>
      </c>
      <c r="I170" s="90">
        <v>138972684</v>
      </c>
      <c r="J170" s="91">
        <v>0</v>
      </c>
      <c r="K170" s="92">
        <f t="shared" si="77"/>
        <v>-139372684</v>
      </c>
      <c r="L170" s="151">
        <f t="shared" si="78"/>
        <v>138972684</v>
      </c>
      <c r="M170" s="142">
        <f t="shared" si="75"/>
        <v>371180244.40013963</v>
      </c>
      <c r="N170" s="68">
        <v>0</v>
      </c>
      <c r="O170" s="172">
        <f t="shared" si="79"/>
        <v>360306772.55302948</v>
      </c>
      <c r="P170" s="86">
        <v>1.7999999999999999E-2</v>
      </c>
      <c r="Q170" s="148">
        <f t="shared" si="67"/>
        <v>366792294.45898402</v>
      </c>
      <c r="R170" s="171">
        <f t="shared" si="80"/>
        <v>876945222.85912371</v>
      </c>
      <c r="S170" s="134">
        <f t="shared" si="81"/>
        <v>505764978.45898408</v>
      </c>
      <c r="T170" s="85"/>
    </row>
    <row r="171" spans="1:25" ht="17.25" thickBot="1" x14ac:dyDescent="0.35">
      <c r="A171" s="11"/>
      <c r="B171" s="32"/>
      <c r="C171" s="316"/>
      <c r="D171" s="39">
        <v>12</v>
      </c>
      <c r="E171" s="40">
        <v>0</v>
      </c>
      <c r="F171" s="41">
        <v>0</v>
      </c>
      <c r="G171" s="41">
        <v>400000</v>
      </c>
      <c r="H171" s="41">
        <f t="shared" si="76"/>
        <v>-400000</v>
      </c>
      <c r="I171" s="42">
        <v>138972684</v>
      </c>
      <c r="J171" s="44">
        <v>0</v>
      </c>
      <c r="K171" s="47">
        <f t="shared" si="77"/>
        <v>-139372684</v>
      </c>
      <c r="L171" s="154">
        <f t="shared" si="78"/>
        <v>277945368</v>
      </c>
      <c r="M171" s="143">
        <f t="shared" si="75"/>
        <v>378268688.79934216</v>
      </c>
      <c r="N171" s="49">
        <v>0</v>
      </c>
      <c r="O171" s="173">
        <f t="shared" si="79"/>
        <v>227419610.45898402</v>
      </c>
      <c r="P171" s="45">
        <v>1.7999999999999999E-2</v>
      </c>
      <c r="Q171" s="148">
        <f t="shared" si="67"/>
        <v>231513163.44724572</v>
      </c>
      <c r="R171" s="171">
        <f t="shared" si="80"/>
        <v>887727220.24658787</v>
      </c>
      <c r="S171" s="137">
        <f t="shared" si="81"/>
        <v>509458531.44724572</v>
      </c>
      <c r="T171" s="85">
        <f xml:space="preserve"> S171 / 4</f>
        <v>127364632.86181143</v>
      </c>
      <c r="U171" s="46">
        <f>SUM(E4:E171)</f>
        <v>332300000</v>
      </c>
      <c r="V171" s="46">
        <f>SUM(F4:F171)</f>
        <v>220886544</v>
      </c>
      <c r="W171" s="48">
        <f xml:space="preserve"> U171 - V171</f>
        <v>111413456</v>
      </c>
      <c r="X171" s="48">
        <f>R171-W171</f>
        <v>776313764.24658787</v>
      </c>
      <c r="Y171" s="116">
        <f xml:space="preserve"> X171 / W171 * 100</f>
        <v>696.78635967148159</v>
      </c>
    </row>
    <row r="172" spans="1:25" x14ac:dyDescent="0.3">
      <c r="A172" s="11"/>
      <c r="B172" s="32">
        <v>15</v>
      </c>
      <c r="C172" s="316">
        <v>2036</v>
      </c>
      <c r="D172" s="71">
        <v>1</v>
      </c>
      <c r="E172" s="72">
        <v>0</v>
      </c>
      <c r="F172" s="119">
        <v>36000000</v>
      </c>
      <c r="G172" s="73">
        <v>400000</v>
      </c>
      <c r="H172" s="73">
        <f t="shared" si="76"/>
        <v>-36400000</v>
      </c>
      <c r="I172" s="74">
        <v>0</v>
      </c>
      <c r="J172" s="75">
        <f xml:space="preserve"> L171 / 10</f>
        <v>27794536.800000001</v>
      </c>
      <c r="K172" s="76">
        <f t="shared" si="77"/>
        <v>-8605463.1999999993</v>
      </c>
      <c r="L172" s="67">
        <f t="shared" si="78"/>
        <v>250150831.19999999</v>
      </c>
      <c r="M172" s="140">
        <f t="shared" si="75"/>
        <v>380183363.5545395</v>
      </c>
      <c r="N172" s="68">
        <v>0</v>
      </c>
      <c r="O172" s="174">
        <f t="shared" si="79"/>
        <v>222907700.24724573</v>
      </c>
      <c r="P172" s="70">
        <v>4.0000000000000001E-3</v>
      </c>
      <c r="Q172" s="148">
        <f t="shared" si="67"/>
        <v>223799331.0482347</v>
      </c>
      <c r="R172" s="174">
        <f t="shared" si="80"/>
        <v>854133525.80277419</v>
      </c>
      <c r="S172" s="133">
        <f t="shared" si="81"/>
        <v>473950162.24823469</v>
      </c>
      <c r="T172" s="77"/>
    </row>
    <row r="173" spans="1:25" x14ac:dyDescent="0.3">
      <c r="A173" s="11"/>
      <c r="B173" s="32"/>
      <c r="C173" s="316"/>
      <c r="D173" s="79">
        <v>2</v>
      </c>
      <c r="E173" s="80">
        <v>0</v>
      </c>
      <c r="F173" s="81">
        <v>0</v>
      </c>
      <c r="G173" s="81">
        <v>400000</v>
      </c>
      <c r="H173" s="81">
        <f t="shared" si="76"/>
        <v>-400000</v>
      </c>
      <c r="I173" s="82">
        <v>0</v>
      </c>
      <c r="J173" s="83">
        <f xml:space="preserve"> J172</f>
        <v>27794536.800000001</v>
      </c>
      <c r="K173" s="84">
        <f t="shared" si="77"/>
        <v>27394536.800000001</v>
      </c>
      <c r="L173" s="151">
        <f t="shared" si="78"/>
        <v>222356294.39999998</v>
      </c>
      <c r="M173" s="141">
        <f t="shared" si="75"/>
        <v>387433864.09852123</v>
      </c>
      <c r="N173" s="68">
        <v>0</v>
      </c>
      <c r="O173" s="171">
        <f t="shared" si="79"/>
        <v>251193867.84823471</v>
      </c>
      <c r="P173" s="32">
        <v>1.7999999999999999E-2</v>
      </c>
      <c r="Q173" s="148">
        <f t="shared" si="67"/>
        <v>255715357.46950293</v>
      </c>
      <c r="R173" s="171">
        <f t="shared" si="80"/>
        <v>865505515.96802413</v>
      </c>
      <c r="S173" s="134">
        <f t="shared" si="81"/>
        <v>478071651.8695029</v>
      </c>
      <c r="T173" s="85"/>
    </row>
    <row r="174" spans="1:25" x14ac:dyDescent="0.3">
      <c r="A174" s="11"/>
      <c r="B174" s="32"/>
      <c r="C174" s="316"/>
      <c r="D174" s="79">
        <v>3</v>
      </c>
      <c r="E174" s="80">
        <v>0</v>
      </c>
      <c r="F174" s="81">
        <v>0</v>
      </c>
      <c r="G174" s="81">
        <v>400000</v>
      </c>
      <c r="H174" s="81">
        <f t="shared" si="76"/>
        <v>-400000</v>
      </c>
      <c r="I174" s="82">
        <v>0</v>
      </c>
      <c r="J174" s="83">
        <f t="shared" ref="J174:J180" si="84" xml:space="preserve"> J173</f>
        <v>27794536.800000001</v>
      </c>
      <c r="K174" s="84">
        <f t="shared" si="77"/>
        <v>27394536.800000001</v>
      </c>
      <c r="L174" s="151">
        <f t="shared" si="78"/>
        <v>194561757.59999996</v>
      </c>
      <c r="M174" s="141">
        <f t="shared" si="75"/>
        <v>394814873.65229464</v>
      </c>
      <c r="N174" s="68">
        <v>0</v>
      </c>
      <c r="O174" s="171">
        <f t="shared" si="79"/>
        <v>283109894.26950294</v>
      </c>
      <c r="P174" s="32">
        <v>1.7999999999999999E-2</v>
      </c>
      <c r="Q174" s="148">
        <f t="shared" si="67"/>
        <v>288205872.36635399</v>
      </c>
      <c r="R174" s="171">
        <f t="shared" si="80"/>
        <v>877582503.61864853</v>
      </c>
      <c r="S174" s="134">
        <f t="shared" si="81"/>
        <v>482767629.96635389</v>
      </c>
      <c r="T174" s="85"/>
    </row>
    <row r="175" spans="1:25" x14ac:dyDescent="0.3">
      <c r="A175" s="11"/>
      <c r="B175" s="32"/>
      <c r="C175" s="316"/>
      <c r="D175" s="79">
        <v>4</v>
      </c>
      <c r="E175" s="80">
        <v>0</v>
      </c>
      <c r="F175" s="81">
        <v>0</v>
      </c>
      <c r="G175" s="81">
        <v>400000</v>
      </c>
      <c r="H175" s="81">
        <f t="shared" si="76"/>
        <v>-400000</v>
      </c>
      <c r="I175" s="82">
        <v>0</v>
      </c>
      <c r="J175" s="83">
        <f t="shared" si="84"/>
        <v>27794536.800000001</v>
      </c>
      <c r="K175" s="84">
        <f t="shared" si="77"/>
        <v>27394536.800000001</v>
      </c>
      <c r="L175" s="151">
        <f t="shared" si="78"/>
        <v>166767220.79999995</v>
      </c>
      <c r="M175" s="141">
        <f t="shared" si="75"/>
        <v>402328741.37803596</v>
      </c>
      <c r="N175" s="68">
        <v>0</v>
      </c>
      <c r="O175" s="171">
        <f t="shared" si="79"/>
        <v>315600409.166354</v>
      </c>
      <c r="P175" s="32">
        <v>1.7999999999999999E-2</v>
      </c>
      <c r="Q175" s="148">
        <f t="shared" si="67"/>
        <v>321281216.53134835</v>
      </c>
      <c r="R175" s="171">
        <f t="shared" si="80"/>
        <v>890377178.7093842</v>
      </c>
      <c r="S175" s="134">
        <f t="shared" si="81"/>
        <v>488048437.33134824</v>
      </c>
      <c r="T175" s="85"/>
    </row>
    <row r="176" spans="1:25" x14ac:dyDescent="0.3">
      <c r="A176" s="11"/>
      <c r="B176" s="32"/>
      <c r="C176" s="316"/>
      <c r="D176" s="79">
        <v>5</v>
      </c>
      <c r="E176" s="80">
        <v>0</v>
      </c>
      <c r="F176" s="81">
        <v>0</v>
      </c>
      <c r="G176" s="81">
        <v>400000</v>
      </c>
      <c r="H176" s="81">
        <f t="shared" si="76"/>
        <v>-400000</v>
      </c>
      <c r="I176" s="82">
        <v>0</v>
      </c>
      <c r="J176" s="83">
        <f t="shared" si="84"/>
        <v>27794536.800000001</v>
      </c>
      <c r="K176" s="84">
        <f t="shared" si="77"/>
        <v>27394536.800000001</v>
      </c>
      <c r="L176" s="151">
        <f t="shared" si="78"/>
        <v>138972683.99999994</v>
      </c>
      <c r="M176" s="141">
        <f t="shared" ref="M176:M195" si="85" xml:space="preserve"> (M175 + 400000) + ((M175 + 400000) * P176 )</f>
        <v>409977858.72284061</v>
      </c>
      <c r="N176" s="68">
        <v>0</v>
      </c>
      <c r="O176" s="171">
        <f t="shared" si="79"/>
        <v>348675753.33134836</v>
      </c>
      <c r="P176" s="32">
        <v>1.7999999999999999E-2</v>
      </c>
      <c r="Q176" s="148">
        <f t="shared" si="67"/>
        <v>354951916.89131266</v>
      </c>
      <c r="R176" s="171">
        <f t="shared" si="80"/>
        <v>903902459.61415315</v>
      </c>
      <c r="S176" s="134">
        <f t="shared" si="81"/>
        <v>493924600.89131254</v>
      </c>
      <c r="T176" s="85"/>
    </row>
    <row r="177" spans="1:25" x14ac:dyDescent="0.3">
      <c r="A177" s="11"/>
      <c r="B177" s="32"/>
      <c r="C177" s="316"/>
      <c r="D177" s="79">
        <v>6</v>
      </c>
      <c r="E177" s="80">
        <v>0</v>
      </c>
      <c r="F177" s="81">
        <v>0</v>
      </c>
      <c r="G177" s="81">
        <v>400000</v>
      </c>
      <c r="H177" s="81">
        <f t="shared" si="76"/>
        <v>-400000</v>
      </c>
      <c r="I177" s="82">
        <v>0</v>
      </c>
      <c r="J177" s="83">
        <f t="shared" si="84"/>
        <v>27794536.800000001</v>
      </c>
      <c r="K177" s="84">
        <f t="shared" si="77"/>
        <v>27394536.800000001</v>
      </c>
      <c r="L177" s="151">
        <f t="shared" si="78"/>
        <v>111178147.19999994</v>
      </c>
      <c r="M177" s="141">
        <f t="shared" si="85"/>
        <v>417764660.17985171</v>
      </c>
      <c r="N177" s="68">
        <v>0</v>
      </c>
      <c r="O177" s="171">
        <f t="shared" si="79"/>
        <v>382346453.69131267</v>
      </c>
      <c r="P177" s="32">
        <v>1.7999999999999999E-2</v>
      </c>
      <c r="Q177" s="148">
        <f t="shared" si="67"/>
        <v>389228689.85775632</v>
      </c>
      <c r="R177" s="171">
        <f t="shared" si="80"/>
        <v>918171497.23760796</v>
      </c>
      <c r="S177" s="134">
        <f t="shared" si="81"/>
        <v>500406837.05775625</v>
      </c>
      <c r="T177" s="85"/>
    </row>
    <row r="178" spans="1:25" x14ac:dyDescent="0.3">
      <c r="A178" s="11"/>
      <c r="B178" s="32"/>
      <c r="C178" s="316"/>
      <c r="D178" s="79">
        <v>7</v>
      </c>
      <c r="E178" s="80">
        <v>0</v>
      </c>
      <c r="F178" s="81">
        <v>0</v>
      </c>
      <c r="G178" s="81">
        <v>400000</v>
      </c>
      <c r="H178" s="81">
        <f t="shared" si="76"/>
        <v>-400000</v>
      </c>
      <c r="I178" s="82">
        <v>0</v>
      </c>
      <c r="J178" s="83">
        <f t="shared" si="84"/>
        <v>27794536.800000001</v>
      </c>
      <c r="K178" s="84">
        <f t="shared" si="77"/>
        <v>27394536.800000001</v>
      </c>
      <c r="L178" s="151">
        <f t="shared" si="78"/>
        <v>83383610.399999946</v>
      </c>
      <c r="M178" s="141">
        <f t="shared" si="85"/>
        <v>425691624.06308901</v>
      </c>
      <c r="N178" s="68">
        <v>0</v>
      </c>
      <c r="O178" s="171">
        <f t="shared" si="79"/>
        <v>416623226.65775633</v>
      </c>
      <c r="P178" s="32">
        <v>1.7999999999999999E-2</v>
      </c>
      <c r="Q178" s="148">
        <f t="shared" si="67"/>
        <v>424122444.73759592</v>
      </c>
      <c r="R178" s="171">
        <f t="shared" si="80"/>
        <v>933197679.20068491</v>
      </c>
      <c r="S178" s="134">
        <f t="shared" si="81"/>
        <v>507506055.13759589</v>
      </c>
      <c r="T178" s="85"/>
    </row>
    <row r="179" spans="1:25" x14ac:dyDescent="0.3">
      <c r="A179" s="11"/>
      <c r="B179" s="32"/>
      <c r="C179" s="316"/>
      <c r="D179" s="79">
        <v>8</v>
      </c>
      <c r="E179" s="80">
        <v>0</v>
      </c>
      <c r="F179" s="81">
        <v>0</v>
      </c>
      <c r="G179" s="81">
        <v>400000</v>
      </c>
      <c r="H179" s="81">
        <f t="shared" si="76"/>
        <v>-400000</v>
      </c>
      <c r="I179" s="82">
        <v>0</v>
      </c>
      <c r="J179" s="83">
        <f t="shared" si="84"/>
        <v>27794536.800000001</v>
      </c>
      <c r="K179" s="84">
        <f t="shared" si="77"/>
        <v>27394536.800000001</v>
      </c>
      <c r="L179" s="151">
        <f t="shared" si="78"/>
        <v>55589073.599999949</v>
      </c>
      <c r="M179" s="141">
        <f t="shared" si="85"/>
        <v>433761273.29622459</v>
      </c>
      <c r="N179" s="68">
        <v>0</v>
      </c>
      <c r="O179" s="171">
        <f t="shared" si="79"/>
        <v>451516981.53759593</v>
      </c>
      <c r="P179" s="32">
        <v>1.7999999999999999E-2</v>
      </c>
      <c r="Q179" s="148">
        <f t="shared" si="67"/>
        <v>459644287.20527267</v>
      </c>
      <c r="R179" s="171">
        <f t="shared" si="80"/>
        <v>948994634.10149717</v>
      </c>
      <c r="S179" s="134">
        <f t="shared" si="81"/>
        <v>515233360.80527258</v>
      </c>
      <c r="T179" s="85"/>
    </row>
    <row r="180" spans="1:25" x14ac:dyDescent="0.3">
      <c r="A180" s="11"/>
      <c r="B180" s="32"/>
      <c r="C180" s="316"/>
      <c r="D180" s="79">
        <v>9</v>
      </c>
      <c r="E180" s="80">
        <v>0</v>
      </c>
      <c r="F180" s="81">
        <v>0</v>
      </c>
      <c r="G180" s="81">
        <v>400000</v>
      </c>
      <c r="H180" s="81">
        <f t="shared" si="76"/>
        <v>-400000</v>
      </c>
      <c r="I180" s="82">
        <v>0</v>
      </c>
      <c r="J180" s="83">
        <f t="shared" si="84"/>
        <v>27794536.800000001</v>
      </c>
      <c r="K180" s="84">
        <f t="shared" si="77"/>
        <v>27394536.800000001</v>
      </c>
      <c r="L180" s="151">
        <f t="shared" si="78"/>
        <v>27794536.799999949</v>
      </c>
      <c r="M180" s="141">
        <f t="shared" si="85"/>
        <v>441976176.21555662</v>
      </c>
      <c r="N180" s="68">
        <v>0</v>
      </c>
      <c r="O180" s="171">
        <f t="shared" si="79"/>
        <v>487038824.00527269</v>
      </c>
      <c r="P180" s="32">
        <v>1.7999999999999999E-2</v>
      </c>
      <c r="Q180" s="148">
        <f t="shared" si="67"/>
        <v>495805522.83736759</v>
      </c>
      <c r="R180" s="171">
        <f t="shared" si="80"/>
        <v>965576235.85292411</v>
      </c>
      <c r="S180" s="134">
        <f t="shared" si="81"/>
        <v>523600059.63736749</v>
      </c>
      <c r="T180" s="85"/>
    </row>
    <row r="181" spans="1:25" x14ac:dyDescent="0.3">
      <c r="A181" s="11"/>
      <c r="B181" s="32"/>
      <c r="C181" s="316"/>
      <c r="D181" s="79">
        <v>10</v>
      </c>
      <c r="E181" s="80">
        <v>0</v>
      </c>
      <c r="F181" s="81">
        <v>0</v>
      </c>
      <c r="G181" s="81">
        <v>400000</v>
      </c>
      <c r="H181" s="81">
        <f t="shared" si="76"/>
        <v>-400000</v>
      </c>
      <c r="I181" s="82">
        <v>0</v>
      </c>
      <c r="J181" s="83">
        <f xml:space="preserve"> J180</f>
        <v>27794536.800000001</v>
      </c>
      <c r="K181" s="84">
        <f t="shared" si="77"/>
        <v>27394536.800000001</v>
      </c>
      <c r="L181" s="151">
        <f t="shared" si="78"/>
        <v>-5.2154064178466797E-8</v>
      </c>
      <c r="M181" s="141">
        <f t="shared" si="85"/>
        <v>450338947.38743663</v>
      </c>
      <c r="N181" s="68">
        <v>0</v>
      </c>
      <c r="O181" s="171">
        <f t="shared" si="79"/>
        <v>523200059.63736761</v>
      </c>
      <c r="P181" s="32">
        <v>1.7999999999999999E-2</v>
      </c>
      <c r="Q181" s="148">
        <f t="shared" si="67"/>
        <v>532617660.71084023</v>
      </c>
      <c r="R181" s="171">
        <f t="shared" si="80"/>
        <v>982956608.09827685</v>
      </c>
      <c r="S181" s="134">
        <f t="shared" si="81"/>
        <v>532617660.71084023</v>
      </c>
      <c r="T181" s="85"/>
    </row>
    <row r="182" spans="1:25" ht="17.25" thickBot="1" x14ac:dyDescent="0.35">
      <c r="A182" s="11"/>
      <c r="B182" s="32"/>
      <c r="C182" s="316"/>
      <c r="D182" s="87">
        <v>11</v>
      </c>
      <c r="E182" s="88">
        <v>0</v>
      </c>
      <c r="F182" s="89">
        <v>0</v>
      </c>
      <c r="G182" s="89">
        <v>400000</v>
      </c>
      <c r="H182" s="89">
        <f t="shared" si="76"/>
        <v>-400000</v>
      </c>
      <c r="I182" s="90">
        <v>146209862</v>
      </c>
      <c r="J182" s="91">
        <v>0</v>
      </c>
      <c r="K182" s="92">
        <f t="shared" si="77"/>
        <v>-146609862</v>
      </c>
      <c r="L182" s="151">
        <f t="shared" si="78"/>
        <v>146209861.99999994</v>
      </c>
      <c r="M182" s="142">
        <f t="shared" si="85"/>
        <v>458852248.44041049</v>
      </c>
      <c r="N182" s="68">
        <v>0</v>
      </c>
      <c r="O182" s="172">
        <f t="shared" si="79"/>
        <v>386007798.71084023</v>
      </c>
      <c r="P182" s="86">
        <v>1.7999999999999999E-2</v>
      </c>
      <c r="Q182" s="148">
        <f t="shared" si="67"/>
        <v>392955939.08763534</v>
      </c>
      <c r="R182" s="171">
        <f t="shared" si="80"/>
        <v>998018049.52804589</v>
      </c>
      <c r="S182" s="134">
        <f t="shared" si="81"/>
        <v>539165801.0876354</v>
      </c>
      <c r="T182" s="85"/>
    </row>
    <row r="183" spans="1:25" ht="17.25" thickBot="1" x14ac:dyDescent="0.35">
      <c r="A183" s="11"/>
      <c r="B183" s="32"/>
      <c r="C183" s="316"/>
      <c r="D183" s="39">
        <v>12</v>
      </c>
      <c r="E183" s="40">
        <v>0</v>
      </c>
      <c r="F183" s="41">
        <v>0</v>
      </c>
      <c r="G183" s="41">
        <v>400000</v>
      </c>
      <c r="H183" s="41">
        <f t="shared" si="76"/>
        <v>-400000</v>
      </c>
      <c r="I183" s="42">
        <v>146209862</v>
      </c>
      <c r="J183" s="44">
        <v>0</v>
      </c>
      <c r="K183" s="47">
        <f t="shared" si="77"/>
        <v>-146609862</v>
      </c>
      <c r="L183" s="154">
        <f t="shared" si="78"/>
        <v>292419723.99999994</v>
      </c>
      <c r="M183" s="143">
        <f t="shared" si="85"/>
        <v>467518788.9123379</v>
      </c>
      <c r="N183" s="49">
        <v>0</v>
      </c>
      <c r="O183" s="173">
        <f t="shared" si="79"/>
        <v>246346077.08763534</v>
      </c>
      <c r="P183" s="45">
        <v>1.7999999999999999E-2</v>
      </c>
      <c r="Q183" s="148">
        <f t="shared" si="67"/>
        <v>250780306.47521278</v>
      </c>
      <c r="R183" s="171">
        <f t="shared" si="80"/>
        <v>1010718819.3875506</v>
      </c>
      <c r="S183" s="137">
        <f t="shared" si="81"/>
        <v>543200030.47521269</v>
      </c>
      <c r="T183" s="85">
        <f xml:space="preserve"> S183 / 4</f>
        <v>135800007.61880317</v>
      </c>
      <c r="U183" s="46">
        <f>SUM(E4:E183)</f>
        <v>332300000</v>
      </c>
      <c r="V183" s="46">
        <f>SUM(F4:F183)</f>
        <v>256886544</v>
      </c>
      <c r="W183" s="48">
        <f xml:space="preserve"> U183 - V183</f>
        <v>75413456</v>
      </c>
      <c r="X183" s="48">
        <f>R183-W183</f>
        <v>935305363.38755059</v>
      </c>
      <c r="Y183" s="116">
        <f xml:space="preserve"> X183 / W183 * 100</f>
        <v>1240.2367070772498</v>
      </c>
    </row>
    <row r="184" spans="1:25" x14ac:dyDescent="0.3">
      <c r="A184" s="11"/>
      <c r="B184" s="32">
        <v>16</v>
      </c>
      <c r="C184" s="316">
        <v>2037</v>
      </c>
      <c r="D184" s="71">
        <v>1</v>
      </c>
      <c r="E184" s="72">
        <v>0</v>
      </c>
      <c r="F184" s="119">
        <v>36000000</v>
      </c>
      <c r="G184" s="73">
        <v>400000</v>
      </c>
      <c r="H184" s="73">
        <f t="shared" si="76"/>
        <v>-36400000</v>
      </c>
      <c r="I184" s="74">
        <v>0</v>
      </c>
      <c r="J184" s="75">
        <f xml:space="preserve"> L183 / 10</f>
        <v>29241972.399999995</v>
      </c>
      <c r="K184" s="76">
        <f t="shared" si="77"/>
        <v>-7158027.6000000052</v>
      </c>
      <c r="L184" s="67">
        <f t="shared" si="78"/>
        <v>263177751.59999993</v>
      </c>
      <c r="M184" s="140">
        <f t="shared" si="85"/>
        <v>469790464.06798726</v>
      </c>
      <c r="N184" s="68">
        <v>0</v>
      </c>
      <c r="O184" s="174">
        <f t="shared" si="79"/>
        <v>243622278.87521279</v>
      </c>
      <c r="P184" s="70">
        <v>4.0000000000000001E-3</v>
      </c>
      <c r="Q184" s="148">
        <f t="shared" si="67"/>
        <v>244596767.99071363</v>
      </c>
      <c r="R184" s="174">
        <f t="shared" si="80"/>
        <v>977564983.65870082</v>
      </c>
      <c r="S184" s="133">
        <f t="shared" si="81"/>
        <v>507774519.59071356</v>
      </c>
      <c r="T184" s="77"/>
    </row>
    <row r="185" spans="1:25" x14ac:dyDescent="0.3">
      <c r="A185" s="11"/>
      <c r="B185" s="32"/>
      <c r="C185" s="316"/>
      <c r="D185" s="79">
        <v>2</v>
      </c>
      <c r="E185" s="80">
        <v>0</v>
      </c>
      <c r="F185" s="81">
        <v>0</v>
      </c>
      <c r="G185" s="81">
        <v>400000</v>
      </c>
      <c r="H185" s="81">
        <f t="shared" si="76"/>
        <v>-400000</v>
      </c>
      <c r="I185" s="82">
        <v>0</v>
      </c>
      <c r="J185" s="83">
        <f xml:space="preserve"> J184</f>
        <v>29241972.399999995</v>
      </c>
      <c r="K185" s="84">
        <f t="shared" si="77"/>
        <v>28841972.399999995</v>
      </c>
      <c r="L185" s="151">
        <f t="shared" si="78"/>
        <v>233935779.19999993</v>
      </c>
      <c r="M185" s="141">
        <f t="shared" si="85"/>
        <v>478653892.421211</v>
      </c>
      <c r="N185" s="68">
        <v>0</v>
      </c>
      <c r="O185" s="171">
        <f t="shared" si="79"/>
        <v>273438740.39071363</v>
      </c>
      <c r="P185" s="32">
        <v>1.7999999999999999E-2</v>
      </c>
      <c r="Q185" s="148">
        <f t="shared" si="67"/>
        <v>278360637.7177465</v>
      </c>
      <c r="R185" s="171">
        <f t="shared" si="80"/>
        <v>990950309.33895743</v>
      </c>
      <c r="S185" s="134">
        <f t="shared" si="81"/>
        <v>512296416.91774642</v>
      </c>
      <c r="T185" s="85"/>
    </row>
    <row r="186" spans="1:25" x14ac:dyDescent="0.3">
      <c r="A186" s="11"/>
      <c r="B186" s="32"/>
      <c r="C186" s="316"/>
      <c r="D186" s="79">
        <v>3</v>
      </c>
      <c r="E186" s="80">
        <v>0</v>
      </c>
      <c r="F186" s="81">
        <v>0</v>
      </c>
      <c r="G186" s="81">
        <v>400000</v>
      </c>
      <c r="H186" s="81">
        <f t="shared" si="76"/>
        <v>-400000</v>
      </c>
      <c r="I186" s="82">
        <v>0</v>
      </c>
      <c r="J186" s="83">
        <f t="shared" ref="J186:J192" si="86" xml:space="preserve"> J185</f>
        <v>29241972.399999995</v>
      </c>
      <c r="K186" s="84">
        <f t="shared" si="77"/>
        <v>28841972.399999995</v>
      </c>
      <c r="L186" s="151">
        <f t="shared" si="78"/>
        <v>204693806.79999992</v>
      </c>
      <c r="M186" s="141">
        <f t="shared" si="85"/>
        <v>487676862.48479283</v>
      </c>
      <c r="N186" s="68">
        <v>0</v>
      </c>
      <c r="O186" s="171">
        <f t="shared" si="79"/>
        <v>307202610.11774647</v>
      </c>
      <c r="P186" s="32">
        <v>1.7999999999999999E-2</v>
      </c>
      <c r="Q186" s="148">
        <f t="shared" si="67"/>
        <v>312732257.09986591</v>
      </c>
      <c r="R186" s="171">
        <f t="shared" si="80"/>
        <v>1005102926.3846587</v>
      </c>
      <c r="S186" s="134">
        <f t="shared" si="81"/>
        <v>517426063.89986587</v>
      </c>
      <c r="T186" s="85"/>
    </row>
    <row r="187" spans="1:25" x14ac:dyDescent="0.3">
      <c r="A187" s="11"/>
      <c r="B187" s="32"/>
      <c r="C187" s="316"/>
      <c r="D187" s="79">
        <v>4</v>
      </c>
      <c r="E187" s="80">
        <v>0</v>
      </c>
      <c r="F187" s="81">
        <v>0</v>
      </c>
      <c r="G187" s="81">
        <v>400000</v>
      </c>
      <c r="H187" s="81">
        <f t="shared" si="76"/>
        <v>-400000</v>
      </c>
      <c r="I187" s="82">
        <v>0</v>
      </c>
      <c r="J187" s="83">
        <f t="shared" si="86"/>
        <v>29241972.399999995</v>
      </c>
      <c r="K187" s="84">
        <f t="shared" si="77"/>
        <v>28841972.399999995</v>
      </c>
      <c r="L187" s="151">
        <f t="shared" si="78"/>
        <v>175451834.39999992</v>
      </c>
      <c r="M187" s="141">
        <f t="shared" si="85"/>
        <v>496862246.0095191</v>
      </c>
      <c r="N187" s="68">
        <v>0</v>
      </c>
      <c r="O187" s="171">
        <f t="shared" si="79"/>
        <v>341574229.49986589</v>
      </c>
      <c r="P187" s="32">
        <v>1.7999999999999999E-2</v>
      </c>
      <c r="Q187" s="148">
        <f t="shared" si="67"/>
        <v>347722565.63086349</v>
      </c>
      <c r="R187" s="171">
        <f t="shared" si="80"/>
        <v>1020036646.0403824</v>
      </c>
      <c r="S187" s="134">
        <f t="shared" si="81"/>
        <v>523174400.03086329</v>
      </c>
      <c r="T187" s="85"/>
    </row>
    <row r="188" spans="1:25" x14ac:dyDescent="0.3">
      <c r="A188" s="11"/>
      <c r="B188" s="32"/>
      <c r="C188" s="316"/>
      <c r="D188" s="79">
        <v>5</v>
      </c>
      <c r="E188" s="80">
        <v>0</v>
      </c>
      <c r="F188" s="81">
        <v>0</v>
      </c>
      <c r="G188" s="81">
        <v>400000</v>
      </c>
      <c r="H188" s="81">
        <f t="shared" si="76"/>
        <v>-400000</v>
      </c>
      <c r="I188" s="82">
        <v>0</v>
      </c>
      <c r="J188" s="83">
        <f t="shared" si="86"/>
        <v>29241972.399999995</v>
      </c>
      <c r="K188" s="84">
        <f t="shared" si="77"/>
        <v>28841972.399999995</v>
      </c>
      <c r="L188" s="151">
        <f t="shared" si="78"/>
        <v>146209861.99999991</v>
      </c>
      <c r="M188" s="141">
        <f t="shared" si="85"/>
        <v>506212966.43769044</v>
      </c>
      <c r="N188" s="68">
        <v>0</v>
      </c>
      <c r="O188" s="171">
        <f t="shared" si="79"/>
        <v>376564538.03086346</v>
      </c>
      <c r="P188" s="32">
        <v>1.7999999999999999E-2</v>
      </c>
      <c r="Q188" s="148">
        <f t="shared" si="67"/>
        <v>383342699.71541899</v>
      </c>
      <c r="R188" s="171">
        <f t="shared" si="80"/>
        <v>1035765528.1531093</v>
      </c>
      <c r="S188" s="134">
        <f t="shared" si="81"/>
        <v>529552561.71541888</v>
      </c>
      <c r="T188" s="85"/>
    </row>
    <row r="189" spans="1:25" x14ac:dyDescent="0.3">
      <c r="A189" s="11"/>
      <c r="B189" s="32"/>
      <c r="C189" s="316"/>
      <c r="D189" s="79">
        <v>6</v>
      </c>
      <c r="E189" s="80">
        <v>0</v>
      </c>
      <c r="F189" s="81">
        <v>0</v>
      </c>
      <c r="G189" s="81">
        <v>400000</v>
      </c>
      <c r="H189" s="81">
        <f t="shared" si="76"/>
        <v>-400000</v>
      </c>
      <c r="I189" s="82">
        <v>0</v>
      </c>
      <c r="J189" s="83">
        <f t="shared" si="86"/>
        <v>29241972.399999995</v>
      </c>
      <c r="K189" s="84">
        <f t="shared" si="77"/>
        <v>28841972.399999995</v>
      </c>
      <c r="L189" s="151">
        <f t="shared" si="78"/>
        <v>116967889.59999992</v>
      </c>
      <c r="M189" s="141">
        <f t="shared" si="85"/>
        <v>515731999.83356887</v>
      </c>
      <c r="N189" s="68">
        <v>0</v>
      </c>
      <c r="O189" s="171">
        <f t="shared" si="79"/>
        <v>412184672.11541897</v>
      </c>
      <c r="P189" s="32">
        <v>1.7999999999999999E-2</v>
      </c>
      <c r="Q189" s="148">
        <f t="shared" si="67"/>
        <v>419603996.21349651</v>
      </c>
      <c r="R189" s="171">
        <f t="shared" si="80"/>
        <v>1052303885.6470653</v>
      </c>
      <c r="S189" s="134">
        <f t="shared" si="81"/>
        <v>536571885.81349641</v>
      </c>
      <c r="T189" s="85"/>
    </row>
    <row r="190" spans="1:25" x14ac:dyDescent="0.3">
      <c r="A190" s="11"/>
      <c r="B190" s="32"/>
      <c r="C190" s="316"/>
      <c r="D190" s="79">
        <v>7</v>
      </c>
      <c r="E190" s="80">
        <v>0</v>
      </c>
      <c r="F190" s="81">
        <v>0</v>
      </c>
      <c r="G190" s="81">
        <v>400000</v>
      </c>
      <c r="H190" s="81">
        <f t="shared" si="76"/>
        <v>-400000</v>
      </c>
      <c r="I190" s="82">
        <v>0</v>
      </c>
      <c r="J190" s="83">
        <f t="shared" si="86"/>
        <v>29241972.399999995</v>
      </c>
      <c r="K190" s="84">
        <f t="shared" si="77"/>
        <v>28841972.399999995</v>
      </c>
      <c r="L190" s="151">
        <f t="shared" si="78"/>
        <v>87725917.199999928</v>
      </c>
      <c r="M190" s="141">
        <f t="shared" si="85"/>
        <v>525422375.83057308</v>
      </c>
      <c r="N190" s="68">
        <v>0</v>
      </c>
      <c r="O190" s="171">
        <f t="shared" si="79"/>
        <v>448445968.61349648</v>
      </c>
      <c r="P190" s="32">
        <v>1.7999999999999999E-2</v>
      </c>
      <c r="Q190" s="148">
        <f t="shared" si="67"/>
        <v>456517996.0485394</v>
      </c>
      <c r="R190" s="171">
        <f t="shared" si="80"/>
        <v>1069666289.0791124</v>
      </c>
      <c r="S190" s="134">
        <f t="shared" si="81"/>
        <v>544243913.24853933</v>
      </c>
      <c r="T190" s="85"/>
    </row>
    <row r="191" spans="1:25" x14ac:dyDescent="0.3">
      <c r="A191" s="11"/>
      <c r="B191" s="32"/>
      <c r="C191" s="316"/>
      <c r="D191" s="79">
        <v>8</v>
      </c>
      <c r="E191" s="80">
        <v>0</v>
      </c>
      <c r="F191" s="81">
        <v>0</v>
      </c>
      <c r="G191" s="81">
        <v>400000</v>
      </c>
      <c r="H191" s="81">
        <f t="shared" si="76"/>
        <v>-400000</v>
      </c>
      <c r="I191" s="82">
        <v>0</v>
      </c>
      <c r="J191" s="83">
        <f t="shared" si="86"/>
        <v>29241972.399999995</v>
      </c>
      <c r="K191" s="84">
        <f t="shared" si="77"/>
        <v>28841972.399999995</v>
      </c>
      <c r="L191" s="151">
        <f t="shared" si="78"/>
        <v>58483944.799999937</v>
      </c>
      <c r="M191" s="141">
        <f t="shared" si="85"/>
        <v>535287178.59552342</v>
      </c>
      <c r="N191" s="68">
        <v>0</v>
      </c>
      <c r="O191" s="171">
        <f t="shared" si="79"/>
        <v>485359968.44853938</v>
      </c>
      <c r="P191" s="32">
        <v>1.7999999999999999E-2</v>
      </c>
      <c r="Q191" s="148">
        <f t="shared" si="67"/>
        <v>494096447.88061309</v>
      </c>
      <c r="R191" s="171">
        <f t="shared" si="80"/>
        <v>1087867571.2761364</v>
      </c>
      <c r="S191" s="134">
        <f t="shared" si="81"/>
        <v>552580392.68061304</v>
      </c>
      <c r="T191" s="85"/>
    </row>
    <row r="192" spans="1:25" x14ac:dyDescent="0.3">
      <c r="A192" s="11"/>
      <c r="B192" s="32"/>
      <c r="C192" s="316"/>
      <c r="D192" s="79">
        <v>9</v>
      </c>
      <c r="E192" s="80">
        <v>0</v>
      </c>
      <c r="F192" s="81">
        <v>0</v>
      </c>
      <c r="G192" s="81">
        <v>400000</v>
      </c>
      <c r="H192" s="81">
        <f t="shared" si="76"/>
        <v>-400000</v>
      </c>
      <c r="I192" s="82">
        <v>0</v>
      </c>
      <c r="J192" s="83">
        <f t="shared" si="86"/>
        <v>29241972.399999995</v>
      </c>
      <c r="K192" s="84">
        <f t="shared" si="77"/>
        <v>28841972.399999995</v>
      </c>
      <c r="L192" s="151">
        <f t="shared" si="78"/>
        <v>29241972.399999943</v>
      </c>
      <c r="M192" s="141">
        <f t="shared" si="85"/>
        <v>545329547.81024289</v>
      </c>
      <c r="N192" s="68">
        <v>0</v>
      </c>
      <c r="O192" s="171">
        <f t="shared" si="79"/>
        <v>522938420.28061306</v>
      </c>
      <c r="P192" s="32">
        <v>1.7999999999999999E-2</v>
      </c>
      <c r="Q192" s="148">
        <f t="shared" si="67"/>
        <v>532351311.84566408</v>
      </c>
      <c r="R192" s="171">
        <f t="shared" si="80"/>
        <v>1106922832.0559068</v>
      </c>
      <c r="S192" s="134">
        <f t="shared" si="81"/>
        <v>561593284.24566388</v>
      </c>
      <c r="T192" s="85"/>
    </row>
    <row r="193" spans="1:25" x14ac:dyDescent="0.3">
      <c r="A193" s="11"/>
      <c r="B193" s="32"/>
      <c r="C193" s="316"/>
      <c r="D193" s="79">
        <v>10</v>
      </c>
      <c r="E193" s="80">
        <v>0</v>
      </c>
      <c r="F193" s="81">
        <v>0</v>
      </c>
      <c r="G193" s="81">
        <v>400000</v>
      </c>
      <c r="H193" s="81">
        <f t="shared" si="76"/>
        <v>-400000</v>
      </c>
      <c r="I193" s="82">
        <v>0</v>
      </c>
      <c r="J193" s="83">
        <f xml:space="preserve"> J192</f>
        <v>29241972.399999995</v>
      </c>
      <c r="K193" s="84">
        <f t="shared" si="77"/>
        <v>28841972.399999995</v>
      </c>
      <c r="L193" s="151">
        <f t="shared" si="78"/>
        <v>-5.2154064178466797E-8</v>
      </c>
      <c r="M193" s="141">
        <f t="shared" si="85"/>
        <v>555552679.67082727</v>
      </c>
      <c r="N193" s="68">
        <v>0</v>
      </c>
      <c r="O193" s="171">
        <f t="shared" si="79"/>
        <v>561193284.24566412</v>
      </c>
      <c r="P193" s="32">
        <v>1.7999999999999999E-2</v>
      </c>
      <c r="Q193" s="148">
        <f t="shared" si="67"/>
        <v>571294763.36208606</v>
      </c>
      <c r="R193" s="171">
        <f t="shared" si="80"/>
        <v>1126847443.0329132</v>
      </c>
      <c r="S193" s="134">
        <f t="shared" si="81"/>
        <v>571294763.36208594</v>
      </c>
      <c r="T193" s="85"/>
    </row>
    <row r="194" spans="1:25" ht="17.25" thickBot="1" x14ac:dyDescent="0.35">
      <c r="A194" s="11"/>
      <c r="B194" s="86"/>
      <c r="C194" s="316"/>
      <c r="D194" s="87">
        <v>11</v>
      </c>
      <c r="E194" s="88">
        <v>0</v>
      </c>
      <c r="F194" s="89">
        <v>0</v>
      </c>
      <c r="G194" s="89">
        <v>400000</v>
      </c>
      <c r="H194" s="89">
        <f t="shared" si="76"/>
        <v>-400000</v>
      </c>
      <c r="I194" s="90">
        <v>116500000</v>
      </c>
      <c r="J194" s="91">
        <v>0</v>
      </c>
      <c r="K194" s="92">
        <f t="shared" si="77"/>
        <v>-116900000</v>
      </c>
      <c r="L194" s="152">
        <f t="shared" si="78"/>
        <v>116499999.99999994</v>
      </c>
      <c r="M194" s="142">
        <f t="shared" si="85"/>
        <v>565959827.90490222</v>
      </c>
      <c r="N194" s="100">
        <v>0</v>
      </c>
      <c r="O194" s="172">
        <f t="shared" si="79"/>
        <v>454394763.36208606</v>
      </c>
      <c r="P194" s="86">
        <v>1.7999999999999999E-2</v>
      </c>
      <c r="Q194" s="148">
        <f t="shared" si="67"/>
        <v>462573869.10260361</v>
      </c>
      <c r="R194" s="172">
        <f t="shared" si="80"/>
        <v>1145033697.0075059</v>
      </c>
      <c r="S194" s="135">
        <f t="shared" si="81"/>
        <v>579073869.10260367</v>
      </c>
      <c r="T194" s="93"/>
    </row>
    <row r="195" spans="1:25" s="111" customFormat="1" ht="17.25" thickBot="1" x14ac:dyDescent="0.35">
      <c r="A195" s="11"/>
      <c r="B195" s="95"/>
      <c r="C195" s="316"/>
      <c r="D195" s="39">
        <v>12</v>
      </c>
      <c r="E195" s="40">
        <v>0</v>
      </c>
      <c r="F195" s="41">
        <v>0</v>
      </c>
      <c r="G195" s="41">
        <v>400000</v>
      </c>
      <c r="H195" s="41">
        <f t="shared" si="76"/>
        <v>-400000</v>
      </c>
      <c r="I195" s="42">
        <v>116500000</v>
      </c>
      <c r="J195" s="44">
        <v>0</v>
      </c>
      <c r="K195" s="47">
        <f t="shared" si="77"/>
        <v>-116900000</v>
      </c>
      <c r="L195" s="150">
        <f t="shared" si="78"/>
        <v>232999999.99999994</v>
      </c>
      <c r="M195" s="143">
        <f t="shared" si="85"/>
        <v>576554304.80719042</v>
      </c>
      <c r="N195" s="50">
        <v>0</v>
      </c>
      <c r="O195" s="173">
        <f t="shared" si="79"/>
        <v>345673869.10260361</v>
      </c>
      <c r="P195" s="45">
        <v>1.7999999999999999E-2</v>
      </c>
      <c r="Q195" s="148">
        <f t="shared" si="67"/>
        <v>351895998.74645048</v>
      </c>
      <c r="R195" s="173">
        <f t="shared" si="80"/>
        <v>1161450303.5536408</v>
      </c>
      <c r="S195" s="132">
        <f t="shared" si="81"/>
        <v>584895998.74645042</v>
      </c>
      <c r="T195" s="96">
        <f xml:space="preserve"> S195 / 4</f>
        <v>146223999.68661261</v>
      </c>
      <c r="U195" s="46">
        <f>SUM(E4:E195)</f>
        <v>332300000</v>
      </c>
      <c r="V195" s="46">
        <f>SUM(F4:F195)</f>
        <v>292886544</v>
      </c>
      <c r="W195" s="48">
        <f xml:space="preserve"> U195 - V195</f>
        <v>39413456</v>
      </c>
      <c r="X195" s="48">
        <f>R195-W195</f>
        <v>1122036847.5536408</v>
      </c>
      <c r="Y195" s="116">
        <f xml:space="preserve"> X195 / W195 * 100</f>
        <v>2846.8369978863075</v>
      </c>
    </row>
    <row r="196" spans="1:25" s="239" customFormat="1" x14ac:dyDescent="0.3">
      <c r="A196" s="221"/>
      <c r="B196" s="222" t="s">
        <v>107</v>
      </c>
      <c r="C196" s="315">
        <v>2038</v>
      </c>
      <c r="D196" s="223">
        <v>1</v>
      </c>
      <c r="E196" s="224">
        <v>2750000</v>
      </c>
      <c r="F196" s="225">
        <v>15000000</v>
      </c>
      <c r="G196" s="226">
        <v>0</v>
      </c>
      <c r="H196" s="227">
        <v>0</v>
      </c>
      <c r="I196" s="228">
        <v>0</v>
      </c>
      <c r="J196" s="229">
        <f xml:space="preserve"> L195 / 10</f>
        <v>23299999.999999993</v>
      </c>
      <c r="K196" s="230">
        <f t="shared" ref="K196:K207" si="87" xml:space="preserve"> H196 + J196 - I196</f>
        <v>23299999.999999993</v>
      </c>
      <c r="L196" s="231">
        <f t="shared" ref="L196:L207" si="88" xml:space="preserve"> L195 +I196 - J196 - N196</f>
        <v>209699999.99999994</v>
      </c>
      <c r="M196" s="232">
        <v>485643178</v>
      </c>
      <c r="N196" s="233">
        <v>0</v>
      </c>
      <c r="O196" s="234">
        <f t="shared" ref="O196:O207" si="89" xml:space="preserve"> Q195 + K196</f>
        <v>375195998.74645048</v>
      </c>
      <c r="P196" s="222">
        <v>4.0000000000000001E-3</v>
      </c>
      <c r="Q196" s="235">
        <f t="shared" si="67"/>
        <v>376696782.7414363</v>
      </c>
      <c r="R196" s="234">
        <f t="shared" ref="R196:R207" si="90" xml:space="preserve"> M196 + Q196 + L196</f>
        <v>1072039960.7414362</v>
      </c>
      <c r="S196" s="236">
        <f t="shared" ref="S196:S207" si="91" xml:space="preserve"> R196 - M196</f>
        <v>586396782.74143624</v>
      </c>
      <c r="T196" s="237"/>
      <c r="U196" s="238"/>
    </row>
    <row r="197" spans="1:25" s="239" customFormat="1" x14ac:dyDescent="0.3">
      <c r="A197" s="221"/>
      <c r="B197" s="240"/>
      <c r="C197" s="315"/>
      <c r="D197" s="241">
        <v>2</v>
      </c>
      <c r="E197" s="224">
        <v>2750000</v>
      </c>
      <c r="F197" s="225">
        <v>0</v>
      </c>
      <c r="G197" s="226">
        <v>0</v>
      </c>
      <c r="H197" s="227">
        <v>0</v>
      </c>
      <c r="I197" s="227">
        <v>0</v>
      </c>
      <c r="J197" s="242">
        <f xml:space="preserve"> J196</f>
        <v>23299999.999999993</v>
      </c>
      <c r="K197" s="243">
        <f t="shared" si="87"/>
        <v>23299999.999999993</v>
      </c>
      <c r="L197" s="244">
        <f t="shared" si="88"/>
        <v>186399999.99999994</v>
      </c>
      <c r="M197" s="232">
        <v>485643178</v>
      </c>
      <c r="N197" s="233">
        <v>0</v>
      </c>
      <c r="O197" s="245">
        <f t="shared" si="89"/>
        <v>399996782.7414363</v>
      </c>
      <c r="P197" s="240">
        <v>1.7999999999999999E-2</v>
      </c>
      <c r="Q197" s="235">
        <f t="shared" si="67"/>
        <v>407196724.83078218</v>
      </c>
      <c r="R197" s="245">
        <f t="shared" si="90"/>
        <v>1079239902.8307822</v>
      </c>
      <c r="S197" s="246">
        <f t="shared" si="91"/>
        <v>593596724.83078218</v>
      </c>
      <c r="T197" s="247"/>
      <c r="U197" s="238"/>
    </row>
    <row r="198" spans="1:25" s="239" customFormat="1" x14ac:dyDescent="0.3">
      <c r="A198" s="221"/>
      <c r="B198" s="240"/>
      <c r="C198" s="315"/>
      <c r="D198" s="241">
        <v>3</v>
      </c>
      <c r="E198" s="224">
        <v>2750000</v>
      </c>
      <c r="F198" s="225">
        <v>0</v>
      </c>
      <c r="G198" s="226">
        <v>0</v>
      </c>
      <c r="H198" s="227">
        <v>0</v>
      </c>
      <c r="I198" s="227">
        <v>0</v>
      </c>
      <c r="J198" s="242">
        <f t="shared" ref="J198:J204" si="92" xml:space="preserve"> J197</f>
        <v>23299999.999999993</v>
      </c>
      <c r="K198" s="243">
        <f t="shared" si="87"/>
        <v>23299999.999999993</v>
      </c>
      <c r="L198" s="244">
        <f t="shared" si="88"/>
        <v>163099999.99999994</v>
      </c>
      <c r="M198" s="232">
        <v>485643178</v>
      </c>
      <c r="N198" s="233">
        <v>0</v>
      </c>
      <c r="O198" s="245">
        <f t="shared" si="89"/>
        <v>430496724.83078218</v>
      </c>
      <c r="P198" s="240">
        <v>1.7999999999999999E-2</v>
      </c>
      <c r="Q198" s="235">
        <f t="shared" si="67"/>
        <v>438245665.87773627</v>
      </c>
      <c r="R198" s="245">
        <f t="shared" si="90"/>
        <v>1086988843.8777363</v>
      </c>
      <c r="S198" s="246">
        <f t="shared" si="91"/>
        <v>601345665.87773633</v>
      </c>
      <c r="T198" s="247"/>
      <c r="U198" s="238"/>
    </row>
    <row r="199" spans="1:25" s="239" customFormat="1" x14ac:dyDescent="0.3">
      <c r="A199" s="221"/>
      <c r="B199" s="240"/>
      <c r="C199" s="315"/>
      <c r="D199" s="241">
        <v>4</v>
      </c>
      <c r="E199" s="224">
        <v>2750000</v>
      </c>
      <c r="F199" s="225">
        <v>0</v>
      </c>
      <c r="G199" s="226">
        <v>0</v>
      </c>
      <c r="H199" s="227">
        <v>0</v>
      </c>
      <c r="I199" s="227">
        <v>0</v>
      </c>
      <c r="J199" s="242">
        <f t="shared" si="92"/>
        <v>23299999.999999993</v>
      </c>
      <c r="K199" s="243">
        <f t="shared" si="87"/>
        <v>23299999.999999993</v>
      </c>
      <c r="L199" s="244">
        <f t="shared" si="88"/>
        <v>139799999.99999994</v>
      </c>
      <c r="M199" s="232">
        <v>485643178</v>
      </c>
      <c r="N199" s="233">
        <v>0</v>
      </c>
      <c r="O199" s="245">
        <f t="shared" si="89"/>
        <v>461545665.87773627</v>
      </c>
      <c r="P199" s="240">
        <v>1.7999999999999999E-2</v>
      </c>
      <c r="Q199" s="235">
        <f t="shared" ref="Q199:Q255" si="93" xml:space="preserve"> ((O199 +N199) * P199) + (O199+N199)</f>
        <v>469853487.86353552</v>
      </c>
      <c r="R199" s="245">
        <f t="shared" si="90"/>
        <v>1095296665.8635354</v>
      </c>
      <c r="S199" s="246">
        <f t="shared" si="91"/>
        <v>609653487.8635354</v>
      </c>
      <c r="T199" s="247"/>
      <c r="U199" s="238"/>
    </row>
    <row r="200" spans="1:25" s="239" customFormat="1" x14ac:dyDescent="0.3">
      <c r="A200" s="221"/>
      <c r="B200" s="240"/>
      <c r="C200" s="315"/>
      <c r="D200" s="241">
        <v>5</v>
      </c>
      <c r="E200" s="224">
        <v>2750000</v>
      </c>
      <c r="F200" s="225">
        <v>0</v>
      </c>
      <c r="G200" s="226">
        <v>0</v>
      </c>
      <c r="H200" s="227">
        <v>0</v>
      </c>
      <c r="I200" s="227">
        <v>0</v>
      </c>
      <c r="J200" s="242">
        <f t="shared" si="92"/>
        <v>23299999.999999993</v>
      </c>
      <c r="K200" s="243">
        <f t="shared" si="87"/>
        <v>23299999.999999993</v>
      </c>
      <c r="L200" s="244">
        <f t="shared" si="88"/>
        <v>116499999.99999994</v>
      </c>
      <c r="M200" s="232">
        <v>485643178</v>
      </c>
      <c r="N200" s="233">
        <v>0</v>
      </c>
      <c r="O200" s="245">
        <f t="shared" si="89"/>
        <v>493153487.86353552</v>
      </c>
      <c r="P200" s="240">
        <v>1.7999999999999999E-2</v>
      </c>
      <c r="Q200" s="235">
        <f t="shared" si="93"/>
        <v>502030250.64507914</v>
      </c>
      <c r="R200" s="245">
        <f t="shared" si="90"/>
        <v>1104173428.6450791</v>
      </c>
      <c r="S200" s="246">
        <f t="shared" si="91"/>
        <v>618530250.64507914</v>
      </c>
      <c r="T200" s="247"/>
      <c r="U200" s="238"/>
    </row>
    <row r="201" spans="1:25" s="239" customFormat="1" x14ac:dyDescent="0.3">
      <c r="A201" s="221"/>
      <c r="B201" s="240"/>
      <c r="C201" s="315"/>
      <c r="D201" s="241">
        <v>6</v>
      </c>
      <c r="E201" s="224">
        <v>2750000</v>
      </c>
      <c r="F201" s="225">
        <v>0</v>
      </c>
      <c r="G201" s="226">
        <v>0</v>
      </c>
      <c r="H201" s="227">
        <v>0</v>
      </c>
      <c r="I201" s="227">
        <v>0</v>
      </c>
      <c r="J201" s="242">
        <f t="shared" si="92"/>
        <v>23299999.999999993</v>
      </c>
      <c r="K201" s="243">
        <f t="shared" si="87"/>
        <v>23299999.999999993</v>
      </c>
      <c r="L201" s="244">
        <f t="shared" si="88"/>
        <v>93199999.99999994</v>
      </c>
      <c r="M201" s="232">
        <v>485643178</v>
      </c>
      <c r="N201" s="233">
        <v>0</v>
      </c>
      <c r="O201" s="245">
        <f t="shared" si="89"/>
        <v>525330250.64507914</v>
      </c>
      <c r="P201" s="240">
        <v>1.7999999999999999E-2</v>
      </c>
      <c r="Q201" s="235">
        <f t="shared" si="93"/>
        <v>534786195.15669054</v>
      </c>
      <c r="R201" s="245">
        <f t="shared" si="90"/>
        <v>1113629373.1566906</v>
      </c>
      <c r="S201" s="246">
        <f t="shared" si="91"/>
        <v>627986195.1566906</v>
      </c>
      <c r="T201" s="247"/>
      <c r="U201" s="238"/>
    </row>
    <row r="202" spans="1:25" s="239" customFormat="1" x14ac:dyDescent="0.3">
      <c r="A202" s="221"/>
      <c r="B202" s="240"/>
      <c r="C202" s="315"/>
      <c r="D202" s="241">
        <v>7</v>
      </c>
      <c r="E202" s="224">
        <v>2750000</v>
      </c>
      <c r="F202" s="225">
        <v>0</v>
      </c>
      <c r="G202" s="226">
        <v>0</v>
      </c>
      <c r="H202" s="227">
        <v>0</v>
      </c>
      <c r="I202" s="227">
        <v>0</v>
      </c>
      <c r="J202" s="242">
        <f t="shared" si="92"/>
        <v>23299999.999999993</v>
      </c>
      <c r="K202" s="243">
        <f t="shared" si="87"/>
        <v>23299999.999999993</v>
      </c>
      <c r="L202" s="244">
        <f t="shared" si="88"/>
        <v>69899999.99999994</v>
      </c>
      <c r="M202" s="232">
        <v>485643178</v>
      </c>
      <c r="N202" s="233">
        <v>0</v>
      </c>
      <c r="O202" s="245">
        <f t="shared" si="89"/>
        <v>558086195.15669048</v>
      </c>
      <c r="P202" s="240">
        <v>1.7999999999999999E-2</v>
      </c>
      <c r="Q202" s="235">
        <f t="shared" si="93"/>
        <v>568131746.66951096</v>
      </c>
      <c r="R202" s="245">
        <f t="shared" si="90"/>
        <v>1123674924.6695108</v>
      </c>
      <c r="S202" s="246">
        <f t="shared" si="91"/>
        <v>638031746.66951084</v>
      </c>
      <c r="T202" s="247"/>
      <c r="U202" s="238"/>
    </row>
    <row r="203" spans="1:25" s="239" customFormat="1" x14ac:dyDescent="0.3">
      <c r="A203" s="221"/>
      <c r="B203" s="240"/>
      <c r="C203" s="315"/>
      <c r="D203" s="241">
        <v>8</v>
      </c>
      <c r="E203" s="224">
        <v>2750000</v>
      </c>
      <c r="F203" s="225">
        <v>0</v>
      </c>
      <c r="G203" s="226">
        <v>0</v>
      </c>
      <c r="H203" s="227">
        <v>0</v>
      </c>
      <c r="I203" s="227">
        <v>0</v>
      </c>
      <c r="J203" s="242">
        <f t="shared" si="92"/>
        <v>23299999.999999993</v>
      </c>
      <c r="K203" s="243">
        <f t="shared" si="87"/>
        <v>23299999.999999993</v>
      </c>
      <c r="L203" s="244">
        <f t="shared" si="88"/>
        <v>46599999.999999948</v>
      </c>
      <c r="M203" s="232">
        <v>485643178</v>
      </c>
      <c r="N203" s="233">
        <v>0</v>
      </c>
      <c r="O203" s="245">
        <f t="shared" si="89"/>
        <v>591431746.66951096</v>
      </c>
      <c r="P203" s="240">
        <v>1.7999999999999999E-2</v>
      </c>
      <c r="Q203" s="235">
        <f t="shared" si="93"/>
        <v>602077518.10956216</v>
      </c>
      <c r="R203" s="245">
        <f t="shared" si="90"/>
        <v>1134320696.1095622</v>
      </c>
      <c r="S203" s="246">
        <f t="shared" si="91"/>
        <v>648677518.10956216</v>
      </c>
      <c r="T203" s="247"/>
      <c r="U203" s="238"/>
    </row>
    <row r="204" spans="1:25" s="239" customFormat="1" x14ac:dyDescent="0.3">
      <c r="A204" s="221"/>
      <c r="B204" s="240"/>
      <c r="C204" s="315"/>
      <c r="D204" s="241">
        <v>9</v>
      </c>
      <c r="E204" s="224">
        <v>2750000</v>
      </c>
      <c r="F204" s="225">
        <v>0</v>
      </c>
      <c r="G204" s="226">
        <v>0</v>
      </c>
      <c r="H204" s="227">
        <v>0</v>
      </c>
      <c r="I204" s="227">
        <v>0</v>
      </c>
      <c r="J204" s="242">
        <f t="shared" si="92"/>
        <v>23299999.999999993</v>
      </c>
      <c r="K204" s="243">
        <f t="shared" si="87"/>
        <v>23299999.999999993</v>
      </c>
      <c r="L204" s="244">
        <f t="shared" si="88"/>
        <v>23299999.999999955</v>
      </c>
      <c r="M204" s="232">
        <v>485643178</v>
      </c>
      <c r="N204" s="233">
        <v>0</v>
      </c>
      <c r="O204" s="245">
        <f t="shared" si="89"/>
        <v>625377518.10956216</v>
      </c>
      <c r="P204" s="240">
        <v>1.7999999999999999E-2</v>
      </c>
      <c r="Q204" s="235">
        <f t="shared" si="93"/>
        <v>636634313.43553424</v>
      </c>
      <c r="R204" s="245">
        <f t="shared" si="90"/>
        <v>1145577491.4355342</v>
      </c>
      <c r="S204" s="246">
        <f t="shared" si="91"/>
        <v>659934313.43553424</v>
      </c>
      <c r="T204" s="247"/>
      <c r="U204" s="238"/>
    </row>
    <row r="205" spans="1:25" s="239" customFormat="1" x14ac:dyDescent="0.3">
      <c r="A205" s="221"/>
      <c r="B205" s="240"/>
      <c r="C205" s="315"/>
      <c r="D205" s="241">
        <v>10</v>
      </c>
      <c r="E205" s="224">
        <v>2750000</v>
      </c>
      <c r="F205" s="225">
        <v>0</v>
      </c>
      <c r="G205" s="226">
        <v>0</v>
      </c>
      <c r="H205" s="227">
        <v>0</v>
      </c>
      <c r="I205" s="227">
        <v>0</v>
      </c>
      <c r="J205" s="242">
        <f xml:space="preserve"> J204</f>
        <v>23299999.999999993</v>
      </c>
      <c r="K205" s="243">
        <f t="shared" si="87"/>
        <v>23299999.999999993</v>
      </c>
      <c r="L205" s="244">
        <f t="shared" si="88"/>
        <v>-3.7252902984619141E-8</v>
      </c>
      <c r="M205" s="232">
        <v>485643178</v>
      </c>
      <c r="N205" s="233">
        <v>0</v>
      </c>
      <c r="O205" s="245">
        <f t="shared" si="89"/>
        <v>659934313.43553424</v>
      </c>
      <c r="P205" s="240">
        <v>1.7999999999999999E-2</v>
      </c>
      <c r="Q205" s="235">
        <f t="shared" si="93"/>
        <v>671813131.07737386</v>
      </c>
      <c r="R205" s="245">
        <f t="shared" si="90"/>
        <v>1157456309.077374</v>
      </c>
      <c r="S205" s="246">
        <f t="shared" si="91"/>
        <v>671813131.07737398</v>
      </c>
      <c r="T205" s="247"/>
      <c r="U205" s="238"/>
    </row>
    <row r="206" spans="1:25" s="239" customFormat="1" ht="17.25" thickBot="1" x14ac:dyDescent="0.35">
      <c r="A206" s="221"/>
      <c r="B206" s="248"/>
      <c r="C206" s="315"/>
      <c r="D206" s="249">
        <v>11</v>
      </c>
      <c r="E206" s="224">
        <v>2750000</v>
      </c>
      <c r="F206" s="225">
        <v>0</v>
      </c>
      <c r="G206" s="250">
        <v>0</v>
      </c>
      <c r="H206" s="227">
        <v>0</v>
      </c>
      <c r="I206" s="251">
        <v>0</v>
      </c>
      <c r="J206" s="252">
        <v>0</v>
      </c>
      <c r="K206" s="253">
        <f t="shared" si="87"/>
        <v>0</v>
      </c>
      <c r="L206" s="254">
        <f t="shared" si="88"/>
        <v>-3.7252902984619141E-8</v>
      </c>
      <c r="M206" s="255">
        <v>485643178</v>
      </c>
      <c r="N206" s="256">
        <v>0</v>
      </c>
      <c r="O206" s="257">
        <f t="shared" si="89"/>
        <v>671813131.07737386</v>
      </c>
      <c r="P206" s="248">
        <v>1.7999999999999999E-2</v>
      </c>
      <c r="Q206" s="235">
        <f t="shared" si="93"/>
        <v>683905767.43676662</v>
      </c>
      <c r="R206" s="257">
        <f t="shared" si="90"/>
        <v>1169548945.4367666</v>
      </c>
      <c r="S206" s="258">
        <f t="shared" si="91"/>
        <v>683905767.43676662</v>
      </c>
      <c r="T206" s="259"/>
      <c r="U206" s="238"/>
    </row>
    <row r="207" spans="1:25" s="275" customFormat="1" ht="17.25" thickBot="1" x14ac:dyDescent="0.35">
      <c r="A207" s="221"/>
      <c r="B207" s="260"/>
      <c r="C207" s="315"/>
      <c r="D207" s="261">
        <v>12</v>
      </c>
      <c r="E207" s="224">
        <v>2750000</v>
      </c>
      <c r="F207" s="225">
        <v>0</v>
      </c>
      <c r="G207" s="262">
        <v>0</v>
      </c>
      <c r="H207" s="227">
        <v>0</v>
      </c>
      <c r="I207" s="263">
        <v>0</v>
      </c>
      <c r="J207" s="264">
        <v>0</v>
      </c>
      <c r="K207" s="265">
        <f t="shared" si="87"/>
        <v>0</v>
      </c>
      <c r="L207" s="266">
        <f t="shared" si="88"/>
        <v>-3.7252902984619141E-8</v>
      </c>
      <c r="M207" s="267">
        <v>485643178</v>
      </c>
      <c r="N207" s="268">
        <v>0</v>
      </c>
      <c r="O207" s="269">
        <f t="shared" si="89"/>
        <v>683905767.43676662</v>
      </c>
      <c r="P207" s="270">
        <v>1.7999999999999999E-2</v>
      </c>
      <c r="Q207" s="235">
        <f t="shared" si="93"/>
        <v>696216071.25062847</v>
      </c>
      <c r="R207" s="269">
        <f t="shared" si="90"/>
        <v>1181859249.2506285</v>
      </c>
      <c r="S207" s="271">
        <f t="shared" si="91"/>
        <v>696216071.25062847</v>
      </c>
      <c r="T207" s="272">
        <f xml:space="preserve"> S207 / 4</f>
        <v>174054017.81265712</v>
      </c>
      <c r="U207" s="272">
        <f>SUM(E4:E207)</f>
        <v>365300000</v>
      </c>
      <c r="V207" s="272">
        <f>SUM(F4:F207)</f>
        <v>307886544</v>
      </c>
      <c r="W207" s="273">
        <f xml:space="preserve"> U207 - V207</f>
        <v>57413456</v>
      </c>
      <c r="X207" s="273">
        <f>R207-W207</f>
        <v>1124445793.2506285</v>
      </c>
      <c r="Y207" s="274">
        <f xml:space="preserve"> X207 / W207 * 100</f>
        <v>1958.5056737407144</v>
      </c>
    </row>
    <row r="208" spans="1:25" s="239" customFormat="1" x14ac:dyDescent="0.3">
      <c r="A208" s="221"/>
      <c r="B208" s="222">
        <v>18</v>
      </c>
      <c r="C208" s="315">
        <v>2039</v>
      </c>
      <c r="D208" s="223">
        <v>1</v>
      </c>
      <c r="E208" s="224">
        <v>2750000</v>
      </c>
      <c r="F208" s="225">
        <v>15000000</v>
      </c>
      <c r="G208" s="226">
        <v>0</v>
      </c>
      <c r="H208" s="227">
        <v>0</v>
      </c>
      <c r="I208" s="228">
        <v>0</v>
      </c>
      <c r="J208" s="229">
        <f xml:space="preserve"> L207 / 10</f>
        <v>-3.7252902984619141E-9</v>
      </c>
      <c r="K208" s="230">
        <f t="shared" ref="K208:K255" si="94" xml:space="preserve"> H208 + J208 - I208</f>
        <v>-3.7252902984619141E-9</v>
      </c>
      <c r="L208" s="231">
        <f t="shared" ref="L208:L255" si="95" xml:space="preserve"> L207 +I208 - J208 - N208</f>
        <v>-3.3527612686157227E-8</v>
      </c>
      <c r="M208" s="232">
        <v>485643178</v>
      </c>
      <c r="N208" s="233">
        <v>0</v>
      </c>
      <c r="O208" s="234">
        <f t="shared" ref="O208:O255" si="96" xml:space="preserve"> Q207 + K208</f>
        <v>696216071.25062847</v>
      </c>
      <c r="P208" s="222">
        <v>4.0000000000000001E-3</v>
      </c>
      <c r="Q208" s="235">
        <f t="shared" si="93"/>
        <v>699000935.53563094</v>
      </c>
      <c r="R208" s="234">
        <f t="shared" ref="R208:R255" si="97" xml:space="preserve"> M208 + Q208 + L208</f>
        <v>1184644113.5356309</v>
      </c>
      <c r="S208" s="236">
        <f t="shared" ref="S208:S255" si="98" xml:space="preserve"> R208 - M208</f>
        <v>699000935.53563094</v>
      </c>
      <c r="T208" s="237"/>
      <c r="U208" s="238"/>
    </row>
    <row r="209" spans="1:25" s="239" customFormat="1" x14ac:dyDescent="0.3">
      <c r="A209" s="221"/>
      <c r="B209" s="240"/>
      <c r="C209" s="315"/>
      <c r="D209" s="241">
        <v>2</v>
      </c>
      <c r="E209" s="224">
        <v>2750000</v>
      </c>
      <c r="F209" s="225">
        <v>0</v>
      </c>
      <c r="G209" s="226">
        <v>0</v>
      </c>
      <c r="H209" s="227">
        <v>0</v>
      </c>
      <c r="I209" s="227">
        <v>0</v>
      </c>
      <c r="J209" s="242">
        <f xml:space="preserve"> J208</f>
        <v>-3.7252902984619141E-9</v>
      </c>
      <c r="K209" s="243">
        <f t="shared" si="94"/>
        <v>-3.7252902984619141E-9</v>
      </c>
      <c r="L209" s="244">
        <f t="shared" si="95"/>
        <v>-2.9802322387695313E-8</v>
      </c>
      <c r="M209" s="232">
        <v>485643178</v>
      </c>
      <c r="N209" s="233">
        <v>0</v>
      </c>
      <c r="O209" s="245">
        <f t="shared" si="96"/>
        <v>699000935.53563094</v>
      </c>
      <c r="P209" s="240">
        <v>1.7999999999999999E-2</v>
      </c>
      <c r="Q209" s="235">
        <f t="shared" si="93"/>
        <v>711582952.37527227</v>
      </c>
      <c r="R209" s="245">
        <f t="shared" si="97"/>
        <v>1197226130.3752723</v>
      </c>
      <c r="S209" s="246">
        <f t="shared" si="98"/>
        <v>711582952.37527227</v>
      </c>
      <c r="T209" s="247"/>
      <c r="U209" s="238"/>
    </row>
    <row r="210" spans="1:25" s="239" customFormat="1" x14ac:dyDescent="0.3">
      <c r="A210" s="221"/>
      <c r="B210" s="240"/>
      <c r="C210" s="315"/>
      <c r="D210" s="241">
        <v>3</v>
      </c>
      <c r="E210" s="224">
        <v>2750000</v>
      </c>
      <c r="F210" s="225">
        <v>0</v>
      </c>
      <c r="G210" s="226">
        <v>0</v>
      </c>
      <c r="H210" s="227">
        <v>0</v>
      </c>
      <c r="I210" s="227">
        <v>0</v>
      </c>
      <c r="J210" s="242">
        <f t="shared" ref="J210:J216" si="99" xml:space="preserve"> J209</f>
        <v>-3.7252902984619141E-9</v>
      </c>
      <c r="K210" s="243">
        <f t="shared" si="94"/>
        <v>-3.7252902984619141E-9</v>
      </c>
      <c r="L210" s="244">
        <f t="shared" si="95"/>
        <v>-2.6077032089233398E-8</v>
      </c>
      <c r="M210" s="232">
        <v>485643178</v>
      </c>
      <c r="N210" s="233">
        <v>0</v>
      </c>
      <c r="O210" s="245">
        <f t="shared" si="96"/>
        <v>711582952.37527227</v>
      </c>
      <c r="P210" s="240">
        <v>1.7999999999999999E-2</v>
      </c>
      <c r="Q210" s="235">
        <f t="shared" si="93"/>
        <v>724391445.51802719</v>
      </c>
      <c r="R210" s="245">
        <f t="shared" si="97"/>
        <v>1210034623.5180273</v>
      </c>
      <c r="S210" s="246">
        <f t="shared" si="98"/>
        <v>724391445.51802731</v>
      </c>
      <c r="T210" s="247"/>
      <c r="U210" s="238"/>
    </row>
    <row r="211" spans="1:25" s="239" customFormat="1" x14ac:dyDescent="0.3">
      <c r="A211" s="221"/>
      <c r="B211" s="240"/>
      <c r="C211" s="315"/>
      <c r="D211" s="241">
        <v>4</v>
      </c>
      <c r="E211" s="224">
        <v>2750000</v>
      </c>
      <c r="F211" s="225">
        <v>0</v>
      </c>
      <c r="G211" s="226">
        <v>0</v>
      </c>
      <c r="H211" s="227">
        <v>0</v>
      </c>
      <c r="I211" s="227">
        <v>0</v>
      </c>
      <c r="J211" s="242">
        <f t="shared" si="99"/>
        <v>-3.7252902984619141E-9</v>
      </c>
      <c r="K211" s="243">
        <f t="shared" si="94"/>
        <v>-3.7252902984619141E-9</v>
      </c>
      <c r="L211" s="244">
        <f t="shared" si="95"/>
        <v>-2.2351741790771484E-8</v>
      </c>
      <c r="M211" s="232">
        <v>485643178</v>
      </c>
      <c r="N211" s="233">
        <v>0</v>
      </c>
      <c r="O211" s="245">
        <f t="shared" si="96"/>
        <v>724391445.51802719</v>
      </c>
      <c r="P211" s="240">
        <v>1.7999999999999999E-2</v>
      </c>
      <c r="Q211" s="235">
        <f t="shared" si="93"/>
        <v>737430491.53735173</v>
      </c>
      <c r="R211" s="245">
        <f t="shared" si="97"/>
        <v>1223073669.5373516</v>
      </c>
      <c r="S211" s="246">
        <f t="shared" si="98"/>
        <v>737430491.53735161</v>
      </c>
      <c r="T211" s="247"/>
      <c r="U211" s="238"/>
    </row>
    <row r="212" spans="1:25" s="239" customFormat="1" x14ac:dyDescent="0.3">
      <c r="A212" s="221"/>
      <c r="B212" s="240"/>
      <c r="C212" s="315"/>
      <c r="D212" s="241">
        <v>5</v>
      </c>
      <c r="E212" s="224">
        <v>2750000</v>
      </c>
      <c r="F212" s="225">
        <v>0</v>
      </c>
      <c r="G212" s="226">
        <v>0</v>
      </c>
      <c r="H212" s="227">
        <v>0</v>
      </c>
      <c r="I212" s="227">
        <v>0</v>
      </c>
      <c r="J212" s="242">
        <f t="shared" si="99"/>
        <v>-3.7252902984619141E-9</v>
      </c>
      <c r="K212" s="243">
        <f t="shared" si="94"/>
        <v>-3.7252902984619141E-9</v>
      </c>
      <c r="L212" s="244">
        <f t="shared" si="95"/>
        <v>-1.862645149230957E-8</v>
      </c>
      <c r="M212" s="232">
        <v>485643178</v>
      </c>
      <c r="N212" s="233">
        <v>0</v>
      </c>
      <c r="O212" s="245">
        <f t="shared" si="96"/>
        <v>737430491.53735173</v>
      </c>
      <c r="P212" s="240">
        <v>1.7999999999999999E-2</v>
      </c>
      <c r="Q212" s="235">
        <f t="shared" si="93"/>
        <v>750704240.38502407</v>
      </c>
      <c r="R212" s="245">
        <f t="shared" si="97"/>
        <v>1236347418.3850241</v>
      </c>
      <c r="S212" s="246">
        <f t="shared" si="98"/>
        <v>750704240.38502407</v>
      </c>
      <c r="T212" s="247"/>
      <c r="U212" s="238"/>
    </row>
    <row r="213" spans="1:25" s="239" customFormat="1" x14ac:dyDescent="0.3">
      <c r="A213" s="221"/>
      <c r="B213" s="240"/>
      <c r="C213" s="315"/>
      <c r="D213" s="241">
        <v>6</v>
      </c>
      <c r="E213" s="224">
        <v>2750000</v>
      </c>
      <c r="F213" s="225">
        <v>0</v>
      </c>
      <c r="G213" s="226">
        <v>0</v>
      </c>
      <c r="H213" s="227">
        <v>0</v>
      </c>
      <c r="I213" s="227">
        <v>0</v>
      </c>
      <c r="J213" s="242">
        <f t="shared" si="99"/>
        <v>-3.7252902984619141E-9</v>
      </c>
      <c r="K213" s="243">
        <f t="shared" si="94"/>
        <v>-3.7252902984619141E-9</v>
      </c>
      <c r="L213" s="244">
        <f t="shared" si="95"/>
        <v>-1.4901161193847656E-8</v>
      </c>
      <c r="M213" s="232">
        <v>485643178</v>
      </c>
      <c r="N213" s="233">
        <v>0</v>
      </c>
      <c r="O213" s="245">
        <f t="shared" si="96"/>
        <v>750704240.38502407</v>
      </c>
      <c r="P213" s="240">
        <v>1.7999999999999999E-2</v>
      </c>
      <c r="Q213" s="235">
        <f t="shared" si="93"/>
        <v>764216916.71195447</v>
      </c>
      <c r="R213" s="245">
        <f t="shared" si="97"/>
        <v>1249860094.7119546</v>
      </c>
      <c r="S213" s="246">
        <f t="shared" si="98"/>
        <v>764216916.71195459</v>
      </c>
      <c r="T213" s="247"/>
      <c r="U213" s="238"/>
    </row>
    <row r="214" spans="1:25" s="239" customFormat="1" x14ac:dyDescent="0.3">
      <c r="A214" s="221"/>
      <c r="B214" s="240"/>
      <c r="C214" s="315"/>
      <c r="D214" s="241">
        <v>7</v>
      </c>
      <c r="E214" s="224">
        <v>2750000</v>
      </c>
      <c r="F214" s="225">
        <v>0</v>
      </c>
      <c r="G214" s="226">
        <v>0</v>
      </c>
      <c r="H214" s="227">
        <v>0</v>
      </c>
      <c r="I214" s="227">
        <v>0</v>
      </c>
      <c r="J214" s="242">
        <f t="shared" si="99"/>
        <v>-3.7252902984619141E-9</v>
      </c>
      <c r="K214" s="243">
        <f t="shared" si="94"/>
        <v>-3.7252902984619141E-9</v>
      </c>
      <c r="L214" s="244">
        <f t="shared" si="95"/>
        <v>-1.1175870895385742E-8</v>
      </c>
      <c r="M214" s="232">
        <v>485643178</v>
      </c>
      <c r="N214" s="233">
        <v>0</v>
      </c>
      <c r="O214" s="245">
        <f t="shared" si="96"/>
        <v>764216916.71195447</v>
      </c>
      <c r="P214" s="240">
        <v>1.7999999999999999E-2</v>
      </c>
      <c r="Q214" s="235">
        <f t="shared" si="93"/>
        <v>777972821.21276963</v>
      </c>
      <c r="R214" s="245">
        <f t="shared" si="97"/>
        <v>1263615999.2127695</v>
      </c>
      <c r="S214" s="246">
        <f t="shared" si="98"/>
        <v>777972821.21276951</v>
      </c>
      <c r="T214" s="247"/>
      <c r="U214" s="238"/>
    </row>
    <row r="215" spans="1:25" s="239" customFormat="1" x14ac:dyDescent="0.3">
      <c r="A215" s="221"/>
      <c r="B215" s="240"/>
      <c r="C215" s="315"/>
      <c r="D215" s="241">
        <v>8</v>
      </c>
      <c r="E215" s="224">
        <v>2750000</v>
      </c>
      <c r="F215" s="225">
        <v>0</v>
      </c>
      <c r="G215" s="226">
        <v>0</v>
      </c>
      <c r="H215" s="227">
        <v>0</v>
      </c>
      <c r="I215" s="227">
        <v>0</v>
      </c>
      <c r="J215" s="242">
        <f t="shared" si="99"/>
        <v>-3.7252902984619141E-9</v>
      </c>
      <c r="K215" s="243">
        <f t="shared" si="94"/>
        <v>-3.7252902984619141E-9</v>
      </c>
      <c r="L215" s="244">
        <f t="shared" si="95"/>
        <v>-7.4505805969238281E-9</v>
      </c>
      <c r="M215" s="232">
        <v>485643178</v>
      </c>
      <c r="N215" s="233">
        <v>0</v>
      </c>
      <c r="O215" s="245">
        <f t="shared" si="96"/>
        <v>777972821.21276963</v>
      </c>
      <c r="P215" s="240">
        <v>1.7999999999999999E-2</v>
      </c>
      <c r="Q215" s="235">
        <f t="shared" si="93"/>
        <v>791976331.99459946</v>
      </c>
      <c r="R215" s="245">
        <f t="shared" si="97"/>
        <v>1277619509.9945993</v>
      </c>
      <c r="S215" s="246">
        <f t="shared" si="98"/>
        <v>791976331.99459934</v>
      </c>
      <c r="T215" s="247"/>
      <c r="U215" s="238"/>
    </row>
    <row r="216" spans="1:25" s="239" customFormat="1" x14ac:dyDescent="0.3">
      <c r="A216" s="221"/>
      <c r="B216" s="240"/>
      <c r="C216" s="315"/>
      <c r="D216" s="241">
        <v>9</v>
      </c>
      <c r="E216" s="224">
        <v>2750000</v>
      </c>
      <c r="F216" s="225">
        <v>0</v>
      </c>
      <c r="G216" s="226">
        <v>0</v>
      </c>
      <c r="H216" s="227">
        <v>0</v>
      </c>
      <c r="I216" s="227">
        <v>0</v>
      </c>
      <c r="J216" s="242">
        <f t="shared" si="99"/>
        <v>-3.7252902984619141E-9</v>
      </c>
      <c r="K216" s="243">
        <f t="shared" si="94"/>
        <v>-3.7252902984619141E-9</v>
      </c>
      <c r="L216" s="244">
        <f t="shared" si="95"/>
        <v>-3.7252902984619141E-9</v>
      </c>
      <c r="M216" s="232">
        <v>485643178</v>
      </c>
      <c r="N216" s="233">
        <v>0</v>
      </c>
      <c r="O216" s="245">
        <f t="shared" si="96"/>
        <v>791976331.99459946</v>
      </c>
      <c r="P216" s="240">
        <v>1.7999999999999999E-2</v>
      </c>
      <c r="Q216" s="235">
        <f t="shared" si="93"/>
        <v>806231905.97050226</v>
      </c>
      <c r="R216" s="245">
        <f t="shared" si="97"/>
        <v>1291875083.9705024</v>
      </c>
      <c r="S216" s="246">
        <f t="shared" si="98"/>
        <v>806231905.97050238</v>
      </c>
      <c r="T216" s="247"/>
      <c r="U216" s="238"/>
    </row>
    <row r="217" spans="1:25" s="239" customFormat="1" x14ac:dyDescent="0.3">
      <c r="A217" s="221"/>
      <c r="B217" s="240"/>
      <c r="C217" s="315"/>
      <c r="D217" s="241">
        <v>10</v>
      </c>
      <c r="E217" s="224">
        <v>2750000</v>
      </c>
      <c r="F217" s="225">
        <v>0</v>
      </c>
      <c r="G217" s="226">
        <v>0</v>
      </c>
      <c r="H217" s="227">
        <v>0</v>
      </c>
      <c r="I217" s="227">
        <v>0</v>
      </c>
      <c r="J217" s="242">
        <f xml:space="preserve"> J216</f>
        <v>-3.7252902984619141E-9</v>
      </c>
      <c r="K217" s="243">
        <f t="shared" si="94"/>
        <v>-3.7252902984619141E-9</v>
      </c>
      <c r="L217" s="244">
        <f t="shared" si="95"/>
        <v>0</v>
      </c>
      <c r="M217" s="232">
        <v>485643178</v>
      </c>
      <c r="N217" s="233">
        <v>0</v>
      </c>
      <c r="O217" s="245">
        <f t="shared" si="96"/>
        <v>806231905.97050226</v>
      </c>
      <c r="P217" s="240">
        <v>1.7999999999999999E-2</v>
      </c>
      <c r="Q217" s="235">
        <f t="shared" si="93"/>
        <v>820744080.27797127</v>
      </c>
      <c r="R217" s="245">
        <f t="shared" si="97"/>
        <v>1306387258.2779713</v>
      </c>
      <c r="S217" s="246">
        <f t="shared" si="98"/>
        <v>820744080.27797127</v>
      </c>
      <c r="T217" s="247"/>
      <c r="U217" s="238"/>
    </row>
    <row r="218" spans="1:25" s="239" customFormat="1" ht="17.25" thickBot="1" x14ac:dyDescent="0.35">
      <c r="A218" s="221"/>
      <c r="B218" s="248"/>
      <c r="C218" s="315"/>
      <c r="D218" s="249">
        <v>11</v>
      </c>
      <c r="E218" s="224">
        <v>2750000</v>
      </c>
      <c r="F218" s="225">
        <v>0</v>
      </c>
      <c r="G218" s="250">
        <v>0</v>
      </c>
      <c r="H218" s="227">
        <v>0</v>
      </c>
      <c r="I218" s="251">
        <v>0</v>
      </c>
      <c r="J218" s="252">
        <v>0</v>
      </c>
      <c r="K218" s="253">
        <f t="shared" si="94"/>
        <v>0</v>
      </c>
      <c r="L218" s="254">
        <f t="shared" si="95"/>
        <v>0</v>
      </c>
      <c r="M218" s="255">
        <v>485643178</v>
      </c>
      <c r="N218" s="256">
        <v>0</v>
      </c>
      <c r="O218" s="257">
        <f t="shared" si="96"/>
        <v>820744080.27797127</v>
      </c>
      <c r="P218" s="248">
        <v>1.7999999999999999E-2</v>
      </c>
      <c r="Q218" s="235">
        <f t="shared" si="93"/>
        <v>835517473.72297478</v>
      </c>
      <c r="R218" s="257">
        <f t="shared" si="97"/>
        <v>1321160651.7229748</v>
      </c>
      <c r="S218" s="258">
        <f t="shared" si="98"/>
        <v>835517473.72297478</v>
      </c>
      <c r="T218" s="259"/>
      <c r="U218" s="238"/>
    </row>
    <row r="219" spans="1:25" s="239" customFormat="1" ht="17.25" thickBot="1" x14ac:dyDescent="0.35">
      <c r="A219" s="221"/>
      <c r="B219" s="260"/>
      <c r="C219" s="315"/>
      <c r="D219" s="261">
        <v>12</v>
      </c>
      <c r="E219" s="224">
        <v>2750000</v>
      </c>
      <c r="F219" s="225">
        <v>0</v>
      </c>
      <c r="G219" s="262">
        <v>0</v>
      </c>
      <c r="H219" s="227">
        <v>0</v>
      </c>
      <c r="I219" s="263">
        <v>0</v>
      </c>
      <c r="J219" s="264">
        <v>0</v>
      </c>
      <c r="K219" s="265">
        <f t="shared" si="94"/>
        <v>0</v>
      </c>
      <c r="L219" s="266">
        <f t="shared" si="95"/>
        <v>0</v>
      </c>
      <c r="M219" s="267">
        <v>485643178</v>
      </c>
      <c r="N219" s="268">
        <v>0</v>
      </c>
      <c r="O219" s="269">
        <f t="shared" si="96"/>
        <v>835517473.72297478</v>
      </c>
      <c r="P219" s="270">
        <v>1.7999999999999999E-2</v>
      </c>
      <c r="Q219" s="235">
        <f t="shared" si="93"/>
        <v>850556788.24998832</v>
      </c>
      <c r="R219" s="269">
        <f t="shared" si="97"/>
        <v>1336199966.2499883</v>
      </c>
      <c r="S219" s="271">
        <f t="shared" si="98"/>
        <v>850556788.24998832</v>
      </c>
      <c r="T219" s="272">
        <f xml:space="preserve"> S219 / 4</f>
        <v>212639197.06249708</v>
      </c>
      <c r="U219" s="272">
        <f>SUM(E16:E219)</f>
        <v>366000000</v>
      </c>
      <c r="V219" s="272">
        <f>SUM(F16:F219)</f>
        <v>309930000</v>
      </c>
      <c r="W219" s="273">
        <f xml:space="preserve"> U219 - V219</f>
        <v>56070000</v>
      </c>
      <c r="X219" s="273">
        <f>R219-W219</f>
        <v>1280129966.2499883</v>
      </c>
      <c r="Y219" s="274">
        <f xml:space="preserve"> X219 / W219 * 100</f>
        <v>2283.0925026752066</v>
      </c>
    </row>
    <row r="220" spans="1:25" s="239" customFormat="1" x14ac:dyDescent="0.3">
      <c r="A220" s="221"/>
      <c r="B220" s="222">
        <v>19</v>
      </c>
      <c r="C220" s="315">
        <v>2040</v>
      </c>
      <c r="D220" s="223">
        <v>1</v>
      </c>
      <c r="E220" s="224">
        <v>2750000</v>
      </c>
      <c r="F220" s="225">
        <v>15000000</v>
      </c>
      <c r="G220" s="226">
        <v>0</v>
      </c>
      <c r="H220" s="227">
        <v>0</v>
      </c>
      <c r="I220" s="228">
        <v>0</v>
      </c>
      <c r="J220" s="229">
        <f xml:space="preserve"> L219 / 10</f>
        <v>0</v>
      </c>
      <c r="K220" s="230">
        <f t="shared" si="94"/>
        <v>0</v>
      </c>
      <c r="L220" s="231">
        <f t="shared" si="95"/>
        <v>0</v>
      </c>
      <c r="M220" s="232">
        <v>485643178</v>
      </c>
      <c r="N220" s="233">
        <v>0</v>
      </c>
      <c r="O220" s="234">
        <f t="shared" si="96"/>
        <v>850556788.24998832</v>
      </c>
      <c r="P220" s="222">
        <v>4.0000000000000001E-3</v>
      </c>
      <c r="Q220" s="235">
        <f t="shared" si="93"/>
        <v>853959015.40298831</v>
      </c>
      <c r="R220" s="234">
        <f t="shared" si="97"/>
        <v>1339602193.4029884</v>
      </c>
      <c r="S220" s="236">
        <f t="shared" si="98"/>
        <v>853959015.40298843</v>
      </c>
      <c r="T220" s="237"/>
      <c r="U220" s="238"/>
    </row>
    <row r="221" spans="1:25" s="239" customFormat="1" x14ac:dyDescent="0.3">
      <c r="A221" s="221"/>
      <c r="B221" s="240"/>
      <c r="C221" s="315"/>
      <c r="D221" s="241">
        <v>2</v>
      </c>
      <c r="E221" s="224">
        <v>2750000</v>
      </c>
      <c r="F221" s="225">
        <v>0</v>
      </c>
      <c r="G221" s="226">
        <v>0</v>
      </c>
      <c r="H221" s="227">
        <v>0</v>
      </c>
      <c r="I221" s="227">
        <v>0</v>
      </c>
      <c r="J221" s="242">
        <f xml:space="preserve"> J220</f>
        <v>0</v>
      </c>
      <c r="K221" s="243">
        <f t="shared" si="94"/>
        <v>0</v>
      </c>
      <c r="L221" s="244">
        <f t="shared" si="95"/>
        <v>0</v>
      </c>
      <c r="M221" s="232">
        <v>485643178</v>
      </c>
      <c r="N221" s="233">
        <v>0</v>
      </c>
      <c r="O221" s="245">
        <f t="shared" si="96"/>
        <v>853959015.40298831</v>
      </c>
      <c r="P221" s="240">
        <v>1.7999999999999999E-2</v>
      </c>
      <c r="Q221" s="235">
        <f t="shared" si="93"/>
        <v>869330277.68024206</v>
      </c>
      <c r="R221" s="245">
        <f t="shared" si="97"/>
        <v>1354973455.6802421</v>
      </c>
      <c r="S221" s="246">
        <f t="shared" si="98"/>
        <v>869330277.68024206</v>
      </c>
      <c r="T221" s="247"/>
      <c r="U221" s="238"/>
    </row>
    <row r="222" spans="1:25" s="239" customFormat="1" x14ac:dyDescent="0.3">
      <c r="A222" s="221"/>
      <c r="B222" s="240"/>
      <c r="C222" s="315"/>
      <c r="D222" s="241">
        <v>3</v>
      </c>
      <c r="E222" s="224">
        <v>2750000</v>
      </c>
      <c r="F222" s="225">
        <v>0</v>
      </c>
      <c r="G222" s="226">
        <v>0</v>
      </c>
      <c r="H222" s="227">
        <v>0</v>
      </c>
      <c r="I222" s="227">
        <v>0</v>
      </c>
      <c r="J222" s="242">
        <f t="shared" ref="J222:J228" si="100" xml:space="preserve"> J221</f>
        <v>0</v>
      </c>
      <c r="K222" s="243">
        <f t="shared" si="94"/>
        <v>0</v>
      </c>
      <c r="L222" s="244">
        <f t="shared" si="95"/>
        <v>0</v>
      </c>
      <c r="M222" s="232">
        <v>485643178</v>
      </c>
      <c r="N222" s="233">
        <v>0</v>
      </c>
      <c r="O222" s="245">
        <f t="shared" si="96"/>
        <v>869330277.68024206</v>
      </c>
      <c r="P222" s="240">
        <v>1.7999999999999999E-2</v>
      </c>
      <c r="Q222" s="235">
        <f t="shared" si="93"/>
        <v>884978222.67848647</v>
      </c>
      <c r="R222" s="245">
        <f t="shared" si="97"/>
        <v>1370621400.6784863</v>
      </c>
      <c r="S222" s="246">
        <f t="shared" si="98"/>
        <v>884978222.67848635</v>
      </c>
      <c r="T222" s="247"/>
      <c r="U222" s="238"/>
    </row>
    <row r="223" spans="1:25" s="239" customFormat="1" x14ac:dyDescent="0.3">
      <c r="A223" s="221"/>
      <c r="B223" s="240"/>
      <c r="C223" s="315"/>
      <c r="D223" s="241">
        <v>4</v>
      </c>
      <c r="E223" s="224">
        <v>2750000</v>
      </c>
      <c r="F223" s="225">
        <v>0</v>
      </c>
      <c r="G223" s="226">
        <v>0</v>
      </c>
      <c r="H223" s="227">
        <v>0</v>
      </c>
      <c r="I223" s="227">
        <v>0</v>
      </c>
      <c r="J223" s="242">
        <f t="shared" si="100"/>
        <v>0</v>
      </c>
      <c r="K223" s="243">
        <f t="shared" si="94"/>
        <v>0</v>
      </c>
      <c r="L223" s="244">
        <f t="shared" si="95"/>
        <v>0</v>
      </c>
      <c r="M223" s="232">
        <v>485643178</v>
      </c>
      <c r="N223" s="233">
        <v>0</v>
      </c>
      <c r="O223" s="245">
        <f t="shared" si="96"/>
        <v>884978222.67848647</v>
      </c>
      <c r="P223" s="240">
        <v>1.7999999999999999E-2</v>
      </c>
      <c r="Q223" s="235">
        <f t="shared" si="93"/>
        <v>900907830.68669927</v>
      </c>
      <c r="R223" s="245">
        <f t="shared" si="97"/>
        <v>1386551008.6866994</v>
      </c>
      <c r="S223" s="246">
        <f t="shared" si="98"/>
        <v>900907830.68669939</v>
      </c>
      <c r="T223" s="247"/>
      <c r="U223" s="238"/>
    </row>
    <row r="224" spans="1:25" s="239" customFormat="1" x14ac:dyDescent="0.3">
      <c r="A224" s="221"/>
      <c r="B224" s="240"/>
      <c r="C224" s="315"/>
      <c r="D224" s="241">
        <v>5</v>
      </c>
      <c r="E224" s="224">
        <v>2750000</v>
      </c>
      <c r="F224" s="225">
        <v>0</v>
      </c>
      <c r="G224" s="226">
        <v>0</v>
      </c>
      <c r="H224" s="227">
        <v>0</v>
      </c>
      <c r="I224" s="227">
        <v>0</v>
      </c>
      <c r="J224" s="242">
        <f t="shared" si="100"/>
        <v>0</v>
      </c>
      <c r="K224" s="243">
        <f t="shared" si="94"/>
        <v>0</v>
      </c>
      <c r="L224" s="244">
        <f t="shared" si="95"/>
        <v>0</v>
      </c>
      <c r="M224" s="232">
        <v>485643178</v>
      </c>
      <c r="N224" s="233">
        <v>0</v>
      </c>
      <c r="O224" s="245">
        <f t="shared" si="96"/>
        <v>900907830.68669927</v>
      </c>
      <c r="P224" s="240">
        <v>1.7999999999999999E-2</v>
      </c>
      <c r="Q224" s="235">
        <f t="shared" si="93"/>
        <v>917124171.6390599</v>
      </c>
      <c r="R224" s="245">
        <f t="shared" si="97"/>
        <v>1402767349.63906</v>
      </c>
      <c r="S224" s="246">
        <f t="shared" si="98"/>
        <v>917124171.63906002</v>
      </c>
      <c r="T224" s="247"/>
      <c r="U224" s="238"/>
    </row>
    <row r="225" spans="1:25" s="239" customFormat="1" x14ac:dyDescent="0.3">
      <c r="A225" s="221"/>
      <c r="B225" s="240"/>
      <c r="C225" s="315"/>
      <c r="D225" s="241">
        <v>6</v>
      </c>
      <c r="E225" s="224">
        <v>2750000</v>
      </c>
      <c r="F225" s="225">
        <v>0</v>
      </c>
      <c r="G225" s="226">
        <v>0</v>
      </c>
      <c r="H225" s="227">
        <v>0</v>
      </c>
      <c r="I225" s="227">
        <v>0</v>
      </c>
      <c r="J225" s="242">
        <f t="shared" si="100"/>
        <v>0</v>
      </c>
      <c r="K225" s="243">
        <f t="shared" si="94"/>
        <v>0</v>
      </c>
      <c r="L225" s="244">
        <f t="shared" si="95"/>
        <v>0</v>
      </c>
      <c r="M225" s="232">
        <v>485643178</v>
      </c>
      <c r="N225" s="233">
        <v>0</v>
      </c>
      <c r="O225" s="245">
        <f t="shared" si="96"/>
        <v>917124171.6390599</v>
      </c>
      <c r="P225" s="240">
        <v>1.7999999999999999E-2</v>
      </c>
      <c r="Q225" s="235">
        <f t="shared" si="93"/>
        <v>933632406.72856295</v>
      </c>
      <c r="R225" s="245">
        <f t="shared" si="97"/>
        <v>1419275584.7285628</v>
      </c>
      <c r="S225" s="246">
        <f t="shared" si="98"/>
        <v>933632406.72856283</v>
      </c>
      <c r="T225" s="247"/>
      <c r="U225" s="238"/>
    </row>
    <row r="226" spans="1:25" s="239" customFormat="1" x14ac:dyDescent="0.3">
      <c r="A226" s="221"/>
      <c r="B226" s="240"/>
      <c r="C226" s="315"/>
      <c r="D226" s="241">
        <v>7</v>
      </c>
      <c r="E226" s="224">
        <v>2750000</v>
      </c>
      <c r="F226" s="225">
        <v>0</v>
      </c>
      <c r="G226" s="226">
        <v>0</v>
      </c>
      <c r="H226" s="227">
        <v>0</v>
      </c>
      <c r="I226" s="227">
        <v>0</v>
      </c>
      <c r="J226" s="242">
        <f t="shared" si="100"/>
        <v>0</v>
      </c>
      <c r="K226" s="243">
        <f t="shared" si="94"/>
        <v>0</v>
      </c>
      <c r="L226" s="244">
        <f t="shared" si="95"/>
        <v>0</v>
      </c>
      <c r="M226" s="232">
        <v>485643178</v>
      </c>
      <c r="N226" s="233">
        <v>0</v>
      </c>
      <c r="O226" s="245">
        <f t="shared" si="96"/>
        <v>933632406.72856295</v>
      </c>
      <c r="P226" s="240">
        <v>1.7999999999999999E-2</v>
      </c>
      <c r="Q226" s="235">
        <f t="shared" si="93"/>
        <v>950437790.04967713</v>
      </c>
      <c r="R226" s="245">
        <f t="shared" si="97"/>
        <v>1436080968.0496771</v>
      </c>
      <c r="S226" s="246">
        <f t="shared" si="98"/>
        <v>950437790.04967713</v>
      </c>
      <c r="T226" s="247"/>
      <c r="U226" s="238"/>
    </row>
    <row r="227" spans="1:25" s="239" customFormat="1" x14ac:dyDescent="0.3">
      <c r="A227" s="221"/>
      <c r="B227" s="240"/>
      <c r="C227" s="315"/>
      <c r="D227" s="241">
        <v>8</v>
      </c>
      <c r="E227" s="224">
        <v>2750000</v>
      </c>
      <c r="F227" s="225">
        <v>0</v>
      </c>
      <c r="G227" s="226">
        <v>0</v>
      </c>
      <c r="H227" s="227">
        <v>0</v>
      </c>
      <c r="I227" s="227">
        <v>0</v>
      </c>
      <c r="J227" s="242">
        <f t="shared" si="100"/>
        <v>0</v>
      </c>
      <c r="K227" s="243">
        <f t="shared" si="94"/>
        <v>0</v>
      </c>
      <c r="L227" s="244">
        <f t="shared" si="95"/>
        <v>0</v>
      </c>
      <c r="M227" s="232">
        <v>485643178</v>
      </c>
      <c r="N227" s="233">
        <v>0</v>
      </c>
      <c r="O227" s="245">
        <f t="shared" si="96"/>
        <v>950437790.04967713</v>
      </c>
      <c r="P227" s="240">
        <v>1.7999999999999999E-2</v>
      </c>
      <c r="Q227" s="235">
        <f t="shared" si="93"/>
        <v>967545670.27057135</v>
      </c>
      <c r="R227" s="245">
        <f t="shared" si="97"/>
        <v>1453188848.2705712</v>
      </c>
      <c r="S227" s="246">
        <f t="shared" si="98"/>
        <v>967545670.27057123</v>
      </c>
      <c r="T227" s="247"/>
      <c r="U227" s="238"/>
    </row>
    <row r="228" spans="1:25" s="239" customFormat="1" x14ac:dyDescent="0.3">
      <c r="A228" s="221"/>
      <c r="B228" s="240"/>
      <c r="C228" s="315"/>
      <c r="D228" s="241">
        <v>9</v>
      </c>
      <c r="E228" s="224">
        <v>2750000</v>
      </c>
      <c r="F228" s="225">
        <v>0</v>
      </c>
      <c r="G228" s="226">
        <v>0</v>
      </c>
      <c r="H228" s="227">
        <v>0</v>
      </c>
      <c r="I228" s="227">
        <v>0</v>
      </c>
      <c r="J228" s="242">
        <f t="shared" si="100"/>
        <v>0</v>
      </c>
      <c r="K228" s="243">
        <f t="shared" si="94"/>
        <v>0</v>
      </c>
      <c r="L228" s="244">
        <f t="shared" si="95"/>
        <v>0</v>
      </c>
      <c r="M228" s="232">
        <v>485643178</v>
      </c>
      <c r="N228" s="233">
        <v>0</v>
      </c>
      <c r="O228" s="245">
        <f t="shared" si="96"/>
        <v>967545670.27057135</v>
      </c>
      <c r="P228" s="240">
        <v>1.7999999999999999E-2</v>
      </c>
      <c r="Q228" s="235">
        <f t="shared" si="93"/>
        <v>984961492.33544159</v>
      </c>
      <c r="R228" s="245">
        <f t="shared" si="97"/>
        <v>1470604670.3354416</v>
      </c>
      <c r="S228" s="246">
        <f t="shared" si="98"/>
        <v>984961492.33544159</v>
      </c>
      <c r="T228" s="247"/>
      <c r="U228" s="238"/>
    </row>
    <row r="229" spans="1:25" s="239" customFormat="1" x14ac:dyDescent="0.3">
      <c r="A229" s="221"/>
      <c r="B229" s="240"/>
      <c r="C229" s="315"/>
      <c r="D229" s="241">
        <v>10</v>
      </c>
      <c r="E229" s="224">
        <v>2750000</v>
      </c>
      <c r="F229" s="225">
        <v>0</v>
      </c>
      <c r="G229" s="226">
        <v>0</v>
      </c>
      <c r="H229" s="227">
        <v>0</v>
      </c>
      <c r="I229" s="227">
        <v>0</v>
      </c>
      <c r="J229" s="242">
        <f xml:space="preserve"> J228</f>
        <v>0</v>
      </c>
      <c r="K229" s="243">
        <f t="shared" si="94"/>
        <v>0</v>
      </c>
      <c r="L229" s="244">
        <f t="shared" si="95"/>
        <v>0</v>
      </c>
      <c r="M229" s="232">
        <v>485643178</v>
      </c>
      <c r="N229" s="233">
        <v>0</v>
      </c>
      <c r="O229" s="245">
        <f t="shared" si="96"/>
        <v>984961492.33544159</v>
      </c>
      <c r="P229" s="240">
        <v>1.7999999999999999E-2</v>
      </c>
      <c r="Q229" s="235">
        <f t="shared" si="93"/>
        <v>1002690799.1974795</v>
      </c>
      <c r="R229" s="245">
        <f t="shared" si="97"/>
        <v>1488333977.1974795</v>
      </c>
      <c r="S229" s="246">
        <f t="shared" si="98"/>
        <v>1002690799.1974795</v>
      </c>
      <c r="T229" s="247"/>
      <c r="U229" s="238"/>
    </row>
    <row r="230" spans="1:25" s="239" customFormat="1" ht="17.25" thickBot="1" x14ac:dyDescent="0.35">
      <c r="A230" s="221"/>
      <c r="B230" s="248"/>
      <c r="C230" s="315"/>
      <c r="D230" s="249">
        <v>11</v>
      </c>
      <c r="E230" s="224">
        <v>2750000</v>
      </c>
      <c r="F230" s="225">
        <v>0</v>
      </c>
      <c r="G230" s="250">
        <v>0</v>
      </c>
      <c r="H230" s="227">
        <v>0</v>
      </c>
      <c r="I230" s="251">
        <v>0</v>
      </c>
      <c r="J230" s="252">
        <v>0</v>
      </c>
      <c r="K230" s="253">
        <f t="shared" si="94"/>
        <v>0</v>
      </c>
      <c r="L230" s="254">
        <f t="shared" si="95"/>
        <v>0</v>
      </c>
      <c r="M230" s="255">
        <v>485643178</v>
      </c>
      <c r="N230" s="256">
        <v>0</v>
      </c>
      <c r="O230" s="257">
        <f t="shared" si="96"/>
        <v>1002690799.1974795</v>
      </c>
      <c r="P230" s="248">
        <v>1.7999999999999999E-2</v>
      </c>
      <c r="Q230" s="235">
        <f t="shared" si="93"/>
        <v>1020739233.5830342</v>
      </c>
      <c r="R230" s="257">
        <f t="shared" si="97"/>
        <v>1506382411.583034</v>
      </c>
      <c r="S230" s="258">
        <f t="shared" si="98"/>
        <v>1020739233.583034</v>
      </c>
      <c r="T230" s="259"/>
      <c r="U230" s="238"/>
    </row>
    <row r="231" spans="1:25" s="239" customFormat="1" ht="17.25" thickBot="1" x14ac:dyDescent="0.35">
      <c r="A231" s="221"/>
      <c r="B231" s="260"/>
      <c r="C231" s="315"/>
      <c r="D231" s="261">
        <v>12</v>
      </c>
      <c r="E231" s="224">
        <v>2750000</v>
      </c>
      <c r="F231" s="225">
        <v>0</v>
      </c>
      <c r="G231" s="262">
        <v>0</v>
      </c>
      <c r="H231" s="227">
        <v>0</v>
      </c>
      <c r="I231" s="263">
        <v>0</v>
      </c>
      <c r="J231" s="264">
        <v>0</v>
      </c>
      <c r="K231" s="265">
        <f t="shared" si="94"/>
        <v>0</v>
      </c>
      <c r="L231" s="266">
        <f t="shared" si="95"/>
        <v>0</v>
      </c>
      <c r="M231" s="267">
        <v>485643178</v>
      </c>
      <c r="N231" s="268">
        <v>0</v>
      </c>
      <c r="O231" s="269">
        <f t="shared" si="96"/>
        <v>1020739233.5830342</v>
      </c>
      <c r="P231" s="270">
        <v>1.7999999999999999E-2</v>
      </c>
      <c r="Q231" s="235">
        <f t="shared" si="93"/>
        <v>1039112539.7875288</v>
      </c>
      <c r="R231" s="269">
        <f t="shared" si="97"/>
        <v>1524755717.7875288</v>
      </c>
      <c r="S231" s="271">
        <f t="shared" si="98"/>
        <v>1039112539.7875288</v>
      </c>
      <c r="T231" s="272">
        <f xml:space="preserve"> S231 / 4</f>
        <v>259778134.94688219</v>
      </c>
      <c r="U231" s="272">
        <f>SUM(E28:E231)</f>
        <v>369000000</v>
      </c>
      <c r="V231" s="272">
        <f>SUM(F28:F231)</f>
        <v>324930000</v>
      </c>
      <c r="W231" s="273">
        <f xml:space="preserve"> U231 - V231</f>
        <v>44070000</v>
      </c>
      <c r="X231" s="273">
        <f>R231-W231</f>
        <v>1480685717.7875288</v>
      </c>
      <c r="Y231" s="274">
        <f xml:space="preserve"> X231 / W231 * 100</f>
        <v>3359.8495978841138</v>
      </c>
    </row>
    <row r="232" spans="1:25" s="239" customFormat="1" x14ac:dyDescent="0.3">
      <c r="A232" s="221"/>
      <c r="B232" s="222">
        <v>20</v>
      </c>
      <c r="C232" s="315">
        <v>2041</v>
      </c>
      <c r="D232" s="223">
        <v>1</v>
      </c>
      <c r="E232" s="224">
        <v>2750000</v>
      </c>
      <c r="F232" s="225">
        <v>15000000</v>
      </c>
      <c r="G232" s="226">
        <v>0</v>
      </c>
      <c r="H232" s="227">
        <v>0</v>
      </c>
      <c r="I232" s="228">
        <v>0</v>
      </c>
      <c r="J232" s="229">
        <f xml:space="preserve"> L231 / 10</f>
        <v>0</v>
      </c>
      <c r="K232" s="230">
        <f t="shared" si="94"/>
        <v>0</v>
      </c>
      <c r="L232" s="231">
        <f t="shared" si="95"/>
        <v>0</v>
      </c>
      <c r="M232" s="232">
        <v>485643178</v>
      </c>
      <c r="N232" s="233">
        <v>0</v>
      </c>
      <c r="O232" s="234">
        <f t="shared" si="96"/>
        <v>1039112539.7875288</v>
      </c>
      <c r="P232" s="222">
        <v>4.0000000000000001E-3</v>
      </c>
      <c r="Q232" s="235">
        <f t="shared" si="93"/>
        <v>1043268989.9466789</v>
      </c>
      <c r="R232" s="234">
        <f t="shared" si="97"/>
        <v>1528912167.9466789</v>
      </c>
      <c r="S232" s="236">
        <f t="shared" si="98"/>
        <v>1043268989.9466789</v>
      </c>
      <c r="T232" s="237"/>
      <c r="U232" s="238"/>
    </row>
    <row r="233" spans="1:25" s="239" customFormat="1" x14ac:dyDescent="0.3">
      <c r="A233" s="221"/>
      <c r="B233" s="240"/>
      <c r="C233" s="315"/>
      <c r="D233" s="241">
        <v>2</v>
      </c>
      <c r="E233" s="224">
        <v>2750000</v>
      </c>
      <c r="F233" s="225">
        <v>0</v>
      </c>
      <c r="G233" s="226">
        <v>0</v>
      </c>
      <c r="H233" s="227">
        <v>0</v>
      </c>
      <c r="I233" s="227">
        <v>0</v>
      </c>
      <c r="J233" s="242">
        <f xml:space="preserve"> J232</f>
        <v>0</v>
      </c>
      <c r="K233" s="243">
        <f t="shared" si="94"/>
        <v>0</v>
      </c>
      <c r="L233" s="244">
        <f t="shared" si="95"/>
        <v>0</v>
      </c>
      <c r="M233" s="232">
        <v>485643178</v>
      </c>
      <c r="N233" s="233">
        <v>0</v>
      </c>
      <c r="O233" s="245">
        <f t="shared" si="96"/>
        <v>1043268989.9466789</v>
      </c>
      <c r="P233" s="240">
        <v>1.7999999999999999E-2</v>
      </c>
      <c r="Q233" s="235">
        <f t="shared" si="93"/>
        <v>1062047831.7657191</v>
      </c>
      <c r="R233" s="245">
        <f t="shared" si="97"/>
        <v>1547691009.7657189</v>
      </c>
      <c r="S233" s="246">
        <f t="shared" si="98"/>
        <v>1062047831.7657189</v>
      </c>
      <c r="T233" s="247"/>
      <c r="U233" s="238"/>
    </row>
    <row r="234" spans="1:25" s="239" customFormat="1" x14ac:dyDescent="0.3">
      <c r="A234" s="221"/>
      <c r="B234" s="240"/>
      <c r="C234" s="315"/>
      <c r="D234" s="241">
        <v>3</v>
      </c>
      <c r="E234" s="224">
        <v>2750000</v>
      </c>
      <c r="F234" s="225">
        <v>0</v>
      </c>
      <c r="G234" s="226">
        <v>0</v>
      </c>
      <c r="H234" s="227">
        <v>0</v>
      </c>
      <c r="I234" s="227">
        <v>0</v>
      </c>
      <c r="J234" s="242">
        <f t="shared" ref="J234:J240" si="101" xml:space="preserve"> J233</f>
        <v>0</v>
      </c>
      <c r="K234" s="243">
        <f t="shared" si="94"/>
        <v>0</v>
      </c>
      <c r="L234" s="244">
        <f t="shared" si="95"/>
        <v>0</v>
      </c>
      <c r="M234" s="232">
        <v>485643178</v>
      </c>
      <c r="N234" s="233">
        <v>0</v>
      </c>
      <c r="O234" s="245">
        <f t="shared" si="96"/>
        <v>1062047831.7657191</v>
      </c>
      <c r="P234" s="240">
        <v>1.7999999999999999E-2</v>
      </c>
      <c r="Q234" s="235">
        <f t="shared" si="93"/>
        <v>1081164692.7375021</v>
      </c>
      <c r="R234" s="245">
        <f t="shared" si="97"/>
        <v>1566807870.7375021</v>
      </c>
      <c r="S234" s="246">
        <f t="shared" si="98"/>
        <v>1081164692.7375021</v>
      </c>
      <c r="T234" s="247"/>
      <c r="U234" s="238"/>
    </row>
    <row r="235" spans="1:25" s="239" customFormat="1" x14ac:dyDescent="0.3">
      <c r="A235" s="221"/>
      <c r="B235" s="240"/>
      <c r="C235" s="315"/>
      <c r="D235" s="241">
        <v>4</v>
      </c>
      <c r="E235" s="224">
        <v>2750000</v>
      </c>
      <c r="F235" s="225">
        <v>0</v>
      </c>
      <c r="G235" s="226">
        <v>0</v>
      </c>
      <c r="H235" s="227">
        <v>0</v>
      </c>
      <c r="I235" s="227">
        <v>0</v>
      </c>
      <c r="J235" s="242">
        <f t="shared" si="101"/>
        <v>0</v>
      </c>
      <c r="K235" s="243">
        <f t="shared" si="94"/>
        <v>0</v>
      </c>
      <c r="L235" s="244">
        <f t="shared" si="95"/>
        <v>0</v>
      </c>
      <c r="M235" s="232">
        <v>485643178</v>
      </c>
      <c r="N235" s="233">
        <v>0</v>
      </c>
      <c r="O235" s="245">
        <f t="shared" si="96"/>
        <v>1081164692.7375021</v>
      </c>
      <c r="P235" s="240">
        <v>1.7999999999999999E-2</v>
      </c>
      <c r="Q235" s="235">
        <f t="shared" si="93"/>
        <v>1100625657.2067771</v>
      </c>
      <c r="R235" s="245">
        <f t="shared" si="97"/>
        <v>1586268835.2067771</v>
      </c>
      <c r="S235" s="246">
        <f t="shared" si="98"/>
        <v>1100625657.2067771</v>
      </c>
      <c r="T235" s="247"/>
      <c r="U235" s="238"/>
    </row>
    <row r="236" spans="1:25" s="239" customFormat="1" x14ac:dyDescent="0.3">
      <c r="A236" s="221"/>
      <c r="B236" s="240"/>
      <c r="C236" s="315"/>
      <c r="D236" s="241">
        <v>5</v>
      </c>
      <c r="E236" s="224">
        <v>2750000</v>
      </c>
      <c r="F236" s="225">
        <v>0</v>
      </c>
      <c r="G236" s="226">
        <v>0</v>
      </c>
      <c r="H236" s="227">
        <v>0</v>
      </c>
      <c r="I236" s="227">
        <v>0</v>
      </c>
      <c r="J236" s="242">
        <f t="shared" si="101"/>
        <v>0</v>
      </c>
      <c r="K236" s="243">
        <f t="shared" si="94"/>
        <v>0</v>
      </c>
      <c r="L236" s="244">
        <f t="shared" si="95"/>
        <v>0</v>
      </c>
      <c r="M236" s="232">
        <v>485643178</v>
      </c>
      <c r="N236" s="233">
        <v>0</v>
      </c>
      <c r="O236" s="245">
        <f t="shared" si="96"/>
        <v>1100625657.2067771</v>
      </c>
      <c r="P236" s="240">
        <v>1.7999999999999999E-2</v>
      </c>
      <c r="Q236" s="235">
        <f t="shared" si="93"/>
        <v>1120436919.036499</v>
      </c>
      <c r="R236" s="245">
        <f t="shared" si="97"/>
        <v>1606080097.036499</v>
      </c>
      <c r="S236" s="246">
        <f t="shared" si="98"/>
        <v>1120436919.036499</v>
      </c>
      <c r="T236" s="247"/>
      <c r="U236" s="238"/>
    </row>
    <row r="237" spans="1:25" s="239" customFormat="1" x14ac:dyDescent="0.3">
      <c r="A237" s="221"/>
      <c r="B237" s="240"/>
      <c r="C237" s="315"/>
      <c r="D237" s="241">
        <v>6</v>
      </c>
      <c r="E237" s="224">
        <v>2750000</v>
      </c>
      <c r="F237" s="225">
        <v>0</v>
      </c>
      <c r="G237" s="226">
        <v>0</v>
      </c>
      <c r="H237" s="227">
        <v>0</v>
      </c>
      <c r="I237" s="227">
        <v>0</v>
      </c>
      <c r="J237" s="242">
        <f t="shared" si="101"/>
        <v>0</v>
      </c>
      <c r="K237" s="243">
        <f t="shared" si="94"/>
        <v>0</v>
      </c>
      <c r="L237" s="244">
        <f t="shared" si="95"/>
        <v>0</v>
      </c>
      <c r="M237" s="232">
        <v>485643178</v>
      </c>
      <c r="N237" s="233">
        <v>0</v>
      </c>
      <c r="O237" s="245">
        <f t="shared" si="96"/>
        <v>1120436919.036499</v>
      </c>
      <c r="P237" s="240">
        <v>1.7999999999999999E-2</v>
      </c>
      <c r="Q237" s="235">
        <f t="shared" si="93"/>
        <v>1140604783.5791559</v>
      </c>
      <c r="R237" s="245">
        <f t="shared" si="97"/>
        <v>1626247961.5791559</v>
      </c>
      <c r="S237" s="246">
        <f t="shared" si="98"/>
        <v>1140604783.5791559</v>
      </c>
      <c r="T237" s="247"/>
      <c r="U237" s="238"/>
    </row>
    <row r="238" spans="1:25" s="239" customFormat="1" x14ac:dyDescent="0.3">
      <c r="A238" s="221"/>
      <c r="B238" s="240"/>
      <c r="C238" s="315"/>
      <c r="D238" s="241">
        <v>7</v>
      </c>
      <c r="E238" s="224">
        <v>2750000</v>
      </c>
      <c r="F238" s="225">
        <v>0</v>
      </c>
      <c r="G238" s="226">
        <v>0</v>
      </c>
      <c r="H238" s="227">
        <v>0</v>
      </c>
      <c r="I238" s="227">
        <v>0</v>
      </c>
      <c r="J238" s="242">
        <f t="shared" si="101"/>
        <v>0</v>
      </c>
      <c r="K238" s="243">
        <f t="shared" si="94"/>
        <v>0</v>
      </c>
      <c r="L238" s="244">
        <f t="shared" si="95"/>
        <v>0</v>
      </c>
      <c r="M238" s="232">
        <v>485643178</v>
      </c>
      <c r="N238" s="233">
        <v>0</v>
      </c>
      <c r="O238" s="245">
        <f t="shared" si="96"/>
        <v>1140604783.5791559</v>
      </c>
      <c r="P238" s="240">
        <v>1.7999999999999999E-2</v>
      </c>
      <c r="Q238" s="235">
        <f t="shared" si="93"/>
        <v>1161135669.6835806</v>
      </c>
      <c r="R238" s="245">
        <f t="shared" si="97"/>
        <v>1646778847.6835806</v>
      </c>
      <c r="S238" s="246">
        <f t="shared" si="98"/>
        <v>1161135669.6835806</v>
      </c>
      <c r="T238" s="247"/>
      <c r="U238" s="238"/>
    </row>
    <row r="239" spans="1:25" s="239" customFormat="1" x14ac:dyDescent="0.3">
      <c r="A239" s="221"/>
      <c r="B239" s="240"/>
      <c r="C239" s="315"/>
      <c r="D239" s="241">
        <v>8</v>
      </c>
      <c r="E239" s="224">
        <v>2750000</v>
      </c>
      <c r="F239" s="225">
        <v>0</v>
      </c>
      <c r="G239" s="226">
        <v>0</v>
      </c>
      <c r="H239" s="227">
        <v>0</v>
      </c>
      <c r="I239" s="227">
        <v>0</v>
      </c>
      <c r="J239" s="242">
        <f t="shared" si="101"/>
        <v>0</v>
      </c>
      <c r="K239" s="243">
        <f t="shared" si="94"/>
        <v>0</v>
      </c>
      <c r="L239" s="244">
        <f t="shared" si="95"/>
        <v>0</v>
      </c>
      <c r="M239" s="232">
        <v>485643178</v>
      </c>
      <c r="N239" s="233">
        <v>0</v>
      </c>
      <c r="O239" s="245">
        <f t="shared" si="96"/>
        <v>1161135669.6835806</v>
      </c>
      <c r="P239" s="240">
        <v>1.7999999999999999E-2</v>
      </c>
      <c r="Q239" s="235">
        <f t="shared" si="93"/>
        <v>1182036111.737885</v>
      </c>
      <c r="R239" s="245">
        <f t="shared" si="97"/>
        <v>1667679289.737885</v>
      </c>
      <c r="S239" s="246">
        <f t="shared" si="98"/>
        <v>1182036111.737885</v>
      </c>
      <c r="T239" s="247"/>
      <c r="U239" s="238"/>
    </row>
    <row r="240" spans="1:25" s="239" customFormat="1" x14ac:dyDescent="0.3">
      <c r="A240" s="221"/>
      <c r="B240" s="240"/>
      <c r="C240" s="315"/>
      <c r="D240" s="241">
        <v>9</v>
      </c>
      <c r="E240" s="224">
        <v>2750000</v>
      </c>
      <c r="F240" s="225">
        <v>0</v>
      </c>
      <c r="G240" s="226">
        <v>0</v>
      </c>
      <c r="H240" s="227">
        <v>0</v>
      </c>
      <c r="I240" s="227">
        <v>0</v>
      </c>
      <c r="J240" s="242">
        <f t="shared" si="101"/>
        <v>0</v>
      </c>
      <c r="K240" s="243">
        <f t="shared" si="94"/>
        <v>0</v>
      </c>
      <c r="L240" s="244">
        <f t="shared" si="95"/>
        <v>0</v>
      </c>
      <c r="M240" s="232">
        <v>485643178</v>
      </c>
      <c r="N240" s="233">
        <v>0</v>
      </c>
      <c r="O240" s="245">
        <f t="shared" si="96"/>
        <v>1182036111.737885</v>
      </c>
      <c r="P240" s="240">
        <v>1.7999999999999999E-2</v>
      </c>
      <c r="Q240" s="235">
        <f t="shared" si="93"/>
        <v>1203312761.749167</v>
      </c>
      <c r="R240" s="245">
        <f t="shared" si="97"/>
        <v>1688955939.749167</v>
      </c>
      <c r="S240" s="246">
        <f t="shared" si="98"/>
        <v>1203312761.749167</v>
      </c>
      <c r="T240" s="247"/>
      <c r="U240" s="238"/>
    </row>
    <row r="241" spans="1:25" s="239" customFormat="1" x14ac:dyDescent="0.3">
      <c r="A241" s="221"/>
      <c r="B241" s="240"/>
      <c r="C241" s="315"/>
      <c r="D241" s="241">
        <v>10</v>
      </c>
      <c r="E241" s="224">
        <v>2750000</v>
      </c>
      <c r="F241" s="225">
        <v>0</v>
      </c>
      <c r="G241" s="226">
        <v>0</v>
      </c>
      <c r="H241" s="227">
        <v>0</v>
      </c>
      <c r="I241" s="227">
        <v>0</v>
      </c>
      <c r="J241" s="242">
        <f xml:space="preserve"> J240</f>
        <v>0</v>
      </c>
      <c r="K241" s="243">
        <f t="shared" si="94"/>
        <v>0</v>
      </c>
      <c r="L241" s="244">
        <f t="shared" si="95"/>
        <v>0</v>
      </c>
      <c r="M241" s="232">
        <v>485643178</v>
      </c>
      <c r="N241" s="233">
        <v>0</v>
      </c>
      <c r="O241" s="245">
        <f t="shared" si="96"/>
        <v>1203312761.749167</v>
      </c>
      <c r="P241" s="240">
        <v>1.7999999999999999E-2</v>
      </c>
      <c r="Q241" s="235">
        <f t="shared" si="93"/>
        <v>1224972391.4606519</v>
      </c>
      <c r="R241" s="245">
        <f t="shared" si="97"/>
        <v>1710615569.4606519</v>
      </c>
      <c r="S241" s="246">
        <f t="shared" si="98"/>
        <v>1224972391.4606519</v>
      </c>
      <c r="T241" s="247"/>
      <c r="U241" s="238"/>
    </row>
    <row r="242" spans="1:25" s="239" customFormat="1" ht="17.25" thickBot="1" x14ac:dyDescent="0.35">
      <c r="A242" s="221"/>
      <c r="B242" s="248"/>
      <c r="C242" s="315"/>
      <c r="D242" s="249">
        <v>11</v>
      </c>
      <c r="E242" s="224">
        <v>2750000</v>
      </c>
      <c r="F242" s="225">
        <v>0</v>
      </c>
      <c r="G242" s="250">
        <v>0</v>
      </c>
      <c r="H242" s="227">
        <v>0</v>
      </c>
      <c r="I242" s="251">
        <v>0</v>
      </c>
      <c r="J242" s="252">
        <v>0</v>
      </c>
      <c r="K242" s="253">
        <f t="shared" si="94"/>
        <v>0</v>
      </c>
      <c r="L242" s="254">
        <f t="shared" si="95"/>
        <v>0</v>
      </c>
      <c r="M242" s="255">
        <v>485643178</v>
      </c>
      <c r="N242" s="256">
        <v>0</v>
      </c>
      <c r="O242" s="257">
        <f t="shared" si="96"/>
        <v>1224972391.4606519</v>
      </c>
      <c r="P242" s="248">
        <v>1.7999999999999999E-2</v>
      </c>
      <c r="Q242" s="235">
        <f t="shared" si="93"/>
        <v>1247021894.5069437</v>
      </c>
      <c r="R242" s="257">
        <f t="shared" si="97"/>
        <v>1732665072.5069437</v>
      </c>
      <c r="S242" s="258">
        <f t="shared" si="98"/>
        <v>1247021894.5069437</v>
      </c>
      <c r="T242" s="259"/>
      <c r="U242" s="238"/>
    </row>
    <row r="243" spans="1:25" s="239" customFormat="1" ht="17.25" thickBot="1" x14ac:dyDescent="0.35">
      <c r="A243" s="221"/>
      <c r="B243" s="260"/>
      <c r="C243" s="315"/>
      <c r="D243" s="261">
        <v>12</v>
      </c>
      <c r="E243" s="224">
        <v>2750000</v>
      </c>
      <c r="F243" s="225">
        <v>0</v>
      </c>
      <c r="G243" s="262">
        <v>0</v>
      </c>
      <c r="H243" s="227">
        <v>0</v>
      </c>
      <c r="I243" s="263">
        <v>0</v>
      </c>
      <c r="J243" s="264">
        <v>0</v>
      </c>
      <c r="K243" s="265">
        <f t="shared" si="94"/>
        <v>0</v>
      </c>
      <c r="L243" s="266">
        <f t="shared" si="95"/>
        <v>0</v>
      </c>
      <c r="M243" s="267">
        <v>485643178</v>
      </c>
      <c r="N243" s="268">
        <v>0</v>
      </c>
      <c r="O243" s="269">
        <f t="shared" si="96"/>
        <v>1247021894.5069437</v>
      </c>
      <c r="P243" s="270">
        <v>1.7999999999999999E-2</v>
      </c>
      <c r="Q243" s="235">
        <f t="shared" si="93"/>
        <v>1269468288.6080687</v>
      </c>
      <c r="R243" s="269">
        <f t="shared" si="97"/>
        <v>1755111466.6080687</v>
      </c>
      <c r="S243" s="271">
        <f t="shared" si="98"/>
        <v>1269468288.6080687</v>
      </c>
      <c r="T243" s="272">
        <f xml:space="preserve"> S243 / 4</f>
        <v>317367072.15201718</v>
      </c>
      <c r="U243" s="272">
        <f>SUM(E40:E243)</f>
        <v>372000000</v>
      </c>
      <c r="V243" s="272">
        <f>SUM(F40:F243)</f>
        <v>339170000</v>
      </c>
      <c r="W243" s="273">
        <f xml:space="preserve"> U243 - V243</f>
        <v>32830000</v>
      </c>
      <c r="X243" s="273">
        <f>R243-W243</f>
        <v>1722281466.6080687</v>
      </c>
      <c r="Y243" s="274">
        <f xml:space="preserve"> X243 / W243 * 100</f>
        <v>5246.0599043803495</v>
      </c>
    </row>
    <row r="244" spans="1:25" s="239" customFormat="1" x14ac:dyDescent="0.3">
      <c r="A244" s="221"/>
      <c r="B244" s="222">
        <v>21</v>
      </c>
      <c r="C244" s="315">
        <v>2042</v>
      </c>
      <c r="D244" s="223">
        <v>1</v>
      </c>
      <c r="E244" s="224">
        <v>2750000</v>
      </c>
      <c r="F244" s="225">
        <v>15000000</v>
      </c>
      <c r="G244" s="226">
        <v>0</v>
      </c>
      <c r="H244" s="227">
        <v>0</v>
      </c>
      <c r="I244" s="228">
        <v>0</v>
      </c>
      <c r="J244" s="229">
        <f xml:space="preserve"> L243 / 10</f>
        <v>0</v>
      </c>
      <c r="K244" s="230">
        <f t="shared" si="94"/>
        <v>0</v>
      </c>
      <c r="L244" s="231">
        <f t="shared" si="95"/>
        <v>0</v>
      </c>
      <c r="M244" s="232">
        <v>485643178</v>
      </c>
      <c r="N244" s="233">
        <v>0</v>
      </c>
      <c r="O244" s="234">
        <f t="shared" si="96"/>
        <v>1269468288.6080687</v>
      </c>
      <c r="P244" s="222">
        <v>4.0000000000000001E-3</v>
      </c>
      <c r="Q244" s="235">
        <f t="shared" si="93"/>
        <v>1274546161.762501</v>
      </c>
      <c r="R244" s="234">
        <f t="shared" si="97"/>
        <v>1760189339.762501</v>
      </c>
      <c r="S244" s="236">
        <f t="shared" si="98"/>
        <v>1274546161.762501</v>
      </c>
      <c r="T244" s="237"/>
      <c r="U244" s="238"/>
    </row>
    <row r="245" spans="1:25" s="239" customFormat="1" x14ac:dyDescent="0.3">
      <c r="A245" s="221"/>
      <c r="B245" s="240"/>
      <c r="C245" s="315"/>
      <c r="D245" s="241">
        <v>2</v>
      </c>
      <c r="E245" s="224">
        <v>2750000</v>
      </c>
      <c r="F245" s="225">
        <v>0</v>
      </c>
      <c r="G245" s="226">
        <v>0</v>
      </c>
      <c r="H245" s="227">
        <v>0</v>
      </c>
      <c r="I245" s="227">
        <v>0</v>
      </c>
      <c r="J245" s="242">
        <f xml:space="preserve"> J244</f>
        <v>0</v>
      </c>
      <c r="K245" s="243">
        <f t="shared" si="94"/>
        <v>0</v>
      </c>
      <c r="L245" s="244">
        <f t="shared" si="95"/>
        <v>0</v>
      </c>
      <c r="M245" s="232">
        <v>485643178</v>
      </c>
      <c r="N245" s="233">
        <v>0</v>
      </c>
      <c r="O245" s="245">
        <f t="shared" si="96"/>
        <v>1274546161.762501</v>
      </c>
      <c r="P245" s="240">
        <v>1.7999999999999999E-2</v>
      </c>
      <c r="Q245" s="235">
        <f t="shared" si="93"/>
        <v>1297487992.674226</v>
      </c>
      <c r="R245" s="245">
        <f t="shared" si="97"/>
        <v>1783131170.674226</v>
      </c>
      <c r="S245" s="246">
        <f t="shared" si="98"/>
        <v>1297487992.674226</v>
      </c>
      <c r="T245" s="247"/>
      <c r="U245" s="238"/>
    </row>
    <row r="246" spans="1:25" s="239" customFormat="1" x14ac:dyDescent="0.3">
      <c r="A246" s="221"/>
      <c r="B246" s="240"/>
      <c r="C246" s="315"/>
      <c r="D246" s="241">
        <v>3</v>
      </c>
      <c r="E246" s="224">
        <v>2750000</v>
      </c>
      <c r="F246" s="225">
        <v>0</v>
      </c>
      <c r="G246" s="226">
        <v>0</v>
      </c>
      <c r="H246" s="227">
        <v>0</v>
      </c>
      <c r="I246" s="227">
        <v>0</v>
      </c>
      <c r="J246" s="242">
        <f t="shared" ref="J246:J252" si="102" xml:space="preserve"> J245</f>
        <v>0</v>
      </c>
      <c r="K246" s="243">
        <f t="shared" si="94"/>
        <v>0</v>
      </c>
      <c r="L246" s="244">
        <f t="shared" si="95"/>
        <v>0</v>
      </c>
      <c r="M246" s="232">
        <v>485643178</v>
      </c>
      <c r="N246" s="233">
        <v>0</v>
      </c>
      <c r="O246" s="245">
        <f t="shared" si="96"/>
        <v>1297487992.674226</v>
      </c>
      <c r="P246" s="240">
        <v>1.7999999999999999E-2</v>
      </c>
      <c r="Q246" s="235">
        <f t="shared" si="93"/>
        <v>1320842776.5423622</v>
      </c>
      <c r="R246" s="245">
        <f t="shared" si="97"/>
        <v>1806485954.5423622</v>
      </c>
      <c r="S246" s="246">
        <f t="shared" si="98"/>
        <v>1320842776.5423622</v>
      </c>
      <c r="T246" s="247"/>
      <c r="U246" s="238"/>
    </row>
    <row r="247" spans="1:25" s="239" customFormat="1" x14ac:dyDescent="0.3">
      <c r="A247" s="221"/>
      <c r="B247" s="240"/>
      <c r="C247" s="315"/>
      <c r="D247" s="241">
        <v>4</v>
      </c>
      <c r="E247" s="224">
        <v>2750000</v>
      </c>
      <c r="F247" s="225">
        <v>0</v>
      </c>
      <c r="G247" s="226">
        <v>0</v>
      </c>
      <c r="H247" s="227">
        <v>0</v>
      </c>
      <c r="I247" s="227">
        <v>0</v>
      </c>
      <c r="J247" s="242">
        <f t="shared" si="102"/>
        <v>0</v>
      </c>
      <c r="K247" s="243">
        <f t="shared" si="94"/>
        <v>0</v>
      </c>
      <c r="L247" s="244">
        <f t="shared" si="95"/>
        <v>0</v>
      </c>
      <c r="M247" s="232">
        <v>485643178</v>
      </c>
      <c r="N247" s="233">
        <v>0</v>
      </c>
      <c r="O247" s="245">
        <f t="shared" si="96"/>
        <v>1320842776.5423622</v>
      </c>
      <c r="P247" s="240">
        <v>1.7999999999999999E-2</v>
      </c>
      <c r="Q247" s="235">
        <f t="shared" si="93"/>
        <v>1344617946.5201247</v>
      </c>
      <c r="R247" s="245">
        <f t="shared" si="97"/>
        <v>1830261124.5201247</v>
      </c>
      <c r="S247" s="246">
        <f t="shared" si="98"/>
        <v>1344617946.5201247</v>
      </c>
      <c r="T247" s="247"/>
      <c r="U247" s="238"/>
    </row>
    <row r="248" spans="1:25" s="239" customFormat="1" x14ac:dyDescent="0.3">
      <c r="A248" s="221"/>
      <c r="B248" s="240"/>
      <c r="C248" s="315"/>
      <c r="D248" s="241">
        <v>5</v>
      </c>
      <c r="E248" s="224">
        <v>2750000</v>
      </c>
      <c r="F248" s="225">
        <v>0</v>
      </c>
      <c r="G248" s="226">
        <v>0</v>
      </c>
      <c r="H248" s="227">
        <v>0</v>
      </c>
      <c r="I248" s="227">
        <v>0</v>
      </c>
      <c r="J248" s="242">
        <f t="shared" si="102"/>
        <v>0</v>
      </c>
      <c r="K248" s="243">
        <f t="shared" si="94"/>
        <v>0</v>
      </c>
      <c r="L248" s="244">
        <f t="shared" si="95"/>
        <v>0</v>
      </c>
      <c r="M248" s="232">
        <v>485643178</v>
      </c>
      <c r="N248" s="233">
        <v>0</v>
      </c>
      <c r="O248" s="245">
        <f t="shared" si="96"/>
        <v>1344617946.5201247</v>
      </c>
      <c r="P248" s="240">
        <v>1.7999999999999999E-2</v>
      </c>
      <c r="Q248" s="235">
        <f t="shared" si="93"/>
        <v>1368821069.557487</v>
      </c>
      <c r="R248" s="245">
        <f t="shared" si="97"/>
        <v>1854464247.557487</v>
      </c>
      <c r="S248" s="246">
        <f t="shared" si="98"/>
        <v>1368821069.557487</v>
      </c>
      <c r="T248" s="247"/>
      <c r="U248" s="238"/>
    </row>
    <row r="249" spans="1:25" s="239" customFormat="1" x14ac:dyDescent="0.3">
      <c r="A249" s="221"/>
      <c r="B249" s="240"/>
      <c r="C249" s="315"/>
      <c r="D249" s="241">
        <v>6</v>
      </c>
      <c r="E249" s="224">
        <v>2750000</v>
      </c>
      <c r="F249" s="225">
        <v>0</v>
      </c>
      <c r="G249" s="226">
        <v>0</v>
      </c>
      <c r="H249" s="227">
        <v>0</v>
      </c>
      <c r="I249" s="227">
        <v>0</v>
      </c>
      <c r="J249" s="242">
        <f t="shared" si="102"/>
        <v>0</v>
      </c>
      <c r="K249" s="243">
        <f t="shared" si="94"/>
        <v>0</v>
      </c>
      <c r="L249" s="244">
        <f t="shared" si="95"/>
        <v>0</v>
      </c>
      <c r="M249" s="232">
        <v>485643178</v>
      </c>
      <c r="N249" s="233">
        <v>0</v>
      </c>
      <c r="O249" s="245">
        <f t="shared" si="96"/>
        <v>1368821069.557487</v>
      </c>
      <c r="P249" s="240">
        <v>1.7999999999999999E-2</v>
      </c>
      <c r="Q249" s="235">
        <f t="shared" si="93"/>
        <v>1393459848.8095217</v>
      </c>
      <c r="R249" s="245">
        <f t="shared" si="97"/>
        <v>1879103026.8095217</v>
      </c>
      <c r="S249" s="246">
        <f t="shared" si="98"/>
        <v>1393459848.8095217</v>
      </c>
      <c r="T249" s="247"/>
      <c r="U249" s="238"/>
    </row>
    <row r="250" spans="1:25" s="239" customFormat="1" x14ac:dyDescent="0.3">
      <c r="A250" s="221"/>
      <c r="B250" s="240"/>
      <c r="C250" s="315"/>
      <c r="D250" s="241">
        <v>7</v>
      </c>
      <c r="E250" s="224">
        <v>2750000</v>
      </c>
      <c r="F250" s="225">
        <v>0</v>
      </c>
      <c r="G250" s="226">
        <v>0</v>
      </c>
      <c r="H250" s="227">
        <v>0</v>
      </c>
      <c r="I250" s="227">
        <v>0</v>
      </c>
      <c r="J250" s="242">
        <f t="shared" si="102"/>
        <v>0</v>
      </c>
      <c r="K250" s="243">
        <f t="shared" si="94"/>
        <v>0</v>
      </c>
      <c r="L250" s="244">
        <f t="shared" si="95"/>
        <v>0</v>
      </c>
      <c r="M250" s="232">
        <v>485643178</v>
      </c>
      <c r="N250" s="233">
        <v>0</v>
      </c>
      <c r="O250" s="245">
        <f t="shared" si="96"/>
        <v>1393459848.8095217</v>
      </c>
      <c r="P250" s="240">
        <v>1.7999999999999999E-2</v>
      </c>
      <c r="Q250" s="235">
        <f t="shared" si="93"/>
        <v>1418542126.088093</v>
      </c>
      <c r="R250" s="245">
        <f t="shared" si="97"/>
        <v>1904185304.088093</v>
      </c>
      <c r="S250" s="246">
        <f t="shared" si="98"/>
        <v>1418542126.088093</v>
      </c>
      <c r="T250" s="247"/>
      <c r="U250" s="238"/>
    </row>
    <row r="251" spans="1:25" s="239" customFormat="1" x14ac:dyDescent="0.3">
      <c r="A251" s="221"/>
      <c r="B251" s="240"/>
      <c r="C251" s="315"/>
      <c r="D251" s="241">
        <v>8</v>
      </c>
      <c r="E251" s="224">
        <v>2750000</v>
      </c>
      <c r="F251" s="225">
        <v>0</v>
      </c>
      <c r="G251" s="226">
        <v>0</v>
      </c>
      <c r="H251" s="227">
        <v>0</v>
      </c>
      <c r="I251" s="227">
        <v>0</v>
      </c>
      <c r="J251" s="242">
        <f t="shared" si="102"/>
        <v>0</v>
      </c>
      <c r="K251" s="243">
        <f t="shared" si="94"/>
        <v>0</v>
      </c>
      <c r="L251" s="244">
        <f t="shared" si="95"/>
        <v>0</v>
      </c>
      <c r="M251" s="232">
        <v>485643178</v>
      </c>
      <c r="N251" s="233">
        <v>0</v>
      </c>
      <c r="O251" s="245">
        <f t="shared" si="96"/>
        <v>1418542126.088093</v>
      </c>
      <c r="P251" s="240">
        <v>1.7999999999999999E-2</v>
      </c>
      <c r="Q251" s="235">
        <f t="shared" si="93"/>
        <v>1444075884.3576787</v>
      </c>
      <c r="R251" s="245">
        <f t="shared" si="97"/>
        <v>1929719062.3576787</v>
      </c>
      <c r="S251" s="246">
        <f t="shared" si="98"/>
        <v>1444075884.3576787</v>
      </c>
      <c r="T251" s="247"/>
      <c r="U251" s="238"/>
    </row>
    <row r="252" spans="1:25" s="239" customFormat="1" x14ac:dyDescent="0.3">
      <c r="A252" s="221"/>
      <c r="B252" s="240"/>
      <c r="C252" s="315"/>
      <c r="D252" s="241">
        <v>9</v>
      </c>
      <c r="E252" s="224">
        <v>2750000</v>
      </c>
      <c r="F252" s="225">
        <v>0</v>
      </c>
      <c r="G252" s="226">
        <v>0</v>
      </c>
      <c r="H252" s="227">
        <v>0</v>
      </c>
      <c r="I252" s="227">
        <v>0</v>
      </c>
      <c r="J252" s="242">
        <f t="shared" si="102"/>
        <v>0</v>
      </c>
      <c r="K252" s="243">
        <f t="shared" si="94"/>
        <v>0</v>
      </c>
      <c r="L252" s="244">
        <f t="shared" si="95"/>
        <v>0</v>
      </c>
      <c r="M252" s="232">
        <v>485643178</v>
      </c>
      <c r="N252" s="233">
        <v>0</v>
      </c>
      <c r="O252" s="245">
        <f t="shared" si="96"/>
        <v>1444075884.3576787</v>
      </c>
      <c r="P252" s="240">
        <v>1.7999999999999999E-2</v>
      </c>
      <c r="Q252" s="235">
        <f t="shared" si="93"/>
        <v>1470069250.2761168</v>
      </c>
      <c r="R252" s="245">
        <f t="shared" si="97"/>
        <v>1955712428.2761168</v>
      </c>
      <c r="S252" s="246">
        <f t="shared" si="98"/>
        <v>1470069250.2761168</v>
      </c>
      <c r="T252" s="247"/>
      <c r="U252" s="238"/>
    </row>
    <row r="253" spans="1:25" s="239" customFormat="1" x14ac:dyDescent="0.3">
      <c r="A253" s="221"/>
      <c r="B253" s="240"/>
      <c r="C253" s="315"/>
      <c r="D253" s="241">
        <v>10</v>
      </c>
      <c r="E253" s="224">
        <v>2750000</v>
      </c>
      <c r="F253" s="225">
        <v>0</v>
      </c>
      <c r="G253" s="226">
        <v>0</v>
      </c>
      <c r="H253" s="227">
        <v>0</v>
      </c>
      <c r="I253" s="227">
        <v>0</v>
      </c>
      <c r="J253" s="242">
        <f xml:space="preserve"> J252</f>
        <v>0</v>
      </c>
      <c r="K253" s="243">
        <f t="shared" si="94"/>
        <v>0</v>
      </c>
      <c r="L253" s="244">
        <f t="shared" si="95"/>
        <v>0</v>
      </c>
      <c r="M253" s="232">
        <v>485643178</v>
      </c>
      <c r="N253" s="233">
        <v>0</v>
      </c>
      <c r="O253" s="245">
        <f t="shared" si="96"/>
        <v>1470069250.2761168</v>
      </c>
      <c r="P253" s="240">
        <v>1.7999999999999999E-2</v>
      </c>
      <c r="Q253" s="235">
        <f t="shared" si="93"/>
        <v>1496530496.7810869</v>
      </c>
      <c r="R253" s="245">
        <f t="shared" si="97"/>
        <v>1982173674.7810869</v>
      </c>
      <c r="S253" s="246">
        <f t="shared" si="98"/>
        <v>1496530496.7810869</v>
      </c>
      <c r="T253" s="247"/>
      <c r="U253" s="238"/>
    </row>
    <row r="254" spans="1:25" s="239" customFormat="1" ht="17.25" thickBot="1" x14ac:dyDescent="0.35">
      <c r="A254" s="221"/>
      <c r="B254" s="248"/>
      <c r="C254" s="315"/>
      <c r="D254" s="249">
        <v>11</v>
      </c>
      <c r="E254" s="224">
        <v>2750000</v>
      </c>
      <c r="F254" s="225">
        <v>0</v>
      </c>
      <c r="G254" s="250">
        <v>0</v>
      </c>
      <c r="H254" s="227">
        <v>0</v>
      </c>
      <c r="I254" s="251">
        <v>0</v>
      </c>
      <c r="J254" s="252">
        <v>0</v>
      </c>
      <c r="K254" s="253">
        <f t="shared" si="94"/>
        <v>0</v>
      </c>
      <c r="L254" s="254">
        <f t="shared" si="95"/>
        <v>0</v>
      </c>
      <c r="M254" s="255">
        <v>485643178</v>
      </c>
      <c r="N254" s="256">
        <v>0</v>
      </c>
      <c r="O254" s="257">
        <f t="shared" si="96"/>
        <v>1496530496.7810869</v>
      </c>
      <c r="P254" s="248">
        <v>1.7999999999999999E-2</v>
      </c>
      <c r="Q254" s="235">
        <f t="shared" si="93"/>
        <v>1523468045.7231464</v>
      </c>
      <c r="R254" s="257">
        <f t="shared" si="97"/>
        <v>2009111223.7231464</v>
      </c>
      <c r="S254" s="258">
        <f t="shared" si="98"/>
        <v>1523468045.7231464</v>
      </c>
      <c r="T254" s="259"/>
      <c r="U254" s="238"/>
    </row>
    <row r="255" spans="1:25" s="239" customFormat="1" ht="17.25" thickBot="1" x14ac:dyDescent="0.35">
      <c r="A255" s="221"/>
      <c r="B255" s="260"/>
      <c r="C255" s="315"/>
      <c r="D255" s="261">
        <v>12</v>
      </c>
      <c r="E255" s="224">
        <v>2750000</v>
      </c>
      <c r="F255" s="225">
        <v>0</v>
      </c>
      <c r="G255" s="262">
        <v>0</v>
      </c>
      <c r="H255" s="227">
        <v>0</v>
      </c>
      <c r="I255" s="263">
        <v>0</v>
      </c>
      <c r="J255" s="264">
        <v>0</v>
      </c>
      <c r="K255" s="265">
        <f t="shared" si="94"/>
        <v>0</v>
      </c>
      <c r="L255" s="266">
        <f t="shared" si="95"/>
        <v>0</v>
      </c>
      <c r="M255" s="267">
        <v>485643178</v>
      </c>
      <c r="N255" s="268">
        <v>0</v>
      </c>
      <c r="O255" s="269">
        <f t="shared" si="96"/>
        <v>1523468045.7231464</v>
      </c>
      <c r="P255" s="270">
        <v>1.7999999999999999E-2</v>
      </c>
      <c r="Q255" s="235">
        <f t="shared" si="93"/>
        <v>1550890470.5461631</v>
      </c>
      <c r="R255" s="269">
        <f t="shared" si="97"/>
        <v>2036533648.5461631</v>
      </c>
      <c r="S255" s="271">
        <f t="shared" si="98"/>
        <v>1550890470.5461631</v>
      </c>
      <c r="T255" s="272">
        <f xml:space="preserve"> S255 / 4</f>
        <v>387722617.63654077</v>
      </c>
      <c r="U255" s="272">
        <f>SUM(E52:E255)</f>
        <v>375000000</v>
      </c>
      <c r="V255" s="272">
        <f>SUM(F52:F255)</f>
        <v>292560000</v>
      </c>
      <c r="W255" s="273">
        <f xml:space="preserve"> U255 - V255</f>
        <v>82440000</v>
      </c>
      <c r="X255" s="273">
        <f>R255-W255</f>
        <v>1954093648.5461631</v>
      </c>
      <c r="Y255" s="274">
        <f xml:space="preserve"> X255 / W255 * 100</f>
        <v>2370.3222325887468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workbookViewId="0">
      <selection activeCell="G6" sqref="G6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20" t="s">
        <v>11</v>
      </c>
    </row>
    <row r="3" spans="1:18" s="374" customFormat="1" x14ac:dyDescent="0.3">
      <c r="A3" s="322">
        <v>2023</v>
      </c>
      <c r="B3" s="374" t="s">
        <v>77</v>
      </c>
      <c r="C3" s="375">
        <v>8340000</v>
      </c>
      <c r="D3" s="375">
        <v>0</v>
      </c>
      <c r="E3" s="375">
        <v>2500000</v>
      </c>
      <c r="F3" s="375">
        <v>300000</v>
      </c>
      <c r="G3" s="375">
        <v>100000</v>
      </c>
      <c r="H3" s="375">
        <v>450000</v>
      </c>
      <c r="I3" s="375">
        <v>100000</v>
      </c>
      <c r="J3" s="375">
        <v>170000</v>
      </c>
      <c r="K3" s="375">
        <v>0</v>
      </c>
      <c r="L3" s="375">
        <v>100000</v>
      </c>
      <c r="M3" s="375">
        <v>0</v>
      </c>
      <c r="N3" s="375">
        <v>3300000</v>
      </c>
      <c r="O3" s="375">
        <v>1300000</v>
      </c>
      <c r="P3" s="375">
        <f t="shared" ref="P3:P14" si="0">SUM(D3:O3)</f>
        <v>8320000</v>
      </c>
      <c r="Q3" s="376">
        <f t="shared" ref="Q3:Q14" si="1" xml:space="preserve"> C3 - P3</f>
        <v>20000</v>
      </c>
      <c r="R3" s="375">
        <f xml:space="preserve"> 7150000 + Q3</f>
        <v>7170000</v>
      </c>
    </row>
    <row r="4" spans="1:18" x14ac:dyDescent="0.3">
      <c r="A4" s="323"/>
      <c r="B4" s="23" t="s">
        <v>78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21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323"/>
      <c r="B5" s="23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1">
        <f t="shared" si="1"/>
        <v>230000</v>
      </c>
      <c r="R5" s="1">
        <f t="shared" si="2"/>
        <v>7380000</v>
      </c>
    </row>
    <row r="6" spans="1:18" x14ac:dyDescent="0.3">
      <c r="A6" s="323"/>
      <c r="B6" s="23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1">
        <f t="shared" si="1"/>
        <v>510000</v>
      </c>
      <c r="R6" s="1">
        <f t="shared" si="2"/>
        <v>7660000</v>
      </c>
    </row>
    <row r="7" spans="1:18" x14ac:dyDescent="0.3">
      <c r="A7" s="323"/>
      <c r="B7" s="23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1">
        <f t="shared" si="1"/>
        <v>390000</v>
      </c>
      <c r="R7" s="1">
        <f t="shared" si="2"/>
        <v>7540000</v>
      </c>
    </row>
    <row r="8" spans="1:18" x14ac:dyDescent="0.3">
      <c r="A8" s="323"/>
      <c r="B8" s="23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1">
        <f t="shared" si="1"/>
        <v>670000</v>
      </c>
      <c r="R8" s="1">
        <f t="shared" si="2"/>
        <v>7820000</v>
      </c>
    </row>
    <row r="9" spans="1:18" x14ac:dyDescent="0.3">
      <c r="A9" s="323"/>
      <c r="B9" s="23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1">
        <f t="shared" si="1"/>
        <v>950000</v>
      </c>
      <c r="R9" s="1">
        <f t="shared" si="2"/>
        <v>8100000</v>
      </c>
    </row>
    <row r="10" spans="1:18" x14ac:dyDescent="0.3">
      <c r="A10" s="323"/>
      <c r="B10" s="23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1">
        <f t="shared" si="1"/>
        <v>1230000</v>
      </c>
      <c r="R10" s="1">
        <f t="shared" si="2"/>
        <v>8380000</v>
      </c>
    </row>
    <row r="11" spans="1:18" s="23" customFormat="1" x14ac:dyDescent="0.3">
      <c r="A11" s="323"/>
      <c r="B11" s="23" t="s">
        <v>85</v>
      </c>
      <c r="C11" s="24">
        <f t="shared" si="3"/>
        <v>8380000</v>
      </c>
      <c r="D11" s="24">
        <v>650000</v>
      </c>
      <c r="E11" s="24">
        <v>2500000</v>
      </c>
      <c r="F11" s="24">
        <v>300000</v>
      </c>
      <c r="G11" s="24">
        <v>100000</v>
      </c>
      <c r="H11" s="24">
        <v>450000</v>
      </c>
      <c r="I11" s="24">
        <v>100000</v>
      </c>
      <c r="J11" s="24">
        <v>170000</v>
      </c>
      <c r="K11" s="24">
        <v>0</v>
      </c>
      <c r="L11" s="24">
        <v>100000</v>
      </c>
      <c r="M11" s="24">
        <v>0</v>
      </c>
      <c r="N11" s="1">
        <v>2500000</v>
      </c>
      <c r="O11" s="24">
        <v>400000</v>
      </c>
      <c r="P11" s="24">
        <f t="shared" si="0"/>
        <v>7270000</v>
      </c>
      <c r="Q11" s="25">
        <f t="shared" si="1"/>
        <v>1110000</v>
      </c>
      <c r="R11" s="24">
        <f t="shared" si="2"/>
        <v>8260000</v>
      </c>
    </row>
    <row r="12" spans="1:18" x14ac:dyDescent="0.3">
      <c r="A12" s="323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2100000</v>
      </c>
      <c r="O12" s="1">
        <v>0</v>
      </c>
      <c r="P12" s="1">
        <f t="shared" si="0"/>
        <v>6470000</v>
      </c>
      <c r="Q12" s="21">
        <f t="shared" si="1"/>
        <v>1790000</v>
      </c>
      <c r="R12" s="1">
        <f t="shared" si="2"/>
        <v>8940000</v>
      </c>
    </row>
    <row r="13" spans="1:18" x14ac:dyDescent="0.3">
      <c r="A13" s="323"/>
      <c r="B13" t="s">
        <v>87</v>
      </c>
      <c r="C13" s="1">
        <f t="shared" si="3"/>
        <v>8940000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2100000</v>
      </c>
      <c r="O13" s="1">
        <v>400000</v>
      </c>
      <c r="P13" s="1">
        <f t="shared" si="0"/>
        <v>6870000</v>
      </c>
      <c r="Q13" s="21">
        <f t="shared" si="1"/>
        <v>2070000</v>
      </c>
      <c r="R13" s="1">
        <f t="shared" si="2"/>
        <v>9220000</v>
      </c>
    </row>
    <row r="14" spans="1:18" ht="17.25" thickBot="1" x14ac:dyDescent="0.35">
      <c r="A14" s="324"/>
      <c r="B14" s="27" t="s">
        <v>88</v>
      </c>
      <c r="C14" s="28">
        <f t="shared" si="3"/>
        <v>9220000</v>
      </c>
      <c r="D14" s="28">
        <v>650000</v>
      </c>
      <c r="E14" s="28">
        <v>2500000</v>
      </c>
      <c r="F14" s="28">
        <v>300000</v>
      </c>
      <c r="G14" s="28">
        <v>100000</v>
      </c>
      <c r="H14" s="28">
        <v>450000</v>
      </c>
      <c r="I14" s="28">
        <v>100000</v>
      </c>
      <c r="J14" s="28">
        <v>170000</v>
      </c>
      <c r="K14" s="28">
        <v>0</v>
      </c>
      <c r="L14" s="28">
        <v>100000</v>
      </c>
      <c r="M14" s="28">
        <v>0</v>
      </c>
      <c r="N14" s="1">
        <v>2100000</v>
      </c>
      <c r="O14" s="28">
        <v>0</v>
      </c>
      <c r="P14" s="28">
        <f t="shared" si="0"/>
        <v>6470000</v>
      </c>
      <c r="Q14" s="22">
        <f t="shared" si="1"/>
        <v>2750000</v>
      </c>
      <c r="R14" s="28">
        <f t="shared" si="2"/>
        <v>9900000</v>
      </c>
    </row>
    <row r="15" spans="1:18" x14ac:dyDescent="0.3">
      <c r="A15" s="322">
        <v>2024</v>
      </c>
      <c r="B15" t="s">
        <v>77</v>
      </c>
      <c r="C15" s="1">
        <f xml:space="preserve"> R14</f>
        <v>9900000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2100000</v>
      </c>
      <c r="O15" s="1">
        <v>400000</v>
      </c>
      <c r="P15" s="1">
        <f t="shared" ref="P15:P38" si="4">SUM(D15:O15)</f>
        <v>6220000</v>
      </c>
      <c r="Q15" s="26">
        <f t="shared" ref="Q15:Q38" si="5" xml:space="preserve"> C15 - P15</f>
        <v>3680000</v>
      </c>
      <c r="R15" s="1">
        <f xml:space="preserve"> 7150000 + Q15</f>
        <v>10830000</v>
      </c>
    </row>
    <row r="16" spans="1:18" s="23" customFormat="1" x14ac:dyDescent="0.3">
      <c r="A16" s="323"/>
      <c r="B16" s="23" t="s">
        <v>78</v>
      </c>
      <c r="C16" s="24">
        <f xml:space="preserve"> R15</f>
        <v>10830000</v>
      </c>
      <c r="D16" s="24">
        <v>650000</v>
      </c>
      <c r="E16" s="24">
        <v>2500000</v>
      </c>
      <c r="F16" s="24">
        <v>300000</v>
      </c>
      <c r="G16" s="24">
        <v>100000</v>
      </c>
      <c r="H16" s="24">
        <v>450000</v>
      </c>
      <c r="I16" s="24">
        <v>100000</v>
      </c>
      <c r="J16" s="24">
        <v>170000</v>
      </c>
      <c r="K16" s="24">
        <v>0</v>
      </c>
      <c r="L16" s="24">
        <v>100000</v>
      </c>
      <c r="M16" s="24">
        <v>0</v>
      </c>
      <c r="N16" s="1">
        <v>2100000</v>
      </c>
      <c r="O16" s="24">
        <v>0</v>
      </c>
      <c r="P16" s="24">
        <f t="shared" si="4"/>
        <v>6470000</v>
      </c>
      <c r="Q16" s="25">
        <f t="shared" si="5"/>
        <v>4360000</v>
      </c>
      <c r="R16" s="24">
        <f t="shared" ref="R16:R26" si="6" xml:space="preserve"> 7150000 + Q16</f>
        <v>11510000</v>
      </c>
    </row>
    <row r="17" spans="1:18" x14ac:dyDescent="0.3">
      <c r="A17" s="323"/>
      <c r="B17" t="s">
        <v>79</v>
      </c>
      <c r="C17" s="1">
        <f t="shared" ref="C17:C26" si="7" xml:space="preserve"> R16</f>
        <v>11510000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2100000</v>
      </c>
      <c r="O17" s="1">
        <v>0</v>
      </c>
      <c r="P17" s="1">
        <f t="shared" si="4"/>
        <v>6470000</v>
      </c>
      <c r="Q17" s="21">
        <f t="shared" si="5"/>
        <v>5040000</v>
      </c>
      <c r="R17" s="1">
        <f t="shared" si="6"/>
        <v>12190000</v>
      </c>
    </row>
    <row r="18" spans="1:18" x14ac:dyDescent="0.3">
      <c r="A18" s="323"/>
      <c r="B18" t="s">
        <v>80</v>
      </c>
      <c r="C18" s="1">
        <f t="shared" si="7"/>
        <v>12190000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2100000</v>
      </c>
      <c r="O18" s="1">
        <v>0</v>
      </c>
      <c r="P18" s="1">
        <f t="shared" si="4"/>
        <v>6470000</v>
      </c>
      <c r="Q18" s="21">
        <f t="shared" si="5"/>
        <v>5720000</v>
      </c>
      <c r="R18" s="1">
        <f t="shared" si="6"/>
        <v>12870000</v>
      </c>
    </row>
    <row r="19" spans="1:18" x14ac:dyDescent="0.3">
      <c r="A19" s="323"/>
      <c r="B19" t="s">
        <v>81</v>
      </c>
      <c r="C19" s="1">
        <f t="shared" si="7"/>
        <v>12870000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2100000</v>
      </c>
      <c r="O19" s="1">
        <v>400000</v>
      </c>
      <c r="P19" s="1">
        <f t="shared" si="4"/>
        <v>6870000</v>
      </c>
      <c r="Q19" s="21">
        <f t="shared" si="5"/>
        <v>6000000</v>
      </c>
      <c r="R19" s="1">
        <f t="shared" si="6"/>
        <v>13150000</v>
      </c>
    </row>
    <row r="20" spans="1:18" x14ac:dyDescent="0.3">
      <c r="A20" s="323"/>
      <c r="B20" t="s">
        <v>82</v>
      </c>
      <c r="C20" s="1">
        <f t="shared" si="7"/>
        <v>13150000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2100000</v>
      </c>
      <c r="O20" s="1">
        <v>0</v>
      </c>
      <c r="P20" s="1">
        <f t="shared" si="4"/>
        <v>6470000</v>
      </c>
      <c r="Q20" s="21">
        <f t="shared" si="5"/>
        <v>6680000</v>
      </c>
      <c r="R20" s="1">
        <f t="shared" si="6"/>
        <v>13830000</v>
      </c>
    </row>
    <row r="21" spans="1:18" x14ac:dyDescent="0.3">
      <c r="A21" s="323"/>
      <c r="B21" t="s">
        <v>83</v>
      </c>
      <c r="C21" s="1">
        <f t="shared" si="7"/>
        <v>13830000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2100000</v>
      </c>
      <c r="O21" s="1">
        <v>0</v>
      </c>
      <c r="P21" s="1">
        <f t="shared" si="4"/>
        <v>6470000</v>
      </c>
      <c r="Q21" s="21">
        <f t="shared" si="5"/>
        <v>7360000</v>
      </c>
      <c r="R21" s="1">
        <f t="shared" si="6"/>
        <v>14510000</v>
      </c>
    </row>
    <row r="22" spans="1:18" x14ac:dyDescent="0.3">
      <c r="A22" s="323"/>
      <c r="B22" t="s">
        <v>84</v>
      </c>
      <c r="C22" s="1">
        <f t="shared" si="7"/>
        <v>14510000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2100000</v>
      </c>
      <c r="O22" s="1">
        <v>0</v>
      </c>
      <c r="P22" s="1">
        <f t="shared" si="4"/>
        <v>6470000</v>
      </c>
      <c r="Q22" s="21">
        <f t="shared" si="5"/>
        <v>8040000</v>
      </c>
      <c r="R22" s="1">
        <f t="shared" si="6"/>
        <v>15190000</v>
      </c>
    </row>
    <row r="23" spans="1:18" x14ac:dyDescent="0.3">
      <c r="A23" s="323"/>
      <c r="B23" t="s">
        <v>85</v>
      </c>
      <c r="C23" s="1">
        <f t="shared" si="7"/>
        <v>15190000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2100000</v>
      </c>
      <c r="O23" s="1">
        <v>400000</v>
      </c>
      <c r="P23" s="1">
        <f t="shared" si="4"/>
        <v>6870000</v>
      </c>
      <c r="Q23" s="21">
        <f t="shared" si="5"/>
        <v>8320000</v>
      </c>
      <c r="R23" s="1">
        <f t="shared" si="6"/>
        <v>15470000</v>
      </c>
    </row>
    <row r="24" spans="1:18" x14ac:dyDescent="0.3">
      <c r="A24" s="323"/>
      <c r="B24" t="s">
        <v>86</v>
      </c>
      <c r="C24" s="1">
        <f t="shared" si="7"/>
        <v>15470000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2100000</v>
      </c>
      <c r="O24" s="1">
        <v>0</v>
      </c>
      <c r="P24" s="1">
        <f t="shared" si="4"/>
        <v>6470000</v>
      </c>
      <c r="Q24" s="21">
        <f t="shared" si="5"/>
        <v>9000000</v>
      </c>
      <c r="R24" s="1">
        <f t="shared" si="6"/>
        <v>16150000</v>
      </c>
    </row>
    <row r="25" spans="1:18" x14ac:dyDescent="0.3">
      <c r="A25" s="323"/>
      <c r="B25" t="s">
        <v>87</v>
      </c>
      <c r="C25" s="1">
        <f t="shared" si="7"/>
        <v>16150000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2100000</v>
      </c>
      <c r="O25" s="1">
        <v>400000</v>
      </c>
      <c r="P25" s="1">
        <f t="shared" si="4"/>
        <v>6870000</v>
      </c>
      <c r="Q25" s="21">
        <f t="shared" si="5"/>
        <v>9280000</v>
      </c>
      <c r="R25" s="1">
        <f t="shared" si="6"/>
        <v>16430000</v>
      </c>
    </row>
    <row r="26" spans="1:18" ht="17.25" thickBot="1" x14ac:dyDescent="0.35">
      <c r="A26" s="324"/>
      <c r="B26" s="27" t="s">
        <v>88</v>
      </c>
      <c r="C26" s="28">
        <f t="shared" si="7"/>
        <v>16430000</v>
      </c>
      <c r="D26" s="28">
        <v>650000</v>
      </c>
      <c r="E26" s="28">
        <v>2500000</v>
      </c>
      <c r="F26" s="28">
        <v>300000</v>
      </c>
      <c r="G26" s="28">
        <v>100000</v>
      </c>
      <c r="H26" s="28">
        <v>450000</v>
      </c>
      <c r="I26" s="28">
        <v>100000</v>
      </c>
      <c r="J26" s="28">
        <v>170000</v>
      </c>
      <c r="K26" s="28">
        <v>0</v>
      </c>
      <c r="L26" s="28">
        <v>100000</v>
      </c>
      <c r="M26" s="28">
        <v>0</v>
      </c>
      <c r="N26" s="1">
        <v>2100000</v>
      </c>
      <c r="O26" s="28">
        <v>0</v>
      </c>
      <c r="P26" s="28">
        <f t="shared" si="4"/>
        <v>6470000</v>
      </c>
      <c r="Q26" s="22">
        <f t="shared" si="5"/>
        <v>9960000</v>
      </c>
      <c r="R26" s="28">
        <f t="shared" si="6"/>
        <v>17110000</v>
      </c>
    </row>
    <row r="27" spans="1:18" x14ac:dyDescent="0.3">
      <c r="A27" s="322">
        <v>2025</v>
      </c>
      <c r="B27" t="s">
        <v>77</v>
      </c>
      <c r="C27" s="1">
        <f xml:space="preserve"> R26</f>
        <v>17110000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2100000</v>
      </c>
      <c r="O27" s="1">
        <v>400000</v>
      </c>
      <c r="P27" s="1">
        <f t="shared" si="4"/>
        <v>6220000</v>
      </c>
      <c r="Q27" s="26">
        <f t="shared" si="5"/>
        <v>10890000</v>
      </c>
      <c r="R27" s="1">
        <f xml:space="preserve"> 7150000 + Q27</f>
        <v>18040000</v>
      </c>
    </row>
    <row r="28" spans="1:18" x14ac:dyDescent="0.3">
      <c r="A28" s="323"/>
      <c r="B28" t="s">
        <v>78</v>
      </c>
      <c r="C28" s="1">
        <f xml:space="preserve"> R27</f>
        <v>18040000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2100000</v>
      </c>
      <c r="O28" s="24">
        <v>0</v>
      </c>
      <c r="P28" s="1">
        <f t="shared" si="4"/>
        <v>6470000</v>
      </c>
      <c r="Q28" s="21">
        <f t="shared" si="5"/>
        <v>11570000</v>
      </c>
      <c r="R28" s="1">
        <f t="shared" ref="R28:R38" si="8" xml:space="preserve"> 7150000 + Q28</f>
        <v>18720000</v>
      </c>
    </row>
    <row r="29" spans="1:18" x14ac:dyDescent="0.3">
      <c r="A29" s="323"/>
      <c r="B29" t="s">
        <v>79</v>
      </c>
      <c r="C29" s="1">
        <f t="shared" ref="C29:C38" si="9" xml:space="preserve"> R28</f>
        <v>18720000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2100000</v>
      </c>
      <c r="O29" s="1">
        <v>0</v>
      </c>
      <c r="P29" s="1">
        <f t="shared" si="4"/>
        <v>6470000</v>
      </c>
      <c r="Q29" s="21">
        <f t="shared" si="5"/>
        <v>12250000</v>
      </c>
      <c r="R29" s="1">
        <f t="shared" si="8"/>
        <v>19400000</v>
      </c>
    </row>
    <row r="30" spans="1:18" x14ac:dyDescent="0.3">
      <c r="A30" s="323"/>
      <c r="B30" t="s">
        <v>80</v>
      </c>
      <c r="C30" s="1">
        <f t="shared" si="9"/>
        <v>19400000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2100000</v>
      </c>
      <c r="O30" s="1">
        <v>0</v>
      </c>
      <c r="P30" s="1">
        <f t="shared" si="4"/>
        <v>6470000</v>
      </c>
      <c r="Q30" s="21">
        <f t="shared" si="5"/>
        <v>12930000</v>
      </c>
      <c r="R30" s="1">
        <f t="shared" si="8"/>
        <v>20080000</v>
      </c>
    </row>
    <row r="31" spans="1:18" x14ac:dyDescent="0.3">
      <c r="A31" s="323"/>
      <c r="B31" t="s">
        <v>81</v>
      </c>
      <c r="C31" s="1">
        <f t="shared" si="9"/>
        <v>20080000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2100000</v>
      </c>
      <c r="O31" s="1">
        <v>400000</v>
      </c>
      <c r="P31" s="1">
        <f t="shared" si="4"/>
        <v>6870000</v>
      </c>
      <c r="Q31" s="21">
        <f t="shared" si="5"/>
        <v>13210000</v>
      </c>
      <c r="R31" s="1">
        <f t="shared" si="8"/>
        <v>20360000</v>
      </c>
    </row>
    <row r="32" spans="1:18" x14ac:dyDescent="0.3">
      <c r="A32" s="323"/>
      <c r="B32" t="s">
        <v>82</v>
      </c>
      <c r="C32" s="1">
        <f t="shared" si="9"/>
        <v>20360000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2100000</v>
      </c>
      <c r="O32" s="1">
        <v>0</v>
      </c>
      <c r="P32" s="1">
        <f t="shared" si="4"/>
        <v>6470000</v>
      </c>
      <c r="Q32" s="21">
        <f t="shared" si="5"/>
        <v>13890000</v>
      </c>
      <c r="R32" s="1">
        <f t="shared" si="8"/>
        <v>21040000</v>
      </c>
    </row>
    <row r="33" spans="1:18" x14ac:dyDescent="0.3">
      <c r="A33" s="323"/>
      <c r="B33" t="s">
        <v>83</v>
      </c>
      <c r="C33" s="1">
        <f t="shared" si="9"/>
        <v>21040000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2100000</v>
      </c>
      <c r="O33" s="1">
        <v>0</v>
      </c>
      <c r="P33" s="1">
        <f t="shared" si="4"/>
        <v>6470000</v>
      </c>
      <c r="Q33" s="21">
        <f t="shared" si="5"/>
        <v>14570000</v>
      </c>
      <c r="R33" s="1">
        <f t="shared" si="8"/>
        <v>21720000</v>
      </c>
    </row>
    <row r="34" spans="1:18" x14ac:dyDescent="0.3">
      <c r="A34" s="323"/>
      <c r="B34" t="s">
        <v>84</v>
      </c>
      <c r="C34" s="1">
        <f t="shared" si="9"/>
        <v>21720000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2100000</v>
      </c>
      <c r="O34" s="1">
        <v>0</v>
      </c>
      <c r="P34" s="1">
        <f t="shared" si="4"/>
        <v>6470000</v>
      </c>
      <c r="Q34" s="21">
        <f t="shared" si="5"/>
        <v>15250000</v>
      </c>
      <c r="R34" s="1">
        <f t="shared" si="8"/>
        <v>22400000</v>
      </c>
    </row>
    <row r="35" spans="1:18" s="211" customFormat="1" x14ac:dyDescent="0.3">
      <c r="A35" s="323"/>
      <c r="B35" s="211" t="s">
        <v>85</v>
      </c>
      <c r="C35" s="212">
        <f t="shared" si="9"/>
        <v>22400000</v>
      </c>
      <c r="D35" s="212">
        <v>650000</v>
      </c>
      <c r="E35" s="212">
        <v>2500000</v>
      </c>
      <c r="F35" s="212">
        <v>300000</v>
      </c>
      <c r="G35" s="212">
        <v>100000</v>
      </c>
      <c r="H35" s="212">
        <v>450000</v>
      </c>
      <c r="I35" s="212">
        <v>100000</v>
      </c>
      <c r="J35" s="212">
        <v>170000</v>
      </c>
      <c r="K35" s="212">
        <v>0</v>
      </c>
      <c r="L35" s="212">
        <v>100000</v>
      </c>
      <c r="M35" s="212">
        <v>0</v>
      </c>
      <c r="N35" s="1">
        <v>2100000</v>
      </c>
      <c r="O35" s="212">
        <v>400000</v>
      </c>
      <c r="P35" s="212">
        <f t="shared" si="4"/>
        <v>6870000</v>
      </c>
      <c r="Q35" s="213">
        <f t="shared" si="5"/>
        <v>15530000</v>
      </c>
      <c r="R35" s="212">
        <f t="shared" si="8"/>
        <v>22680000</v>
      </c>
    </row>
    <row r="36" spans="1:18" x14ac:dyDescent="0.3">
      <c r="A36" s="323"/>
      <c r="B36" t="s">
        <v>86</v>
      </c>
      <c r="C36" s="1">
        <f t="shared" si="9"/>
        <v>22680000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2100000</v>
      </c>
      <c r="O36" s="1">
        <v>0</v>
      </c>
      <c r="P36" s="1">
        <f t="shared" si="4"/>
        <v>6470000</v>
      </c>
      <c r="Q36" s="21">
        <f t="shared" si="5"/>
        <v>16210000</v>
      </c>
      <c r="R36" s="1">
        <f t="shared" si="8"/>
        <v>23360000</v>
      </c>
    </row>
    <row r="37" spans="1:18" x14ac:dyDescent="0.3">
      <c r="A37" s="323"/>
      <c r="B37" t="s">
        <v>87</v>
      </c>
      <c r="C37" s="1">
        <f t="shared" si="9"/>
        <v>23360000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2100000</v>
      </c>
      <c r="O37" s="1">
        <v>400000</v>
      </c>
      <c r="P37" s="1">
        <f t="shared" si="4"/>
        <v>6870000</v>
      </c>
      <c r="Q37" s="21">
        <f t="shared" si="5"/>
        <v>16490000</v>
      </c>
      <c r="R37" s="1">
        <f t="shared" si="8"/>
        <v>23640000</v>
      </c>
    </row>
    <row r="38" spans="1:18" ht="17.25" thickBot="1" x14ac:dyDescent="0.35">
      <c r="A38" s="324"/>
      <c r="B38" s="27" t="s">
        <v>88</v>
      </c>
      <c r="C38" s="28">
        <f t="shared" si="9"/>
        <v>23640000</v>
      </c>
      <c r="D38" s="28">
        <v>650000</v>
      </c>
      <c r="E38" s="28">
        <v>2500000</v>
      </c>
      <c r="F38" s="28">
        <v>300000</v>
      </c>
      <c r="G38" s="28">
        <v>100000</v>
      </c>
      <c r="H38" s="28">
        <v>450000</v>
      </c>
      <c r="I38" s="28">
        <v>100000</v>
      </c>
      <c r="J38" s="28">
        <v>170000</v>
      </c>
      <c r="K38" s="28">
        <v>0</v>
      </c>
      <c r="L38" s="28">
        <v>100000</v>
      </c>
      <c r="M38" s="28">
        <v>0</v>
      </c>
      <c r="N38" s="1">
        <v>2100000</v>
      </c>
      <c r="O38" s="28">
        <v>0</v>
      </c>
      <c r="P38" s="28">
        <f t="shared" si="4"/>
        <v>6470000</v>
      </c>
      <c r="Q38" s="22">
        <f t="shared" si="5"/>
        <v>17170000</v>
      </c>
      <c r="R38" s="28">
        <f t="shared" si="8"/>
        <v>24320000</v>
      </c>
    </row>
    <row r="39" spans="1:18" x14ac:dyDescent="0.3">
      <c r="A39" s="322">
        <v>2026</v>
      </c>
      <c r="B39" t="s">
        <v>77</v>
      </c>
      <c r="C39" s="1">
        <f xml:space="preserve"> R38</f>
        <v>24320000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2100000</v>
      </c>
      <c r="O39" s="1">
        <v>400000</v>
      </c>
      <c r="P39" s="1">
        <f t="shared" ref="P39:P50" si="10">SUM(D39:O39)</f>
        <v>6220000</v>
      </c>
      <c r="Q39" s="26">
        <f t="shared" ref="Q39:Q50" si="11" xml:space="preserve"> C39 - P39</f>
        <v>18100000</v>
      </c>
      <c r="R39" s="1">
        <f xml:space="preserve"> 7150000 + Q39</f>
        <v>25250000</v>
      </c>
    </row>
    <row r="40" spans="1:18" s="23" customFormat="1" x14ac:dyDescent="0.3">
      <c r="A40" s="323"/>
      <c r="B40" s="23" t="s">
        <v>78</v>
      </c>
      <c r="C40" s="24">
        <f xml:space="preserve"> R39</f>
        <v>25250000</v>
      </c>
      <c r="D40" s="24">
        <v>650000</v>
      </c>
      <c r="E40" s="24">
        <v>2500000</v>
      </c>
      <c r="F40" s="24">
        <v>1000000</v>
      </c>
      <c r="G40" s="24">
        <v>100000</v>
      </c>
      <c r="H40" s="24">
        <v>450000</v>
      </c>
      <c r="I40" s="24">
        <v>100000</v>
      </c>
      <c r="J40" s="24">
        <v>170000</v>
      </c>
      <c r="K40" s="24">
        <v>0</v>
      </c>
      <c r="L40" s="24">
        <v>100000</v>
      </c>
      <c r="M40" s="24">
        <v>0</v>
      </c>
      <c r="N40" s="1">
        <v>2100000</v>
      </c>
      <c r="O40" s="24">
        <v>39000000</v>
      </c>
      <c r="P40" s="24">
        <f t="shared" si="10"/>
        <v>46170000</v>
      </c>
      <c r="Q40" s="25">
        <f t="shared" si="11"/>
        <v>-20920000</v>
      </c>
      <c r="R40" s="24">
        <f t="shared" ref="R40:R50" si="12" xml:space="preserve"> 7150000 + Q40</f>
        <v>-13770000</v>
      </c>
    </row>
    <row r="41" spans="1:18" x14ac:dyDescent="0.3">
      <c r="A41" s="323"/>
      <c r="B41" t="s">
        <v>79</v>
      </c>
      <c r="C41" s="1">
        <f t="shared" ref="C41:C50" si="13" xml:space="preserve"> R40</f>
        <v>-13770000</v>
      </c>
      <c r="D41" s="1">
        <v>650000</v>
      </c>
      <c r="E41" s="1">
        <v>2500000</v>
      </c>
      <c r="F41" s="24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2100000</v>
      </c>
      <c r="O41" s="1">
        <v>0</v>
      </c>
      <c r="P41" s="1">
        <f t="shared" si="10"/>
        <v>7165000</v>
      </c>
      <c r="Q41" s="21">
        <f t="shared" si="11"/>
        <v>-20935000</v>
      </c>
      <c r="R41" s="1">
        <f t="shared" si="12"/>
        <v>-13785000</v>
      </c>
    </row>
    <row r="42" spans="1:18" x14ac:dyDescent="0.3">
      <c r="A42" s="323"/>
      <c r="B42" t="s">
        <v>80</v>
      </c>
      <c r="C42" s="1">
        <f t="shared" si="13"/>
        <v>-13785000</v>
      </c>
      <c r="D42" s="1">
        <v>650000</v>
      </c>
      <c r="E42" s="1">
        <v>2500000</v>
      </c>
      <c r="F42" s="24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2100000</v>
      </c>
      <c r="O42" s="1">
        <v>0</v>
      </c>
      <c r="P42" s="1">
        <f t="shared" si="10"/>
        <v>7160000</v>
      </c>
      <c r="Q42" s="21">
        <f t="shared" si="11"/>
        <v>-20945000</v>
      </c>
      <c r="R42" s="1">
        <f t="shared" si="12"/>
        <v>-13795000</v>
      </c>
    </row>
    <row r="43" spans="1:18" x14ac:dyDescent="0.3">
      <c r="A43" s="323"/>
      <c r="B43" t="s">
        <v>81</v>
      </c>
      <c r="C43" s="1">
        <f t="shared" si="13"/>
        <v>-13795000</v>
      </c>
      <c r="D43" s="1">
        <v>650000</v>
      </c>
      <c r="E43" s="1">
        <v>2500000</v>
      </c>
      <c r="F43" s="24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2100000</v>
      </c>
      <c r="O43" s="1">
        <v>400000</v>
      </c>
      <c r="P43" s="1">
        <f t="shared" si="10"/>
        <v>7555000</v>
      </c>
      <c r="Q43" s="21">
        <f t="shared" si="11"/>
        <v>-21350000</v>
      </c>
      <c r="R43" s="1">
        <f t="shared" si="12"/>
        <v>-14200000</v>
      </c>
    </row>
    <row r="44" spans="1:18" x14ac:dyDescent="0.3">
      <c r="A44" s="323"/>
      <c r="B44" t="s">
        <v>82</v>
      </c>
      <c r="C44" s="1">
        <f t="shared" si="13"/>
        <v>-14200000</v>
      </c>
      <c r="D44" s="1">
        <v>650000</v>
      </c>
      <c r="E44" s="1">
        <v>2500000</v>
      </c>
      <c r="F44" s="24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2100000</v>
      </c>
      <c r="O44" s="1">
        <v>0</v>
      </c>
      <c r="P44" s="1">
        <f t="shared" si="10"/>
        <v>7150000</v>
      </c>
      <c r="Q44" s="21">
        <f t="shared" si="11"/>
        <v>-21350000</v>
      </c>
      <c r="R44" s="1">
        <f t="shared" si="12"/>
        <v>-14200000</v>
      </c>
    </row>
    <row r="45" spans="1:18" x14ac:dyDescent="0.3">
      <c r="A45" s="323"/>
      <c r="B45" t="s">
        <v>83</v>
      </c>
      <c r="C45" s="1">
        <f t="shared" si="13"/>
        <v>-14200000</v>
      </c>
      <c r="D45" s="1">
        <v>650000</v>
      </c>
      <c r="E45" s="1">
        <v>2500000</v>
      </c>
      <c r="F45" s="24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2100000</v>
      </c>
      <c r="O45" s="1">
        <v>0</v>
      </c>
      <c r="P45" s="1">
        <f t="shared" si="10"/>
        <v>7145000</v>
      </c>
      <c r="Q45" s="21">
        <f t="shared" si="11"/>
        <v>-21345000</v>
      </c>
      <c r="R45" s="1">
        <f t="shared" si="12"/>
        <v>-14195000</v>
      </c>
    </row>
    <row r="46" spans="1:18" x14ac:dyDescent="0.3">
      <c r="A46" s="323"/>
      <c r="B46" t="s">
        <v>84</v>
      </c>
      <c r="C46" s="1">
        <f t="shared" si="13"/>
        <v>-14195000</v>
      </c>
      <c r="D46" s="1">
        <v>650000</v>
      </c>
      <c r="E46" s="1">
        <v>2500000</v>
      </c>
      <c r="F46" s="24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2100000</v>
      </c>
      <c r="O46" s="1">
        <v>0</v>
      </c>
      <c r="P46" s="1">
        <f t="shared" si="10"/>
        <v>7140000</v>
      </c>
      <c r="Q46" s="21">
        <f t="shared" si="11"/>
        <v>-21335000</v>
      </c>
      <c r="R46" s="1">
        <f t="shared" si="12"/>
        <v>-14185000</v>
      </c>
    </row>
    <row r="47" spans="1:18" x14ac:dyDescent="0.3">
      <c r="A47" s="323"/>
      <c r="B47" t="s">
        <v>85</v>
      </c>
      <c r="C47" s="1">
        <f t="shared" si="13"/>
        <v>-14185000</v>
      </c>
      <c r="D47" s="1">
        <v>650000</v>
      </c>
      <c r="E47" s="1">
        <v>2500000</v>
      </c>
      <c r="F47" s="24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2100000</v>
      </c>
      <c r="O47" s="1">
        <v>400000</v>
      </c>
      <c r="P47" s="1">
        <f t="shared" si="10"/>
        <v>7535000</v>
      </c>
      <c r="Q47" s="21">
        <f t="shared" si="11"/>
        <v>-21720000</v>
      </c>
      <c r="R47" s="1">
        <f t="shared" si="12"/>
        <v>-14570000</v>
      </c>
    </row>
    <row r="48" spans="1:18" x14ac:dyDescent="0.3">
      <c r="A48" s="323"/>
      <c r="B48" t="s">
        <v>86</v>
      </c>
      <c r="C48" s="1">
        <f t="shared" si="13"/>
        <v>-14570000</v>
      </c>
      <c r="D48" s="1">
        <v>650000</v>
      </c>
      <c r="E48" s="1">
        <v>2500000</v>
      </c>
      <c r="F48" s="24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2100000</v>
      </c>
      <c r="O48" s="1">
        <v>0</v>
      </c>
      <c r="P48" s="1">
        <f t="shared" si="10"/>
        <v>7130000</v>
      </c>
      <c r="Q48" s="21">
        <f t="shared" si="11"/>
        <v>-21700000</v>
      </c>
      <c r="R48" s="1">
        <f t="shared" si="12"/>
        <v>-14550000</v>
      </c>
    </row>
    <row r="49" spans="1:18" x14ac:dyDescent="0.3">
      <c r="A49" s="323"/>
      <c r="B49" t="s">
        <v>87</v>
      </c>
      <c r="C49" s="1">
        <f t="shared" si="13"/>
        <v>-14550000</v>
      </c>
      <c r="D49" s="1">
        <v>650000</v>
      </c>
      <c r="E49" s="1">
        <v>2500000</v>
      </c>
      <c r="F49" s="24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2100000</v>
      </c>
      <c r="O49" s="1">
        <v>400000</v>
      </c>
      <c r="P49" s="1">
        <f t="shared" si="10"/>
        <v>7525000</v>
      </c>
      <c r="Q49" s="21">
        <f t="shared" si="11"/>
        <v>-22075000</v>
      </c>
      <c r="R49" s="1">
        <f t="shared" si="12"/>
        <v>-14925000</v>
      </c>
    </row>
    <row r="50" spans="1:18" s="30" customFormat="1" ht="17.25" thickBot="1" x14ac:dyDescent="0.35">
      <c r="A50" s="324"/>
      <c r="B50" s="27" t="s">
        <v>88</v>
      </c>
      <c r="C50" s="28">
        <f t="shared" si="13"/>
        <v>-14925000</v>
      </c>
      <c r="D50" s="28">
        <v>650000</v>
      </c>
      <c r="E50" s="28">
        <v>2500000</v>
      </c>
      <c r="F50" s="29">
        <v>950000</v>
      </c>
      <c r="G50" s="28">
        <v>100000</v>
      </c>
      <c r="H50" s="28">
        <v>450000</v>
      </c>
      <c r="I50" s="28">
        <v>100000</v>
      </c>
      <c r="J50" s="28">
        <v>170000</v>
      </c>
      <c r="K50" s="28">
        <v>0</v>
      </c>
      <c r="L50" s="28">
        <v>100000</v>
      </c>
      <c r="M50" s="28">
        <v>0</v>
      </c>
      <c r="N50" s="1">
        <v>2100000</v>
      </c>
      <c r="O50" s="28">
        <v>0</v>
      </c>
      <c r="P50" s="28">
        <f t="shared" si="10"/>
        <v>7120000</v>
      </c>
      <c r="Q50" s="22">
        <f t="shared" si="11"/>
        <v>-22045000</v>
      </c>
      <c r="R50" s="28">
        <f t="shared" si="12"/>
        <v>-14895000</v>
      </c>
    </row>
    <row r="51" spans="1:18" x14ac:dyDescent="0.3">
      <c r="A51" s="322">
        <v>2027</v>
      </c>
      <c r="B51" t="s">
        <v>77</v>
      </c>
      <c r="C51" s="1">
        <f xml:space="preserve"> R50</f>
        <v>-14895000</v>
      </c>
      <c r="D51" s="1">
        <v>0</v>
      </c>
      <c r="E51" s="1">
        <v>2500000</v>
      </c>
      <c r="F51" s="24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2100000</v>
      </c>
      <c r="O51" s="1">
        <v>400000</v>
      </c>
      <c r="P51" s="1">
        <f t="shared" ref="P51:P62" si="14">SUM(D51:O51)</f>
        <v>6865000</v>
      </c>
      <c r="Q51" s="26">
        <f t="shared" ref="Q51:Q62" si="15" xml:space="preserve"> C51 - P51</f>
        <v>-21760000</v>
      </c>
      <c r="R51" s="1">
        <f xml:space="preserve"> 7150000 + Q51</f>
        <v>-14610000</v>
      </c>
    </row>
    <row r="52" spans="1:18" x14ac:dyDescent="0.3">
      <c r="A52" s="323"/>
      <c r="B52" t="s">
        <v>78</v>
      </c>
      <c r="C52" s="1">
        <f xml:space="preserve"> R51</f>
        <v>-14610000</v>
      </c>
      <c r="D52" s="1">
        <v>650000</v>
      </c>
      <c r="E52" s="1">
        <v>2500000</v>
      </c>
      <c r="F52" s="24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2100000</v>
      </c>
      <c r="O52" s="24">
        <v>0</v>
      </c>
      <c r="P52" s="1">
        <f t="shared" si="14"/>
        <v>7110000</v>
      </c>
      <c r="Q52" s="21">
        <f t="shared" si="15"/>
        <v>-21720000</v>
      </c>
      <c r="R52" s="1">
        <f t="shared" ref="R52:R62" si="16" xml:space="preserve"> 7150000 + Q52</f>
        <v>-14570000</v>
      </c>
    </row>
    <row r="53" spans="1:18" x14ac:dyDescent="0.3">
      <c r="A53" s="323"/>
      <c r="B53" t="s">
        <v>79</v>
      </c>
      <c r="C53" s="1">
        <f t="shared" ref="C53:C62" si="17" xml:space="preserve"> R52</f>
        <v>-14570000</v>
      </c>
      <c r="D53" s="1">
        <v>650000</v>
      </c>
      <c r="E53" s="1">
        <v>2500000</v>
      </c>
      <c r="F53" s="24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2100000</v>
      </c>
      <c r="O53" s="1">
        <v>0</v>
      </c>
      <c r="P53" s="1">
        <f t="shared" si="14"/>
        <v>7105000</v>
      </c>
      <c r="Q53" s="21">
        <f t="shared" si="15"/>
        <v>-21675000</v>
      </c>
      <c r="R53" s="1">
        <f t="shared" si="16"/>
        <v>-14525000</v>
      </c>
    </row>
    <row r="54" spans="1:18" x14ac:dyDescent="0.3">
      <c r="A54" s="323"/>
      <c r="B54" t="s">
        <v>80</v>
      </c>
      <c r="C54" s="1">
        <f t="shared" si="17"/>
        <v>-14525000</v>
      </c>
      <c r="D54" s="1">
        <v>650000</v>
      </c>
      <c r="E54" s="1">
        <v>2500000</v>
      </c>
      <c r="F54" s="24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2100000</v>
      </c>
      <c r="O54" s="1">
        <v>0</v>
      </c>
      <c r="P54" s="1">
        <f t="shared" si="14"/>
        <v>7100000</v>
      </c>
      <c r="Q54" s="21">
        <f t="shared" si="15"/>
        <v>-21625000</v>
      </c>
      <c r="R54" s="1">
        <f t="shared" si="16"/>
        <v>-14475000</v>
      </c>
    </row>
    <row r="55" spans="1:18" x14ac:dyDescent="0.3">
      <c r="A55" s="323"/>
      <c r="B55" t="s">
        <v>81</v>
      </c>
      <c r="C55" s="1">
        <f t="shared" si="17"/>
        <v>-14475000</v>
      </c>
      <c r="D55" s="1">
        <v>650000</v>
      </c>
      <c r="E55" s="1">
        <v>2500000</v>
      </c>
      <c r="F55" s="24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2100000</v>
      </c>
      <c r="O55" s="1">
        <v>400000</v>
      </c>
      <c r="P55" s="1">
        <f t="shared" si="14"/>
        <v>7495000</v>
      </c>
      <c r="Q55" s="21">
        <f t="shared" si="15"/>
        <v>-21970000</v>
      </c>
      <c r="R55" s="1">
        <f t="shared" si="16"/>
        <v>-14820000</v>
      </c>
    </row>
    <row r="56" spans="1:18" x14ac:dyDescent="0.3">
      <c r="A56" s="323"/>
      <c r="B56" t="s">
        <v>82</v>
      </c>
      <c r="C56" s="1">
        <f t="shared" si="17"/>
        <v>-14820000</v>
      </c>
      <c r="D56" s="1">
        <v>650000</v>
      </c>
      <c r="E56" s="1">
        <v>2500000</v>
      </c>
      <c r="F56" s="24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2100000</v>
      </c>
      <c r="O56" s="1">
        <v>0</v>
      </c>
      <c r="P56" s="1">
        <f t="shared" si="14"/>
        <v>7090000</v>
      </c>
      <c r="Q56" s="21">
        <f t="shared" si="15"/>
        <v>-21910000</v>
      </c>
      <c r="R56" s="1">
        <f t="shared" si="16"/>
        <v>-14760000</v>
      </c>
    </row>
    <row r="57" spans="1:18" x14ac:dyDescent="0.3">
      <c r="A57" s="323"/>
      <c r="B57" t="s">
        <v>83</v>
      </c>
      <c r="C57" s="1">
        <f t="shared" si="17"/>
        <v>-14760000</v>
      </c>
      <c r="D57" s="1">
        <v>650000</v>
      </c>
      <c r="E57" s="1">
        <v>2500000</v>
      </c>
      <c r="F57" s="24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2100000</v>
      </c>
      <c r="O57" s="1">
        <v>0</v>
      </c>
      <c r="P57" s="1">
        <f t="shared" si="14"/>
        <v>7085000</v>
      </c>
      <c r="Q57" s="21">
        <f t="shared" si="15"/>
        <v>-21845000</v>
      </c>
      <c r="R57" s="1">
        <f t="shared" si="16"/>
        <v>-14695000</v>
      </c>
    </row>
    <row r="58" spans="1:18" x14ac:dyDescent="0.3">
      <c r="A58" s="323"/>
      <c r="B58" t="s">
        <v>84</v>
      </c>
      <c r="C58" s="1">
        <f t="shared" si="17"/>
        <v>-14695000</v>
      </c>
      <c r="D58" s="1">
        <v>650000</v>
      </c>
      <c r="E58" s="1">
        <v>2500000</v>
      </c>
      <c r="F58" s="24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2100000</v>
      </c>
      <c r="O58" s="1">
        <v>0</v>
      </c>
      <c r="P58" s="1">
        <f t="shared" si="14"/>
        <v>7080000</v>
      </c>
      <c r="Q58" s="21">
        <f t="shared" si="15"/>
        <v>-21775000</v>
      </c>
      <c r="R58" s="1">
        <f t="shared" si="16"/>
        <v>-14625000</v>
      </c>
    </row>
    <row r="59" spans="1:18" x14ac:dyDescent="0.3">
      <c r="A59" s="323"/>
      <c r="B59" t="s">
        <v>85</v>
      </c>
      <c r="C59" s="1">
        <f t="shared" si="17"/>
        <v>-14625000</v>
      </c>
      <c r="D59" s="1">
        <v>650000</v>
      </c>
      <c r="E59" s="1">
        <v>2500000</v>
      </c>
      <c r="F59" s="24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2100000</v>
      </c>
      <c r="O59" s="1">
        <v>400000</v>
      </c>
      <c r="P59" s="1">
        <f t="shared" si="14"/>
        <v>7475000</v>
      </c>
      <c r="Q59" s="21">
        <f t="shared" si="15"/>
        <v>-22100000</v>
      </c>
      <c r="R59" s="1">
        <f t="shared" si="16"/>
        <v>-14950000</v>
      </c>
    </row>
    <row r="60" spans="1:18" x14ac:dyDescent="0.3">
      <c r="A60" s="323"/>
      <c r="B60" t="s">
        <v>86</v>
      </c>
      <c r="C60" s="1">
        <f t="shared" si="17"/>
        <v>-14950000</v>
      </c>
      <c r="D60" s="1">
        <v>650000</v>
      </c>
      <c r="E60" s="1">
        <v>2500000</v>
      </c>
      <c r="F60" s="24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2100000</v>
      </c>
      <c r="O60" s="1">
        <v>0</v>
      </c>
      <c r="P60" s="1">
        <f t="shared" si="14"/>
        <v>7070000</v>
      </c>
      <c r="Q60" s="21">
        <f t="shared" si="15"/>
        <v>-22020000</v>
      </c>
      <c r="R60" s="1">
        <f t="shared" si="16"/>
        <v>-14870000</v>
      </c>
    </row>
    <row r="61" spans="1:18" x14ac:dyDescent="0.3">
      <c r="A61" s="323"/>
      <c r="B61" t="s">
        <v>87</v>
      </c>
      <c r="C61" s="1">
        <f t="shared" si="17"/>
        <v>-14870000</v>
      </c>
      <c r="D61" s="1">
        <v>650000</v>
      </c>
      <c r="E61" s="1">
        <v>2500000</v>
      </c>
      <c r="F61" s="24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2100000</v>
      </c>
      <c r="O61" s="1">
        <v>400000</v>
      </c>
      <c r="P61" s="1">
        <f t="shared" si="14"/>
        <v>7465000</v>
      </c>
      <c r="Q61" s="21">
        <f t="shared" si="15"/>
        <v>-22335000</v>
      </c>
      <c r="R61" s="1">
        <f t="shared" si="16"/>
        <v>-15185000</v>
      </c>
    </row>
    <row r="62" spans="1:18" s="30" customFormat="1" ht="17.25" thickBot="1" x14ac:dyDescent="0.35">
      <c r="A62" s="324"/>
      <c r="B62" s="27" t="s">
        <v>88</v>
      </c>
      <c r="C62" s="28">
        <f t="shared" si="17"/>
        <v>-15185000</v>
      </c>
      <c r="D62" s="28">
        <v>650000</v>
      </c>
      <c r="E62" s="28">
        <v>2500000</v>
      </c>
      <c r="F62" s="29">
        <v>890000</v>
      </c>
      <c r="G62" s="28">
        <v>100000</v>
      </c>
      <c r="H62" s="28">
        <v>450000</v>
      </c>
      <c r="I62" s="28">
        <v>100000</v>
      </c>
      <c r="J62" s="28">
        <v>170000</v>
      </c>
      <c r="K62" s="28">
        <v>0</v>
      </c>
      <c r="L62" s="28">
        <v>100000</v>
      </c>
      <c r="M62" s="28">
        <v>0</v>
      </c>
      <c r="N62" s="1">
        <v>2100000</v>
      </c>
      <c r="O62" s="28">
        <v>0</v>
      </c>
      <c r="P62" s="28">
        <f t="shared" si="14"/>
        <v>7060000</v>
      </c>
      <c r="Q62" s="22">
        <f t="shared" si="15"/>
        <v>-22245000</v>
      </c>
      <c r="R62" s="28">
        <f t="shared" si="16"/>
        <v>-15095000</v>
      </c>
    </row>
    <row r="63" spans="1:18" x14ac:dyDescent="0.3">
      <c r="A63" s="322">
        <v>2028</v>
      </c>
      <c r="B63" t="s">
        <v>77</v>
      </c>
      <c r="C63" s="1">
        <f xml:space="preserve"> R62</f>
        <v>-15095000</v>
      </c>
      <c r="D63" s="1">
        <v>0</v>
      </c>
      <c r="E63" s="1">
        <v>2500000</v>
      </c>
      <c r="F63" s="24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2100000</v>
      </c>
      <c r="O63" s="1">
        <v>400000</v>
      </c>
      <c r="P63" s="1">
        <f t="shared" ref="P63:P74" si="18">SUM(D63:O63)</f>
        <v>6805000</v>
      </c>
      <c r="Q63" s="26">
        <f t="shared" ref="Q63:Q74" si="19" xml:space="preserve"> C63 - P63</f>
        <v>-21900000</v>
      </c>
      <c r="R63" s="1">
        <f xml:space="preserve"> 7150000 + Q63</f>
        <v>-14750000</v>
      </c>
    </row>
    <row r="64" spans="1:18" x14ac:dyDescent="0.3">
      <c r="A64" s="323"/>
      <c r="B64" t="s">
        <v>78</v>
      </c>
      <c r="C64" s="1">
        <f xml:space="preserve"> R63</f>
        <v>-14750000</v>
      </c>
      <c r="D64" s="1">
        <v>650000</v>
      </c>
      <c r="E64" s="1">
        <v>2500000</v>
      </c>
      <c r="F64" s="24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2100000</v>
      </c>
      <c r="O64" s="24">
        <v>0</v>
      </c>
      <c r="P64" s="1">
        <f t="shared" si="18"/>
        <v>7050000</v>
      </c>
      <c r="Q64" s="21">
        <f t="shared" si="19"/>
        <v>-21800000</v>
      </c>
      <c r="R64" s="1">
        <f t="shared" ref="R64:R74" si="20" xml:space="preserve"> 7150000 + Q64</f>
        <v>-14650000</v>
      </c>
    </row>
    <row r="65" spans="1:18" x14ac:dyDescent="0.3">
      <c r="A65" s="323"/>
      <c r="B65" t="s">
        <v>79</v>
      </c>
      <c r="C65" s="1">
        <f t="shared" ref="C65:C74" si="21" xml:space="preserve"> R64</f>
        <v>-14650000</v>
      </c>
      <c r="D65" s="1">
        <v>650000</v>
      </c>
      <c r="E65" s="1">
        <v>2500000</v>
      </c>
      <c r="F65" s="24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2100000</v>
      </c>
      <c r="O65" s="1">
        <v>0</v>
      </c>
      <c r="P65" s="1">
        <f t="shared" si="18"/>
        <v>7045000</v>
      </c>
      <c r="Q65" s="21">
        <f t="shared" si="19"/>
        <v>-21695000</v>
      </c>
      <c r="R65" s="1">
        <f t="shared" si="20"/>
        <v>-14545000</v>
      </c>
    </row>
    <row r="66" spans="1:18" x14ac:dyDescent="0.3">
      <c r="A66" s="323"/>
      <c r="B66" t="s">
        <v>80</v>
      </c>
      <c r="C66" s="1">
        <f t="shared" si="21"/>
        <v>-14545000</v>
      </c>
      <c r="D66" s="1">
        <v>650000</v>
      </c>
      <c r="E66" s="1">
        <v>2500000</v>
      </c>
      <c r="F66" s="24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2100000</v>
      </c>
      <c r="O66" s="1">
        <v>0</v>
      </c>
      <c r="P66" s="1">
        <f t="shared" si="18"/>
        <v>7040000</v>
      </c>
      <c r="Q66" s="21">
        <f t="shared" si="19"/>
        <v>-21585000</v>
      </c>
      <c r="R66" s="1">
        <f t="shared" si="20"/>
        <v>-14435000</v>
      </c>
    </row>
    <row r="67" spans="1:18" x14ac:dyDescent="0.3">
      <c r="A67" s="323"/>
      <c r="B67" t="s">
        <v>81</v>
      </c>
      <c r="C67" s="1">
        <f t="shared" si="21"/>
        <v>-14435000</v>
      </c>
      <c r="D67" s="1">
        <v>650000</v>
      </c>
      <c r="E67" s="1">
        <v>2500000</v>
      </c>
      <c r="F67" s="24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2100000</v>
      </c>
      <c r="O67" s="1">
        <v>400000</v>
      </c>
      <c r="P67" s="1">
        <f t="shared" si="18"/>
        <v>7435000</v>
      </c>
      <c r="Q67" s="21">
        <f t="shared" si="19"/>
        <v>-21870000</v>
      </c>
      <c r="R67" s="1">
        <f t="shared" si="20"/>
        <v>-14720000</v>
      </c>
    </row>
    <row r="68" spans="1:18" x14ac:dyDescent="0.3">
      <c r="A68" s="323"/>
      <c r="B68" t="s">
        <v>82</v>
      </c>
      <c r="C68" s="1">
        <f t="shared" si="21"/>
        <v>-14720000</v>
      </c>
      <c r="D68" s="1">
        <v>650000</v>
      </c>
      <c r="E68" s="1">
        <v>2500000</v>
      </c>
      <c r="F68" s="24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2100000</v>
      </c>
      <c r="O68" s="1">
        <v>0</v>
      </c>
      <c r="P68" s="1">
        <f t="shared" si="18"/>
        <v>7030000</v>
      </c>
      <c r="Q68" s="21">
        <f t="shared" si="19"/>
        <v>-21750000</v>
      </c>
      <c r="R68" s="1">
        <f t="shared" si="20"/>
        <v>-14600000</v>
      </c>
    </row>
    <row r="69" spans="1:18" x14ac:dyDescent="0.3">
      <c r="A69" s="323"/>
      <c r="B69" t="s">
        <v>83</v>
      </c>
      <c r="C69" s="1">
        <f t="shared" si="21"/>
        <v>-14600000</v>
      </c>
      <c r="D69" s="1">
        <v>650000</v>
      </c>
      <c r="E69" s="1">
        <v>2500000</v>
      </c>
      <c r="F69" s="24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2100000</v>
      </c>
      <c r="O69" s="1">
        <v>0</v>
      </c>
      <c r="P69" s="1">
        <f t="shared" si="18"/>
        <v>7025000</v>
      </c>
      <c r="Q69" s="21">
        <f t="shared" si="19"/>
        <v>-21625000</v>
      </c>
      <c r="R69" s="1">
        <f t="shared" si="20"/>
        <v>-14475000</v>
      </c>
    </row>
    <row r="70" spans="1:18" x14ac:dyDescent="0.3">
      <c r="A70" s="323"/>
      <c r="B70" t="s">
        <v>84</v>
      </c>
      <c r="C70" s="1">
        <f t="shared" si="21"/>
        <v>-14475000</v>
      </c>
      <c r="D70" s="1">
        <v>650000</v>
      </c>
      <c r="E70" s="1">
        <v>2500000</v>
      </c>
      <c r="F70" s="24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2100000</v>
      </c>
      <c r="O70" s="1">
        <v>0</v>
      </c>
      <c r="P70" s="1">
        <f t="shared" si="18"/>
        <v>7020000</v>
      </c>
      <c r="Q70" s="21">
        <f t="shared" si="19"/>
        <v>-21495000</v>
      </c>
      <c r="R70" s="1">
        <f t="shared" si="20"/>
        <v>-14345000</v>
      </c>
    </row>
    <row r="71" spans="1:18" x14ac:dyDescent="0.3">
      <c r="A71" s="323"/>
      <c r="B71" t="s">
        <v>85</v>
      </c>
      <c r="C71" s="1">
        <f t="shared" si="21"/>
        <v>-14345000</v>
      </c>
      <c r="D71" s="1">
        <v>650000</v>
      </c>
      <c r="E71" s="1">
        <v>2500000</v>
      </c>
      <c r="F71" s="24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2100000</v>
      </c>
      <c r="O71" s="1">
        <v>400000</v>
      </c>
      <c r="P71" s="1">
        <f t="shared" si="18"/>
        <v>7415000</v>
      </c>
      <c r="Q71" s="21">
        <f t="shared" si="19"/>
        <v>-21760000</v>
      </c>
      <c r="R71" s="1">
        <f t="shared" si="20"/>
        <v>-14610000</v>
      </c>
    </row>
    <row r="72" spans="1:18" x14ac:dyDescent="0.3">
      <c r="A72" s="323"/>
      <c r="B72" t="s">
        <v>86</v>
      </c>
      <c r="C72" s="1">
        <f t="shared" si="21"/>
        <v>-14610000</v>
      </c>
      <c r="D72" s="1">
        <v>650000</v>
      </c>
      <c r="E72" s="1">
        <v>2500000</v>
      </c>
      <c r="F72" s="24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2100000</v>
      </c>
      <c r="O72" s="1">
        <v>0</v>
      </c>
      <c r="P72" s="1">
        <f t="shared" si="18"/>
        <v>7010000</v>
      </c>
      <c r="Q72" s="21">
        <f t="shared" si="19"/>
        <v>-21620000</v>
      </c>
      <c r="R72" s="1">
        <f t="shared" si="20"/>
        <v>-14470000</v>
      </c>
    </row>
    <row r="73" spans="1:18" x14ac:dyDescent="0.3">
      <c r="A73" s="323"/>
      <c r="B73" t="s">
        <v>87</v>
      </c>
      <c r="C73" s="1">
        <f t="shared" si="21"/>
        <v>-14470000</v>
      </c>
      <c r="D73" s="1">
        <v>650000</v>
      </c>
      <c r="E73" s="1">
        <v>2500000</v>
      </c>
      <c r="F73" s="24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2100000</v>
      </c>
      <c r="O73" s="1">
        <v>400000</v>
      </c>
      <c r="P73" s="1">
        <f t="shared" si="18"/>
        <v>7405000</v>
      </c>
      <c r="Q73" s="21">
        <f t="shared" si="19"/>
        <v>-21875000</v>
      </c>
      <c r="R73" s="1">
        <f t="shared" si="20"/>
        <v>-14725000</v>
      </c>
    </row>
    <row r="74" spans="1:18" s="30" customFormat="1" ht="17.25" thickBot="1" x14ac:dyDescent="0.35">
      <c r="A74" s="324"/>
      <c r="B74" s="27" t="s">
        <v>88</v>
      </c>
      <c r="C74" s="28">
        <f t="shared" si="21"/>
        <v>-14725000</v>
      </c>
      <c r="D74" s="28">
        <v>650000</v>
      </c>
      <c r="E74" s="28">
        <v>2500000</v>
      </c>
      <c r="F74" s="29">
        <v>830000</v>
      </c>
      <c r="G74" s="28">
        <v>100000</v>
      </c>
      <c r="H74" s="28">
        <v>450000</v>
      </c>
      <c r="I74" s="28">
        <v>100000</v>
      </c>
      <c r="J74" s="28">
        <v>170000</v>
      </c>
      <c r="K74" s="28">
        <v>0</v>
      </c>
      <c r="L74" s="28">
        <v>100000</v>
      </c>
      <c r="M74" s="28">
        <v>0</v>
      </c>
      <c r="N74" s="1">
        <v>2100000</v>
      </c>
      <c r="O74" s="28">
        <v>0</v>
      </c>
      <c r="P74" s="28">
        <f t="shared" si="18"/>
        <v>7000000</v>
      </c>
      <c r="Q74" s="22">
        <f t="shared" si="19"/>
        <v>-21725000</v>
      </c>
      <c r="R74" s="28">
        <f t="shared" si="20"/>
        <v>-14575000</v>
      </c>
    </row>
    <row r="75" spans="1:18" x14ac:dyDescent="0.3">
      <c r="A75" s="322">
        <v>2029</v>
      </c>
      <c r="B75" t="s">
        <v>77</v>
      </c>
      <c r="C75" s="1">
        <f xml:space="preserve"> R74</f>
        <v>-14575000</v>
      </c>
      <c r="D75" s="1">
        <v>0</v>
      </c>
      <c r="E75" s="1">
        <v>2500000</v>
      </c>
      <c r="F75" s="24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2100000</v>
      </c>
      <c r="O75" s="1">
        <v>400000</v>
      </c>
      <c r="P75" s="1">
        <f t="shared" ref="P75:P86" si="22">SUM(D75:O75)</f>
        <v>6745000</v>
      </c>
      <c r="Q75" s="26">
        <f t="shared" ref="Q75:Q86" si="23" xml:space="preserve"> C75 - P75</f>
        <v>-21320000</v>
      </c>
      <c r="R75" s="1">
        <f xml:space="preserve"> 7150000 + Q75</f>
        <v>-14170000</v>
      </c>
    </row>
    <row r="76" spans="1:18" x14ac:dyDescent="0.3">
      <c r="A76" s="323"/>
      <c r="B76" t="s">
        <v>78</v>
      </c>
      <c r="C76" s="1">
        <f xml:space="preserve"> R75</f>
        <v>-14170000</v>
      </c>
      <c r="D76" s="1">
        <v>650000</v>
      </c>
      <c r="E76" s="1">
        <v>2500000</v>
      </c>
      <c r="F76" s="24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2100000</v>
      </c>
      <c r="O76" s="24">
        <v>0</v>
      </c>
      <c r="P76" s="1">
        <f t="shared" si="22"/>
        <v>6990000</v>
      </c>
      <c r="Q76" s="21">
        <f t="shared" si="23"/>
        <v>-21160000</v>
      </c>
      <c r="R76" s="1">
        <f t="shared" ref="R76:R86" si="24" xml:space="preserve"> 7150000 + Q76</f>
        <v>-14010000</v>
      </c>
    </row>
    <row r="77" spans="1:18" x14ac:dyDescent="0.3">
      <c r="A77" s="323"/>
      <c r="B77" t="s">
        <v>79</v>
      </c>
      <c r="C77" s="1">
        <f t="shared" ref="C77:C86" si="25" xml:space="preserve"> R76</f>
        <v>-14010000</v>
      </c>
      <c r="D77" s="1">
        <v>650000</v>
      </c>
      <c r="E77" s="1">
        <v>2500000</v>
      </c>
      <c r="F77" s="24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2100000</v>
      </c>
      <c r="O77" s="1">
        <v>0</v>
      </c>
      <c r="P77" s="1">
        <f t="shared" si="22"/>
        <v>6985000</v>
      </c>
      <c r="Q77" s="21">
        <f t="shared" si="23"/>
        <v>-20995000</v>
      </c>
      <c r="R77" s="1">
        <f t="shared" si="24"/>
        <v>-13845000</v>
      </c>
    </row>
    <row r="78" spans="1:18" x14ac:dyDescent="0.3">
      <c r="A78" s="323"/>
      <c r="B78" t="s">
        <v>80</v>
      </c>
      <c r="C78" s="1">
        <f t="shared" si="25"/>
        <v>-13845000</v>
      </c>
      <c r="D78" s="1">
        <v>650000</v>
      </c>
      <c r="E78" s="1">
        <v>2500000</v>
      </c>
      <c r="F78" s="24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2100000</v>
      </c>
      <c r="O78" s="1">
        <v>0</v>
      </c>
      <c r="P78" s="1">
        <f t="shared" si="22"/>
        <v>6980000</v>
      </c>
      <c r="Q78" s="21">
        <f t="shared" si="23"/>
        <v>-20825000</v>
      </c>
      <c r="R78" s="1">
        <f t="shared" si="24"/>
        <v>-13675000</v>
      </c>
    </row>
    <row r="79" spans="1:18" x14ac:dyDescent="0.3">
      <c r="A79" s="323"/>
      <c r="B79" t="s">
        <v>81</v>
      </c>
      <c r="C79" s="1">
        <f t="shared" si="25"/>
        <v>-13675000</v>
      </c>
      <c r="D79" s="1">
        <v>650000</v>
      </c>
      <c r="E79" s="1">
        <v>2500000</v>
      </c>
      <c r="F79" s="24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2100000</v>
      </c>
      <c r="O79" s="1">
        <v>400000</v>
      </c>
      <c r="P79" s="1">
        <f t="shared" si="22"/>
        <v>7375000</v>
      </c>
      <c r="Q79" s="21">
        <f t="shared" si="23"/>
        <v>-21050000</v>
      </c>
      <c r="R79" s="1">
        <f t="shared" si="24"/>
        <v>-13900000</v>
      </c>
    </row>
    <row r="80" spans="1:18" x14ac:dyDescent="0.3">
      <c r="A80" s="323"/>
      <c r="B80" t="s">
        <v>82</v>
      </c>
      <c r="C80" s="1">
        <f t="shared" si="25"/>
        <v>-13900000</v>
      </c>
      <c r="D80" s="1">
        <v>650000</v>
      </c>
      <c r="E80" s="1">
        <v>2500000</v>
      </c>
      <c r="F80" s="24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2100000</v>
      </c>
      <c r="O80" s="1">
        <v>0</v>
      </c>
      <c r="P80" s="1">
        <f t="shared" si="22"/>
        <v>6970000</v>
      </c>
      <c r="Q80" s="21">
        <f t="shared" si="23"/>
        <v>-20870000</v>
      </c>
      <c r="R80" s="1">
        <f t="shared" si="24"/>
        <v>-13720000</v>
      </c>
    </row>
    <row r="81" spans="1:18" x14ac:dyDescent="0.3">
      <c r="A81" s="323"/>
      <c r="B81" t="s">
        <v>83</v>
      </c>
      <c r="C81" s="1">
        <f t="shared" si="25"/>
        <v>-13720000</v>
      </c>
      <c r="D81" s="1">
        <v>650000</v>
      </c>
      <c r="E81" s="1">
        <v>2500000</v>
      </c>
      <c r="F81" s="24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2100000</v>
      </c>
      <c r="O81" s="1">
        <v>0</v>
      </c>
      <c r="P81" s="1">
        <f t="shared" si="22"/>
        <v>6965000</v>
      </c>
      <c r="Q81" s="21">
        <f t="shared" si="23"/>
        <v>-20685000</v>
      </c>
      <c r="R81" s="1">
        <f t="shared" si="24"/>
        <v>-13535000</v>
      </c>
    </row>
    <row r="82" spans="1:18" x14ac:dyDescent="0.3">
      <c r="A82" s="323"/>
      <c r="B82" t="s">
        <v>84</v>
      </c>
      <c r="C82" s="1">
        <f t="shared" si="25"/>
        <v>-13535000</v>
      </c>
      <c r="D82" s="1">
        <v>650000</v>
      </c>
      <c r="E82" s="1">
        <v>2500000</v>
      </c>
      <c r="F82" s="24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2100000</v>
      </c>
      <c r="O82" s="1">
        <v>0</v>
      </c>
      <c r="P82" s="1">
        <f t="shared" si="22"/>
        <v>6960000</v>
      </c>
      <c r="Q82" s="21">
        <f t="shared" si="23"/>
        <v>-20495000</v>
      </c>
      <c r="R82" s="1">
        <f t="shared" si="24"/>
        <v>-13345000</v>
      </c>
    </row>
    <row r="83" spans="1:18" x14ac:dyDescent="0.3">
      <c r="A83" s="323"/>
      <c r="B83" t="s">
        <v>85</v>
      </c>
      <c r="C83" s="1">
        <f t="shared" si="25"/>
        <v>-13345000</v>
      </c>
      <c r="D83" s="1">
        <v>650000</v>
      </c>
      <c r="E83" s="1">
        <v>2500000</v>
      </c>
      <c r="F83" s="24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2100000</v>
      </c>
      <c r="O83" s="1">
        <v>400000</v>
      </c>
      <c r="P83" s="1">
        <f t="shared" si="22"/>
        <v>7355000</v>
      </c>
      <c r="Q83" s="21">
        <f t="shared" si="23"/>
        <v>-20700000</v>
      </c>
      <c r="R83" s="1">
        <f t="shared" si="24"/>
        <v>-13550000</v>
      </c>
    </row>
    <row r="84" spans="1:18" x14ac:dyDescent="0.3">
      <c r="A84" s="323"/>
      <c r="B84" t="s">
        <v>86</v>
      </c>
      <c r="C84" s="1">
        <f t="shared" si="25"/>
        <v>-13550000</v>
      </c>
      <c r="D84" s="1">
        <v>650000</v>
      </c>
      <c r="E84" s="1">
        <v>2500000</v>
      </c>
      <c r="F84" s="24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2100000</v>
      </c>
      <c r="O84" s="1">
        <v>0</v>
      </c>
      <c r="P84" s="1">
        <f t="shared" si="22"/>
        <v>6950000</v>
      </c>
      <c r="Q84" s="21">
        <f t="shared" si="23"/>
        <v>-20500000</v>
      </c>
      <c r="R84" s="1">
        <f t="shared" si="24"/>
        <v>-13350000</v>
      </c>
    </row>
    <row r="85" spans="1:18" x14ac:dyDescent="0.3">
      <c r="A85" s="323"/>
      <c r="B85" t="s">
        <v>87</v>
      </c>
      <c r="C85" s="1">
        <f t="shared" si="25"/>
        <v>-13350000</v>
      </c>
      <c r="D85" s="1">
        <v>650000</v>
      </c>
      <c r="E85" s="1">
        <v>2500000</v>
      </c>
      <c r="F85" s="24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2100000</v>
      </c>
      <c r="O85" s="1">
        <v>400000</v>
      </c>
      <c r="P85" s="1">
        <f t="shared" si="22"/>
        <v>7345000</v>
      </c>
      <c r="Q85" s="21">
        <f t="shared" si="23"/>
        <v>-20695000</v>
      </c>
      <c r="R85" s="1">
        <f t="shared" si="24"/>
        <v>-13545000</v>
      </c>
    </row>
    <row r="86" spans="1:18" s="30" customFormat="1" ht="17.25" thickBot="1" x14ac:dyDescent="0.35">
      <c r="A86" s="324"/>
      <c r="B86" s="27" t="s">
        <v>88</v>
      </c>
      <c r="C86" s="28">
        <f t="shared" si="25"/>
        <v>-13545000</v>
      </c>
      <c r="D86" s="28">
        <v>650000</v>
      </c>
      <c r="E86" s="28">
        <v>2500000</v>
      </c>
      <c r="F86" s="29">
        <v>770000</v>
      </c>
      <c r="G86" s="28">
        <v>100000</v>
      </c>
      <c r="H86" s="28">
        <v>450000</v>
      </c>
      <c r="I86" s="28">
        <v>100000</v>
      </c>
      <c r="J86" s="28">
        <v>170000</v>
      </c>
      <c r="K86" s="28">
        <v>0</v>
      </c>
      <c r="L86" s="28">
        <v>100000</v>
      </c>
      <c r="M86" s="28">
        <v>0</v>
      </c>
      <c r="N86" s="1">
        <v>2100000</v>
      </c>
      <c r="O86" s="28">
        <v>0</v>
      </c>
      <c r="P86" s="28">
        <f t="shared" si="22"/>
        <v>6940000</v>
      </c>
      <c r="Q86" s="22">
        <f t="shared" si="23"/>
        <v>-20485000</v>
      </c>
      <c r="R86" s="28">
        <f t="shared" si="24"/>
        <v>-13335000</v>
      </c>
    </row>
    <row r="87" spans="1:18" x14ac:dyDescent="0.3">
      <c r="A87" s="322">
        <v>2030</v>
      </c>
      <c r="B87" t="s">
        <v>77</v>
      </c>
      <c r="C87" s="1">
        <f xml:space="preserve"> R86</f>
        <v>-13335000</v>
      </c>
      <c r="D87" s="1">
        <v>0</v>
      </c>
      <c r="E87" s="1">
        <v>2500000</v>
      </c>
      <c r="F87" s="24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2100000</v>
      </c>
      <c r="O87" s="1">
        <v>400000</v>
      </c>
      <c r="P87" s="1">
        <f t="shared" ref="P87:P98" si="26">SUM(D87:O87)</f>
        <v>6685000</v>
      </c>
      <c r="Q87" s="26">
        <f t="shared" ref="Q87:Q98" si="27" xml:space="preserve"> C87 - P87</f>
        <v>-20020000</v>
      </c>
      <c r="R87" s="1">
        <f xml:space="preserve"> 7150000 + Q87</f>
        <v>-12870000</v>
      </c>
    </row>
    <row r="88" spans="1:18" x14ac:dyDescent="0.3">
      <c r="A88" s="323"/>
      <c r="B88" t="s">
        <v>78</v>
      </c>
      <c r="C88" s="1">
        <f xml:space="preserve"> R87</f>
        <v>-12870000</v>
      </c>
      <c r="D88" s="1">
        <v>650000</v>
      </c>
      <c r="E88" s="1">
        <v>2500000</v>
      </c>
      <c r="F88" s="24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2100000</v>
      </c>
      <c r="O88" s="24">
        <v>0</v>
      </c>
      <c r="P88" s="1">
        <f t="shared" si="26"/>
        <v>6930000</v>
      </c>
      <c r="Q88" s="21">
        <f t="shared" si="27"/>
        <v>-19800000</v>
      </c>
      <c r="R88" s="1">
        <f t="shared" ref="R88:R98" si="28" xml:space="preserve"> 7150000 + Q88</f>
        <v>-12650000</v>
      </c>
    </row>
    <row r="89" spans="1:18" x14ac:dyDescent="0.3">
      <c r="A89" s="323"/>
      <c r="B89" t="s">
        <v>79</v>
      </c>
      <c r="C89" s="1">
        <f t="shared" ref="C89:C98" si="29" xml:space="preserve"> R88</f>
        <v>-12650000</v>
      </c>
      <c r="D89" s="1">
        <v>650000</v>
      </c>
      <c r="E89" s="1">
        <v>2500000</v>
      </c>
      <c r="F89" s="24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2100000</v>
      </c>
      <c r="O89" s="1">
        <v>0</v>
      </c>
      <c r="P89" s="1">
        <f t="shared" si="26"/>
        <v>6925000</v>
      </c>
      <c r="Q89" s="21">
        <f t="shared" si="27"/>
        <v>-19575000</v>
      </c>
      <c r="R89" s="1">
        <f t="shared" si="28"/>
        <v>-12425000</v>
      </c>
    </row>
    <row r="90" spans="1:18" x14ac:dyDescent="0.3">
      <c r="A90" s="323"/>
      <c r="B90" t="s">
        <v>80</v>
      </c>
      <c r="C90" s="1">
        <f t="shared" si="29"/>
        <v>-12425000</v>
      </c>
      <c r="D90" s="1">
        <v>650000</v>
      </c>
      <c r="E90" s="1">
        <v>2500000</v>
      </c>
      <c r="F90" s="24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2100000</v>
      </c>
      <c r="O90" s="1">
        <v>0</v>
      </c>
      <c r="P90" s="1">
        <f t="shared" si="26"/>
        <v>6920000</v>
      </c>
      <c r="Q90" s="21">
        <f t="shared" si="27"/>
        <v>-19345000</v>
      </c>
      <c r="R90" s="1">
        <f t="shared" si="28"/>
        <v>-12195000</v>
      </c>
    </row>
    <row r="91" spans="1:18" x14ac:dyDescent="0.3">
      <c r="A91" s="323"/>
      <c r="B91" t="s">
        <v>81</v>
      </c>
      <c r="C91" s="1">
        <f t="shared" si="29"/>
        <v>-12195000</v>
      </c>
      <c r="D91" s="1">
        <v>650000</v>
      </c>
      <c r="E91" s="1">
        <v>2500000</v>
      </c>
      <c r="F91" s="24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2100000</v>
      </c>
      <c r="O91" s="1">
        <v>400000</v>
      </c>
      <c r="P91" s="1">
        <f t="shared" si="26"/>
        <v>7315000</v>
      </c>
      <c r="Q91" s="21">
        <f t="shared" si="27"/>
        <v>-19510000</v>
      </c>
      <c r="R91" s="1">
        <f t="shared" si="28"/>
        <v>-12360000</v>
      </c>
    </row>
    <row r="92" spans="1:18" x14ac:dyDescent="0.3">
      <c r="A92" s="323"/>
      <c r="B92" t="s">
        <v>82</v>
      </c>
      <c r="C92" s="1">
        <f t="shared" si="29"/>
        <v>-12360000</v>
      </c>
      <c r="D92" s="1">
        <v>650000</v>
      </c>
      <c r="E92" s="1">
        <v>2500000</v>
      </c>
      <c r="F92" s="24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2100000</v>
      </c>
      <c r="O92" s="1">
        <v>0</v>
      </c>
      <c r="P92" s="1">
        <f t="shared" si="26"/>
        <v>6910000</v>
      </c>
      <c r="Q92" s="21">
        <f t="shared" si="27"/>
        <v>-19270000</v>
      </c>
      <c r="R92" s="1">
        <f t="shared" si="28"/>
        <v>-12120000</v>
      </c>
    </row>
    <row r="93" spans="1:18" x14ac:dyDescent="0.3">
      <c r="A93" s="323"/>
      <c r="B93" t="s">
        <v>83</v>
      </c>
      <c r="C93" s="1">
        <f t="shared" si="29"/>
        <v>-12120000</v>
      </c>
      <c r="D93" s="1">
        <v>650000</v>
      </c>
      <c r="E93" s="1">
        <v>2500000</v>
      </c>
      <c r="F93" s="24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2100000</v>
      </c>
      <c r="O93" s="1">
        <v>0</v>
      </c>
      <c r="P93" s="1">
        <f t="shared" si="26"/>
        <v>6905000</v>
      </c>
      <c r="Q93" s="21">
        <f t="shared" si="27"/>
        <v>-19025000</v>
      </c>
      <c r="R93" s="1">
        <f t="shared" si="28"/>
        <v>-11875000</v>
      </c>
    </row>
    <row r="94" spans="1:18" x14ac:dyDescent="0.3">
      <c r="A94" s="323"/>
      <c r="B94" t="s">
        <v>84</v>
      </c>
      <c r="C94" s="1">
        <f t="shared" si="29"/>
        <v>-11875000</v>
      </c>
      <c r="D94" s="1">
        <v>650000</v>
      </c>
      <c r="E94" s="1">
        <v>2500000</v>
      </c>
      <c r="F94" s="24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2100000</v>
      </c>
      <c r="O94" s="1">
        <v>0</v>
      </c>
      <c r="P94" s="1">
        <f t="shared" si="26"/>
        <v>6900000</v>
      </c>
      <c r="Q94" s="21">
        <f t="shared" si="27"/>
        <v>-18775000</v>
      </c>
      <c r="R94" s="1">
        <f t="shared" si="28"/>
        <v>-11625000</v>
      </c>
    </row>
    <row r="95" spans="1:18" x14ac:dyDescent="0.3">
      <c r="A95" s="323"/>
      <c r="B95" t="s">
        <v>85</v>
      </c>
      <c r="C95" s="1">
        <f t="shared" si="29"/>
        <v>-11625000</v>
      </c>
      <c r="D95" s="1">
        <v>650000</v>
      </c>
      <c r="E95" s="1">
        <v>2500000</v>
      </c>
      <c r="F95" s="24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2100000</v>
      </c>
      <c r="O95" s="1">
        <v>400000</v>
      </c>
      <c r="P95" s="1">
        <f t="shared" si="26"/>
        <v>7295000</v>
      </c>
      <c r="Q95" s="21">
        <f t="shared" si="27"/>
        <v>-18920000</v>
      </c>
      <c r="R95" s="1">
        <f t="shared" si="28"/>
        <v>-11770000</v>
      </c>
    </row>
    <row r="96" spans="1:18" x14ac:dyDescent="0.3">
      <c r="A96" s="323"/>
      <c r="B96" t="s">
        <v>86</v>
      </c>
      <c r="C96" s="1">
        <f t="shared" si="29"/>
        <v>-11770000</v>
      </c>
      <c r="D96" s="1">
        <v>650000</v>
      </c>
      <c r="E96" s="1">
        <v>2500000</v>
      </c>
      <c r="F96" s="24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2100000</v>
      </c>
      <c r="O96" s="1">
        <v>0</v>
      </c>
      <c r="P96" s="1">
        <f t="shared" si="26"/>
        <v>6890000</v>
      </c>
      <c r="Q96" s="21">
        <f t="shared" si="27"/>
        <v>-18660000</v>
      </c>
      <c r="R96" s="1">
        <f t="shared" si="28"/>
        <v>-11510000</v>
      </c>
    </row>
    <row r="97" spans="1:18" x14ac:dyDescent="0.3">
      <c r="A97" s="323"/>
      <c r="B97" t="s">
        <v>87</v>
      </c>
      <c r="C97" s="1">
        <f t="shared" si="29"/>
        <v>-11510000</v>
      </c>
      <c r="D97" s="1">
        <v>650000</v>
      </c>
      <c r="E97" s="1">
        <v>2500000</v>
      </c>
      <c r="F97" s="24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2100000</v>
      </c>
      <c r="O97" s="1">
        <v>400000</v>
      </c>
      <c r="P97" s="1">
        <f t="shared" si="26"/>
        <v>7285000</v>
      </c>
      <c r="Q97" s="21">
        <f t="shared" si="27"/>
        <v>-18795000</v>
      </c>
      <c r="R97" s="1">
        <f t="shared" si="28"/>
        <v>-11645000</v>
      </c>
    </row>
    <row r="98" spans="1:18" s="30" customFormat="1" ht="17.25" thickBot="1" x14ac:dyDescent="0.35">
      <c r="A98" s="324"/>
      <c r="B98" s="27" t="s">
        <v>88</v>
      </c>
      <c r="C98" s="28">
        <f t="shared" si="29"/>
        <v>-11645000</v>
      </c>
      <c r="D98" s="28">
        <v>650000</v>
      </c>
      <c r="E98" s="28">
        <v>2500000</v>
      </c>
      <c r="F98" s="29">
        <v>710000</v>
      </c>
      <c r="G98" s="28">
        <v>100000</v>
      </c>
      <c r="H98" s="28">
        <v>450000</v>
      </c>
      <c r="I98" s="28">
        <v>100000</v>
      </c>
      <c r="J98" s="28">
        <v>170000</v>
      </c>
      <c r="K98" s="28">
        <v>0</v>
      </c>
      <c r="L98" s="28">
        <v>100000</v>
      </c>
      <c r="M98" s="28">
        <v>0</v>
      </c>
      <c r="N98" s="1">
        <v>2100000</v>
      </c>
      <c r="O98" s="28">
        <v>0</v>
      </c>
      <c r="P98" s="28">
        <f t="shared" si="26"/>
        <v>6880000</v>
      </c>
      <c r="Q98" s="22">
        <f t="shared" si="27"/>
        <v>-18525000</v>
      </c>
      <c r="R98" s="28">
        <f t="shared" si="28"/>
        <v>-11375000</v>
      </c>
    </row>
    <row r="99" spans="1:18" x14ac:dyDescent="0.3">
      <c r="A99" s="322">
        <v>2031</v>
      </c>
      <c r="B99" t="s">
        <v>77</v>
      </c>
      <c r="C99" s="1">
        <f xml:space="preserve"> R98</f>
        <v>-11375000</v>
      </c>
      <c r="D99" s="1">
        <v>0</v>
      </c>
      <c r="E99" s="1">
        <v>2500000</v>
      </c>
      <c r="F99" s="24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2100000</v>
      </c>
      <c r="O99" s="1">
        <v>400000</v>
      </c>
      <c r="P99" s="1">
        <f t="shared" ref="P99:P110" si="30">SUM(D99:O99)</f>
        <v>6625000</v>
      </c>
      <c r="Q99" s="26">
        <f t="shared" ref="Q99:Q110" si="31" xml:space="preserve"> C99 - P99</f>
        <v>-18000000</v>
      </c>
      <c r="R99" s="1">
        <f xml:space="preserve"> 7150000 + Q99</f>
        <v>-10850000</v>
      </c>
    </row>
    <row r="100" spans="1:18" x14ac:dyDescent="0.3">
      <c r="A100" s="323"/>
      <c r="B100" t="s">
        <v>78</v>
      </c>
      <c r="C100" s="1">
        <f xml:space="preserve"> R99</f>
        <v>-10850000</v>
      </c>
      <c r="D100" s="1">
        <v>650000</v>
      </c>
      <c r="E100" s="1">
        <v>2500000</v>
      </c>
      <c r="F100" s="24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2100000</v>
      </c>
      <c r="O100" s="24">
        <v>0</v>
      </c>
      <c r="P100" s="1">
        <f t="shared" si="30"/>
        <v>6870000</v>
      </c>
      <c r="Q100" s="21">
        <f t="shared" si="31"/>
        <v>-17720000</v>
      </c>
      <c r="R100" s="1">
        <f t="shared" ref="R100:R110" si="32" xml:space="preserve"> 7150000 + Q100</f>
        <v>-10570000</v>
      </c>
    </row>
    <row r="101" spans="1:18" x14ac:dyDescent="0.3">
      <c r="A101" s="323"/>
      <c r="B101" t="s">
        <v>79</v>
      </c>
      <c r="C101" s="1">
        <f t="shared" ref="C101:C110" si="33" xml:space="preserve"> R100</f>
        <v>-10570000</v>
      </c>
      <c r="D101" s="1">
        <v>650000</v>
      </c>
      <c r="E101" s="1">
        <v>2500000</v>
      </c>
      <c r="F101" s="24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2100000</v>
      </c>
      <c r="O101" s="1">
        <v>0</v>
      </c>
      <c r="P101" s="1">
        <f t="shared" si="30"/>
        <v>6865000</v>
      </c>
      <c r="Q101" s="21">
        <f t="shared" si="31"/>
        <v>-17435000</v>
      </c>
      <c r="R101" s="1">
        <f t="shared" si="32"/>
        <v>-10285000</v>
      </c>
    </row>
    <row r="102" spans="1:18" x14ac:dyDescent="0.3">
      <c r="A102" s="323"/>
      <c r="B102" t="s">
        <v>80</v>
      </c>
      <c r="C102" s="1">
        <f t="shared" si="33"/>
        <v>-10285000</v>
      </c>
      <c r="D102" s="1">
        <v>650000</v>
      </c>
      <c r="E102" s="1">
        <v>2500000</v>
      </c>
      <c r="F102" s="24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2100000</v>
      </c>
      <c r="O102" s="1">
        <v>0</v>
      </c>
      <c r="P102" s="1">
        <f t="shared" si="30"/>
        <v>6860000</v>
      </c>
      <c r="Q102" s="21">
        <f t="shared" si="31"/>
        <v>-17145000</v>
      </c>
      <c r="R102" s="1">
        <f t="shared" si="32"/>
        <v>-9995000</v>
      </c>
    </row>
    <row r="103" spans="1:18" x14ac:dyDescent="0.3">
      <c r="A103" s="323"/>
      <c r="B103" t="s">
        <v>81</v>
      </c>
      <c r="C103" s="1">
        <f t="shared" si="33"/>
        <v>-9995000</v>
      </c>
      <c r="D103" s="1">
        <v>650000</v>
      </c>
      <c r="E103" s="1">
        <v>2500000</v>
      </c>
      <c r="F103" s="24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2100000</v>
      </c>
      <c r="O103" s="1">
        <v>400000</v>
      </c>
      <c r="P103" s="1">
        <f t="shared" si="30"/>
        <v>7255000</v>
      </c>
      <c r="Q103" s="21">
        <f t="shared" si="31"/>
        <v>-17250000</v>
      </c>
      <c r="R103" s="1">
        <f t="shared" si="32"/>
        <v>-10100000</v>
      </c>
    </row>
    <row r="104" spans="1:18" x14ac:dyDescent="0.3">
      <c r="A104" s="323"/>
      <c r="B104" t="s">
        <v>82</v>
      </c>
      <c r="C104" s="1">
        <f t="shared" si="33"/>
        <v>-10100000</v>
      </c>
      <c r="D104" s="1">
        <v>650000</v>
      </c>
      <c r="E104" s="1">
        <v>2500000</v>
      </c>
      <c r="F104" s="24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2100000</v>
      </c>
      <c r="O104" s="1">
        <v>0</v>
      </c>
      <c r="P104" s="1">
        <f t="shared" si="30"/>
        <v>6850000</v>
      </c>
      <c r="Q104" s="21">
        <f t="shared" si="31"/>
        <v>-16950000</v>
      </c>
      <c r="R104" s="1">
        <f t="shared" si="32"/>
        <v>-9800000</v>
      </c>
    </row>
    <row r="105" spans="1:18" x14ac:dyDescent="0.3">
      <c r="A105" s="323"/>
      <c r="B105" t="s">
        <v>83</v>
      </c>
      <c r="C105" s="1">
        <f t="shared" si="33"/>
        <v>-9800000</v>
      </c>
      <c r="D105" s="1">
        <v>650000</v>
      </c>
      <c r="E105" s="1">
        <v>2500000</v>
      </c>
      <c r="F105" s="24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2100000</v>
      </c>
      <c r="O105" s="1">
        <v>0</v>
      </c>
      <c r="P105" s="1">
        <f t="shared" si="30"/>
        <v>6845000</v>
      </c>
      <c r="Q105" s="21">
        <f t="shared" si="31"/>
        <v>-16645000</v>
      </c>
      <c r="R105" s="1">
        <f t="shared" si="32"/>
        <v>-9495000</v>
      </c>
    </row>
    <row r="106" spans="1:18" x14ac:dyDescent="0.3">
      <c r="A106" s="323"/>
      <c r="B106" t="s">
        <v>84</v>
      </c>
      <c r="C106" s="1">
        <f t="shared" si="33"/>
        <v>-9495000</v>
      </c>
      <c r="D106" s="1">
        <v>650000</v>
      </c>
      <c r="E106" s="1">
        <v>2500000</v>
      </c>
      <c r="F106" s="24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2100000</v>
      </c>
      <c r="O106" s="1">
        <v>0</v>
      </c>
      <c r="P106" s="1">
        <f t="shared" si="30"/>
        <v>6840000</v>
      </c>
      <c r="Q106" s="21">
        <f t="shared" si="31"/>
        <v>-16335000</v>
      </c>
      <c r="R106" s="1">
        <f t="shared" si="32"/>
        <v>-9185000</v>
      </c>
    </row>
    <row r="107" spans="1:18" x14ac:dyDescent="0.3">
      <c r="A107" s="323"/>
      <c r="B107" t="s">
        <v>85</v>
      </c>
      <c r="C107" s="1">
        <f t="shared" si="33"/>
        <v>-9185000</v>
      </c>
      <c r="D107" s="1">
        <v>650000</v>
      </c>
      <c r="E107" s="1">
        <v>2500000</v>
      </c>
      <c r="F107" s="24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2100000</v>
      </c>
      <c r="O107" s="1">
        <v>400000</v>
      </c>
      <c r="P107" s="1">
        <f t="shared" si="30"/>
        <v>7235000</v>
      </c>
      <c r="Q107" s="21">
        <f t="shared" si="31"/>
        <v>-16420000</v>
      </c>
      <c r="R107" s="1">
        <f t="shared" si="32"/>
        <v>-9270000</v>
      </c>
    </row>
    <row r="108" spans="1:18" x14ac:dyDescent="0.3">
      <c r="A108" s="323"/>
      <c r="B108" t="s">
        <v>86</v>
      </c>
      <c r="C108" s="1">
        <f t="shared" si="33"/>
        <v>-9270000</v>
      </c>
      <c r="D108" s="1">
        <v>650000</v>
      </c>
      <c r="E108" s="1">
        <v>2500000</v>
      </c>
      <c r="F108" s="24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2100000</v>
      </c>
      <c r="O108" s="1">
        <v>0</v>
      </c>
      <c r="P108" s="1">
        <f t="shared" si="30"/>
        <v>6830000</v>
      </c>
      <c r="Q108" s="21">
        <f t="shared" si="31"/>
        <v>-16100000</v>
      </c>
      <c r="R108" s="1">
        <f t="shared" si="32"/>
        <v>-8950000</v>
      </c>
    </row>
    <row r="109" spans="1:18" x14ac:dyDescent="0.3">
      <c r="A109" s="323"/>
      <c r="B109" t="s">
        <v>87</v>
      </c>
      <c r="C109" s="1">
        <f t="shared" si="33"/>
        <v>-8950000</v>
      </c>
      <c r="D109" s="1">
        <v>650000</v>
      </c>
      <c r="E109" s="1">
        <v>2500000</v>
      </c>
      <c r="F109" s="24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2100000</v>
      </c>
      <c r="O109" s="1">
        <v>400000</v>
      </c>
      <c r="P109" s="1">
        <f t="shared" si="30"/>
        <v>7225000</v>
      </c>
      <c r="Q109" s="21">
        <f t="shared" si="31"/>
        <v>-16175000</v>
      </c>
      <c r="R109" s="1">
        <f t="shared" si="32"/>
        <v>-9025000</v>
      </c>
    </row>
    <row r="110" spans="1:18" s="30" customFormat="1" ht="17.25" thickBot="1" x14ac:dyDescent="0.35">
      <c r="A110" s="324"/>
      <c r="B110" s="27" t="s">
        <v>88</v>
      </c>
      <c r="C110" s="28">
        <f t="shared" si="33"/>
        <v>-9025000</v>
      </c>
      <c r="D110" s="28">
        <v>650000</v>
      </c>
      <c r="E110" s="28">
        <v>2500000</v>
      </c>
      <c r="F110" s="29">
        <v>650000</v>
      </c>
      <c r="G110" s="28">
        <v>100000</v>
      </c>
      <c r="H110" s="28">
        <v>450000</v>
      </c>
      <c r="I110" s="28">
        <v>100000</v>
      </c>
      <c r="J110" s="28">
        <v>170000</v>
      </c>
      <c r="K110" s="28">
        <v>0</v>
      </c>
      <c r="L110" s="28">
        <v>100000</v>
      </c>
      <c r="M110" s="28">
        <v>0</v>
      </c>
      <c r="N110" s="1">
        <v>2100000</v>
      </c>
      <c r="O110" s="28">
        <v>0</v>
      </c>
      <c r="P110" s="28">
        <f t="shared" si="30"/>
        <v>6820000</v>
      </c>
      <c r="Q110" s="22">
        <f t="shared" si="31"/>
        <v>-15845000</v>
      </c>
      <c r="R110" s="28">
        <f t="shared" si="32"/>
        <v>-8695000</v>
      </c>
    </row>
    <row r="111" spans="1:18" x14ac:dyDescent="0.3">
      <c r="A111" s="322">
        <v>2032</v>
      </c>
      <c r="B111" t="s">
        <v>77</v>
      </c>
      <c r="C111" s="1">
        <f xml:space="preserve"> R110</f>
        <v>-8695000</v>
      </c>
      <c r="D111" s="1">
        <v>0</v>
      </c>
      <c r="E111" s="1">
        <v>2500000</v>
      </c>
      <c r="F111" s="24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2100000</v>
      </c>
      <c r="O111" s="1">
        <v>400000</v>
      </c>
      <c r="P111" s="1">
        <f t="shared" ref="P111:P122" si="34">SUM(D111:O111)</f>
        <v>6565000</v>
      </c>
      <c r="Q111" s="26">
        <f t="shared" ref="Q111:Q122" si="35" xml:space="preserve"> C111 - P111</f>
        <v>-15260000</v>
      </c>
      <c r="R111" s="1">
        <f xml:space="preserve"> 7150000 + Q111</f>
        <v>-8110000</v>
      </c>
    </row>
    <row r="112" spans="1:18" x14ac:dyDescent="0.3">
      <c r="A112" s="323"/>
      <c r="B112" t="s">
        <v>78</v>
      </c>
      <c r="C112" s="1">
        <f xml:space="preserve"> R111</f>
        <v>-8110000</v>
      </c>
      <c r="D112" s="1">
        <v>650000</v>
      </c>
      <c r="E112" s="1">
        <v>2500000</v>
      </c>
      <c r="F112" s="24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2100000</v>
      </c>
      <c r="O112" s="24">
        <v>0</v>
      </c>
      <c r="P112" s="1">
        <f t="shared" si="34"/>
        <v>6810000</v>
      </c>
      <c r="Q112" s="21">
        <f t="shared" si="35"/>
        <v>-14920000</v>
      </c>
      <c r="R112" s="1">
        <f t="shared" ref="R112:R122" si="36" xml:space="preserve"> 7150000 + Q112</f>
        <v>-7770000</v>
      </c>
    </row>
    <row r="113" spans="1:18" x14ac:dyDescent="0.3">
      <c r="A113" s="323"/>
      <c r="B113" t="s">
        <v>79</v>
      </c>
      <c r="C113" s="1">
        <f t="shared" ref="C113:C122" si="37" xml:space="preserve"> R112</f>
        <v>-7770000</v>
      </c>
      <c r="D113" s="1">
        <v>650000</v>
      </c>
      <c r="E113" s="1">
        <v>2500000</v>
      </c>
      <c r="F113" s="24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2100000</v>
      </c>
      <c r="O113" s="1">
        <v>0</v>
      </c>
      <c r="P113" s="1">
        <f t="shared" si="34"/>
        <v>6805000</v>
      </c>
      <c r="Q113" s="21">
        <f t="shared" si="35"/>
        <v>-14575000</v>
      </c>
      <c r="R113" s="1">
        <f t="shared" si="36"/>
        <v>-7425000</v>
      </c>
    </row>
    <row r="114" spans="1:18" x14ac:dyDescent="0.3">
      <c r="A114" s="323"/>
      <c r="B114" t="s">
        <v>80</v>
      </c>
      <c r="C114" s="1">
        <f t="shared" si="37"/>
        <v>-7425000</v>
      </c>
      <c r="D114" s="1">
        <v>650000</v>
      </c>
      <c r="E114" s="1">
        <v>2500000</v>
      </c>
      <c r="F114" s="24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2100000</v>
      </c>
      <c r="O114" s="1">
        <v>0</v>
      </c>
      <c r="P114" s="1">
        <f t="shared" si="34"/>
        <v>6800000</v>
      </c>
      <c r="Q114" s="21">
        <f t="shared" si="35"/>
        <v>-14225000</v>
      </c>
      <c r="R114" s="1">
        <f t="shared" si="36"/>
        <v>-7075000</v>
      </c>
    </row>
    <row r="115" spans="1:18" x14ac:dyDescent="0.3">
      <c r="A115" s="323"/>
      <c r="B115" t="s">
        <v>81</v>
      </c>
      <c r="C115" s="1">
        <f t="shared" si="37"/>
        <v>-7075000</v>
      </c>
      <c r="D115" s="1">
        <v>650000</v>
      </c>
      <c r="E115" s="1">
        <v>2500000</v>
      </c>
      <c r="F115" s="24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2100000</v>
      </c>
      <c r="O115" s="1">
        <v>400000</v>
      </c>
      <c r="P115" s="1">
        <f t="shared" si="34"/>
        <v>7195000</v>
      </c>
      <c r="Q115" s="21">
        <f t="shared" si="35"/>
        <v>-14270000</v>
      </c>
      <c r="R115" s="1">
        <f t="shared" si="36"/>
        <v>-7120000</v>
      </c>
    </row>
    <row r="116" spans="1:18" x14ac:dyDescent="0.3">
      <c r="A116" s="323"/>
      <c r="B116" t="s">
        <v>82</v>
      </c>
      <c r="C116" s="1">
        <f t="shared" si="37"/>
        <v>-7120000</v>
      </c>
      <c r="D116" s="1">
        <v>650000</v>
      </c>
      <c r="E116" s="1">
        <v>2500000</v>
      </c>
      <c r="F116" s="24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2100000</v>
      </c>
      <c r="O116" s="1">
        <v>0</v>
      </c>
      <c r="P116" s="1">
        <f t="shared" si="34"/>
        <v>6790000</v>
      </c>
      <c r="Q116" s="21">
        <f t="shared" si="35"/>
        <v>-13910000</v>
      </c>
      <c r="R116" s="1">
        <f t="shared" si="36"/>
        <v>-6760000</v>
      </c>
    </row>
    <row r="117" spans="1:18" x14ac:dyDescent="0.3">
      <c r="A117" s="323"/>
      <c r="B117" t="s">
        <v>83</v>
      </c>
      <c r="C117" s="1">
        <f t="shared" si="37"/>
        <v>-6760000</v>
      </c>
      <c r="D117" s="1">
        <v>650000</v>
      </c>
      <c r="E117" s="1">
        <v>2500000</v>
      </c>
      <c r="F117" s="24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2100000</v>
      </c>
      <c r="O117" s="1">
        <v>0</v>
      </c>
      <c r="P117" s="1">
        <f t="shared" si="34"/>
        <v>6785000</v>
      </c>
      <c r="Q117" s="21">
        <f t="shared" si="35"/>
        <v>-13545000</v>
      </c>
      <c r="R117" s="1">
        <f t="shared" si="36"/>
        <v>-6395000</v>
      </c>
    </row>
    <row r="118" spans="1:18" x14ac:dyDescent="0.3">
      <c r="A118" s="323"/>
      <c r="B118" t="s">
        <v>84</v>
      </c>
      <c r="C118" s="1">
        <f t="shared" si="37"/>
        <v>-6395000</v>
      </c>
      <c r="D118" s="1">
        <v>650000</v>
      </c>
      <c r="E118" s="1">
        <v>2500000</v>
      </c>
      <c r="F118" s="24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2100000</v>
      </c>
      <c r="O118" s="1">
        <v>0</v>
      </c>
      <c r="P118" s="1">
        <f t="shared" si="34"/>
        <v>6780000</v>
      </c>
      <c r="Q118" s="21">
        <f t="shared" si="35"/>
        <v>-13175000</v>
      </c>
      <c r="R118" s="1">
        <f t="shared" si="36"/>
        <v>-6025000</v>
      </c>
    </row>
    <row r="119" spans="1:18" x14ac:dyDescent="0.3">
      <c r="A119" s="323"/>
      <c r="B119" t="s">
        <v>85</v>
      </c>
      <c r="C119" s="1">
        <f t="shared" si="37"/>
        <v>-6025000</v>
      </c>
      <c r="D119" s="1">
        <v>650000</v>
      </c>
      <c r="E119" s="1">
        <v>2500000</v>
      </c>
      <c r="F119" s="24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2100000</v>
      </c>
      <c r="O119" s="1">
        <v>400000</v>
      </c>
      <c r="P119" s="1">
        <f t="shared" si="34"/>
        <v>7175000</v>
      </c>
      <c r="Q119" s="21">
        <f t="shared" si="35"/>
        <v>-13200000</v>
      </c>
      <c r="R119" s="1">
        <f t="shared" si="36"/>
        <v>-6050000</v>
      </c>
    </row>
    <row r="120" spans="1:18" x14ac:dyDescent="0.3">
      <c r="A120" s="323"/>
      <c r="B120" t="s">
        <v>86</v>
      </c>
      <c r="C120" s="1">
        <f t="shared" si="37"/>
        <v>-6050000</v>
      </c>
      <c r="D120" s="1">
        <v>650000</v>
      </c>
      <c r="E120" s="1">
        <v>2500000</v>
      </c>
      <c r="F120" s="24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2100000</v>
      </c>
      <c r="O120" s="1">
        <v>0</v>
      </c>
      <c r="P120" s="1">
        <f t="shared" si="34"/>
        <v>6770000</v>
      </c>
      <c r="Q120" s="21">
        <f t="shared" si="35"/>
        <v>-12820000</v>
      </c>
      <c r="R120" s="1">
        <f t="shared" si="36"/>
        <v>-5670000</v>
      </c>
    </row>
    <row r="121" spans="1:18" x14ac:dyDescent="0.3">
      <c r="A121" s="323"/>
      <c r="B121" t="s">
        <v>87</v>
      </c>
      <c r="C121" s="1">
        <f t="shared" si="37"/>
        <v>-5670000</v>
      </c>
      <c r="D121" s="1">
        <v>650000</v>
      </c>
      <c r="E121" s="1">
        <v>2500000</v>
      </c>
      <c r="F121" s="24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2100000</v>
      </c>
      <c r="O121" s="1">
        <v>400000</v>
      </c>
      <c r="P121" s="1">
        <f t="shared" si="34"/>
        <v>7165000</v>
      </c>
      <c r="Q121" s="21">
        <f t="shared" si="35"/>
        <v>-12835000</v>
      </c>
      <c r="R121" s="1">
        <f t="shared" si="36"/>
        <v>-5685000</v>
      </c>
    </row>
    <row r="122" spans="1:18" s="30" customFormat="1" ht="17.25" thickBot="1" x14ac:dyDescent="0.35">
      <c r="A122" s="324"/>
      <c r="B122" s="27" t="s">
        <v>88</v>
      </c>
      <c r="C122" s="28">
        <f t="shared" si="37"/>
        <v>-5685000</v>
      </c>
      <c r="D122" s="28">
        <v>650000</v>
      </c>
      <c r="E122" s="28">
        <v>2500000</v>
      </c>
      <c r="F122" s="29">
        <v>590000</v>
      </c>
      <c r="G122" s="28">
        <v>100000</v>
      </c>
      <c r="H122" s="28">
        <v>450000</v>
      </c>
      <c r="I122" s="28">
        <v>100000</v>
      </c>
      <c r="J122" s="28">
        <v>170000</v>
      </c>
      <c r="K122" s="28">
        <v>0</v>
      </c>
      <c r="L122" s="28">
        <v>100000</v>
      </c>
      <c r="M122" s="28">
        <v>0</v>
      </c>
      <c r="N122" s="1">
        <v>2100000</v>
      </c>
      <c r="O122" s="28">
        <v>0</v>
      </c>
      <c r="P122" s="28">
        <f t="shared" si="34"/>
        <v>6760000</v>
      </c>
      <c r="Q122" s="22">
        <f t="shared" si="35"/>
        <v>-12445000</v>
      </c>
      <c r="R122" s="28">
        <f t="shared" si="36"/>
        <v>-5295000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B3:N49"/>
  <sheetViews>
    <sheetView topLeftCell="A28" workbookViewId="0">
      <selection activeCell="H27" sqref="H27:H29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" bestFit="1" customWidth="1"/>
    <col min="7" max="7" width="20.125" bestFit="1" customWidth="1"/>
    <col min="8" max="8" width="16" customWidth="1"/>
    <col min="9" max="9" width="34.1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17" t="s">
        <v>41</v>
      </c>
      <c r="E3" s="317"/>
      <c r="F3" s="317"/>
      <c r="G3" s="317"/>
      <c r="H3" s="317"/>
      <c r="I3" s="317"/>
      <c r="J3" s="317"/>
      <c r="K3" s="317"/>
      <c r="L3" s="317"/>
      <c r="M3" s="317"/>
      <c r="N3" s="317"/>
    </row>
    <row r="4" spans="3:14" x14ac:dyDescent="0.3"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7" t="s">
        <v>45</v>
      </c>
    </row>
    <row r="8" spans="3:14" x14ac:dyDescent="0.3">
      <c r="C8" s="18" t="s">
        <v>46</v>
      </c>
      <c r="D8" s="18" t="s">
        <v>47</v>
      </c>
      <c r="E8" s="18" t="s">
        <v>48</v>
      </c>
      <c r="F8" s="18" t="s">
        <v>49</v>
      </c>
      <c r="G8" s="18" t="s">
        <v>50</v>
      </c>
      <c r="H8" s="18" t="s">
        <v>51</v>
      </c>
      <c r="I8" s="18" t="s">
        <v>52</v>
      </c>
      <c r="J8" s="18" t="s">
        <v>53</v>
      </c>
      <c r="K8" s="18" t="s">
        <v>54</v>
      </c>
    </row>
    <row r="9" spans="3:14" ht="17.25" thickBot="1" x14ac:dyDescent="0.35">
      <c r="C9" s="216" t="s">
        <v>55</v>
      </c>
      <c r="D9" s="216">
        <v>3.46</v>
      </c>
      <c r="E9" s="216">
        <v>3.49</v>
      </c>
      <c r="F9" s="216">
        <v>3.52</v>
      </c>
      <c r="G9" s="216">
        <v>3.51</v>
      </c>
      <c r="H9" s="216">
        <v>3.44</v>
      </c>
      <c r="I9" s="216">
        <v>3.36</v>
      </c>
      <c r="J9" s="216">
        <v>3.27</v>
      </c>
      <c r="K9" s="216">
        <v>3.23</v>
      </c>
    </row>
    <row r="10" spans="3:14" ht="17.25" thickBot="1" x14ac:dyDescent="0.35">
      <c r="C10" s="216" t="s">
        <v>56</v>
      </c>
      <c r="D10" s="216">
        <v>3.94</v>
      </c>
      <c r="E10" s="216">
        <v>4.0599999999999996</v>
      </c>
      <c r="F10" s="216">
        <v>4.08</v>
      </c>
      <c r="G10" s="216">
        <v>4.09</v>
      </c>
      <c r="H10" s="216">
        <v>4.0999999999999996</v>
      </c>
      <c r="I10" s="216">
        <v>4.1100000000000003</v>
      </c>
      <c r="J10" s="216">
        <v>4.12</v>
      </c>
      <c r="K10" s="216">
        <v>4.28</v>
      </c>
    </row>
    <row r="11" spans="3:14" ht="17.25" thickBot="1" x14ac:dyDescent="0.35">
      <c r="C11" s="216" t="s">
        <v>57</v>
      </c>
      <c r="D11" s="216">
        <v>4.03</v>
      </c>
      <c r="E11" s="216">
        <v>4.17</v>
      </c>
      <c r="F11" s="216">
        <v>4.17</v>
      </c>
      <c r="G11" s="216">
        <v>4.18</v>
      </c>
      <c r="H11" s="216">
        <v>4.1900000000000004</v>
      </c>
      <c r="I11" s="216">
        <v>4.21</v>
      </c>
      <c r="J11" s="216">
        <v>4.24</v>
      </c>
      <c r="K11" s="216">
        <v>4.4000000000000004</v>
      </c>
    </row>
    <row r="12" spans="3:14" ht="17.25" thickBot="1" x14ac:dyDescent="0.35">
      <c r="C12" s="216" t="s">
        <v>58</v>
      </c>
      <c r="D12" s="216">
        <v>4.08</v>
      </c>
      <c r="E12" s="216">
        <v>4.21</v>
      </c>
      <c r="F12" s="216">
        <v>4.22</v>
      </c>
      <c r="G12" s="216">
        <v>4.22</v>
      </c>
      <c r="H12" s="216">
        <v>4.2300000000000004</v>
      </c>
      <c r="I12" s="216">
        <v>4.24</v>
      </c>
      <c r="J12" s="216">
        <v>4.28</v>
      </c>
      <c r="K12" s="216">
        <v>4.46</v>
      </c>
    </row>
    <row r="13" spans="3:14" ht="17.25" thickBot="1" x14ac:dyDescent="0.35">
      <c r="C13" s="216" t="s">
        <v>59</v>
      </c>
      <c r="D13" s="216">
        <v>4.0999999999999996</v>
      </c>
      <c r="E13" s="216">
        <v>4.2300000000000004</v>
      </c>
      <c r="F13" s="216">
        <v>4.24</v>
      </c>
      <c r="G13" s="216">
        <v>4.25</v>
      </c>
      <c r="H13" s="216">
        <v>4.2699999999999996</v>
      </c>
      <c r="I13" s="216">
        <v>4.29</v>
      </c>
      <c r="J13" s="216">
        <v>4.33</v>
      </c>
      <c r="K13" s="216">
        <v>4.55</v>
      </c>
    </row>
    <row r="14" spans="3:14" ht="17.25" thickBot="1" x14ac:dyDescent="0.35">
      <c r="C14" s="216" t="s">
        <v>60</v>
      </c>
      <c r="D14" s="216">
        <v>4.59</v>
      </c>
      <c r="E14" s="216">
        <v>4.8</v>
      </c>
      <c r="F14" s="216">
        <v>4.8</v>
      </c>
      <c r="G14" s="216">
        <v>4.8099999999999996</v>
      </c>
      <c r="H14" s="216">
        <v>4.83</v>
      </c>
      <c r="I14" s="216">
        <v>4.84</v>
      </c>
      <c r="J14" s="216">
        <v>4.8899999999999997</v>
      </c>
      <c r="K14" s="216">
        <v>5.19</v>
      </c>
    </row>
    <row r="15" spans="3:14" ht="17.25" thickBot="1" x14ac:dyDescent="0.35">
      <c r="C15" s="216" t="s">
        <v>61</v>
      </c>
      <c r="D15" s="216">
        <v>4.7300000000000004</v>
      </c>
      <c r="E15" s="216">
        <v>4.96</v>
      </c>
      <c r="F15" s="216">
        <v>4.96</v>
      </c>
      <c r="G15" s="216">
        <v>4.97</v>
      </c>
      <c r="H15" s="216">
        <v>5</v>
      </c>
      <c r="I15" s="216">
        <v>5.01</v>
      </c>
      <c r="J15" s="216">
        <v>5.16</v>
      </c>
      <c r="K15" s="216">
        <v>5.65</v>
      </c>
    </row>
    <row r="16" spans="3:14" ht="17.25" thickBot="1" x14ac:dyDescent="0.35">
      <c r="C16" s="216" t="s">
        <v>62</v>
      </c>
      <c r="D16" s="216">
        <v>4.9400000000000004</v>
      </c>
      <c r="E16" s="216">
        <v>5.18</v>
      </c>
      <c r="F16" s="216">
        <v>5.21</v>
      </c>
      <c r="G16" s="216">
        <v>5.23</v>
      </c>
      <c r="H16" s="216">
        <v>5.3</v>
      </c>
      <c r="I16" s="216">
        <v>5.35</v>
      </c>
      <c r="J16" s="216">
        <v>5.61</v>
      </c>
      <c r="K16" s="216">
        <v>6.25</v>
      </c>
    </row>
    <row r="17" spans="2:12" ht="17.25" thickBot="1" x14ac:dyDescent="0.35">
      <c r="C17" s="216" t="s">
        <v>63</v>
      </c>
      <c r="D17" s="216">
        <v>5.6</v>
      </c>
      <c r="E17" s="216">
        <v>6.16</v>
      </c>
      <c r="F17" s="216">
        <v>6.5</v>
      </c>
      <c r="G17" s="216">
        <v>6.71</v>
      </c>
      <c r="H17" s="216">
        <v>7.07</v>
      </c>
      <c r="I17" s="216">
        <v>7.59</v>
      </c>
      <c r="J17" s="216">
        <v>8.1300000000000008</v>
      </c>
      <c r="K17" s="216">
        <v>8.34</v>
      </c>
    </row>
    <row r="18" spans="2:12" ht="17.25" thickBot="1" x14ac:dyDescent="0.35">
      <c r="C18" s="216" t="s">
        <v>64</v>
      </c>
      <c r="D18" s="216">
        <v>5.98</v>
      </c>
      <c r="E18" s="216">
        <v>6.66</v>
      </c>
      <c r="F18" s="216">
        <v>7.08</v>
      </c>
      <c r="G18" s="216">
        <v>7.38</v>
      </c>
      <c r="H18" s="216">
        <v>7.88</v>
      </c>
      <c r="I18" s="216">
        <v>8.5299999999999994</v>
      </c>
      <c r="J18" s="216">
        <v>9.18</v>
      </c>
      <c r="K18" s="216">
        <v>9.39</v>
      </c>
    </row>
    <row r="19" spans="2:12" ht="17.25" thickBot="1" x14ac:dyDescent="0.35">
      <c r="C19" s="216" t="s">
        <v>65</v>
      </c>
      <c r="D19" s="216">
        <v>6.66</v>
      </c>
      <c r="E19" s="216">
        <v>7.45</v>
      </c>
      <c r="F19" s="216">
        <v>8.02</v>
      </c>
      <c r="G19" s="216">
        <v>8.36</v>
      </c>
      <c r="H19" s="216">
        <v>8.99</v>
      </c>
      <c r="I19" s="216">
        <v>9.68</v>
      </c>
      <c r="J19" s="216">
        <v>10.55</v>
      </c>
      <c r="K19" s="216">
        <v>10.81</v>
      </c>
      <c r="L19" s="16">
        <f xml:space="preserve"> K19 / 100</f>
        <v>0.1081</v>
      </c>
    </row>
    <row r="21" spans="2:12" x14ac:dyDescent="0.3">
      <c r="C21" s="218" t="s">
        <v>110</v>
      </c>
      <c r="D21" s="218" t="s">
        <v>112</v>
      </c>
      <c r="E21" s="218" t="s">
        <v>113</v>
      </c>
      <c r="F21" s="218" t="s">
        <v>115</v>
      </c>
      <c r="G21" s="218" t="s">
        <v>114</v>
      </c>
      <c r="H21" s="218" t="s">
        <v>111</v>
      </c>
      <c r="I21" s="218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25">
        <f xml:space="preserve"> D22 + E22 + F22 + G22</f>
        <v>18921448</v>
      </c>
      <c r="E23" s="326"/>
      <c r="F23" s="326"/>
      <c r="G23" s="326"/>
      <c r="H23" s="3">
        <v>0</v>
      </c>
      <c r="I23" s="3">
        <f xml:space="preserve"> SUM(C23:H23)</f>
        <v>22261448</v>
      </c>
    </row>
    <row r="24" spans="2:12" x14ac:dyDescent="0.3">
      <c r="C24" s="219">
        <f xml:space="preserve"> C23/ I23 * 100</f>
        <v>15.003516393003727</v>
      </c>
      <c r="D24" s="327">
        <f xml:space="preserve"> D23 / I23 * 100</f>
        <v>84.996483606996279</v>
      </c>
      <c r="E24" s="328"/>
      <c r="F24" s="328"/>
      <c r="G24" s="329"/>
      <c r="H24" s="219">
        <f xml:space="preserve"> H23 / I23 * 100</f>
        <v>0</v>
      </c>
      <c r="I24" s="219">
        <f xml:space="preserve"> SUM(C24:H24)</f>
        <v>100</v>
      </c>
    </row>
    <row r="25" spans="2:12" x14ac:dyDescent="0.3">
      <c r="C25" s="217"/>
      <c r="D25" s="220">
        <f xml:space="preserve"> D22 / D23 * 100</f>
        <v>27.587740642259512</v>
      </c>
      <c r="E25" s="220">
        <f xml:space="preserve"> E22 / D23 * 100</f>
        <v>4.1073495009472847</v>
      </c>
      <c r="F25" s="220">
        <f xml:space="preserve"> F22 / D23 * 100</f>
        <v>19.808922657504858</v>
      </c>
      <c r="G25" s="220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35" t="s">
        <v>123</v>
      </c>
      <c r="C27" s="363" t="s">
        <v>140</v>
      </c>
      <c r="D27" s="341" t="s">
        <v>121</v>
      </c>
      <c r="E27" s="342"/>
      <c r="F27" s="343"/>
      <c r="G27" s="335" t="s">
        <v>126</v>
      </c>
      <c r="H27" s="346" t="s">
        <v>143</v>
      </c>
      <c r="I27" s="336" t="s">
        <v>119</v>
      </c>
      <c r="J27" s="335" t="s">
        <v>129</v>
      </c>
      <c r="K27" s="335" t="s">
        <v>141</v>
      </c>
    </row>
    <row r="28" spans="2:12" ht="17.25" thickBot="1" x14ac:dyDescent="0.35">
      <c r="B28" s="337"/>
      <c r="C28" s="344"/>
      <c r="D28" s="335" t="s">
        <v>120</v>
      </c>
      <c r="E28" s="346" t="s">
        <v>125</v>
      </c>
      <c r="F28" s="361" t="s">
        <v>128</v>
      </c>
      <c r="G28" s="337"/>
      <c r="H28" s="337"/>
      <c r="I28" s="338"/>
      <c r="J28" s="337"/>
      <c r="K28" s="337"/>
    </row>
    <row r="29" spans="2:12" ht="37.5" customHeight="1" thickBot="1" x14ac:dyDescent="0.35">
      <c r="B29" s="337"/>
      <c r="C29" s="344"/>
      <c r="D29" s="337"/>
      <c r="E29" s="337"/>
      <c r="F29" s="347"/>
      <c r="G29" s="337"/>
      <c r="H29" s="337"/>
      <c r="I29" s="340" t="s">
        <v>122</v>
      </c>
      <c r="J29" s="339"/>
      <c r="K29" s="339"/>
    </row>
    <row r="30" spans="2:12" x14ac:dyDescent="0.3">
      <c r="B30" s="322" t="s">
        <v>124</v>
      </c>
      <c r="C30" s="355">
        <v>521300000000</v>
      </c>
      <c r="D30" s="351">
        <v>521300000000</v>
      </c>
      <c r="E30" s="348">
        <v>0.46</v>
      </c>
      <c r="F30" s="352">
        <v>10.81</v>
      </c>
      <c r="G30" s="350">
        <f xml:space="preserve"> C30 + D31</f>
        <v>22182978723.404297</v>
      </c>
      <c r="H30" s="355">
        <v>65480000</v>
      </c>
      <c r="I30" s="359">
        <f xml:space="preserve"> G30 / H30</f>
        <v>338.77487360116521</v>
      </c>
      <c r="J30" s="357" t="s">
        <v>127</v>
      </c>
      <c r="K30" s="350">
        <f xml:space="preserve"> D30 / H30</f>
        <v>7961.2095296273674</v>
      </c>
    </row>
    <row r="31" spans="2:12" ht="17.25" thickBot="1" x14ac:dyDescent="0.35">
      <c r="B31" s="324"/>
      <c r="C31" s="356"/>
      <c r="D31" s="353">
        <f xml:space="preserve"> (D30 * (E30 - F30)) / F30</f>
        <v>-499117021276.5957</v>
      </c>
      <c r="E31" s="349"/>
      <c r="F31" s="354"/>
      <c r="G31" s="324"/>
      <c r="H31" s="356"/>
      <c r="I31" s="360"/>
      <c r="J31" s="358"/>
      <c r="K31" s="371"/>
    </row>
    <row r="32" spans="2:12" x14ac:dyDescent="0.3">
      <c r="B32" s="322" t="s">
        <v>139</v>
      </c>
      <c r="C32" s="355">
        <v>4679754000</v>
      </c>
      <c r="D32" s="351">
        <v>4679754000</v>
      </c>
      <c r="E32" s="348">
        <v>0</v>
      </c>
      <c r="F32" s="352">
        <v>10.81</v>
      </c>
      <c r="G32" s="350">
        <f xml:space="preserve"> C32 + D33</f>
        <v>0</v>
      </c>
      <c r="H32" s="355">
        <v>583000000</v>
      </c>
      <c r="I32" s="359">
        <f xml:space="preserve"> G32 / H32</f>
        <v>0</v>
      </c>
      <c r="J32" s="357" t="s">
        <v>127</v>
      </c>
      <c r="K32" s="350">
        <f xml:space="preserve"> D32 / H32</f>
        <v>8.0270222984562611</v>
      </c>
    </row>
    <row r="33" spans="2:11" ht="17.25" thickBot="1" x14ac:dyDescent="0.35">
      <c r="B33" s="324"/>
      <c r="C33" s="356"/>
      <c r="D33" s="353">
        <f xml:space="preserve"> (D32 * (E32 - F32)) / F32</f>
        <v>-4679754000</v>
      </c>
      <c r="E33" s="349"/>
      <c r="F33" s="354"/>
      <c r="G33" s="324"/>
      <c r="H33" s="356"/>
      <c r="I33" s="360"/>
      <c r="J33" s="358"/>
      <c r="K33" s="371"/>
    </row>
    <row r="34" spans="2:11" x14ac:dyDescent="0.3">
      <c r="B34" s="2"/>
      <c r="C34" s="2"/>
      <c r="D34" s="2"/>
      <c r="E34" s="2"/>
      <c r="F34" s="2"/>
      <c r="H34" s="296"/>
      <c r="I34" s="2"/>
      <c r="J34" s="2"/>
    </row>
    <row r="35" spans="2:11" x14ac:dyDescent="0.3">
      <c r="B35" s="2"/>
      <c r="C35" s="2"/>
      <c r="D35" s="2"/>
      <c r="E35" s="2"/>
      <c r="F35" s="2"/>
      <c r="H35" s="296"/>
      <c r="I35" s="2"/>
      <c r="J35" s="2"/>
    </row>
    <row r="36" spans="2:11" x14ac:dyDescent="0.3">
      <c r="B36" s="2"/>
      <c r="C36" s="2"/>
      <c r="D36" s="2"/>
      <c r="E36" s="2"/>
      <c r="F36" s="2"/>
      <c r="H36" s="295"/>
      <c r="I36" s="2"/>
      <c r="J36" s="2"/>
    </row>
    <row r="37" spans="2:11" x14ac:dyDescent="0.3">
      <c r="B37" s="2"/>
      <c r="C37" s="2"/>
      <c r="D37" s="2"/>
      <c r="E37" s="2"/>
      <c r="F37" s="2"/>
      <c r="H37" s="296"/>
      <c r="I37" s="2"/>
      <c r="J37" s="2"/>
    </row>
    <row r="38" spans="2:11" x14ac:dyDescent="0.3">
      <c r="B38" s="2"/>
      <c r="C38" s="2"/>
      <c r="D38" s="2"/>
      <c r="E38" s="2"/>
      <c r="F38" s="2"/>
      <c r="H38" s="2"/>
      <c r="I38" s="2"/>
      <c r="J38" s="2"/>
    </row>
    <row r="39" spans="2:11" x14ac:dyDescent="0.3">
      <c r="B39" s="372"/>
      <c r="C39" s="372"/>
      <c r="D39" s="372"/>
      <c r="E39" s="372"/>
      <c r="F39" s="372"/>
      <c r="H39" s="372"/>
      <c r="I39" s="372"/>
      <c r="J39" s="372"/>
    </row>
    <row r="40" spans="2:11" s="374" customFormat="1" x14ac:dyDescent="0.3">
      <c r="B40" s="373"/>
      <c r="C40" s="373"/>
      <c r="D40" s="373"/>
      <c r="E40" s="373"/>
      <c r="F40" s="373"/>
      <c r="H40" s="373"/>
      <c r="I40" s="373"/>
      <c r="J40" s="373"/>
    </row>
    <row r="41" spans="2:11" ht="17.25" thickBot="1" x14ac:dyDescent="0.35"/>
    <row r="42" spans="2:11" ht="50.25" thickBot="1" x14ac:dyDescent="0.35">
      <c r="B42" s="364" t="s">
        <v>142</v>
      </c>
      <c r="C42" s="365" t="s">
        <v>132</v>
      </c>
      <c r="D42" s="365" t="s">
        <v>130</v>
      </c>
      <c r="E42" s="366" t="s">
        <v>131</v>
      </c>
    </row>
    <row r="43" spans="2:11" x14ac:dyDescent="0.3">
      <c r="B43" s="362" t="s">
        <v>133</v>
      </c>
      <c r="C43" s="345">
        <v>5950076000</v>
      </c>
      <c r="D43" s="345">
        <v>1344380000</v>
      </c>
      <c r="E43" s="345">
        <f xml:space="preserve"> C43 - D43</f>
        <v>4605696000</v>
      </c>
    </row>
    <row r="44" spans="2:11" ht="17.25" thickBot="1" x14ac:dyDescent="0.35"/>
    <row r="45" spans="2:11" ht="33.75" thickBot="1" x14ac:dyDescent="0.35">
      <c r="B45" s="364" t="s">
        <v>142</v>
      </c>
      <c r="C45" s="367" t="s">
        <v>134</v>
      </c>
      <c r="D45" s="365" t="s">
        <v>135</v>
      </c>
      <c r="E45" s="365" t="s">
        <v>136</v>
      </c>
      <c r="F45" s="368" t="s">
        <v>120</v>
      </c>
    </row>
    <row r="46" spans="2:11" x14ac:dyDescent="0.3">
      <c r="B46" s="362" t="s">
        <v>133</v>
      </c>
      <c r="C46" s="345">
        <v>5947000</v>
      </c>
      <c r="D46" s="345">
        <v>7070710000</v>
      </c>
      <c r="E46" s="345">
        <v>2396903000</v>
      </c>
      <c r="F46" s="345">
        <f xml:space="preserve"> D46 + C46 - E46</f>
        <v>4679754000</v>
      </c>
    </row>
    <row r="47" spans="2:11" ht="17.25" thickBot="1" x14ac:dyDescent="0.35"/>
    <row r="48" spans="2:11" ht="66.75" thickBot="1" x14ac:dyDescent="0.35">
      <c r="B48" s="364" t="s">
        <v>142</v>
      </c>
      <c r="C48" s="369" t="s">
        <v>137</v>
      </c>
      <c r="D48" s="370" t="s">
        <v>138</v>
      </c>
    </row>
    <row r="49" spans="2:4" x14ac:dyDescent="0.3">
      <c r="B49" s="297" t="s">
        <v>133</v>
      </c>
      <c r="C49" s="217">
        <f xml:space="preserve"> F46 / C43 * 100</f>
        <v>78.650323121923151</v>
      </c>
      <c r="D49" s="15">
        <f>(C46-F46)/C46 *100</f>
        <v>-78591.003867496212</v>
      </c>
    </row>
  </sheetData>
  <mergeCells count="30">
    <mergeCell ref="K27:K29"/>
    <mergeCell ref="K30:K31"/>
    <mergeCell ref="K32:K33"/>
    <mergeCell ref="I30:I31"/>
    <mergeCell ref="J30:J31"/>
    <mergeCell ref="B32:B33"/>
    <mergeCell ref="C32:C33"/>
    <mergeCell ref="G32:G33"/>
    <mergeCell ref="H32:H33"/>
    <mergeCell ref="I32:I33"/>
    <mergeCell ref="J32:J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I17" sqref="I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34"/>
      <c r="C1" s="334"/>
    </row>
    <row r="2" spans="2:18" x14ac:dyDescent="0.3">
      <c r="B2" s="333" t="s">
        <v>76</v>
      </c>
      <c r="C2" s="333"/>
      <c r="E2" s="330" t="s">
        <v>76</v>
      </c>
      <c r="F2" s="331"/>
      <c r="G2" s="331"/>
      <c r="H2" s="332"/>
      <c r="J2" s="330" t="s">
        <v>117</v>
      </c>
      <c r="K2" s="331"/>
      <c r="L2" s="331"/>
      <c r="M2" s="332"/>
      <c r="O2" s="330" t="s">
        <v>118</v>
      </c>
      <c r="P2" s="331"/>
      <c r="Q2" s="331"/>
      <c r="R2" s="332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277" t="s">
        <v>19</v>
      </c>
      <c r="H3" s="277" t="s">
        <v>22</v>
      </c>
      <c r="J3" s="277" t="s">
        <v>18</v>
      </c>
      <c r="K3" s="277" t="s">
        <v>14</v>
      </c>
      <c r="L3" s="277" t="s">
        <v>19</v>
      </c>
      <c r="M3" s="277" t="s">
        <v>22</v>
      </c>
      <c r="O3" s="277" t="s">
        <v>18</v>
      </c>
      <c r="P3" s="277" t="s">
        <v>14</v>
      </c>
      <c r="Q3" s="277" t="s">
        <v>19</v>
      </c>
      <c r="R3" s="277" t="s">
        <v>22</v>
      </c>
    </row>
    <row r="4" spans="2:18" x14ac:dyDescent="0.3">
      <c r="B4" s="5">
        <v>1</v>
      </c>
      <c r="C4" s="9">
        <v>85421</v>
      </c>
      <c r="E4" s="5">
        <v>1</v>
      </c>
      <c r="F4" s="292">
        <v>6895968</v>
      </c>
      <c r="G4" s="292">
        <v>20436</v>
      </c>
      <c r="H4" s="293">
        <f t="shared" ref="H4:H14" si="0">ROUND((G4/IF(F4=0,1,F4))*100,2)</f>
        <v>0.3</v>
      </c>
      <c r="J4" s="276">
        <v>1</v>
      </c>
      <c r="K4" s="292">
        <v>0</v>
      </c>
      <c r="L4" s="292">
        <v>0</v>
      </c>
      <c r="M4" s="293">
        <f t="shared" ref="M4:M14" si="1">ROUND((L4/IF(K4=0,1,K4))*100,2)</f>
        <v>0</v>
      </c>
      <c r="O4" s="276">
        <v>1</v>
      </c>
      <c r="P4" s="292">
        <v>0</v>
      </c>
      <c r="Q4" s="292">
        <v>0</v>
      </c>
      <c r="R4" s="293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92">
        <v>2840710</v>
      </c>
      <c r="G5" s="292">
        <v>-263661</v>
      </c>
      <c r="H5" s="293">
        <f t="shared" si="0"/>
        <v>-9.2799999999999994</v>
      </c>
      <c r="J5" s="276">
        <v>2</v>
      </c>
      <c r="K5" s="292">
        <v>0</v>
      </c>
      <c r="L5" s="292">
        <v>0</v>
      </c>
      <c r="M5" s="293">
        <f t="shared" si="1"/>
        <v>0</v>
      </c>
      <c r="O5" s="276">
        <v>2</v>
      </c>
      <c r="P5" s="292">
        <v>0</v>
      </c>
      <c r="Q5" s="292">
        <v>0</v>
      </c>
      <c r="R5" s="293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92">
        <v>6714000</v>
      </c>
      <c r="G6" s="292">
        <v>-70497</v>
      </c>
      <c r="H6" s="293">
        <f t="shared" si="0"/>
        <v>-1.05</v>
      </c>
      <c r="J6" s="276">
        <v>3</v>
      </c>
      <c r="K6" s="292">
        <v>0</v>
      </c>
      <c r="L6" s="292">
        <v>0</v>
      </c>
      <c r="M6" s="293">
        <f t="shared" si="1"/>
        <v>0</v>
      </c>
      <c r="O6" s="276">
        <v>3</v>
      </c>
      <c r="P6" s="292">
        <v>0</v>
      </c>
      <c r="Q6" s="292">
        <v>0</v>
      </c>
      <c r="R6" s="293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92">
        <v>3403333</v>
      </c>
      <c r="G7" s="294">
        <v>-11231</v>
      </c>
      <c r="H7" s="293">
        <f t="shared" si="0"/>
        <v>-0.33</v>
      </c>
      <c r="J7" s="276">
        <v>4</v>
      </c>
      <c r="K7" s="292">
        <v>0</v>
      </c>
      <c r="L7" s="294">
        <v>0</v>
      </c>
      <c r="M7" s="293">
        <f t="shared" si="1"/>
        <v>0</v>
      </c>
      <c r="O7" s="276">
        <v>4</v>
      </c>
      <c r="P7" s="292">
        <v>0</v>
      </c>
      <c r="Q7" s="294">
        <v>0</v>
      </c>
      <c r="R7" s="293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92">
        <v>0</v>
      </c>
      <c r="G8" s="294">
        <v>0</v>
      </c>
      <c r="H8" s="293">
        <f t="shared" si="0"/>
        <v>0</v>
      </c>
      <c r="J8" s="276">
        <v>5</v>
      </c>
      <c r="K8" s="292">
        <v>0</v>
      </c>
      <c r="L8" s="294">
        <v>0</v>
      </c>
      <c r="M8" s="293">
        <f t="shared" si="1"/>
        <v>0</v>
      </c>
      <c r="O8" s="276">
        <v>5</v>
      </c>
      <c r="P8" s="292">
        <v>0</v>
      </c>
      <c r="Q8" s="294">
        <v>0</v>
      </c>
      <c r="R8" s="293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92">
        <v>0</v>
      </c>
      <c r="G9" s="292">
        <v>0</v>
      </c>
      <c r="H9" s="293">
        <f t="shared" si="0"/>
        <v>0</v>
      </c>
      <c r="J9" s="276">
        <v>6</v>
      </c>
      <c r="K9" s="292">
        <v>0</v>
      </c>
      <c r="L9" s="292">
        <v>0</v>
      </c>
      <c r="M9" s="293">
        <f t="shared" si="1"/>
        <v>0</v>
      </c>
      <c r="O9" s="276">
        <v>6</v>
      </c>
      <c r="P9" s="292">
        <v>0</v>
      </c>
      <c r="Q9" s="292">
        <v>0</v>
      </c>
      <c r="R9" s="293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92">
        <v>0</v>
      </c>
      <c r="G10" s="294">
        <v>0</v>
      </c>
      <c r="H10" s="293">
        <f t="shared" si="0"/>
        <v>0</v>
      </c>
      <c r="J10" s="276">
        <v>7</v>
      </c>
      <c r="K10" s="292">
        <v>0</v>
      </c>
      <c r="L10" s="294">
        <v>0</v>
      </c>
      <c r="M10" s="293">
        <f t="shared" si="1"/>
        <v>0</v>
      </c>
      <c r="O10" s="276">
        <v>7</v>
      </c>
      <c r="P10" s="292">
        <v>0</v>
      </c>
      <c r="Q10" s="294">
        <v>0</v>
      </c>
      <c r="R10" s="293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92">
        <v>0</v>
      </c>
      <c r="G11" s="294">
        <v>0</v>
      </c>
      <c r="H11" s="293">
        <f t="shared" si="0"/>
        <v>0</v>
      </c>
      <c r="J11" s="276">
        <v>8</v>
      </c>
      <c r="K11" s="292">
        <v>0</v>
      </c>
      <c r="L11" s="294">
        <v>0</v>
      </c>
      <c r="M11" s="293">
        <f t="shared" si="1"/>
        <v>0</v>
      </c>
      <c r="O11" s="276">
        <v>8</v>
      </c>
      <c r="P11" s="292">
        <v>0</v>
      </c>
      <c r="Q11" s="294">
        <v>0</v>
      </c>
      <c r="R11" s="293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92">
        <v>0</v>
      </c>
      <c r="G12" s="292">
        <v>0</v>
      </c>
      <c r="H12" s="293">
        <f t="shared" si="0"/>
        <v>0</v>
      </c>
      <c r="J12" s="8">
        <v>9</v>
      </c>
      <c r="K12" s="292">
        <v>0</v>
      </c>
      <c r="L12" s="292">
        <v>0</v>
      </c>
      <c r="M12" s="293">
        <f t="shared" si="1"/>
        <v>0</v>
      </c>
      <c r="O12" s="8">
        <v>9</v>
      </c>
      <c r="P12" s="292">
        <v>0</v>
      </c>
      <c r="Q12" s="292">
        <v>0</v>
      </c>
      <c r="R12" s="293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92">
        <v>0</v>
      </c>
      <c r="G13" s="294">
        <v>0</v>
      </c>
      <c r="H13" s="293">
        <f t="shared" si="0"/>
        <v>0</v>
      </c>
      <c r="J13" s="276">
        <v>10</v>
      </c>
      <c r="K13" s="292">
        <v>0</v>
      </c>
      <c r="L13" s="294">
        <v>0</v>
      </c>
      <c r="M13" s="293">
        <f t="shared" si="1"/>
        <v>0</v>
      </c>
      <c r="O13" s="276">
        <v>10</v>
      </c>
      <c r="P13" s="292">
        <v>0</v>
      </c>
      <c r="Q13" s="294">
        <v>0</v>
      </c>
      <c r="R13" s="293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78"/>
      <c r="F14" s="294">
        <f>SUM(F4:F13)/IF(COUNTIF(F4:F13,"&gt;1")=0,1,COUNTIF(F4:F13,"&gt;1"))</f>
        <v>4963502.75</v>
      </c>
      <c r="G14" s="294">
        <f>SUM(G4:G13)</f>
        <v>-324953</v>
      </c>
      <c r="H14" s="293">
        <f t="shared" si="0"/>
        <v>-6.55</v>
      </c>
      <c r="J14" s="278"/>
      <c r="K14" s="294">
        <f>SUM(K4:K13)/IF(COUNTIF(K4:K13,"&gt;1")=0,1,COUNTIF(K4:K13,"&gt;1"))</f>
        <v>0</v>
      </c>
      <c r="L14" s="294">
        <f>SUM(L4:L13)</f>
        <v>0</v>
      </c>
      <c r="M14" s="293">
        <f t="shared" si="1"/>
        <v>0</v>
      </c>
      <c r="O14" s="278"/>
      <c r="P14" s="294">
        <f>SUM(P4:P13)/IF(COUNTIF(P4:P13,"&gt;1")=0,1,COUNTIF(P4:P13,"&gt;1"))</f>
        <v>0</v>
      </c>
      <c r="Q14" s="294">
        <f>SUM(Q4:Q13)</f>
        <v>0</v>
      </c>
      <c r="R14" s="293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1.05</v>
      </c>
      <c r="C19">
        <f xml:space="preserve"> B19 /100</f>
        <v>1.0500000000000001E-2</v>
      </c>
    </row>
    <row r="20" spans="1:3" x14ac:dyDescent="0.3">
      <c r="A20" t="s">
        <v>144</v>
      </c>
      <c r="B20">
        <v>70497</v>
      </c>
      <c r="C20">
        <f xml:space="preserve"> B20 / C19</f>
        <v>6714000</v>
      </c>
    </row>
    <row r="22" spans="1:3" x14ac:dyDescent="0.3">
      <c r="B22">
        <v>0.33</v>
      </c>
      <c r="C22">
        <f xml:space="preserve"> B22 /100</f>
        <v>3.3E-3</v>
      </c>
    </row>
    <row r="23" spans="1:3" x14ac:dyDescent="0.3">
      <c r="B23">
        <v>11231</v>
      </c>
      <c r="C23">
        <f xml:space="preserve"> B23 / C22</f>
        <v>3403333.3333333335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67</v>
      </c>
      <c r="B18" s="19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tabSelected="1"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3" t="s">
        <v>71</v>
      </c>
      <c r="C2" s="333"/>
      <c r="E2" s="333" t="s">
        <v>72</v>
      </c>
      <c r="F2" s="333"/>
      <c r="H2" s="333" t="s">
        <v>73</v>
      </c>
      <c r="I2" s="333"/>
      <c r="K2" s="333" t="s">
        <v>74</v>
      </c>
      <c r="L2" s="333"/>
      <c r="N2" s="333" t="s">
        <v>75</v>
      </c>
      <c r="O2" s="333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</vt:lpstr>
      <vt:lpstr>생활패턴</vt:lpstr>
      <vt:lpstr>내자산</vt:lpstr>
      <vt:lpstr>단타일지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2023-02-03T07:48:07Z</dcterms:modified>
</cp:coreProperties>
</file>