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646F99F1-F6E3-4EB1-87C4-888646BED863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시나리오_old" sheetId="7" r:id="rId1"/>
    <sheet name="시나리오" sheetId="4" r:id="rId2"/>
    <sheet name="일정확인" sheetId="10" r:id="rId3"/>
    <sheet name="내자산" sheetId="11" r:id="rId4"/>
    <sheet name="단타일지" sheetId="9" r:id="rId5"/>
    <sheet name="생활패턴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5" l="1"/>
  <c r="Q12" i="5"/>
  <c r="J23" i="11" l="1"/>
  <c r="K23" i="11" s="1"/>
  <c r="J24" i="11"/>
  <c r="J25" i="11"/>
  <c r="J26" i="11"/>
  <c r="J27" i="11"/>
  <c r="K27" i="11" s="1"/>
  <c r="K24" i="11"/>
  <c r="K25" i="11"/>
  <c r="K26" i="11"/>
  <c r="K22" i="11"/>
  <c r="J22" i="11"/>
  <c r="I24" i="11"/>
  <c r="I25" i="11"/>
  <c r="I26" i="11"/>
  <c r="I27" i="11"/>
  <c r="H24" i="11"/>
  <c r="H25" i="11"/>
  <c r="H26" i="11"/>
  <c r="H27" i="11"/>
  <c r="G27" i="11"/>
  <c r="G26" i="11"/>
  <c r="F27" i="11"/>
  <c r="F26" i="11"/>
  <c r="G25" i="11"/>
  <c r="G24" i="11"/>
  <c r="G23" i="11"/>
  <c r="H23" i="11" s="1"/>
  <c r="I23" i="11" s="1"/>
  <c r="F25" i="11"/>
  <c r="F24" i="11"/>
  <c r="F23" i="11"/>
  <c r="F22" i="11"/>
  <c r="K19" i="11"/>
  <c r="G22" i="11"/>
  <c r="H22" i="11" s="1"/>
  <c r="I22" i="11" s="1"/>
  <c r="R11" i="5" l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4" i="4" l="1"/>
  <c r="P14" i="4"/>
  <c r="Q14" i="4" s="1"/>
  <c r="K19" i="4" s="1"/>
  <c r="D23" i="4"/>
  <c r="D18" i="4"/>
  <c r="D22" i="4"/>
  <c r="D17" i="4"/>
  <c r="D15" i="4"/>
  <c r="D24" i="4"/>
  <c r="D19" i="4"/>
  <c r="D25" i="4"/>
  <c r="D21" i="4"/>
  <c r="D16" i="4"/>
  <c r="D20" i="4"/>
  <c r="D26" i="4"/>
  <c r="G14" i="5"/>
  <c r="Q10" i="5"/>
  <c r="R10" i="5" s="1"/>
  <c r="F15" i="4" l="1"/>
  <c r="H15" i="4" s="1"/>
  <c r="J15" i="4" s="1"/>
  <c r="F14" i="9"/>
  <c r="F17" i="9" s="1"/>
  <c r="Q9" i="5"/>
  <c r="R9" i="5" s="1"/>
  <c r="M26" i="4" l="1"/>
  <c r="F16" i="4"/>
  <c r="H16" i="4" s="1"/>
  <c r="J16" i="4" s="1"/>
  <c r="F16" i="9"/>
  <c r="C14" i="9"/>
  <c r="C16" i="9" s="1"/>
  <c r="F17" i="4" l="1"/>
  <c r="H17" i="4" s="1"/>
  <c r="J17" i="4" s="1"/>
  <c r="C17" i="9"/>
  <c r="Q8" i="5"/>
  <c r="R8" i="5" s="1"/>
  <c r="Q7" i="5"/>
  <c r="R7" i="5" s="1"/>
  <c r="F18" i="4" l="1"/>
  <c r="H18" i="4" s="1"/>
  <c r="J18" i="4" s="1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19" i="4" l="1"/>
  <c r="H19" i="4" s="1"/>
  <c r="J19" i="4" s="1"/>
  <c r="K15" i="7"/>
  <c r="M15" i="7"/>
  <c r="K14" i="7"/>
  <c r="Q5" i="5"/>
  <c r="R5" i="5" s="1"/>
  <c r="F20" i="4" l="1"/>
  <c r="H20" i="4" s="1"/>
  <c r="J20" i="4" s="1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1" i="4" l="1"/>
  <c r="H21" i="4" s="1"/>
  <c r="J21" i="4" s="1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2" i="4" l="1"/>
  <c r="H22" i="4" s="1"/>
  <c r="J22" i="4" s="1"/>
  <c r="M27" i="7"/>
  <c r="K26" i="7"/>
  <c r="K27" i="7"/>
  <c r="F23" i="4" l="1"/>
  <c r="H23" i="4" s="1"/>
  <c r="J23" i="4" s="1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4" i="4" l="1"/>
  <c r="H24" i="4" s="1"/>
  <c r="J24" i="4" s="1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5" i="4" l="1"/>
  <c r="H25" i="4" s="1"/>
  <c r="J25" i="4" s="1"/>
  <c r="K39" i="7"/>
  <c r="M39" i="7"/>
  <c r="K38" i="7"/>
  <c r="F26" i="4" l="1"/>
  <c r="H26" i="4" s="1"/>
  <c r="J26" i="4" s="1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N26" i="4" l="1"/>
  <c r="P27" i="4"/>
  <c r="I26" i="4"/>
  <c r="L26" i="4" s="1"/>
  <c r="N27" i="4" s="1"/>
  <c r="D29" i="4" s="1"/>
  <c r="P26" i="4"/>
  <c r="Q26" i="4" s="1"/>
  <c r="K31" i="4" s="1"/>
  <c r="R26" i="4"/>
  <c r="D36" i="4"/>
  <c r="D37" i="4"/>
  <c r="D27" i="4"/>
  <c r="D35" i="4"/>
  <c r="D28" i="4"/>
  <c r="D30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D38" i="4" l="1"/>
  <c r="D31" i="4"/>
  <c r="D34" i="4"/>
  <c r="D32" i="4"/>
  <c r="D33" i="4"/>
  <c r="F27" i="4"/>
  <c r="H27" i="4" s="1"/>
  <c r="J27" i="4" s="1"/>
  <c r="M51" i="7"/>
  <c r="K50" i="7"/>
  <c r="K51" i="7"/>
  <c r="M38" i="4" l="1"/>
  <c r="F28" i="4"/>
  <c r="H28" i="4" s="1"/>
  <c r="J28" i="4" s="1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9" i="4" s="1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30" i="4" s="1"/>
  <c r="K63" i="7"/>
  <c r="M63" i="7"/>
  <c r="K62" i="7"/>
  <c r="F31" i="4" l="1"/>
  <c r="H31" i="4" s="1"/>
  <c r="J31" i="4" s="1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2" i="4" s="1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3" i="4" s="1"/>
  <c r="M75" i="7"/>
  <c r="K74" i="7"/>
  <c r="K75" i="7"/>
  <c r="F34" i="4" l="1"/>
  <c r="H34" i="4" s="1"/>
  <c r="J34" i="4" s="1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5" i="4" s="1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6" i="4" s="1"/>
  <c r="M87" i="7"/>
  <c r="K86" i="7"/>
  <c r="K87" i="7"/>
  <c r="F37" i="4" l="1"/>
  <c r="H37" i="4" s="1"/>
  <c r="J37" i="4" s="1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8" i="4" s="1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I38" i="4" l="1"/>
  <c r="L38" i="4" s="1"/>
  <c r="N39" i="4" s="1"/>
  <c r="N38" i="4"/>
  <c r="P39" i="4"/>
  <c r="M99" i="7"/>
  <c r="K98" i="7"/>
  <c r="K99" i="7"/>
  <c r="D39" i="4" l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F39" i="4" l="1"/>
  <c r="M50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H39" i="4" l="1"/>
  <c r="J39" i="4" s="1"/>
  <c r="M111" i="7"/>
  <c r="K110" i="7"/>
  <c r="K111" i="7"/>
  <c r="F40" i="4" l="1"/>
  <c r="H40" i="4" s="1"/>
  <c r="J40" i="4" s="1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1" i="4" l="1"/>
  <c r="H41" i="4" s="1"/>
  <c r="J41" i="4" s="1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2" i="4" l="1"/>
  <c r="H42" i="4" s="1"/>
  <c r="J42" i="4" s="1"/>
  <c r="M123" i="7"/>
  <c r="K122" i="7"/>
  <c r="K123" i="7"/>
  <c r="F43" i="4" l="1"/>
  <c r="H43" i="4" s="1"/>
  <c r="J43" i="4" s="1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4" i="4" l="1"/>
  <c r="H44" i="4" s="1"/>
  <c r="J44" i="4" s="1"/>
  <c r="F45" i="4"/>
  <c r="H45" i="4" s="1"/>
  <c r="J45" i="4" s="1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6" i="4" l="1"/>
  <c r="H46" i="4" s="1"/>
  <c r="J46" i="4" s="1"/>
  <c r="M135" i="7"/>
  <c r="K134" i="7"/>
  <c r="K135" i="7"/>
  <c r="F47" i="4" l="1"/>
  <c r="H47" i="4" s="1"/>
  <c r="J47" i="4" s="1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8" i="4" l="1"/>
  <c r="H48" i="4" s="1"/>
  <c r="J48" i="4" s="1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9" i="4" l="1"/>
  <c r="H49" i="4" s="1"/>
  <c r="J49" i="4" s="1"/>
  <c r="M147" i="7"/>
  <c r="K146" i="7"/>
  <c r="K147" i="7"/>
  <c r="F50" i="4" l="1"/>
  <c r="H50" i="4" s="1"/>
  <c r="J50" i="4" s="1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I50" i="4" l="1"/>
  <c r="P51" i="4"/>
  <c r="N50" i="4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L50" i="4" l="1"/>
  <c r="N51" i="4" s="1"/>
  <c r="D59" i="4" s="1"/>
  <c r="D60" i="4"/>
  <c r="D55" i="4"/>
  <c r="D61" i="4"/>
  <c r="D53" i="4"/>
  <c r="D58" i="4"/>
  <c r="D62" i="4"/>
  <c r="D52" i="4"/>
  <c r="R50" i="4"/>
  <c r="P50" i="4"/>
  <c r="Q50" i="4" s="1"/>
  <c r="K55" i="4" s="1"/>
  <c r="M159" i="7"/>
  <c r="K158" i="7"/>
  <c r="K159" i="7"/>
  <c r="D56" i="4" l="1"/>
  <c r="D54" i="4"/>
  <c r="D57" i="4"/>
  <c r="D51" i="4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F51" i="4" l="1"/>
  <c r="M62" i="4" s="1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H51" i="4" l="1"/>
  <c r="M171" i="7"/>
  <c r="K170" i="7"/>
  <c r="K171" i="7"/>
  <c r="F52" i="4" l="1"/>
  <c r="H52" i="4" s="1"/>
  <c r="J51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J52" i="4" l="1"/>
  <c r="F53" i="4"/>
  <c r="H53" i="4" s="1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J53" i="4" l="1"/>
  <c r="F54" i="4"/>
  <c r="H54" i="4" s="1"/>
  <c r="M183" i="7"/>
  <c r="K182" i="7"/>
  <c r="K183" i="7"/>
  <c r="J54" i="4" l="1"/>
  <c r="F55" i="4"/>
  <c r="H55" i="4" s="1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J55" i="4" l="1"/>
  <c r="F56" i="4"/>
  <c r="H56" i="4" s="1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J56" i="4" l="1"/>
  <c r="F57" i="4"/>
  <c r="H57" i="4" s="1"/>
  <c r="M195" i="7"/>
  <c r="K194" i="7"/>
  <c r="K195" i="7"/>
  <c r="J57" i="4" l="1"/>
  <c r="F58" i="4"/>
  <c r="H58" i="4" s="1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J58" i="4" l="1"/>
  <c r="F59" i="4"/>
  <c r="H59" i="4" s="1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J59" i="4" l="1"/>
  <c r="F60" i="4"/>
  <c r="H60" i="4" s="1"/>
  <c r="M207" i="7"/>
  <c r="K206" i="7"/>
  <c r="K207" i="7"/>
  <c r="J60" i="4" l="1"/>
  <c r="F61" i="4"/>
  <c r="H61" i="4" s="1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J61" i="4" l="1"/>
  <c r="F62" i="4"/>
  <c r="H62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J62" i="4" l="1"/>
  <c r="I62" i="4"/>
  <c r="L62" i="4" s="1"/>
  <c r="N63" i="4" s="1"/>
  <c r="P63" i="4"/>
  <c r="N62" i="4"/>
  <c r="D68" i="4"/>
  <c r="M219" i="7"/>
  <c r="K218" i="7"/>
  <c r="K219" i="7"/>
  <c r="P62" i="4" l="1"/>
  <c r="Q62" i="4" s="1"/>
  <c r="K67" i="4" s="1"/>
  <c r="R62" i="4"/>
  <c r="D66" i="4"/>
  <c r="D74" i="4"/>
  <c r="D73" i="4"/>
  <c r="D69" i="4"/>
  <c r="D70" i="4"/>
  <c r="D67" i="4"/>
  <c r="D71" i="4"/>
  <c r="D72" i="4"/>
  <c r="D63" i="4"/>
  <c r="D64" i="4"/>
  <c r="D65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3" i="4" l="1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H63" i="4" l="1"/>
  <c r="M74" i="4"/>
  <c r="M231" i="7"/>
  <c r="K230" i="7"/>
  <c r="K231" i="7"/>
  <c r="F64" i="4" l="1"/>
  <c r="H64" i="4" s="1"/>
  <c r="J63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5" i="4" l="1"/>
  <c r="H65" i="4" s="1"/>
  <c r="J64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J65" i="4" l="1"/>
  <c r="F66" i="4"/>
  <c r="H66" i="4" s="1"/>
  <c r="M243" i="7"/>
  <c r="K242" i="7"/>
  <c r="K243" i="7"/>
  <c r="J66" i="4" l="1"/>
  <c r="F67" i="4"/>
  <c r="H67" i="4" s="1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J67" i="4" l="1"/>
  <c r="F68" i="4"/>
  <c r="H68" i="4" s="1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J68" i="4" l="1"/>
  <c r="F69" i="4"/>
  <c r="H69" i="4" s="1"/>
  <c r="O254" i="7"/>
  <c r="M254" i="7"/>
  <c r="N254" i="7" s="1"/>
  <c r="J69" i="4" l="1"/>
  <c r="F70" i="4"/>
  <c r="H70" i="4" s="1"/>
  <c r="J70" i="4" l="1"/>
  <c r="F71" i="4"/>
  <c r="H71" i="4" s="1"/>
  <c r="J71" i="4" l="1"/>
  <c r="F72" i="4"/>
  <c r="H72" i="4" s="1"/>
  <c r="J72" i="4" l="1"/>
  <c r="F73" i="4"/>
  <c r="H73" i="4" s="1"/>
  <c r="J73" i="4" l="1"/>
  <c r="F74" i="4"/>
  <c r="H74" i="4" s="1"/>
  <c r="J74" i="4" l="1"/>
  <c r="N74" i="4"/>
  <c r="P75" i="4"/>
  <c r="I74" i="4"/>
  <c r="L74" i="4" s="1"/>
  <c r="N75" i="4" s="1"/>
  <c r="D82" i="4" l="1"/>
  <c r="D79" i="4"/>
  <c r="D77" i="4"/>
  <c r="D80" i="4"/>
  <c r="D83" i="4"/>
  <c r="D76" i="4"/>
  <c r="D85" i="4"/>
  <c r="D86" i="4"/>
  <c r="D75" i="4"/>
  <c r="D78" i="4"/>
  <c r="D84" i="4"/>
  <c r="D81" i="4"/>
  <c r="R74" i="4"/>
  <c r="P74" i="4"/>
  <c r="Q74" i="4" s="1"/>
  <c r="K79" i="4" s="1"/>
  <c r="F75" i="4" l="1"/>
  <c r="M86" i="4" l="1"/>
  <c r="H75" i="4"/>
  <c r="F76" i="4" l="1"/>
  <c r="H76" i="4" s="1"/>
  <c r="J75" i="4"/>
  <c r="F77" i="4" l="1"/>
  <c r="H77" i="4" s="1"/>
  <c r="J76" i="4"/>
  <c r="F78" i="4" l="1"/>
  <c r="H78" i="4" s="1"/>
  <c r="J77" i="4"/>
  <c r="J78" i="4" l="1"/>
  <c r="F79" i="4"/>
  <c r="H79" i="4" s="1"/>
  <c r="J79" i="4" l="1"/>
  <c r="F80" i="4"/>
  <c r="H80" i="4" s="1"/>
  <c r="J80" i="4" l="1"/>
  <c r="F81" i="4"/>
  <c r="H81" i="4" s="1"/>
  <c r="J81" i="4" l="1"/>
  <c r="F82" i="4"/>
  <c r="H82" i="4" s="1"/>
  <c r="J82" i="4" l="1"/>
  <c r="F83" i="4"/>
  <c r="H83" i="4" s="1"/>
  <c r="J83" i="4" l="1"/>
  <c r="F84" i="4"/>
  <c r="H84" i="4" s="1"/>
  <c r="J84" i="4" l="1"/>
  <c r="F85" i="4"/>
  <c r="H85" i="4" s="1"/>
  <c r="J85" i="4" l="1"/>
  <c r="F86" i="4"/>
  <c r="H86" i="4" s="1"/>
  <c r="J86" i="4" l="1"/>
  <c r="I86" i="4"/>
  <c r="L86" i="4" s="1"/>
  <c r="N87" i="4" s="1"/>
  <c r="P87" i="4"/>
  <c r="N86" i="4"/>
  <c r="P86" i="4" l="1"/>
  <c r="Q86" i="4" s="1"/>
  <c r="K91" i="4" s="1"/>
  <c r="R86" i="4"/>
  <c r="D97" i="4"/>
  <c r="D87" i="4"/>
  <c r="D95" i="4"/>
  <c r="D91" i="4"/>
  <c r="D88" i="4"/>
  <c r="D92" i="4"/>
  <c r="D96" i="4"/>
  <c r="D94" i="4"/>
  <c r="D90" i="4"/>
  <c r="D89" i="4"/>
  <c r="D93" i="4"/>
  <c r="D98" i="4"/>
  <c r="F87" i="4" l="1"/>
  <c r="H87" i="4" l="1"/>
  <c r="M98" i="4"/>
  <c r="F88" i="4" l="1"/>
  <c r="H88" i="4" s="1"/>
  <c r="J87" i="4"/>
  <c r="F89" i="4" l="1"/>
  <c r="H89" i="4" s="1"/>
  <c r="J88" i="4"/>
  <c r="F90" i="4" l="1"/>
  <c r="H90" i="4" s="1"/>
  <c r="J89" i="4"/>
  <c r="J90" i="4" l="1"/>
  <c r="F91" i="4"/>
  <c r="H91" i="4" s="1"/>
  <c r="J91" i="4" l="1"/>
  <c r="F92" i="4"/>
  <c r="H92" i="4" s="1"/>
  <c r="J92" i="4" l="1"/>
  <c r="F93" i="4"/>
  <c r="H93" i="4" s="1"/>
  <c r="J93" i="4" l="1"/>
  <c r="F94" i="4"/>
  <c r="H94" i="4" s="1"/>
  <c r="J94" i="4" l="1"/>
  <c r="F95" i="4"/>
  <c r="H95" i="4" s="1"/>
  <c r="J95" i="4" l="1"/>
  <c r="F96" i="4"/>
  <c r="H96" i="4" s="1"/>
  <c r="J96" i="4" l="1"/>
  <c r="F97" i="4"/>
  <c r="H97" i="4" s="1"/>
  <c r="J97" i="4" l="1"/>
  <c r="F98" i="4"/>
  <c r="H98" i="4" s="1"/>
  <c r="J98" i="4" l="1"/>
  <c r="I98" i="4"/>
  <c r="L98" i="4" s="1"/>
  <c r="N99" i="4" s="1"/>
  <c r="N98" i="4"/>
  <c r="P99" i="4"/>
  <c r="P98" i="4" l="1"/>
  <c r="Q98" i="4" s="1"/>
  <c r="K103" i="4" s="1"/>
  <c r="R98" i="4"/>
  <c r="D102" i="4"/>
  <c r="D104" i="4"/>
  <c r="D99" i="4"/>
  <c r="D100" i="4"/>
  <c r="D101" i="4"/>
  <c r="D109" i="4"/>
  <c r="D108" i="4"/>
  <c r="D103" i="4"/>
  <c r="D106" i="4"/>
  <c r="D105" i="4"/>
  <c r="D110" i="4"/>
  <c r="D107" i="4"/>
  <c r="F99" i="4" l="1"/>
  <c r="H99" i="4" l="1"/>
  <c r="M110" i="4"/>
  <c r="F100" i="4" l="1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J104" i="4" l="1"/>
  <c r="F105" i="4"/>
  <c r="H105" i="4" s="1"/>
  <c r="J105" i="4" l="1"/>
  <c r="F106" i="4"/>
  <c r="H106" i="4" s="1"/>
  <c r="J106" i="4" l="1"/>
  <c r="F107" i="4"/>
  <c r="H107" i="4" s="1"/>
  <c r="J107" i="4" l="1"/>
  <c r="F108" i="4"/>
  <c r="H108" i="4" s="1"/>
  <c r="J108" i="4" l="1"/>
  <c r="F109" i="4"/>
  <c r="H109" i="4" s="1"/>
  <c r="J109" i="4" l="1"/>
  <c r="F110" i="4"/>
  <c r="H110" i="4" s="1"/>
  <c r="J110" i="4" l="1"/>
  <c r="P111" i="4"/>
  <c r="N110" i="4"/>
  <c r="I110" i="4"/>
  <c r="L110" i="4" s="1"/>
  <c r="N111" i="4" s="1"/>
  <c r="D121" i="4" l="1"/>
  <c r="D112" i="4"/>
  <c r="D122" i="4"/>
  <c r="D116" i="4"/>
  <c r="D117" i="4"/>
  <c r="D114" i="4"/>
  <c r="D115" i="4"/>
  <c r="D111" i="4"/>
  <c r="D119" i="4"/>
  <c r="D118" i="4"/>
  <c r="D113" i="4"/>
  <c r="D120" i="4"/>
  <c r="P110" i="4"/>
  <c r="Q110" i="4" s="1"/>
  <c r="K115" i="4" s="1"/>
  <c r="R110" i="4"/>
  <c r="F111" i="4" l="1"/>
  <c r="H111" i="4" l="1"/>
  <c r="M122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J116" i="4" l="1"/>
  <c r="F117" i="4"/>
  <c r="H117" i="4" s="1"/>
  <c r="J117" i="4" l="1"/>
  <c r="F118" i="4"/>
  <c r="H118" i="4" s="1"/>
  <c r="J118" i="4" l="1"/>
  <c r="F119" i="4"/>
  <c r="H119" i="4" s="1"/>
  <c r="J119" i="4" l="1"/>
  <c r="F120" i="4"/>
  <c r="H120" i="4" s="1"/>
  <c r="J120" i="4" l="1"/>
  <c r="F121" i="4"/>
  <c r="H121" i="4" s="1"/>
  <c r="J121" i="4" l="1"/>
  <c r="F122" i="4"/>
  <c r="H122" i="4" s="1"/>
  <c r="J122" i="4" l="1"/>
  <c r="I122" i="4"/>
  <c r="L122" i="4" s="1"/>
  <c r="N123" i="4" s="1"/>
  <c r="N122" i="4"/>
  <c r="P123" i="4"/>
  <c r="D131" i="4" l="1"/>
  <c r="D130" i="4"/>
  <c r="D125" i="4"/>
  <c r="D133" i="4"/>
  <c r="D126" i="4"/>
  <c r="D123" i="4"/>
  <c r="D129" i="4"/>
  <c r="D124" i="4"/>
  <c r="D134" i="4"/>
  <c r="D128" i="4"/>
  <c r="D132" i="4"/>
  <c r="D127" i="4"/>
  <c r="P122" i="4"/>
  <c r="Q122" i="4" s="1"/>
  <c r="K127" i="4" s="1"/>
  <c r="R122" i="4"/>
  <c r="F123" i="4" l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J129" i="4" l="1"/>
  <c r="F130" i="4"/>
  <c r="H130" i="4" s="1"/>
  <c r="J130" i="4" l="1"/>
  <c r="F131" i="4"/>
  <c r="H131" i="4" s="1"/>
  <c r="J131" i="4" l="1"/>
  <c r="F132" i="4"/>
  <c r="H132" i="4" s="1"/>
  <c r="J132" i="4" l="1"/>
  <c r="F133" i="4"/>
  <c r="H133" i="4" s="1"/>
  <c r="J133" i="4" l="1"/>
  <c r="F134" i="4"/>
  <c r="H134" i="4" s="1"/>
  <c r="J134" i="4" l="1"/>
  <c r="I134" i="4"/>
  <c r="L134" i="4" s="1"/>
  <c r="N135" i="4" s="1"/>
  <c r="P135" i="4"/>
  <c r="N134" i="4"/>
  <c r="R134" i="4" l="1"/>
  <c r="P134" i="4"/>
  <c r="Q134" i="4" s="1"/>
  <c r="K139" i="4" s="1"/>
  <c r="D143" i="4"/>
  <c r="D142" i="4"/>
  <c r="D141" i="4"/>
  <c r="D144" i="4"/>
  <c r="D139" i="4"/>
  <c r="D140" i="4"/>
  <c r="D138" i="4"/>
  <c r="D145" i="4"/>
  <c r="D137" i="4"/>
  <c r="D135" i="4"/>
  <c r="D146" i="4"/>
  <c r="D136" i="4"/>
  <c r="F135" i="4" l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J142" i="4" l="1"/>
  <c r="F143" i="4"/>
  <c r="H143" i="4" s="1"/>
  <c r="J143" i="4" l="1"/>
  <c r="F144" i="4"/>
  <c r="H144" i="4" s="1"/>
  <c r="J144" i="4" l="1"/>
  <c r="F145" i="4"/>
  <c r="H145" i="4" s="1"/>
  <c r="J145" i="4" l="1"/>
  <c r="F146" i="4"/>
  <c r="H146" i="4" s="1"/>
  <c r="J146" i="4" l="1"/>
  <c r="I146" i="4"/>
  <c r="L146" i="4" s="1"/>
  <c r="N147" i="4" s="1"/>
  <c r="P147" i="4"/>
  <c r="N146" i="4"/>
  <c r="D158" i="4" l="1"/>
  <c r="D147" i="4"/>
  <c r="D154" i="4"/>
  <c r="D155" i="4"/>
  <c r="D149" i="4"/>
  <c r="D153" i="4"/>
  <c r="D156" i="4"/>
  <c r="D151" i="4"/>
  <c r="D157" i="4"/>
  <c r="D150" i="4"/>
  <c r="D148" i="4"/>
  <c r="D152" i="4"/>
  <c r="R146" i="4"/>
  <c r="P146" i="4"/>
  <c r="Q146" i="4" s="1"/>
  <c r="K151" i="4" s="1"/>
  <c r="F147" i="4" l="1"/>
  <c r="M158" i="4" l="1"/>
  <c r="H147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J155" i="4" l="1"/>
  <c r="F156" i="4"/>
  <c r="H156" i="4" s="1"/>
  <c r="J156" i="4" l="1"/>
  <c r="F157" i="4"/>
  <c r="H157" i="4" s="1"/>
  <c r="J157" i="4" l="1"/>
  <c r="F158" i="4"/>
  <c r="H158" i="4" s="1"/>
  <c r="J158" i="4" l="1"/>
  <c r="I158" i="4"/>
  <c r="L158" i="4" s="1"/>
  <c r="N159" i="4" s="1"/>
  <c r="P159" i="4"/>
  <c r="N158" i="4"/>
  <c r="D159" i="4" l="1"/>
  <c r="D165" i="4"/>
  <c r="D166" i="4"/>
  <c r="D160" i="4"/>
  <c r="D170" i="4"/>
  <c r="D161" i="4"/>
  <c r="D164" i="4"/>
  <c r="D167" i="4"/>
  <c r="D168" i="4"/>
  <c r="D162" i="4"/>
  <c r="D163" i="4"/>
  <c r="D169" i="4"/>
  <c r="P158" i="4"/>
  <c r="Q158" i="4" s="1"/>
  <c r="K163" i="4" s="1"/>
  <c r="R158" i="4"/>
  <c r="F159" i="4" l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J168" i="4" l="1"/>
  <c r="F169" i="4"/>
  <c r="H169" i="4" s="1"/>
  <c r="J169" i="4" l="1"/>
  <c r="F170" i="4"/>
  <c r="H170" i="4" s="1"/>
  <c r="J170" i="4" l="1"/>
  <c r="P171" i="4"/>
  <c r="N170" i="4"/>
  <c r="I170" i="4"/>
  <c r="L170" i="4" s="1"/>
  <c r="N171" i="4" s="1"/>
  <c r="D175" i="4" l="1"/>
  <c r="D174" i="4"/>
  <c r="D172" i="4"/>
  <c r="D176" i="4"/>
  <c r="D178" i="4"/>
  <c r="D177" i="4"/>
  <c r="D171" i="4"/>
  <c r="D179" i="4"/>
  <c r="D173" i="4"/>
  <c r="D181" i="4"/>
  <c r="D182" i="4"/>
  <c r="D180" i="4"/>
  <c r="R170" i="4"/>
  <c r="P170" i="4"/>
  <c r="Q170" i="4" s="1"/>
  <c r="K175" i="4" s="1"/>
  <c r="F171" i="4" l="1"/>
  <c r="M182" i="4" l="1"/>
  <c r="H171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J181" i="4" l="1"/>
  <c r="F182" i="4"/>
  <c r="H182" i="4" s="1"/>
  <c r="J182" i="4" l="1"/>
  <c r="I182" i="4"/>
  <c r="L182" i="4" s="1"/>
  <c r="N183" i="4" s="1"/>
  <c r="N182" i="4"/>
  <c r="P183" i="4"/>
  <c r="P182" i="4" l="1"/>
  <c r="Q182" i="4" s="1"/>
  <c r="K187" i="4" s="1"/>
  <c r="R182" i="4"/>
  <c r="D187" i="4"/>
  <c r="D183" i="4"/>
  <c r="D193" i="4"/>
  <c r="D190" i="4"/>
  <c r="D191" i="4"/>
  <c r="D194" i="4"/>
  <c r="D192" i="4"/>
  <c r="D184" i="4"/>
  <c r="D188" i="4"/>
  <c r="D186" i="4"/>
  <c r="D189" i="4"/>
  <c r="D185" i="4"/>
  <c r="F183" i="4" l="1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J194" i="4" l="1"/>
  <c r="I194" i="4"/>
  <c r="L194" i="4" s="1"/>
  <c r="N194" i="4"/>
  <c r="R194" i="4" l="1"/>
  <c r="P194" i="4"/>
  <c r="Q194" i="4" s="1"/>
</calcChain>
</file>

<file path=xl/sharedStrings.xml><?xml version="1.0" encoding="utf-8"?>
<sst xmlns="http://schemas.openxmlformats.org/spreadsheetml/2006/main" count="207" uniqueCount="178">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</sst>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"/>
    <numFmt numFmtId="177" formatCode="&quot;₩&quot;#,##0_);[Red]\(&quot;₩&quot;#,##0\)"/>
    <numFmt numFmtId="178" formatCode="&quot;₩&quot;#,##0.00"/>
    <numFmt numFmtId="179" formatCode="0_ "/>
    <numFmt numFmtId="180" formatCode="#,##0.00000_ "/>
    <numFmt numFmtId="181" formatCode="0.00000_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40" borderId="1" xfId="0" applyNumberFormat="1" applyFont="1" applyFill="1" applyBorder="1" applyAlignment="1">
      <alignment horizontal="center" vertical="center" wrapText="1"/>
    </xf>
    <xf numFmtId="49" fontId="21" fillId="40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0" fontId="0" fillId="0" borderId="5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39" borderId="15" xfId="0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177" fontId="0" fillId="41" borderId="4" xfId="0" applyNumberFormat="1" applyFill="1" applyBorder="1">
      <alignment vertical="center"/>
    </xf>
    <xf numFmtId="177" fontId="0" fillId="41" borderId="1" xfId="0" applyNumberFormat="1" applyFill="1" applyBorder="1">
      <alignment vertical="center"/>
    </xf>
    <xf numFmtId="0" fontId="0" fillId="41" borderId="5" xfId="0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82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82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82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82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82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82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82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82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82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82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82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82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82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82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82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82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82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82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82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82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82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82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82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82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82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82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82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82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82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82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82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82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82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82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82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82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82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82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82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82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82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82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82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82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82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82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82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82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82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82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82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82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82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82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82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82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82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82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82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82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82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82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82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82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82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82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82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82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82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82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82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82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82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82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82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82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82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82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82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82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82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82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82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82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82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82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82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82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82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82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82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82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82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82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82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82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82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82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82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82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82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82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82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82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82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82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82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82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82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82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82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82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82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82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82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82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82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82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82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82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82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82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82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82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82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82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82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82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82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82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82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82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81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81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81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81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81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81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81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81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81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81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81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81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81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81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81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81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81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81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81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81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81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81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81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81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81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81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81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81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81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81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81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81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81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81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81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81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81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81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81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81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81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81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81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81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81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81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81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81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81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81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81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81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81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81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81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81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81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81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81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81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80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80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80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80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80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80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80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80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80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80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80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80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80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80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80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80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80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80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80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80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80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80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80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80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80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80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80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80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80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80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80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80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80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80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80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80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80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80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80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80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80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80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80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80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80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80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80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80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80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80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80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80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80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80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80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80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80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80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80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80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topLeftCell="A4" workbookViewId="0">
      <selection activeCell="K12" sqref="K12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82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82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82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82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82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82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82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82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82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86" customFormat="1" x14ac:dyDescent="0.3">
      <c r="B12" s="82"/>
      <c r="C12" s="86">
        <v>10</v>
      </c>
      <c r="D12" s="87">
        <v>4500000</v>
      </c>
      <c r="E12" s="87">
        <f xml:space="preserve"> (E11 + 400000) + ((E11 + 400000) * G12 )</f>
        <v>4132820.51</v>
      </c>
      <c r="F12" s="87">
        <f t="shared" si="0"/>
        <v>15457825.786114551</v>
      </c>
      <c r="G12" s="86">
        <v>-0.09</v>
      </c>
      <c r="H12" s="87">
        <f t="shared" si="1"/>
        <v>14066621.465364242</v>
      </c>
      <c r="I12" s="87"/>
      <c r="J12" s="87"/>
      <c r="K12" s="88">
        <v>3700000</v>
      </c>
      <c r="L12" s="89"/>
      <c r="M12" s="90"/>
      <c r="S12" s="87"/>
    </row>
    <row r="13" spans="1:19" s="42" customFormat="1" x14ac:dyDescent="0.3">
      <c r="B13" s="82"/>
      <c r="C13" s="42">
        <v>11</v>
      </c>
      <c r="D13" s="41">
        <v>2500000</v>
      </c>
      <c r="E13" s="41">
        <f xml:space="preserve"> (E12 + 400000) + ((E12 + 400000) * G13 )</f>
        <v>4614411.2791799996</v>
      </c>
      <c r="F13" s="41">
        <f t="shared" si="0"/>
        <v>16566621.465364242</v>
      </c>
      <c r="G13" s="42">
        <v>1.7999999999999999E-2</v>
      </c>
      <c r="H13" s="41">
        <f t="shared" si="1"/>
        <v>16864820.651740797</v>
      </c>
      <c r="I13" s="41"/>
      <c r="J13" s="41"/>
      <c r="K13" s="49">
        <v>0</v>
      </c>
      <c r="L13" s="43"/>
      <c r="M13" s="57"/>
      <c r="S13" s="41"/>
    </row>
    <row r="14" spans="1:19" s="18" customFormat="1" x14ac:dyDescent="0.3">
      <c r="B14" s="82"/>
      <c r="C14" s="18">
        <v>12</v>
      </c>
      <c r="D14" s="19">
        <v>2500000</v>
      </c>
      <c r="E14" s="19">
        <f t="shared" ref="E14:E77" si="2" xml:space="preserve"> (E13 + 400000) + ((E13 + 400000) * G14 )</f>
        <v>5104670.6822052393</v>
      </c>
      <c r="F14" s="19">
        <f t="shared" si="0"/>
        <v>19364820.651740797</v>
      </c>
      <c r="G14" s="18">
        <v>1.7999999999999999E-2</v>
      </c>
      <c r="H14" s="19">
        <f t="shared" si="1"/>
        <v>19713387.423472133</v>
      </c>
      <c r="I14" s="19">
        <f xml:space="preserve"> H14 - E14</f>
        <v>14608716.741266893</v>
      </c>
      <c r="J14" s="19"/>
      <c r="K14" s="50">
        <v>0</v>
      </c>
      <c r="L14" s="20">
        <f xml:space="preserve"> I14 / 2</f>
        <v>7304358.3706334466</v>
      </c>
      <c r="M14" s="58">
        <f xml:space="preserve"> (H2 + SUM(D3:D14)) - SUM(K3:K14)</f>
        <v>19363456</v>
      </c>
      <c r="N14" s="19">
        <f xml:space="preserve"> H14 - M14</f>
        <v>349931.42347213253</v>
      </c>
      <c r="O14" s="18">
        <v>0.84</v>
      </c>
      <c r="P14" s="19">
        <f xml:space="preserve"> N14 * O14</f>
        <v>293942.39571659133</v>
      </c>
      <c r="Q14" s="19">
        <f xml:space="preserve"> N14 - P14</f>
        <v>55989.027755541203</v>
      </c>
      <c r="R14" s="18">
        <f xml:space="preserve"> N14 / M14 * 100</f>
        <v>1.8071744190300147</v>
      </c>
      <c r="S14" s="19"/>
    </row>
    <row r="15" spans="1:19" s="8" customFormat="1" x14ac:dyDescent="0.3">
      <c r="A15" s="8">
        <v>2</v>
      </c>
      <c r="B15" s="82">
        <v>2023</v>
      </c>
      <c r="C15" s="8">
        <v>1</v>
      </c>
      <c r="D15" s="9">
        <f xml:space="preserve"> N15</f>
        <v>3108696.5308861206</v>
      </c>
      <c r="E15" s="41">
        <f t="shared" si="2"/>
        <v>5603754.7544849338</v>
      </c>
      <c r="F15" s="11">
        <f xml:space="preserve"> (I14 / 2) + D15 - K15</f>
        <v>10413054.901519567</v>
      </c>
      <c r="G15" s="8">
        <v>1.7999999999999999E-2</v>
      </c>
      <c r="H15" s="9">
        <f xml:space="preserve"> (F15 * G15) + F15</f>
        <v>10600489.889746919</v>
      </c>
      <c r="I15" s="9"/>
      <c r="J15" s="9">
        <f xml:space="preserve"> D15 + H15</f>
        <v>13709186.42063304</v>
      </c>
      <c r="K15" s="47">
        <v>0</v>
      </c>
      <c r="L15" s="10"/>
      <c r="M15" s="55"/>
      <c r="N15" s="11">
        <f xml:space="preserve"> (L14 / 12) +2500000</f>
        <v>3108696.5308861206</v>
      </c>
      <c r="P15" s="9">
        <f xml:space="preserve"> (H14 / 2 )</f>
        <v>9856693.7117360663</v>
      </c>
      <c r="S15" s="9"/>
    </row>
    <row r="16" spans="1:19" s="8" customFormat="1" x14ac:dyDescent="0.3">
      <c r="B16" s="82"/>
      <c r="C16" s="8">
        <v>2</v>
      </c>
      <c r="D16" s="9">
        <f xml:space="preserve"> N15</f>
        <v>3108696.5308861206</v>
      </c>
      <c r="E16" s="41">
        <f t="shared" si="2"/>
        <v>6111822.3400656627</v>
      </c>
      <c r="F16" s="9">
        <f t="shared" ref="F16:F26" si="3" xml:space="preserve"> H15 + D16 - K16</f>
        <v>13709186.42063304</v>
      </c>
      <c r="G16" s="8">
        <v>1.7999999999999999E-2</v>
      </c>
      <c r="H16" s="11">
        <f xml:space="preserve"> (F16 * G16) + F16</f>
        <v>13955951.776204435</v>
      </c>
      <c r="I16" s="9"/>
      <c r="J16" s="9">
        <f xml:space="preserve"> D16 + H16</f>
        <v>17064648.307090554</v>
      </c>
      <c r="K16" s="47">
        <v>0</v>
      </c>
      <c r="L16" s="10"/>
      <c r="M16" s="55"/>
      <c r="S16" s="9"/>
    </row>
    <row r="17" spans="1:19" s="8" customFormat="1" x14ac:dyDescent="0.3">
      <c r="B17" s="82"/>
      <c r="C17" s="8">
        <v>3</v>
      </c>
      <c r="D17" s="9">
        <f xml:space="preserve"> N15</f>
        <v>3108696.5308861206</v>
      </c>
      <c r="E17" s="41">
        <f t="shared" si="2"/>
        <v>6629035.1421868447</v>
      </c>
      <c r="F17" s="9">
        <f t="shared" si="3"/>
        <v>17064648.307090554</v>
      </c>
      <c r="G17" s="8">
        <v>1.7999999999999999E-2</v>
      </c>
      <c r="H17" s="9">
        <f xml:space="preserve"> (F17 * G17) + F17</f>
        <v>17371811.976618186</v>
      </c>
      <c r="I17" s="9"/>
      <c r="J17" s="9">
        <f t="shared" ref="J17:J80" si="4" xml:space="preserve"> D17 + H17</f>
        <v>20480508.507504307</v>
      </c>
      <c r="K17" s="47">
        <v>0</v>
      </c>
      <c r="L17" s="10"/>
      <c r="M17" s="55"/>
      <c r="S17" s="9"/>
    </row>
    <row r="18" spans="1:19" s="8" customFormat="1" x14ac:dyDescent="0.3">
      <c r="B18" s="82"/>
      <c r="C18" s="8">
        <v>4</v>
      </c>
      <c r="D18" s="9">
        <f xml:space="preserve"> N15</f>
        <v>3108696.5308861206</v>
      </c>
      <c r="E18" s="41">
        <f t="shared" si="2"/>
        <v>7155557.7747462075</v>
      </c>
      <c r="F18" s="9">
        <f t="shared" si="3"/>
        <v>20480508.507504307</v>
      </c>
      <c r="G18" s="8">
        <v>1.7999999999999999E-2</v>
      </c>
      <c r="H18" s="9">
        <f t="shared" ref="H18:H26" si="5" xml:space="preserve"> (F18 * G18) + F18</f>
        <v>20849157.660639383</v>
      </c>
      <c r="I18" s="9"/>
      <c r="J18" s="9">
        <f t="shared" si="4"/>
        <v>23957854.191525504</v>
      </c>
      <c r="K18" s="47">
        <v>0</v>
      </c>
      <c r="L18" s="10"/>
      <c r="M18" s="55"/>
      <c r="S18" s="9"/>
    </row>
    <row r="19" spans="1:19" s="8" customFormat="1" x14ac:dyDescent="0.3">
      <c r="B19" s="82"/>
      <c r="C19" s="8">
        <v>5</v>
      </c>
      <c r="D19" s="9">
        <f xml:space="preserve"> N15</f>
        <v>3108696.5308861206</v>
      </c>
      <c r="E19" s="41">
        <f t="shared" si="2"/>
        <v>7691557.8146916395</v>
      </c>
      <c r="F19" s="9">
        <f t="shared" si="3"/>
        <v>23901865.163769964</v>
      </c>
      <c r="G19" s="8">
        <v>1.7999999999999999E-2</v>
      </c>
      <c r="H19" s="9">
        <f t="shared" si="5"/>
        <v>24332098.736717824</v>
      </c>
      <c r="I19" s="9"/>
      <c r="J19" s="9">
        <f t="shared" si="4"/>
        <v>27440795.267603945</v>
      </c>
      <c r="K19" s="47">
        <f xml:space="preserve"> Q14</f>
        <v>55989.027755541203</v>
      </c>
      <c r="L19" s="10"/>
      <c r="M19" s="55"/>
      <c r="S19" s="9"/>
    </row>
    <row r="20" spans="1:19" s="8" customFormat="1" x14ac:dyDescent="0.3">
      <c r="B20" s="82"/>
      <c r="C20" s="8">
        <v>6</v>
      </c>
      <c r="D20" s="9">
        <f xml:space="preserve"> N15</f>
        <v>3108696.5308861206</v>
      </c>
      <c r="E20" s="41">
        <f t="shared" si="2"/>
        <v>8237205.8553560888</v>
      </c>
      <c r="F20" s="9">
        <f t="shared" si="3"/>
        <v>27440795.267603945</v>
      </c>
      <c r="G20" s="8">
        <v>1.7999999999999999E-2</v>
      </c>
      <c r="H20" s="9">
        <f t="shared" si="5"/>
        <v>27934729.582420815</v>
      </c>
      <c r="I20" s="9"/>
      <c r="J20" s="9">
        <f t="shared" si="4"/>
        <v>31043426.113306936</v>
      </c>
      <c r="K20" s="47">
        <v>0</v>
      </c>
      <c r="L20" s="10"/>
      <c r="M20" s="55"/>
      <c r="S20" s="9"/>
    </row>
    <row r="21" spans="1:19" s="8" customFormat="1" x14ac:dyDescent="0.3">
      <c r="B21" s="82"/>
      <c r="C21" s="8">
        <v>7</v>
      </c>
      <c r="D21" s="9">
        <f xml:space="preserve"> N15</f>
        <v>3108696.5308861206</v>
      </c>
      <c r="E21" s="41">
        <f t="shared" si="2"/>
        <v>8792675.5607524998</v>
      </c>
      <c r="F21" s="9">
        <f t="shared" si="3"/>
        <v>31043426.113306936</v>
      </c>
      <c r="G21" s="8">
        <v>1.7999999999999999E-2</v>
      </c>
      <c r="H21" s="9">
        <f t="shared" si="5"/>
        <v>31602207.783346459</v>
      </c>
      <c r="I21" s="9"/>
      <c r="J21" s="9">
        <f t="shared" si="4"/>
        <v>34710904.31423258</v>
      </c>
      <c r="K21" s="47">
        <v>0</v>
      </c>
      <c r="L21" s="10"/>
      <c r="M21" s="55"/>
      <c r="S21" s="9"/>
    </row>
    <row r="22" spans="1:19" s="8" customFormat="1" x14ac:dyDescent="0.3">
      <c r="B22" s="82"/>
      <c r="C22" s="8">
        <v>8</v>
      </c>
      <c r="D22" s="9">
        <f xml:space="preserve"> N15</f>
        <v>3108696.5308861206</v>
      </c>
      <c r="E22" s="41">
        <f t="shared" si="2"/>
        <v>9358143.7208460458</v>
      </c>
      <c r="F22" s="9">
        <f t="shared" si="3"/>
        <v>34710904.31423258</v>
      </c>
      <c r="G22" s="8">
        <v>1.7999999999999999E-2</v>
      </c>
      <c r="H22" s="9">
        <f t="shared" si="5"/>
        <v>35335700.59188877</v>
      </c>
      <c r="I22" s="9"/>
      <c r="J22" s="9">
        <f t="shared" si="4"/>
        <v>38444397.122774892</v>
      </c>
      <c r="K22" s="47">
        <v>0</v>
      </c>
      <c r="L22" s="10"/>
      <c r="M22" s="55"/>
      <c r="S22" s="9"/>
    </row>
    <row r="23" spans="1:19" s="8" customFormat="1" x14ac:dyDescent="0.3">
      <c r="B23" s="82"/>
      <c r="C23" s="8">
        <v>9</v>
      </c>
      <c r="D23" s="9">
        <f xml:space="preserve"> N15</f>
        <v>3108696.5308861206</v>
      </c>
      <c r="E23" s="41">
        <f t="shared" si="2"/>
        <v>9933790.3078212738</v>
      </c>
      <c r="F23" s="9">
        <f t="shared" si="3"/>
        <v>38444397.122774892</v>
      </c>
      <c r="G23" s="8">
        <v>1.7999999999999999E-2</v>
      </c>
      <c r="H23" s="9">
        <f t="shared" si="5"/>
        <v>39136396.270984836</v>
      </c>
      <c r="I23" s="9"/>
      <c r="J23" s="9">
        <f t="shared" si="4"/>
        <v>42245092.801870957</v>
      </c>
      <c r="K23" s="47">
        <v>0</v>
      </c>
      <c r="L23" s="10"/>
      <c r="M23" s="55"/>
      <c r="S23" s="9"/>
    </row>
    <row r="24" spans="1:19" s="8" customFormat="1" x14ac:dyDescent="0.3">
      <c r="B24" s="82"/>
      <c r="C24" s="8">
        <v>10</v>
      </c>
      <c r="D24" s="9">
        <f xml:space="preserve"> N15</f>
        <v>3108696.5308861206</v>
      </c>
      <c r="E24" s="41">
        <f t="shared" si="2"/>
        <v>10519798.533362057</v>
      </c>
      <c r="F24" s="9">
        <f t="shared" si="3"/>
        <v>42245092.801870957</v>
      </c>
      <c r="G24" s="8">
        <v>1.7999999999999999E-2</v>
      </c>
      <c r="H24" s="9">
        <f t="shared" si="5"/>
        <v>43005504.472304635</v>
      </c>
      <c r="I24" s="9"/>
      <c r="J24" s="9">
        <f t="shared" si="4"/>
        <v>46114201.003190756</v>
      </c>
      <c r="K24" s="47">
        <v>0</v>
      </c>
      <c r="L24" s="10"/>
      <c r="M24" s="55"/>
      <c r="S24" s="9"/>
    </row>
    <row r="25" spans="1:19" s="8" customFormat="1" x14ac:dyDescent="0.3">
      <c r="B25" s="82"/>
      <c r="C25" s="8">
        <v>11</v>
      </c>
      <c r="D25" s="9">
        <f xml:space="preserve"> N15</f>
        <v>3108696.5308861206</v>
      </c>
      <c r="E25" s="41">
        <f t="shared" si="2"/>
        <v>11116354.906962574</v>
      </c>
      <c r="F25" s="9">
        <f t="shared" si="3"/>
        <v>46114201.003190756</v>
      </c>
      <c r="G25" s="8">
        <v>1.7999999999999999E-2</v>
      </c>
      <c r="H25" s="9">
        <f t="shared" si="5"/>
        <v>46944256.621248186</v>
      </c>
      <c r="I25" s="9"/>
      <c r="J25" s="9">
        <f t="shared" si="4"/>
        <v>50052953.152134307</v>
      </c>
      <c r="K25" s="47">
        <v>0</v>
      </c>
      <c r="L25" s="10"/>
      <c r="M25" s="55"/>
      <c r="S25" s="9"/>
    </row>
    <row r="26" spans="1:19" s="18" customFormat="1" x14ac:dyDescent="0.3">
      <c r="B26" s="82"/>
      <c r="C26" s="18">
        <v>12</v>
      </c>
      <c r="D26" s="19">
        <f xml:space="preserve"> N15</f>
        <v>3108696.5308861206</v>
      </c>
      <c r="E26" s="19">
        <f t="shared" si="2"/>
        <v>11723649.2952879</v>
      </c>
      <c r="F26" s="19">
        <f t="shared" si="3"/>
        <v>50052953.152134307</v>
      </c>
      <c r="G26" s="18">
        <v>1.7999999999999999E-2</v>
      </c>
      <c r="H26" s="19">
        <f t="shared" si="5"/>
        <v>50953906.308872722</v>
      </c>
      <c r="I26" s="19">
        <f xml:space="preserve"> H26</f>
        <v>50953906.308872722</v>
      </c>
      <c r="J26" s="9">
        <f t="shared" si="4"/>
        <v>54062602.839758843</v>
      </c>
      <c r="K26" s="50">
        <v>0</v>
      </c>
      <c r="L26" s="20">
        <f xml:space="preserve"> I26 / 2</f>
        <v>25476953.154436361</v>
      </c>
      <c r="M26" s="58">
        <f xml:space="preserve"> (F15 + SUM(D16:D26)) - SUM(K15:K26)</f>
        <v>44552727.713511348</v>
      </c>
      <c r="N26" s="19">
        <f xml:space="preserve"> H26 - M26</f>
        <v>6401178.5953613743</v>
      </c>
      <c r="O26" s="18">
        <v>0.84</v>
      </c>
      <c r="P26" s="19">
        <f xml:space="preserve"> N26 * O26</f>
        <v>5376990.0201035542</v>
      </c>
      <c r="Q26" s="19">
        <f xml:space="preserve"> N26 - P26</f>
        <v>1024188.5752578201</v>
      </c>
      <c r="R26" s="18">
        <f xml:space="preserve"> N26 / M26 * 100</f>
        <v>14.36764688466002</v>
      </c>
      <c r="S26" s="19"/>
    </row>
    <row r="27" spans="1:19" s="8" customFormat="1" x14ac:dyDescent="0.3">
      <c r="A27" s="8">
        <v>3</v>
      </c>
      <c r="B27" s="82">
        <v>2024</v>
      </c>
      <c r="C27" s="8">
        <v>1</v>
      </c>
      <c r="D27" s="9">
        <f>N27</f>
        <v>4623079.4295363631</v>
      </c>
      <c r="E27" s="41">
        <f t="shared" si="2"/>
        <v>12341874.982603082</v>
      </c>
      <c r="F27" s="11">
        <f xml:space="preserve"> (I26 / 2) + D27 - K27</f>
        <v>30100032.583972722</v>
      </c>
      <c r="G27" s="8">
        <v>1.7999999999999999E-2</v>
      </c>
      <c r="H27" s="9">
        <f xml:space="preserve"> (F27 * G27) + F27</f>
        <v>30641833.17048423</v>
      </c>
      <c r="I27" s="9"/>
      <c r="J27" s="9">
        <f t="shared" si="4"/>
        <v>35264912.600020595</v>
      </c>
      <c r="K27" s="47">
        <v>0</v>
      </c>
      <c r="L27" s="10"/>
      <c r="M27" s="55"/>
      <c r="N27" s="11">
        <f xml:space="preserve"> (L26 / 12) +2500000</f>
        <v>4623079.4295363631</v>
      </c>
      <c r="P27" s="9">
        <f xml:space="preserve"> (H26 / 2 )</f>
        <v>25476953.154436361</v>
      </c>
      <c r="S27" s="9"/>
    </row>
    <row r="28" spans="1:19" s="42" customFormat="1" x14ac:dyDescent="0.3">
      <c r="B28" s="82"/>
      <c r="C28" s="42">
        <v>2</v>
      </c>
      <c r="D28" s="41">
        <f>N27</f>
        <v>4623079.4295363631</v>
      </c>
      <c r="E28" s="41">
        <f t="shared" si="2"/>
        <v>12971228.732289938</v>
      </c>
      <c r="F28" s="41">
        <f t="shared" ref="F28:F38" si="6" xml:space="preserve"> H27 + D28 - K28</f>
        <v>35264912.600020595</v>
      </c>
      <c r="G28" s="42">
        <v>1.7999999999999999E-2</v>
      </c>
      <c r="H28" s="41">
        <f xml:space="preserve"> (F28 * G28) + F28</f>
        <v>35899681.026820965</v>
      </c>
      <c r="I28" s="41"/>
      <c r="J28" s="9">
        <f t="shared" si="4"/>
        <v>40522760.45635733</v>
      </c>
      <c r="K28" s="49">
        <v>0</v>
      </c>
      <c r="L28" s="43"/>
      <c r="M28" s="57"/>
      <c r="S28" s="41"/>
    </row>
    <row r="29" spans="1:19" s="8" customFormat="1" x14ac:dyDescent="0.3">
      <c r="B29" s="82"/>
      <c r="C29" s="8">
        <v>3</v>
      </c>
      <c r="D29" s="9">
        <f>N27</f>
        <v>4623079.4295363631</v>
      </c>
      <c r="E29" s="41">
        <f t="shared" si="2"/>
        <v>13611910.849471157</v>
      </c>
      <c r="F29" s="9">
        <f t="shared" si="6"/>
        <v>40522760.45635733</v>
      </c>
      <c r="G29" s="8">
        <v>1.7999999999999999E-2</v>
      </c>
      <c r="H29" s="9">
        <f xml:space="preserve"> (F29 * G29) + F29</f>
        <v>41252170.144571759</v>
      </c>
      <c r="I29" s="9"/>
      <c r="J29" s="9">
        <f t="shared" si="4"/>
        <v>45875249.574108124</v>
      </c>
      <c r="K29" s="47">
        <v>0</v>
      </c>
      <c r="L29" s="10"/>
      <c r="M29" s="55"/>
      <c r="S29" s="9"/>
    </row>
    <row r="30" spans="1:19" s="8" customFormat="1" x14ac:dyDescent="0.3">
      <c r="B30" s="82"/>
      <c r="C30" s="8">
        <v>4</v>
      </c>
      <c r="D30" s="9">
        <f>N27</f>
        <v>4623079.4295363631</v>
      </c>
      <c r="E30" s="41">
        <f t="shared" si="2"/>
        <v>14264125.244761638</v>
      </c>
      <c r="F30" s="9">
        <f t="shared" si="6"/>
        <v>45875249.574108124</v>
      </c>
      <c r="G30" s="8">
        <v>1.7999999999999999E-2</v>
      </c>
      <c r="H30" s="9">
        <f t="shared" ref="H30:H93" si="7" xml:space="preserve"> (F30 * G30) + F30</f>
        <v>46701004.066442072</v>
      </c>
      <c r="I30" s="9"/>
      <c r="J30" s="9">
        <f t="shared" si="4"/>
        <v>51324083.495978437</v>
      </c>
      <c r="K30" s="47">
        <v>0</v>
      </c>
      <c r="L30" s="10"/>
      <c r="M30" s="55"/>
      <c r="S30" s="9"/>
    </row>
    <row r="31" spans="1:19" s="8" customFormat="1" x14ac:dyDescent="0.3">
      <c r="B31" s="82"/>
      <c r="C31" s="8">
        <v>5</v>
      </c>
      <c r="D31" s="9">
        <f>N27</f>
        <v>4623079.4295363631</v>
      </c>
      <c r="E31" s="41">
        <f t="shared" si="2"/>
        <v>14928079.499167347</v>
      </c>
      <c r="F31" s="9">
        <f t="shared" si="6"/>
        <v>50299894.920720614</v>
      </c>
      <c r="G31" s="8">
        <v>1.7999999999999999E-2</v>
      </c>
      <c r="H31" s="9">
        <f t="shared" si="7"/>
        <v>51205293.029293582</v>
      </c>
      <c r="I31" s="9"/>
      <c r="J31" s="9">
        <f t="shared" si="4"/>
        <v>55828372.458829947</v>
      </c>
      <c r="K31" s="47">
        <f xml:space="preserve"> Q26</f>
        <v>1024188.5752578201</v>
      </c>
      <c r="L31" s="10"/>
      <c r="M31" s="55"/>
      <c r="S31" s="9"/>
    </row>
    <row r="32" spans="1:19" s="8" customFormat="1" x14ac:dyDescent="0.3">
      <c r="B32" s="82"/>
      <c r="C32" s="8">
        <v>6</v>
      </c>
      <c r="D32" s="9">
        <f>N27</f>
        <v>4623079.4295363631</v>
      </c>
      <c r="E32" s="41">
        <f t="shared" si="2"/>
        <v>15603984.93015236</v>
      </c>
      <c r="F32" s="9">
        <f t="shared" si="6"/>
        <v>55828372.458829947</v>
      </c>
      <c r="G32" s="8">
        <v>1.7999999999999999E-2</v>
      </c>
      <c r="H32" s="9">
        <f t="shared" si="7"/>
        <v>56833283.163088888</v>
      </c>
      <c r="I32" s="9"/>
      <c r="J32" s="9">
        <f t="shared" si="4"/>
        <v>61456362.592625253</v>
      </c>
      <c r="K32" s="47">
        <v>0</v>
      </c>
      <c r="L32" s="10"/>
      <c r="M32" s="55"/>
      <c r="S32" s="9"/>
    </row>
    <row r="33" spans="1:19" s="8" customFormat="1" x14ac:dyDescent="0.3">
      <c r="B33" s="82"/>
      <c r="C33" s="8">
        <v>7</v>
      </c>
      <c r="D33" s="9">
        <f>N27</f>
        <v>4623079.4295363631</v>
      </c>
      <c r="E33" s="41">
        <f t="shared" si="2"/>
        <v>16292056.658895103</v>
      </c>
      <c r="F33" s="9">
        <f t="shared" si="6"/>
        <v>61456362.592625253</v>
      </c>
      <c r="G33" s="8">
        <v>1.7999999999999999E-2</v>
      </c>
      <c r="H33" s="9">
        <f t="shared" si="7"/>
        <v>62562577.119292505</v>
      </c>
      <c r="I33" s="9"/>
      <c r="J33" s="9">
        <f t="shared" si="4"/>
        <v>67185656.54882887</v>
      </c>
      <c r="K33" s="47">
        <v>0</v>
      </c>
      <c r="L33" s="10"/>
      <c r="M33" s="55"/>
      <c r="S33" s="9"/>
    </row>
    <row r="34" spans="1:19" s="8" customFormat="1" x14ac:dyDescent="0.3">
      <c r="B34" s="82"/>
      <c r="C34" s="8">
        <v>8</v>
      </c>
      <c r="D34" s="9">
        <f>N27</f>
        <v>4623079.4295363631</v>
      </c>
      <c r="E34" s="41">
        <f t="shared" si="2"/>
        <v>16992513.678755216</v>
      </c>
      <c r="F34" s="9">
        <f t="shared" si="6"/>
        <v>67185656.54882887</v>
      </c>
      <c r="G34" s="8">
        <v>1.7999999999999999E-2</v>
      </c>
      <c r="H34" s="9">
        <f t="shared" si="7"/>
        <v>68394998.366707787</v>
      </c>
      <c r="I34" s="9"/>
      <c r="J34" s="9">
        <f t="shared" si="4"/>
        <v>73018077.796244144</v>
      </c>
      <c r="K34" s="47">
        <v>0</v>
      </c>
      <c r="L34" s="10"/>
      <c r="M34" s="55"/>
      <c r="S34" s="9"/>
    </row>
    <row r="35" spans="1:19" s="8" customFormat="1" x14ac:dyDescent="0.3">
      <c r="B35" s="82"/>
      <c r="C35" s="8">
        <v>9</v>
      </c>
      <c r="D35" s="9">
        <f>N27</f>
        <v>4623079.4295363631</v>
      </c>
      <c r="E35" s="41">
        <f t="shared" si="2"/>
        <v>17705578.92497281</v>
      </c>
      <c r="F35" s="9">
        <f t="shared" si="6"/>
        <v>73018077.796244144</v>
      </c>
      <c r="G35" s="8">
        <v>1.7999999999999999E-2</v>
      </c>
      <c r="H35" s="9">
        <f t="shared" si="7"/>
        <v>74332403.196576536</v>
      </c>
      <c r="I35" s="9"/>
      <c r="J35" s="9">
        <f t="shared" si="4"/>
        <v>78955482.626112893</v>
      </c>
      <c r="K35" s="47">
        <v>0</v>
      </c>
      <c r="L35" s="10"/>
      <c r="M35" s="55"/>
      <c r="S35" s="9"/>
    </row>
    <row r="36" spans="1:19" s="8" customFormat="1" x14ac:dyDescent="0.3">
      <c r="B36" s="82"/>
      <c r="C36" s="8">
        <v>10</v>
      </c>
      <c r="D36" s="9">
        <f>N27</f>
        <v>4623079.4295363631</v>
      </c>
      <c r="E36" s="41">
        <f t="shared" si="2"/>
        <v>18431479.34562232</v>
      </c>
      <c r="F36" s="9">
        <f t="shared" si="6"/>
        <v>78955482.626112893</v>
      </c>
      <c r="G36" s="8">
        <v>1.7999999999999999E-2</v>
      </c>
      <c r="H36" s="9">
        <f t="shared" si="7"/>
        <v>80376681.313382924</v>
      </c>
      <c r="I36" s="9"/>
      <c r="J36" s="9">
        <f t="shared" si="4"/>
        <v>84999760.742919281</v>
      </c>
      <c r="K36" s="47">
        <v>0</v>
      </c>
      <c r="L36" s="10"/>
      <c r="M36" s="55"/>
      <c r="S36" s="9"/>
    </row>
    <row r="37" spans="1:19" s="8" customFormat="1" x14ac:dyDescent="0.3">
      <c r="B37" s="82"/>
      <c r="C37" s="8">
        <v>11</v>
      </c>
      <c r="D37" s="9">
        <f>N27</f>
        <v>4623079.4295363631</v>
      </c>
      <c r="E37" s="41">
        <f t="shared" si="2"/>
        <v>19170445.973843522</v>
      </c>
      <c r="F37" s="9">
        <f t="shared" si="6"/>
        <v>84999760.742919281</v>
      </c>
      <c r="G37" s="8">
        <v>1.7999999999999999E-2</v>
      </c>
      <c r="H37" s="9">
        <f t="shared" si="7"/>
        <v>86529756.436291829</v>
      </c>
      <c r="I37" s="9"/>
      <c r="J37" s="9">
        <f t="shared" si="4"/>
        <v>91152835.865828186</v>
      </c>
      <c r="K37" s="47">
        <v>0</v>
      </c>
      <c r="L37" s="10"/>
      <c r="M37" s="55"/>
      <c r="S37" s="9"/>
    </row>
    <row r="38" spans="1:19" s="18" customFormat="1" x14ac:dyDescent="0.3">
      <c r="B38" s="82"/>
      <c r="C38" s="18">
        <v>12</v>
      </c>
      <c r="D38" s="19">
        <f>N27</f>
        <v>4623079.4295363631</v>
      </c>
      <c r="E38" s="19">
        <f t="shared" si="2"/>
        <v>19922714.001372706</v>
      </c>
      <c r="F38" s="19">
        <f t="shared" si="6"/>
        <v>91152835.865828186</v>
      </c>
      <c r="G38" s="18">
        <v>1.7999999999999999E-2</v>
      </c>
      <c r="H38" s="19">
        <f t="shared" si="7"/>
        <v>92793586.911413088</v>
      </c>
      <c r="I38" s="19">
        <f xml:space="preserve"> H38</f>
        <v>92793586.911413088</v>
      </c>
      <c r="J38" s="9">
        <f t="shared" si="4"/>
        <v>97416666.340949446</v>
      </c>
      <c r="K38" s="50">
        <v>0</v>
      </c>
      <c r="L38" s="20">
        <f xml:space="preserve"> I38 / 2</f>
        <v>46396793.455706544</v>
      </c>
      <c r="M38" s="58">
        <f xml:space="preserve"> (F27 + SUM(D28:D38)) - SUM(K27:K38)</f>
        <v>79929717.733614907</v>
      </c>
      <c r="N38" s="19">
        <f xml:space="preserve"> H38 - M38</f>
        <v>12863869.177798182</v>
      </c>
      <c r="O38" s="18">
        <v>0.84</v>
      </c>
      <c r="P38" s="19">
        <f xml:space="preserve"> N38 * O38</f>
        <v>10805650.109350473</v>
      </c>
      <c r="Q38" s="19">
        <f xml:space="preserve"> N38 - P38</f>
        <v>2058219.0684477091</v>
      </c>
      <c r="R38" s="18">
        <f xml:space="preserve"> N38 / M38 * 100</f>
        <v>16.0939754856512</v>
      </c>
      <c r="S38" s="19"/>
    </row>
    <row r="39" spans="1:19" s="8" customFormat="1" x14ac:dyDescent="0.3">
      <c r="A39" s="8">
        <v>4</v>
      </c>
      <c r="B39" s="82">
        <v>2025</v>
      </c>
      <c r="C39" s="8">
        <v>1</v>
      </c>
      <c r="D39" s="9">
        <f>N39</f>
        <v>6366399.454642212</v>
      </c>
      <c r="E39" s="41">
        <f t="shared" si="2"/>
        <v>20688522.853397414</v>
      </c>
      <c r="F39" s="9">
        <f xml:space="preserve"> (H38 / 2) + D39 - K39</f>
        <v>52763192.910348758</v>
      </c>
      <c r="G39" s="8">
        <v>1.7999999999999999E-2</v>
      </c>
      <c r="H39" s="9">
        <f t="shared" si="7"/>
        <v>53712930.382735036</v>
      </c>
      <c r="I39" s="9"/>
      <c r="J39" s="9">
        <f t="shared" si="4"/>
        <v>60079329.83737725</v>
      </c>
      <c r="K39" s="47">
        <v>0</v>
      </c>
      <c r="L39" s="10"/>
      <c r="M39" s="55"/>
      <c r="N39" s="11">
        <f xml:space="preserve"> (L38 / 12) +2500000</f>
        <v>6366399.454642212</v>
      </c>
      <c r="P39" s="9">
        <f xml:space="preserve"> (H38 / 2 )</f>
        <v>46396793.455706544</v>
      </c>
      <c r="S39" s="9"/>
    </row>
    <row r="40" spans="1:19" s="8" customFormat="1" x14ac:dyDescent="0.3">
      <c r="B40" s="82"/>
      <c r="C40" s="8">
        <v>2</v>
      </c>
      <c r="D40" s="9">
        <f>N39</f>
        <v>6366399.454642212</v>
      </c>
      <c r="E40" s="41">
        <f t="shared" si="2"/>
        <v>21468116.264758568</v>
      </c>
      <c r="F40" s="9">
        <f t="shared" ref="F40:F50" si="8" xml:space="preserve"> H39 + D40 - K40</f>
        <v>60079329.83737725</v>
      </c>
      <c r="G40" s="8">
        <v>1.7999999999999999E-2</v>
      </c>
      <c r="H40" s="9">
        <f t="shared" si="7"/>
        <v>61160757.774450041</v>
      </c>
      <c r="I40" s="9"/>
      <c r="J40" s="9">
        <f t="shared" si="4"/>
        <v>67527157.229092255</v>
      </c>
      <c r="K40" s="47">
        <v>0</v>
      </c>
      <c r="L40" s="10"/>
      <c r="M40" s="55"/>
      <c r="S40" s="9"/>
    </row>
    <row r="41" spans="1:19" s="8" customFormat="1" x14ac:dyDescent="0.3">
      <c r="B41" s="82"/>
      <c r="C41" s="8">
        <v>3</v>
      </c>
      <c r="D41" s="9">
        <f>N39</f>
        <v>6366399.454642212</v>
      </c>
      <c r="E41" s="41">
        <f t="shared" si="2"/>
        <v>22261742.357524224</v>
      </c>
      <c r="F41" s="9">
        <f t="shared" si="8"/>
        <v>67527157.229092255</v>
      </c>
      <c r="G41" s="8">
        <v>1.7999999999999999E-2</v>
      </c>
      <c r="H41" s="9">
        <f t="shared" si="7"/>
        <v>68742646.059215918</v>
      </c>
      <c r="I41" s="9"/>
      <c r="J41" s="9">
        <f t="shared" si="4"/>
        <v>75109045.513858125</v>
      </c>
      <c r="K41" s="47">
        <v>0</v>
      </c>
      <c r="L41" s="10"/>
      <c r="M41" s="55"/>
      <c r="S41" s="9"/>
    </row>
    <row r="42" spans="1:19" s="8" customFormat="1" x14ac:dyDescent="0.3">
      <c r="B42" s="82"/>
      <c r="C42" s="8">
        <v>4</v>
      </c>
      <c r="D42" s="9">
        <f>N39</f>
        <v>6366399.454642212</v>
      </c>
      <c r="E42" s="41">
        <f t="shared" si="2"/>
        <v>23069653.719959661</v>
      </c>
      <c r="F42" s="9">
        <f t="shared" si="8"/>
        <v>75109045.513858125</v>
      </c>
      <c r="G42" s="8">
        <v>1.7999999999999999E-2</v>
      </c>
      <c r="H42" s="9">
        <f t="shared" si="7"/>
        <v>76461008.333107576</v>
      </c>
      <c r="I42" s="9"/>
      <c r="J42" s="9">
        <f t="shared" si="4"/>
        <v>82827407.787749782</v>
      </c>
      <c r="K42" s="47">
        <v>0</v>
      </c>
      <c r="L42" s="10"/>
      <c r="M42" s="55"/>
      <c r="S42" s="9"/>
    </row>
    <row r="43" spans="1:19" s="8" customFormat="1" x14ac:dyDescent="0.3">
      <c r="B43" s="82"/>
      <c r="C43" s="8">
        <v>5</v>
      </c>
      <c r="D43" s="9">
        <f>N39</f>
        <v>6366399.454642212</v>
      </c>
      <c r="E43" s="41">
        <f t="shared" si="2"/>
        <v>23892107.486918934</v>
      </c>
      <c r="F43" s="9">
        <f t="shared" si="8"/>
        <v>80769188.719302073</v>
      </c>
      <c r="G43" s="8">
        <v>1.7999999999999999E-2</v>
      </c>
      <c r="H43" s="9">
        <f t="shared" si="7"/>
        <v>82223034.116249517</v>
      </c>
      <c r="I43" s="9"/>
      <c r="J43" s="9">
        <f t="shared" si="4"/>
        <v>88589433.570891723</v>
      </c>
      <c r="K43" s="47">
        <f xml:space="preserve"> Q38</f>
        <v>2058219.0684477091</v>
      </c>
      <c r="L43" s="10"/>
      <c r="M43" s="55"/>
      <c r="S43" s="9"/>
    </row>
    <row r="44" spans="1:19" s="8" customFormat="1" x14ac:dyDescent="0.3">
      <c r="B44" s="82"/>
      <c r="C44" s="8">
        <v>6</v>
      </c>
      <c r="D44" s="9">
        <f>N39</f>
        <v>6366399.454642212</v>
      </c>
      <c r="E44" s="41">
        <f t="shared" si="2"/>
        <v>24729365.421683475</v>
      </c>
      <c r="F44" s="9">
        <f t="shared" si="8"/>
        <v>88589433.570891723</v>
      </c>
      <c r="G44" s="8">
        <v>1.7999999999999999E-2</v>
      </c>
      <c r="H44" s="9">
        <f t="shared" si="7"/>
        <v>90184043.375167772</v>
      </c>
      <c r="I44" s="9"/>
      <c r="J44" s="9">
        <f t="shared" si="4"/>
        <v>96550442.829809979</v>
      </c>
      <c r="K44" s="47">
        <v>0</v>
      </c>
      <c r="L44" s="10"/>
      <c r="M44" s="55"/>
      <c r="S44" s="9"/>
    </row>
    <row r="45" spans="1:19" s="8" customFormat="1" x14ac:dyDescent="0.3">
      <c r="B45" s="82"/>
      <c r="C45" s="8">
        <v>7</v>
      </c>
      <c r="D45" s="9">
        <f>N39</f>
        <v>6366399.454642212</v>
      </c>
      <c r="E45" s="41">
        <f t="shared" si="2"/>
        <v>25581693.999273777</v>
      </c>
      <c r="F45" s="9">
        <f t="shared" si="8"/>
        <v>96550442.829809979</v>
      </c>
      <c r="G45" s="8">
        <v>1.7999999999999999E-2</v>
      </c>
      <c r="H45" s="9">
        <f t="shared" si="7"/>
        <v>98288350.80074656</v>
      </c>
      <c r="I45" s="9"/>
      <c r="J45" s="9">
        <f t="shared" si="4"/>
        <v>104654750.25538877</v>
      </c>
      <c r="K45" s="47">
        <v>0</v>
      </c>
      <c r="L45" s="10"/>
      <c r="M45" s="55"/>
      <c r="S45" s="9"/>
    </row>
    <row r="46" spans="1:19" s="8" customFormat="1" x14ac:dyDescent="0.3">
      <c r="B46" s="82"/>
      <c r="C46" s="8">
        <v>8</v>
      </c>
      <c r="D46" s="9">
        <f>N39</f>
        <v>6366399.454642212</v>
      </c>
      <c r="E46" s="41">
        <f t="shared" si="2"/>
        <v>26449364.491260704</v>
      </c>
      <c r="F46" s="9">
        <f t="shared" si="8"/>
        <v>104654750.25538877</v>
      </c>
      <c r="G46" s="8">
        <v>1.7999999999999999E-2</v>
      </c>
      <c r="H46" s="9">
        <f t="shared" si="7"/>
        <v>106538535.75998576</v>
      </c>
      <c r="I46" s="9"/>
      <c r="J46" s="9">
        <f t="shared" si="4"/>
        <v>112904935.21462797</v>
      </c>
      <c r="K46" s="47">
        <v>0</v>
      </c>
      <c r="L46" s="10"/>
      <c r="M46" s="55"/>
      <c r="S46" s="9"/>
    </row>
    <row r="47" spans="1:19" s="8" customFormat="1" x14ac:dyDescent="0.3">
      <c r="B47" s="82"/>
      <c r="C47" s="8">
        <v>9</v>
      </c>
      <c r="D47" s="9">
        <f>N39</f>
        <v>6366399.454642212</v>
      </c>
      <c r="E47" s="41">
        <f t="shared" si="2"/>
        <v>27332653.052103397</v>
      </c>
      <c r="F47" s="9">
        <f t="shared" si="8"/>
        <v>112904935.21462797</v>
      </c>
      <c r="G47" s="8">
        <v>1.7999999999999999E-2</v>
      </c>
      <c r="H47" s="9">
        <f t="shared" si="7"/>
        <v>114937224.04849127</v>
      </c>
      <c r="I47" s="9"/>
      <c r="J47" s="9">
        <f t="shared" si="4"/>
        <v>121303623.50313348</v>
      </c>
      <c r="K47" s="47">
        <v>0</v>
      </c>
      <c r="L47" s="10"/>
      <c r="M47" s="55"/>
      <c r="S47" s="9"/>
    </row>
    <row r="48" spans="1:19" s="8" customFormat="1" x14ac:dyDescent="0.3">
      <c r="B48" s="82"/>
      <c r="C48" s="8">
        <v>10</v>
      </c>
      <c r="D48" s="9">
        <f>N39</f>
        <v>6366399.454642212</v>
      </c>
      <c r="E48" s="41">
        <f t="shared" si="2"/>
        <v>28231840.807041258</v>
      </c>
      <c r="F48" s="9">
        <f t="shared" si="8"/>
        <v>121303623.50313348</v>
      </c>
      <c r="G48" s="8">
        <v>1.7999999999999999E-2</v>
      </c>
      <c r="H48" s="9">
        <f t="shared" si="7"/>
        <v>123487088.72618988</v>
      </c>
      <c r="I48" s="9"/>
      <c r="J48" s="9">
        <f t="shared" si="4"/>
        <v>129853488.18083209</v>
      </c>
      <c r="K48" s="47">
        <v>0</v>
      </c>
      <c r="L48" s="10"/>
      <c r="M48" s="55"/>
      <c r="S48" s="9"/>
    </row>
    <row r="49" spans="1:19" s="8" customFormat="1" x14ac:dyDescent="0.3">
      <c r="B49" s="82"/>
      <c r="C49" s="8">
        <v>11</v>
      </c>
      <c r="D49" s="9">
        <f>N39</f>
        <v>6366399.454642212</v>
      </c>
      <c r="E49" s="41">
        <f t="shared" si="2"/>
        <v>29147213.941568002</v>
      </c>
      <c r="F49" s="9">
        <f t="shared" si="8"/>
        <v>129853488.18083209</v>
      </c>
      <c r="G49" s="8">
        <v>1.7999999999999999E-2</v>
      </c>
      <c r="H49" s="9">
        <f t="shared" si="7"/>
        <v>132190850.96808706</v>
      </c>
      <c r="I49" s="9"/>
      <c r="J49" s="9">
        <f t="shared" si="4"/>
        <v>138557250.42272928</v>
      </c>
      <c r="K49" s="47">
        <v>0</v>
      </c>
      <c r="L49" s="10"/>
      <c r="M49" s="55"/>
      <c r="S49" s="9"/>
    </row>
    <row r="50" spans="1:19" s="18" customFormat="1" x14ac:dyDescent="0.3">
      <c r="B50" s="82"/>
      <c r="C50" s="18">
        <v>12</v>
      </c>
      <c r="D50" s="19">
        <f>N39</f>
        <v>6366399.454642212</v>
      </c>
      <c r="E50" s="19">
        <f t="shared" si="2"/>
        <v>30079063.792516228</v>
      </c>
      <c r="F50" s="19">
        <f t="shared" si="8"/>
        <v>138557250.42272928</v>
      </c>
      <c r="G50" s="18">
        <v>1.7999999999999999E-2</v>
      </c>
      <c r="H50" s="19">
        <f t="shared" si="7"/>
        <v>141051280.93033841</v>
      </c>
      <c r="I50" s="19">
        <f xml:space="preserve"> H50</f>
        <v>141051280.93033841</v>
      </c>
      <c r="J50" s="9">
        <f t="shared" si="4"/>
        <v>147417680.38498062</v>
      </c>
      <c r="K50" s="50">
        <v>0</v>
      </c>
      <c r="L50" s="20">
        <f xml:space="preserve"> I50 / 2</f>
        <v>70525640.465169206</v>
      </c>
      <c r="M50" s="58">
        <f xml:space="preserve"> (F39 + SUM(D40:D50)) - SUM(K40:K50)</f>
        <v>120735367.84296539</v>
      </c>
      <c r="N50" s="19">
        <f xml:space="preserve"> H50 - M50</f>
        <v>20315913.087373018</v>
      </c>
      <c r="O50" s="18">
        <v>0.84</v>
      </c>
      <c r="P50" s="19">
        <f xml:space="preserve"> N50 * O50</f>
        <v>17065366.993393335</v>
      </c>
      <c r="Q50" s="19">
        <f xml:space="preserve"> N50 - P50</f>
        <v>3250546.0939796828</v>
      </c>
      <c r="R50" s="18">
        <f xml:space="preserve"> N50 / M50 * 100</f>
        <v>16.826811770513622</v>
      </c>
      <c r="S50" s="19"/>
    </row>
    <row r="51" spans="1:19" s="8" customFormat="1" x14ac:dyDescent="0.3">
      <c r="A51" s="8">
        <v>5</v>
      </c>
      <c r="B51" s="82">
        <v>2026</v>
      </c>
      <c r="C51" s="8">
        <v>1</v>
      </c>
      <c r="D51" s="9">
        <f xml:space="preserve"> N51</f>
        <v>8377136.7054307675</v>
      </c>
      <c r="E51" s="41">
        <f t="shared" si="2"/>
        <v>31027686.940781519</v>
      </c>
      <c r="F51" s="9">
        <f xml:space="preserve"> (H50 / 2) + D51 - K51</f>
        <v>78902777.170599967</v>
      </c>
      <c r="G51" s="8">
        <v>1.7999999999999999E-2</v>
      </c>
      <c r="H51" s="9">
        <f t="shared" si="7"/>
        <v>80323027.15967077</v>
      </c>
      <c r="I51" s="9"/>
      <c r="J51" s="9">
        <f t="shared" si="4"/>
        <v>88700163.865101531</v>
      </c>
      <c r="K51" s="47">
        <v>0</v>
      </c>
      <c r="L51" s="10"/>
      <c r="M51" s="55"/>
      <c r="N51" s="11">
        <f xml:space="preserve"> (L50 / 12) +2500000</f>
        <v>8377136.7054307675</v>
      </c>
      <c r="P51" s="9">
        <f xml:space="preserve"> (H50 / 2 )</f>
        <v>70525640.465169206</v>
      </c>
      <c r="S51" s="9"/>
    </row>
    <row r="52" spans="1:19" s="8" customFormat="1" x14ac:dyDescent="0.3">
      <c r="B52" s="82"/>
      <c r="C52" s="8">
        <v>2</v>
      </c>
      <c r="D52" s="9">
        <f xml:space="preserve"> N51</f>
        <v>8377136.7054307675</v>
      </c>
      <c r="E52" s="41">
        <f t="shared" si="2"/>
        <v>31993385.305715587</v>
      </c>
      <c r="F52" s="9">
        <f t="shared" ref="F52:F62" si="9" xml:space="preserve"> H51 + D52 - K52</f>
        <v>88700163.865101531</v>
      </c>
      <c r="G52" s="8">
        <v>1.7999999999999999E-2</v>
      </c>
      <c r="H52" s="9">
        <f t="shared" si="7"/>
        <v>90296766.814673364</v>
      </c>
      <c r="I52" s="9"/>
      <c r="J52" s="9">
        <f t="shared" si="4"/>
        <v>98673903.520104125</v>
      </c>
      <c r="K52" s="47">
        <v>0</v>
      </c>
      <c r="L52" s="10"/>
      <c r="M52" s="55"/>
      <c r="S52" s="9"/>
    </row>
    <row r="53" spans="1:19" s="8" customFormat="1" x14ac:dyDescent="0.3">
      <c r="B53" s="82"/>
      <c r="C53" s="8">
        <v>3</v>
      </c>
      <c r="D53" s="9">
        <f xml:space="preserve"> N51</f>
        <v>8377136.7054307675</v>
      </c>
      <c r="E53" s="41">
        <f t="shared" si="2"/>
        <v>32976466.241218466</v>
      </c>
      <c r="F53" s="9">
        <f t="shared" si="9"/>
        <v>98673903.520104125</v>
      </c>
      <c r="G53" s="8">
        <v>1.7999999999999999E-2</v>
      </c>
      <c r="H53" s="9">
        <f t="shared" si="7"/>
        <v>100450033.783466</v>
      </c>
      <c r="I53" s="9"/>
      <c r="J53" s="9">
        <f t="shared" si="4"/>
        <v>108827170.48889676</v>
      </c>
      <c r="K53" s="47">
        <v>0</v>
      </c>
      <c r="L53" s="10"/>
      <c r="M53" s="55"/>
      <c r="S53" s="9"/>
    </row>
    <row r="54" spans="1:19" s="8" customFormat="1" x14ac:dyDescent="0.3">
      <c r="B54" s="82"/>
      <c r="C54" s="8">
        <v>4</v>
      </c>
      <c r="D54" s="9">
        <f xml:space="preserve"> N51</f>
        <v>8377136.7054307675</v>
      </c>
      <c r="E54" s="41">
        <f t="shared" si="2"/>
        <v>33977242.633560397</v>
      </c>
      <c r="F54" s="9">
        <f t="shared" si="9"/>
        <v>108827170.48889676</v>
      </c>
      <c r="G54" s="8">
        <v>1.7999999999999999E-2</v>
      </c>
      <c r="H54" s="9">
        <f t="shared" si="7"/>
        <v>110786059.55769689</v>
      </c>
      <c r="I54" s="9"/>
      <c r="J54" s="9">
        <f t="shared" si="4"/>
        <v>119163196.26312765</v>
      </c>
      <c r="K54" s="47">
        <v>0</v>
      </c>
      <c r="L54" s="10"/>
      <c r="M54" s="55"/>
      <c r="S54" s="9"/>
    </row>
    <row r="55" spans="1:19" s="8" customFormat="1" x14ac:dyDescent="0.3">
      <c r="B55" s="82"/>
      <c r="C55" s="8">
        <v>5</v>
      </c>
      <c r="D55" s="9">
        <f xml:space="preserve"> N51</f>
        <v>8377136.7054307675</v>
      </c>
      <c r="E55" s="41">
        <f t="shared" si="2"/>
        <v>34996033.000964485</v>
      </c>
      <c r="F55" s="9">
        <f t="shared" si="9"/>
        <v>115912650.16914797</v>
      </c>
      <c r="G55" s="8">
        <v>1.7999999999999999E-2</v>
      </c>
      <c r="H55" s="9">
        <f t="shared" si="7"/>
        <v>117999077.87219264</v>
      </c>
      <c r="I55" s="9"/>
      <c r="J55" s="9">
        <f t="shared" si="4"/>
        <v>126376214.5776234</v>
      </c>
      <c r="K55" s="47">
        <f xml:space="preserve"> Q50</f>
        <v>3250546.0939796828</v>
      </c>
      <c r="L55" s="10"/>
      <c r="M55" s="55"/>
      <c r="S55" s="9"/>
    </row>
    <row r="56" spans="1:19" s="8" customFormat="1" x14ac:dyDescent="0.3">
      <c r="B56" s="82"/>
      <c r="C56" s="8">
        <v>6</v>
      </c>
      <c r="D56" s="9">
        <f xml:space="preserve"> N51</f>
        <v>8377136.7054307675</v>
      </c>
      <c r="E56" s="41">
        <f t="shared" si="2"/>
        <v>36033161.594981849</v>
      </c>
      <c r="F56" s="9">
        <f t="shared" si="9"/>
        <v>126376214.5776234</v>
      </c>
      <c r="G56" s="8">
        <v>1.7999999999999999E-2</v>
      </c>
      <c r="H56" s="9">
        <f t="shared" si="7"/>
        <v>128650986.44002062</v>
      </c>
      <c r="I56" s="9"/>
      <c r="J56" s="9">
        <f t="shared" si="4"/>
        <v>137028123.1454514</v>
      </c>
      <c r="K56" s="47">
        <v>0</v>
      </c>
      <c r="L56" s="10"/>
      <c r="M56" s="55"/>
      <c r="S56" s="9"/>
    </row>
    <row r="57" spans="1:19" s="8" customFormat="1" x14ac:dyDescent="0.3">
      <c r="B57" s="82"/>
      <c r="C57" s="8">
        <v>7</v>
      </c>
      <c r="D57" s="9">
        <f xml:space="preserve"> N51</f>
        <v>8377136.7054307675</v>
      </c>
      <c r="E57" s="41">
        <f t="shared" si="2"/>
        <v>37088958.503691524</v>
      </c>
      <c r="F57" s="9">
        <f t="shared" si="9"/>
        <v>137028123.1454514</v>
      </c>
      <c r="G57" s="8">
        <v>1.7999999999999999E-2</v>
      </c>
      <c r="H57" s="9">
        <f t="shared" si="7"/>
        <v>139494629.36206952</v>
      </c>
      <c r="I57" s="9"/>
      <c r="J57" s="9">
        <f t="shared" si="4"/>
        <v>147871766.06750029</v>
      </c>
      <c r="K57" s="47">
        <v>0</v>
      </c>
      <c r="L57" s="10"/>
      <c r="M57" s="55"/>
      <c r="S57" s="9"/>
    </row>
    <row r="58" spans="1:19" s="8" customFormat="1" x14ac:dyDescent="0.3">
      <c r="B58" s="82"/>
      <c r="C58" s="8">
        <v>8</v>
      </c>
      <c r="D58" s="9">
        <f xml:space="preserve"> N51</f>
        <v>8377136.7054307675</v>
      </c>
      <c r="E58" s="41">
        <f t="shared" si="2"/>
        <v>38163759.756757975</v>
      </c>
      <c r="F58" s="9">
        <f t="shared" si="9"/>
        <v>147871766.06750029</v>
      </c>
      <c r="G58" s="8">
        <v>1.7999999999999999E-2</v>
      </c>
      <c r="H58" s="9">
        <f t="shared" si="7"/>
        <v>150533457.85671529</v>
      </c>
      <c r="I58" s="9"/>
      <c r="J58" s="9">
        <f t="shared" si="4"/>
        <v>158910594.56214607</v>
      </c>
      <c r="K58" s="47">
        <v>0</v>
      </c>
      <c r="L58" s="10"/>
      <c r="M58" s="55"/>
      <c r="S58" s="9"/>
    </row>
    <row r="59" spans="1:19" s="8" customFormat="1" x14ac:dyDescent="0.3">
      <c r="B59" s="82"/>
      <c r="C59" s="8">
        <v>9</v>
      </c>
      <c r="D59" s="9">
        <f xml:space="preserve"> N51</f>
        <v>8377136.7054307675</v>
      </c>
      <c r="E59" s="41">
        <f t="shared" si="2"/>
        <v>39257907.432379618</v>
      </c>
      <c r="F59" s="9">
        <f t="shared" si="9"/>
        <v>158910594.56214607</v>
      </c>
      <c r="G59" s="8">
        <v>1.7999999999999999E-2</v>
      </c>
      <c r="H59" s="9">
        <f t="shared" si="7"/>
        <v>161770985.2642647</v>
      </c>
      <c r="I59" s="9"/>
      <c r="J59" s="9">
        <f t="shared" si="4"/>
        <v>170148121.96969548</v>
      </c>
      <c r="K59" s="47">
        <v>0</v>
      </c>
      <c r="L59" s="10"/>
      <c r="M59" s="55"/>
      <c r="S59" s="9"/>
    </row>
    <row r="60" spans="1:19" s="8" customFormat="1" x14ac:dyDescent="0.3">
      <c r="B60" s="82"/>
      <c r="C60" s="8">
        <v>10</v>
      </c>
      <c r="D60" s="9">
        <f xml:space="preserve"> N51</f>
        <v>8377136.7054307675</v>
      </c>
      <c r="E60" s="41">
        <f t="shared" si="2"/>
        <v>40371749.766162455</v>
      </c>
      <c r="F60" s="9">
        <f t="shared" si="9"/>
        <v>170148121.96969548</v>
      </c>
      <c r="G60" s="8">
        <v>1.7999999999999999E-2</v>
      </c>
      <c r="H60" s="9">
        <f t="shared" si="7"/>
        <v>173210788.16514999</v>
      </c>
      <c r="I60" s="9"/>
      <c r="J60" s="9">
        <f t="shared" si="4"/>
        <v>181587924.87058076</v>
      </c>
      <c r="K60" s="47">
        <v>0</v>
      </c>
      <c r="L60" s="10"/>
      <c r="M60" s="55"/>
      <c r="S60" s="9"/>
    </row>
    <row r="61" spans="1:19" s="8" customFormat="1" x14ac:dyDescent="0.3">
      <c r="B61" s="82"/>
      <c r="C61" s="8">
        <v>11</v>
      </c>
      <c r="D61" s="9">
        <f xml:space="preserve"> N51</f>
        <v>8377136.7054307675</v>
      </c>
      <c r="E61" s="41">
        <f t="shared" si="2"/>
        <v>41505641.261953376</v>
      </c>
      <c r="F61" s="9">
        <f t="shared" si="9"/>
        <v>181587924.87058076</v>
      </c>
      <c r="G61" s="8">
        <v>1.7999999999999999E-2</v>
      </c>
      <c r="H61" s="9">
        <f t="shared" si="7"/>
        <v>184856507.51825121</v>
      </c>
      <c r="I61" s="9"/>
      <c r="J61" s="9">
        <f t="shared" si="4"/>
        <v>193233644.22368199</v>
      </c>
      <c r="K61" s="47">
        <v>0</v>
      </c>
      <c r="L61" s="10"/>
      <c r="M61" s="55"/>
      <c r="S61" s="9"/>
    </row>
    <row r="62" spans="1:19" s="18" customFormat="1" x14ac:dyDescent="0.3">
      <c r="B62" s="82"/>
      <c r="C62" s="18">
        <v>12</v>
      </c>
      <c r="D62" s="19">
        <f xml:space="preserve"> N51</f>
        <v>8377136.7054307675</v>
      </c>
      <c r="E62" s="19">
        <f t="shared" si="2"/>
        <v>42659942.804668538</v>
      </c>
      <c r="F62" s="19">
        <f t="shared" si="9"/>
        <v>193233644.22368199</v>
      </c>
      <c r="G62" s="18">
        <v>1.7999999999999999E-2</v>
      </c>
      <c r="H62" s="19">
        <f t="shared" si="7"/>
        <v>196711849.81970826</v>
      </c>
      <c r="I62" s="19">
        <f xml:space="preserve"> H62</f>
        <v>196711849.81970826</v>
      </c>
      <c r="J62" s="9">
        <f t="shared" si="4"/>
        <v>205088986.52513903</v>
      </c>
      <c r="K62" s="50">
        <v>0</v>
      </c>
      <c r="L62" s="20">
        <f xml:space="preserve"> I62 / 2</f>
        <v>98355924.909854129</v>
      </c>
      <c r="M62" s="58">
        <f xml:space="preserve"> (F51 + SUM(D52:D62)) - SUM(K52:K62)</f>
        <v>167800734.8363587</v>
      </c>
      <c r="N62" s="19">
        <f xml:space="preserve"> H62 - M62</f>
        <v>28911114.983349562</v>
      </c>
      <c r="O62" s="18">
        <v>0.84</v>
      </c>
      <c r="P62" s="19">
        <f xml:space="preserve"> N62 * O62</f>
        <v>24285336.58601363</v>
      </c>
      <c r="Q62" s="19">
        <f xml:space="preserve"> N62 - P62</f>
        <v>4625778.3973359317</v>
      </c>
      <c r="R62" s="18">
        <f xml:space="preserve"> N62 / M62 * 100</f>
        <v>17.229432881532986</v>
      </c>
      <c r="S62" s="19"/>
    </row>
    <row r="63" spans="1:19" s="8" customFormat="1" x14ac:dyDescent="0.3">
      <c r="A63" s="8">
        <v>6</v>
      </c>
      <c r="B63" s="82">
        <v>2027</v>
      </c>
      <c r="C63" s="8">
        <v>1</v>
      </c>
      <c r="D63" s="9">
        <f>N63</f>
        <v>10696327.075821176</v>
      </c>
      <c r="E63" s="41">
        <f t="shared" si="2"/>
        <v>43835021.775152571</v>
      </c>
      <c r="F63" s="9">
        <f xml:space="preserve"> (H62 / 2) + D63 - K63</f>
        <v>109052251.98567531</v>
      </c>
      <c r="G63" s="8">
        <v>1.7999999999999999E-2</v>
      </c>
      <c r="H63" s="9">
        <f t="shared" si="7"/>
        <v>111015192.52141745</v>
      </c>
      <c r="I63" s="9"/>
      <c r="J63" s="9">
        <f t="shared" si="4"/>
        <v>121711519.59723863</v>
      </c>
      <c r="K63" s="47">
        <v>0</v>
      </c>
      <c r="L63" s="10"/>
      <c r="M63" s="55"/>
      <c r="N63" s="11">
        <f xml:space="preserve"> (L62 / 12) +2500000</f>
        <v>10696327.075821176</v>
      </c>
      <c r="P63" s="9">
        <f xml:space="preserve"> (H62 / 2 )</f>
        <v>98355924.909854129</v>
      </c>
      <c r="S63" s="9"/>
    </row>
    <row r="64" spans="1:19" s="8" customFormat="1" x14ac:dyDescent="0.3">
      <c r="B64" s="82"/>
      <c r="C64" s="8">
        <v>2</v>
      </c>
      <c r="D64" s="9">
        <f>N63</f>
        <v>10696327.075821176</v>
      </c>
      <c r="E64" s="41">
        <f t="shared" si="2"/>
        <v>45031252.167105317</v>
      </c>
      <c r="F64" s="9">
        <f t="shared" ref="F64:F74" si="10" xml:space="preserve"> H63 + D64 - K64</f>
        <v>121711519.59723863</v>
      </c>
      <c r="G64" s="8">
        <v>1.7999999999999999E-2</v>
      </c>
      <c r="H64" s="9">
        <f t="shared" si="7"/>
        <v>123902326.94998893</v>
      </c>
      <c r="I64" s="9"/>
      <c r="J64" s="9">
        <f t="shared" si="4"/>
        <v>134598654.02581012</v>
      </c>
      <c r="K64" s="47">
        <v>0</v>
      </c>
      <c r="L64" s="10"/>
      <c r="M64" s="55"/>
      <c r="S64" s="9"/>
    </row>
    <row r="65" spans="1:19" s="8" customFormat="1" x14ac:dyDescent="0.3">
      <c r="B65" s="82"/>
      <c r="C65" s="8">
        <v>3</v>
      </c>
      <c r="D65" s="9">
        <f>N63</f>
        <v>10696327.075821176</v>
      </c>
      <c r="E65" s="41">
        <f t="shared" si="2"/>
        <v>46249014.706113212</v>
      </c>
      <c r="F65" s="9">
        <f t="shared" si="10"/>
        <v>134598654.02581012</v>
      </c>
      <c r="G65" s="8">
        <v>1.7999999999999999E-2</v>
      </c>
      <c r="H65" s="9">
        <f t="shared" si="7"/>
        <v>137021429.7982747</v>
      </c>
      <c r="I65" s="9"/>
      <c r="J65" s="9">
        <f t="shared" si="4"/>
        <v>147717756.87409586</v>
      </c>
      <c r="K65" s="47">
        <v>0</v>
      </c>
      <c r="L65" s="10"/>
      <c r="M65" s="55"/>
      <c r="S65" s="9"/>
    </row>
    <row r="66" spans="1:19" s="8" customFormat="1" x14ac:dyDescent="0.3">
      <c r="B66" s="82"/>
      <c r="C66" s="8">
        <v>4</v>
      </c>
      <c r="D66" s="9">
        <f>N63</f>
        <v>10696327.075821176</v>
      </c>
      <c r="E66" s="41">
        <f t="shared" si="2"/>
        <v>47488696.970823251</v>
      </c>
      <c r="F66" s="9">
        <f t="shared" si="10"/>
        <v>147717756.87409586</v>
      </c>
      <c r="G66" s="8">
        <v>1.7999999999999999E-2</v>
      </c>
      <c r="H66" s="9">
        <f t="shared" si="7"/>
        <v>150376676.49782959</v>
      </c>
      <c r="I66" s="9"/>
      <c r="J66" s="9">
        <f t="shared" si="4"/>
        <v>161073003.57365078</v>
      </c>
      <c r="K66" s="47">
        <v>0</v>
      </c>
      <c r="L66" s="10"/>
      <c r="M66" s="55"/>
      <c r="S66" s="9"/>
    </row>
    <row r="67" spans="1:19" s="8" customFormat="1" x14ac:dyDescent="0.3">
      <c r="B67" s="82"/>
      <c r="C67" s="8">
        <v>5</v>
      </c>
      <c r="D67" s="9">
        <f>N63</f>
        <v>10696327.075821176</v>
      </c>
      <c r="E67" s="41">
        <f t="shared" si="2"/>
        <v>48750693.516298071</v>
      </c>
      <c r="F67" s="9">
        <f t="shared" si="10"/>
        <v>156447225.17631483</v>
      </c>
      <c r="G67" s="8">
        <v>1.7999999999999999E-2</v>
      </c>
      <c r="H67" s="9">
        <f t="shared" si="7"/>
        <v>159263275.22948849</v>
      </c>
      <c r="I67" s="9"/>
      <c r="J67" s="9">
        <f t="shared" si="4"/>
        <v>169959602.30530965</v>
      </c>
      <c r="K67" s="47">
        <f xml:space="preserve"> Q62</f>
        <v>4625778.3973359317</v>
      </c>
      <c r="L67" s="10"/>
      <c r="M67" s="55"/>
      <c r="S67" s="9"/>
    </row>
    <row r="68" spans="1:19" s="8" customFormat="1" x14ac:dyDescent="0.3">
      <c r="B68" s="82"/>
      <c r="C68" s="8">
        <v>6</v>
      </c>
      <c r="D68" s="9">
        <f>N63</f>
        <v>10696327.075821176</v>
      </c>
      <c r="E68" s="41">
        <f t="shared" si="2"/>
        <v>50035405.999591433</v>
      </c>
      <c r="F68" s="9">
        <f t="shared" si="10"/>
        <v>169959602.30530965</v>
      </c>
      <c r="G68" s="8">
        <v>1.7999999999999999E-2</v>
      </c>
      <c r="H68" s="9">
        <f t="shared" si="7"/>
        <v>173018875.14680523</v>
      </c>
      <c r="I68" s="9"/>
      <c r="J68" s="9">
        <f t="shared" si="4"/>
        <v>183715202.22262639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82"/>
      <c r="C69" s="8">
        <v>7</v>
      </c>
      <c r="D69" s="9">
        <f>N63</f>
        <v>10696327.075821176</v>
      </c>
      <c r="E69" s="41">
        <f t="shared" si="2"/>
        <v>51343243.307584077</v>
      </c>
      <c r="F69" s="9">
        <f t="shared" si="10"/>
        <v>183715202.22262639</v>
      </c>
      <c r="G69" s="8">
        <v>1.7999999999999999E-2</v>
      </c>
      <c r="H69" s="9">
        <f t="shared" si="7"/>
        <v>187022075.86263368</v>
      </c>
      <c r="I69" s="9"/>
      <c r="J69" s="9">
        <f t="shared" si="4"/>
        <v>197718402.93845487</v>
      </c>
      <c r="K69" s="47">
        <v>0</v>
      </c>
      <c r="L69" s="10"/>
      <c r="M69" s="55"/>
      <c r="S69" s="9"/>
    </row>
    <row r="70" spans="1:19" s="8" customFormat="1" x14ac:dyDescent="0.3">
      <c r="B70" s="82"/>
      <c r="C70" s="8">
        <v>8</v>
      </c>
      <c r="D70" s="9">
        <f>N63</f>
        <v>10696327.075821176</v>
      </c>
      <c r="E70" s="41">
        <f t="shared" si="2"/>
        <v>52674621.687120594</v>
      </c>
      <c r="F70" s="9">
        <f t="shared" si="10"/>
        <v>197718402.93845487</v>
      </c>
      <c r="G70" s="8">
        <v>1.7999999999999999E-2</v>
      </c>
      <c r="H70" s="9">
        <f t="shared" si="7"/>
        <v>201277334.19134706</v>
      </c>
      <c r="I70" s="9"/>
      <c r="J70" s="9">
        <f t="shared" si="4"/>
        <v>211973661.26716822</v>
      </c>
      <c r="K70" s="47">
        <v>0</v>
      </c>
      <c r="L70" s="10"/>
      <c r="M70" s="55"/>
      <c r="S70" s="9"/>
    </row>
    <row r="71" spans="1:19" s="8" customFormat="1" x14ac:dyDescent="0.3">
      <c r="B71" s="82"/>
      <c r="C71" s="8">
        <v>9</v>
      </c>
      <c r="D71" s="9">
        <f>N63</f>
        <v>10696327.075821176</v>
      </c>
      <c r="E71" s="41">
        <f t="shared" si="2"/>
        <v>54029964.877488762</v>
      </c>
      <c r="F71" s="9">
        <f t="shared" si="10"/>
        <v>211973661.26716822</v>
      </c>
      <c r="G71" s="8">
        <v>1.7999999999999999E-2</v>
      </c>
      <c r="H71" s="9">
        <f t="shared" si="7"/>
        <v>215789187.16997725</v>
      </c>
      <c r="I71" s="9"/>
      <c r="J71" s="9">
        <f t="shared" si="4"/>
        <v>226485514.24579841</v>
      </c>
      <c r="K71" s="47">
        <v>0</v>
      </c>
      <c r="L71" s="10"/>
      <c r="M71" s="55"/>
      <c r="S71" s="9"/>
    </row>
    <row r="72" spans="1:19" s="8" customFormat="1" x14ac:dyDescent="0.3">
      <c r="B72" s="82"/>
      <c r="C72" s="8">
        <v>10</v>
      </c>
      <c r="D72" s="9">
        <f>N63</f>
        <v>10696327.075821176</v>
      </c>
      <c r="E72" s="41">
        <f t="shared" si="2"/>
        <v>55409704.245283559</v>
      </c>
      <c r="F72" s="9">
        <f t="shared" si="10"/>
        <v>226485514.24579841</v>
      </c>
      <c r="G72" s="8">
        <v>1.7999999999999999E-2</v>
      </c>
      <c r="H72" s="9">
        <f t="shared" si="7"/>
        <v>230562253.50222278</v>
      </c>
      <c r="I72" s="9"/>
      <c r="J72" s="9">
        <f t="shared" si="4"/>
        <v>241258580.57804394</v>
      </c>
      <c r="K72" s="47">
        <v>0</v>
      </c>
      <c r="L72" s="10"/>
      <c r="M72" s="55"/>
      <c r="S72" s="9"/>
    </row>
    <row r="73" spans="1:19" s="8" customFormat="1" x14ac:dyDescent="0.3">
      <c r="B73" s="82"/>
      <c r="C73" s="8">
        <v>11</v>
      </c>
      <c r="D73" s="9">
        <f>N63</f>
        <v>10696327.075821176</v>
      </c>
      <c r="E73" s="41">
        <f t="shared" si="2"/>
        <v>56814278.92169866</v>
      </c>
      <c r="F73" s="9">
        <f t="shared" si="10"/>
        <v>241258580.57804394</v>
      </c>
      <c r="G73" s="8">
        <v>1.7999999999999999E-2</v>
      </c>
      <c r="H73" s="9">
        <f t="shared" si="7"/>
        <v>245601235.02844873</v>
      </c>
      <c r="I73" s="9"/>
      <c r="J73" s="9">
        <f t="shared" si="4"/>
        <v>256297562.10426992</v>
      </c>
      <c r="K73" s="47">
        <v>0</v>
      </c>
      <c r="L73" s="10"/>
      <c r="M73" s="55"/>
      <c r="S73" s="9"/>
    </row>
    <row r="74" spans="1:19" s="18" customFormat="1" x14ac:dyDescent="0.3">
      <c r="B74" s="82"/>
      <c r="C74" s="18">
        <v>12</v>
      </c>
      <c r="D74" s="19">
        <f>N63</f>
        <v>10696327.075821176</v>
      </c>
      <c r="E74" s="19">
        <f t="shared" si="2"/>
        <v>58244135.942289233</v>
      </c>
      <c r="F74" s="19">
        <f t="shared" si="10"/>
        <v>256297562.10426992</v>
      </c>
      <c r="G74" s="18">
        <v>1.7999999999999999E-2</v>
      </c>
      <c r="H74" s="19">
        <f t="shared" si="7"/>
        <v>260910918.22214678</v>
      </c>
      <c r="I74" s="19">
        <f xml:space="preserve"> H74</f>
        <v>260910918.22214678</v>
      </c>
      <c r="J74" s="9">
        <f t="shared" si="4"/>
        <v>271607245.29796797</v>
      </c>
      <c r="K74" s="50">
        <v>0</v>
      </c>
      <c r="L74" s="20">
        <f xml:space="preserve"> I74 / 2</f>
        <v>130455459.11107339</v>
      </c>
      <c r="M74" s="58">
        <f xml:space="preserve"> (F63 + SUM(D64:D74)) - SUM(K64:K74)</f>
        <v>222086071.42237228</v>
      </c>
      <c r="N74" s="19">
        <f xml:space="preserve"> H74 - M74</f>
        <v>38824846.799774498</v>
      </c>
      <c r="O74" s="18">
        <v>0.84</v>
      </c>
      <c r="P74" s="19">
        <f xml:space="preserve"> N74 * O74</f>
        <v>32612871.311810575</v>
      </c>
      <c r="Q74" s="19">
        <f xml:space="preserve"> N74 - P74</f>
        <v>6211975.4879639223</v>
      </c>
      <c r="R74" s="18">
        <f xml:space="preserve"> N74 / M74 * 100</f>
        <v>17.481891840905156</v>
      </c>
      <c r="S74" s="19"/>
    </row>
    <row r="75" spans="1:19" s="8" customFormat="1" x14ac:dyDescent="0.3">
      <c r="A75" s="8">
        <v>7</v>
      </c>
      <c r="B75" s="82">
        <v>2028</v>
      </c>
      <c r="C75" s="8">
        <v>1</v>
      </c>
      <c r="D75" s="9">
        <f xml:space="preserve"> N75</f>
        <v>13371288.259256115</v>
      </c>
      <c r="E75" s="41">
        <f t="shared" si="2"/>
        <v>59699730.389250442</v>
      </c>
      <c r="F75" s="9">
        <f xml:space="preserve"> (H74 / 2) + D75 - K75</f>
        <v>143826747.3703295</v>
      </c>
      <c r="G75" s="8">
        <v>1.7999999999999999E-2</v>
      </c>
      <c r="H75" s="9">
        <f t="shared" si="7"/>
        <v>146415628.82299542</v>
      </c>
      <c r="I75" s="9"/>
      <c r="J75" s="9">
        <f t="shared" si="4"/>
        <v>159786917.08225155</v>
      </c>
      <c r="K75" s="47">
        <v>0</v>
      </c>
      <c r="L75" s="10"/>
      <c r="M75" s="55"/>
      <c r="N75" s="11">
        <f xml:space="preserve"> (L74 / 12) +2500000</f>
        <v>13371288.259256115</v>
      </c>
      <c r="P75" s="9">
        <f xml:space="preserve"> (H74 / 2 )</f>
        <v>130455459.11107339</v>
      </c>
      <c r="S75" s="9"/>
    </row>
    <row r="76" spans="1:19" s="8" customFormat="1" x14ac:dyDescent="0.3">
      <c r="B76" s="82"/>
      <c r="C76" s="8">
        <v>2</v>
      </c>
      <c r="D76" s="9">
        <f xml:space="preserve"> N75</f>
        <v>13371288.259256115</v>
      </c>
      <c r="E76" s="41">
        <f t="shared" si="2"/>
        <v>61181525.536256954</v>
      </c>
      <c r="F76" s="9">
        <f t="shared" ref="F76:F86" si="11" xml:space="preserve"> H75 + D76 - K76</f>
        <v>159786917.08225155</v>
      </c>
      <c r="G76" s="8">
        <v>1.7999999999999999E-2</v>
      </c>
      <c r="H76" s="9">
        <f t="shared" si="7"/>
        <v>162663081.58973208</v>
      </c>
      <c r="I76" s="9"/>
      <c r="J76" s="9">
        <f t="shared" si="4"/>
        <v>176034369.84898821</v>
      </c>
      <c r="K76" s="47">
        <v>0</v>
      </c>
      <c r="L76" s="10"/>
      <c r="M76" s="55"/>
      <c r="S76" s="9"/>
    </row>
    <row r="77" spans="1:19" s="8" customFormat="1" x14ac:dyDescent="0.3">
      <c r="B77" s="82"/>
      <c r="C77" s="8">
        <v>3</v>
      </c>
      <c r="D77" s="9">
        <f xml:space="preserve"> N75</f>
        <v>13371288.259256115</v>
      </c>
      <c r="E77" s="41">
        <f t="shared" si="2"/>
        <v>62689992.995909579</v>
      </c>
      <c r="F77" s="9">
        <f t="shared" si="11"/>
        <v>176034369.84898821</v>
      </c>
      <c r="G77" s="8">
        <v>1.7999999999999999E-2</v>
      </c>
      <c r="H77" s="9">
        <f t="shared" si="7"/>
        <v>179202988.50626999</v>
      </c>
      <c r="I77" s="9"/>
      <c r="J77" s="9">
        <f t="shared" si="4"/>
        <v>192574276.76552612</v>
      </c>
      <c r="K77" s="47">
        <v>0</v>
      </c>
      <c r="L77" s="10"/>
      <c r="M77" s="55"/>
      <c r="S77" s="9"/>
    </row>
    <row r="78" spans="1:19" s="8" customFormat="1" x14ac:dyDescent="0.3">
      <c r="B78" s="82"/>
      <c r="C78" s="8">
        <v>4</v>
      </c>
      <c r="D78" s="9">
        <f xml:space="preserve"> N75</f>
        <v>13371288.259256115</v>
      </c>
      <c r="E78" s="41">
        <f t="shared" ref="E78:E134" si="12" xml:space="preserve"> (E77 + 400000) + ((E77 + 400000) * G78 )</f>
        <v>64225612.86983595</v>
      </c>
      <c r="F78" s="9">
        <f t="shared" si="11"/>
        <v>192574276.76552612</v>
      </c>
      <c r="G78" s="8">
        <v>1.7999999999999999E-2</v>
      </c>
      <c r="H78" s="9">
        <f t="shared" si="7"/>
        <v>196040613.74730557</v>
      </c>
      <c r="I78" s="9"/>
      <c r="J78" s="9">
        <f t="shared" si="4"/>
        <v>209411902.0065617</v>
      </c>
      <c r="K78" s="47">
        <v>0</v>
      </c>
      <c r="L78" s="10"/>
      <c r="M78" s="55"/>
      <c r="S78" s="9"/>
    </row>
    <row r="79" spans="1:19" s="8" customFormat="1" x14ac:dyDescent="0.3">
      <c r="B79" s="82"/>
      <c r="C79" s="8">
        <v>5</v>
      </c>
      <c r="D79" s="9">
        <f xml:space="preserve"> N75</f>
        <v>13371288.259256115</v>
      </c>
      <c r="E79" s="41">
        <f t="shared" si="12"/>
        <v>65788873.901492998</v>
      </c>
      <c r="F79" s="9">
        <f t="shared" si="11"/>
        <v>203199926.51859778</v>
      </c>
      <c r="G79" s="8">
        <v>1.7999999999999999E-2</v>
      </c>
      <c r="H79" s="9">
        <f t="shared" si="7"/>
        <v>206857525.19593254</v>
      </c>
      <c r="I79" s="9"/>
      <c r="J79" s="9">
        <f t="shared" si="4"/>
        <v>220228813.45518866</v>
      </c>
      <c r="K79" s="47">
        <f xml:space="preserve"> Q74</f>
        <v>6211975.4879639223</v>
      </c>
      <c r="L79" s="10"/>
      <c r="M79" s="55"/>
      <c r="S79" s="9"/>
    </row>
    <row r="80" spans="1:19" s="8" customFormat="1" x14ac:dyDescent="0.3">
      <c r="B80" s="82"/>
      <c r="C80" s="8">
        <v>6</v>
      </c>
      <c r="D80" s="9">
        <f xml:space="preserve"> N75</f>
        <v>13371288.259256115</v>
      </c>
      <c r="E80" s="41">
        <f t="shared" si="12"/>
        <v>67380273.631719872</v>
      </c>
      <c r="F80" s="9">
        <f t="shared" si="11"/>
        <v>220228813.45518866</v>
      </c>
      <c r="G80" s="8">
        <v>1.7999999999999999E-2</v>
      </c>
      <c r="H80" s="9">
        <f t="shared" si="7"/>
        <v>224192932.09738207</v>
      </c>
      <c r="I80" s="9"/>
      <c r="J80" s="9">
        <f t="shared" si="4"/>
        <v>237564220.35663819</v>
      </c>
      <c r="K80" s="47">
        <v>0</v>
      </c>
      <c r="L80" s="10"/>
      <c r="M80" s="55"/>
      <c r="S80" s="9"/>
    </row>
    <row r="81" spans="1:19" s="8" customFormat="1" x14ac:dyDescent="0.3">
      <c r="B81" s="82"/>
      <c r="C81" s="8">
        <v>7</v>
      </c>
      <c r="D81" s="9">
        <f xml:space="preserve"> N75</f>
        <v>13371288.259256115</v>
      </c>
      <c r="E81" s="41">
        <f t="shared" si="12"/>
        <v>69000318.557090834</v>
      </c>
      <c r="F81" s="9">
        <f t="shared" si="11"/>
        <v>237564220.35663819</v>
      </c>
      <c r="G81" s="8">
        <v>1.7999999999999999E-2</v>
      </c>
      <c r="H81" s="9">
        <f t="shared" si="7"/>
        <v>241840376.32305768</v>
      </c>
      <c r="I81" s="9"/>
      <c r="J81" s="9">
        <f t="shared" ref="J81:J144" si="13" xml:space="preserve"> D81 + H81</f>
        <v>255211664.58231381</v>
      </c>
      <c r="K81" s="47">
        <v>0</v>
      </c>
      <c r="L81" s="10"/>
      <c r="M81" s="55"/>
      <c r="S81" s="9"/>
    </row>
    <row r="82" spans="1:19" s="8" customFormat="1" x14ac:dyDescent="0.3">
      <c r="B82" s="82"/>
      <c r="C82" s="8">
        <v>8</v>
      </c>
      <c r="D82" s="9">
        <f xml:space="preserve"> N75</f>
        <v>13371288.259256115</v>
      </c>
      <c r="E82" s="41">
        <f t="shared" si="12"/>
        <v>70649524.291118473</v>
      </c>
      <c r="F82" s="9">
        <f t="shared" si="11"/>
        <v>255211664.58231381</v>
      </c>
      <c r="G82" s="8">
        <v>1.7999999999999999E-2</v>
      </c>
      <c r="H82" s="9">
        <f t="shared" si="7"/>
        <v>259805474.54479545</v>
      </c>
      <c r="I82" s="9"/>
      <c r="J82" s="9">
        <f t="shared" si="13"/>
        <v>273176762.80405158</v>
      </c>
      <c r="K82" s="47">
        <v>0</v>
      </c>
      <c r="L82" s="10"/>
      <c r="M82" s="55"/>
      <c r="S82" s="9"/>
    </row>
    <row r="83" spans="1:19" s="8" customFormat="1" x14ac:dyDescent="0.3">
      <c r="B83" s="82"/>
      <c r="C83" s="8">
        <v>9</v>
      </c>
      <c r="D83" s="9">
        <f xml:space="preserve"> N75</f>
        <v>13371288.259256115</v>
      </c>
      <c r="E83" s="41">
        <f t="shared" si="12"/>
        <v>72328415.728358611</v>
      </c>
      <c r="F83" s="9">
        <f t="shared" si="11"/>
        <v>273176762.80405158</v>
      </c>
      <c r="G83" s="8">
        <v>1.7999999999999999E-2</v>
      </c>
      <c r="H83" s="9">
        <f t="shared" si="7"/>
        <v>278093944.5345245</v>
      </c>
      <c r="I83" s="9"/>
      <c r="J83" s="9">
        <f t="shared" si="13"/>
        <v>291465232.79378062</v>
      </c>
      <c r="K83" s="47">
        <v>0</v>
      </c>
      <c r="L83" s="10"/>
      <c r="M83" s="55"/>
      <c r="S83" s="9"/>
    </row>
    <row r="84" spans="1:19" s="8" customFormat="1" x14ac:dyDescent="0.3">
      <c r="B84" s="82"/>
      <c r="C84" s="8">
        <v>10</v>
      </c>
      <c r="D84" s="9">
        <f xml:space="preserve"> N75</f>
        <v>13371288.259256115</v>
      </c>
      <c r="E84" s="41">
        <f t="shared" si="12"/>
        <v>74037527.211469069</v>
      </c>
      <c r="F84" s="9">
        <f t="shared" si="11"/>
        <v>291465232.79378062</v>
      </c>
      <c r="G84" s="8">
        <v>1.7999999999999999E-2</v>
      </c>
      <c r="H84" s="9">
        <f t="shared" si="7"/>
        <v>296711606.98406869</v>
      </c>
      <c r="I84" s="9"/>
      <c r="J84" s="9">
        <f t="shared" si="13"/>
        <v>310082895.24332482</v>
      </c>
      <c r="K84" s="47">
        <v>0</v>
      </c>
      <c r="L84" s="10"/>
      <c r="M84" s="55"/>
      <c r="S84" s="9"/>
    </row>
    <row r="85" spans="1:19" s="8" customFormat="1" x14ac:dyDescent="0.3">
      <c r="B85" s="82"/>
      <c r="C85" s="8">
        <v>11</v>
      </c>
      <c r="D85" s="9">
        <f xml:space="preserve"> N75</f>
        <v>13371288.259256115</v>
      </c>
      <c r="E85" s="41">
        <f t="shared" si="12"/>
        <v>75777402.701275513</v>
      </c>
      <c r="F85" s="9">
        <f t="shared" si="11"/>
        <v>310082895.24332482</v>
      </c>
      <c r="G85" s="8">
        <v>1.7999999999999999E-2</v>
      </c>
      <c r="H85" s="9">
        <f t="shared" si="7"/>
        <v>315664387.35770464</v>
      </c>
      <c r="I85" s="9"/>
      <c r="J85" s="9">
        <f t="shared" si="13"/>
        <v>329035675.61696076</v>
      </c>
      <c r="K85" s="47">
        <v>0</v>
      </c>
      <c r="L85" s="10"/>
      <c r="M85" s="55"/>
      <c r="S85" s="9"/>
    </row>
    <row r="86" spans="1:19" s="18" customFormat="1" x14ac:dyDescent="0.3">
      <c r="B86" s="82"/>
      <c r="C86" s="18">
        <v>12</v>
      </c>
      <c r="D86" s="19">
        <f xml:space="preserve"> N75</f>
        <v>13371288.259256115</v>
      </c>
      <c r="E86" s="19">
        <f t="shared" si="12"/>
        <v>77548595.949898466</v>
      </c>
      <c r="F86" s="19">
        <f t="shared" si="11"/>
        <v>329035675.61696076</v>
      </c>
      <c r="G86" s="18">
        <v>1.7999999999999999E-2</v>
      </c>
      <c r="H86" s="19">
        <f t="shared" si="7"/>
        <v>334958317.77806604</v>
      </c>
      <c r="I86" s="19">
        <f xml:space="preserve"> H86</f>
        <v>334958317.77806604</v>
      </c>
      <c r="J86" s="9">
        <f t="shared" si="13"/>
        <v>348329606.03732216</v>
      </c>
      <c r="K86" s="50">
        <v>0</v>
      </c>
      <c r="L86" s="20">
        <f xml:space="preserve"> I86 / 2</f>
        <v>167479158.88903302</v>
      </c>
      <c r="M86" s="58">
        <f xml:space="preserve"> (F75 + SUM(D76:D86)) - SUM(K76:K86)</f>
        <v>284698942.73418283</v>
      </c>
      <c r="N86" s="19">
        <f xml:space="preserve"> H86 - M86</f>
        <v>50259375.043883204</v>
      </c>
      <c r="O86" s="18">
        <v>0.84</v>
      </c>
      <c r="P86" s="19">
        <f xml:space="preserve"> N86 * O86</f>
        <v>42217875.036861889</v>
      </c>
      <c r="Q86" s="19">
        <f xml:space="preserve"> N86 - P86</f>
        <v>8041500.0070213154</v>
      </c>
      <c r="R86" s="18">
        <f xml:space="preserve"> N86 / M86 * 100</f>
        <v>17.653516574808386</v>
      </c>
      <c r="S86" s="19"/>
    </row>
    <row r="87" spans="1:19" s="8" customFormat="1" x14ac:dyDescent="0.3">
      <c r="A87" s="8">
        <v>8</v>
      </c>
      <c r="B87" s="82">
        <v>2029</v>
      </c>
      <c r="C87" s="8">
        <v>1</v>
      </c>
      <c r="D87" s="9">
        <f xml:space="preserve"> N87</f>
        <v>16456596.574086085</v>
      </c>
      <c r="E87" s="41">
        <f t="shared" si="12"/>
        <v>79351670.676996633</v>
      </c>
      <c r="F87" s="9">
        <f xml:space="preserve"> (H86 / 2) + D87 - K87</f>
        <v>183935755.46311909</v>
      </c>
      <c r="G87" s="8">
        <v>1.7999999999999999E-2</v>
      </c>
      <c r="H87" s="9">
        <f t="shared" si="7"/>
        <v>187246599.06145522</v>
      </c>
      <c r="I87" s="9"/>
      <c r="J87" s="9">
        <f t="shared" si="13"/>
        <v>203703195.63554132</v>
      </c>
      <c r="K87" s="47">
        <v>0</v>
      </c>
      <c r="L87" s="10"/>
      <c r="M87" s="55"/>
      <c r="N87" s="11">
        <f xml:space="preserve"> (L86 / 12) +2500000</f>
        <v>16456596.574086085</v>
      </c>
      <c r="P87" s="9">
        <f xml:space="preserve"> (H86 / 2 )</f>
        <v>167479158.88903302</v>
      </c>
      <c r="S87" s="9"/>
    </row>
    <row r="88" spans="1:19" s="8" customFormat="1" x14ac:dyDescent="0.3">
      <c r="B88" s="82"/>
      <c r="C88" s="8">
        <v>2</v>
      </c>
      <c r="D88" s="9">
        <f xml:space="preserve"> N87</f>
        <v>16456596.574086085</v>
      </c>
      <c r="E88" s="41">
        <f t="shared" si="12"/>
        <v>81187200.749182567</v>
      </c>
      <c r="F88" s="9">
        <f t="shared" ref="F88:F98" si="14" xml:space="preserve"> H87 + D88 - K88</f>
        <v>203703195.63554132</v>
      </c>
      <c r="G88" s="8">
        <v>1.7999999999999999E-2</v>
      </c>
      <c r="H88" s="9">
        <f t="shared" si="7"/>
        <v>207369853.15698105</v>
      </c>
      <c r="I88" s="9"/>
      <c r="J88" s="9">
        <f t="shared" si="13"/>
        <v>223826449.73106712</v>
      </c>
      <c r="K88" s="47">
        <v>0</v>
      </c>
      <c r="L88" s="10"/>
      <c r="M88" s="55"/>
      <c r="S88" s="9"/>
    </row>
    <row r="89" spans="1:19" s="8" customFormat="1" x14ac:dyDescent="0.3">
      <c r="B89" s="82"/>
      <c r="C89" s="8">
        <v>3</v>
      </c>
      <c r="D89" s="9">
        <f xml:space="preserve"> N87</f>
        <v>16456596.574086085</v>
      </c>
      <c r="E89" s="41">
        <f t="shared" si="12"/>
        <v>83055770.362667859</v>
      </c>
      <c r="F89" s="9">
        <f t="shared" si="14"/>
        <v>223826449.73106712</v>
      </c>
      <c r="G89" s="8">
        <v>1.7999999999999999E-2</v>
      </c>
      <c r="H89" s="9">
        <f t="shared" si="7"/>
        <v>227855325.82622632</v>
      </c>
      <c r="I89" s="9"/>
      <c r="J89" s="9">
        <f t="shared" si="13"/>
        <v>244311922.40031242</v>
      </c>
      <c r="K89" s="47">
        <v>0</v>
      </c>
      <c r="L89" s="10"/>
      <c r="M89" s="55"/>
      <c r="S89" s="9"/>
    </row>
    <row r="90" spans="1:19" s="8" customFormat="1" x14ac:dyDescent="0.3">
      <c r="B90" s="82"/>
      <c r="C90" s="8">
        <v>4</v>
      </c>
      <c r="D90" s="9">
        <f xml:space="preserve"> N87</f>
        <v>16456596.574086085</v>
      </c>
      <c r="E90" s="41">
        <f t="shared" si="12"/>
        <v>84957974.229195878</v>
      </c>
      <c r="F90" s="9">
        <f t="shared" si="14"/>
        <v>244311922.40031242</v>
      </c>
      <c r="G90" s="8">
        <v>1.7999999999999999E-2</v>
      </c>
      <c r="H90" s="9">
        <f t="shared" si="7"/>
        <v>248709537.00351804</v>
      </c>
      <c r="I90" s="9"/>
      <c r="J90" s="9">
        <f t="shared" si="13"/>
        <v>265166133.57760412</v>
      </c>
      <c r="K90" s="47">
        <v>0</v>
      </c>
      <c r="L90" s="10"/>
      <c r="M90" s="55"/>
      <c r="S90" s="9"/>
    </row>
    <row r="91" spans="1:19" s="8" customFormat="1" x14ac:dyDescent="0.3">
      <c r="B91" s="82"/>
      <c r="C91" s="8">
        <v>5</v>
      </c>
      <c r="D91" s="9">
        <f xml:space="preserve"> N87</f>
        <v>16456596.574086085</v>
      </c>
      <c r="E91" s="41">
        <f t="shared" si="12"/>
        <v>86894417.765321404</v>
      </c>
      <c r="F91" s="9">
        <f t="shared" si="14"/>
        <v>257124633.57058281</v>
      </c>
      <c r="G91" s="8">
        <v>1.7999999999999999E-2</v>
      </c>
      <c r="H91" s="9">
        <f t="shared" si="7"/>
        <v>261752876.97485331</v>
      </c>
      <c r="I91" s="9"/>
      <c r="J91" s="9">
        <f t="shared" si="13"/>
        <v>278209473.54893941</v>
      </c>
      <c r="K91" s="47">
        <f xml:space="preserve"> Q86</f>
        <v>8041500.0070213154</v>
      </c>
      <c r="L91" s="10"/>
      <c r="M91" s="55"/>
      <c r="S91" s="9"/>
    </row>
    <row r="92" spans="1:19" s="8" customFormat="1" x14ac:dyDescent="0.3">
      <c r="B92" s="82"/>
      <c r="C92" s="8">
        <v>6</v>
      </c>
      <c r="D92" s="9">
        <f xml:space="preserve"> N87</f>
        <v>16456596.574086085</v>
      </c>
      <c r="E92" s="41">
        <f t="shared" si="12"/>
        <v>88865717.285097182</v>
      </c>
      <c r="F92" s="9">
        <f t="shared" si="14"/>
        <v>278209473.54893941</v>
      </c>
      <c r="G92" s="8">
        <v>1.7999999999999999E-2</v>
      </c>
      <c r="H92" s="9">
        <f t="shared" si="7"/>
        <v>283217244.07282031</v>
      </c>
      <c r="I92" s="9"/>
      <c r="J92" s="9">
        <f t="shared" si="13"/>
        <v>299673840.64690638</v>
      </c>
      <c r="K92" s="47">
        <v>0</v>
      </c>
      <c r="L92" s="10"/>
      <c r="M92" s="55"/>
      <c r="S92" s="9"/>
    </row>
    <row r="93" spans="1:19" s="8" customFormat="1" x14ac:dyDescent="0.3">
      <c r="B93" s="82"/>
      <c r="C93" s="8">
        <v>7</v>
      </c>
      <c r="D93" s="9">
        <f xml:space="preserve"> N87</f>
        <v>16456596.574086085</v>
      </c>
      <c r="E93" s="41">
        <f t="shared" si="12"/>
        <v>90872500.196228936</v>
      </c>
      <c r="F93" s="9">
        <f t="shared" si="14"/>
        <v>299673840.64690638</v>
      </c>
      <c r="G93" s="8">
        <v>1.7999999999999999E-2</v>
      </c>
      <c r="H93" s="9">
        <f t="shared" si="7"/>
        <v>305067969.77855068</v>
      </c>
      <c r="I93" s="9"/>
      <c r="J93" s="9">
        <f t="shared" si="13"/>
        <v>321524566.35263675</v>
      </c>
      <c r="K93" s="47">
        <v>0</v>
      </c>
      <c r="L93" s="10"/>
      <c r="M93" s="55"/>
      <c r="S93" s="9"/>
    </row>
    <row r="94" spans="1:19" s="8" customFormat="1" x14ac:dyDescent="0.3">
      <c r="B94" s="82"/>
      <c r="C94" s="8">
        <v>8</v>
      </c>
      <c r="D94" s="9">
        <f xml:space="preserve"> N87</f>
        <v>16456596.574086085</v>
      </c>
      <c r="E94" s="41">
        <f t="shared" si="12"/>
        <v>92915405.199761063</v>
      </c>
      <c r="F94" s="9">
        <f t="shared" si="14"/>
        <v>321524566.35263675</v>
      </c>
      <c r="G94" s="8">
        <v>1.7999999999999999E-2</v>
      </c>
      <c r="H94" s="9">
        <f t="shared" ref="H94:H157" si="15" xml:space="preserve"> (F94 * G94) + F94</f>
        <v>327312008.5469842</v>
      </c>
      <c r="I94" s="9"/>
      <c r="J94" s="9">
        <f t="shared" si="13"/>
        <v>343768605.12107027</v>
      </c>
      <c r="K94" s="47">
        <v>0</v>
      </c>
      <c r="L94" s="10"/>
      <c r="M94" s="55"/>
      <c r="S94" s="9"/>
    </row>
    <row r="95" spans="1:19" s="8" customFormat="1" x14ac:dyDescent="0.3">
      <c r="B95" s="82"/>
      <c r="C95" s="8">
        <v>9</v>
      </c>
      <c r="D95" s="9">
        <f xml:space="preserve"> N87</f>
        <v>16456596.574086085</v>
      </c>
      <c r="E95" s="41">
        <f t="shared" si="12"/>
        <v>94995082.493356764</v>
      </c>
      <c r="F95" s="9">
        <f t="shared" si="14"/>
        <v>343768605.12107027</v>
      </c>
      <c r="G95" s="8">
        <v>1.7999999999999999E-2</v>
      </c>
      <c r="H95" s="9">
        <f t="shared" si="15"/>
        <v>349956440.01324952</v>
      </c>
      <c r="I95" s="9"/>
      <c r="J95" s="9">
        <f t="shared" si="13"/>
        <v>366413036.58733559</v>
      </c>
      <c r="K95" s="47">
        <v>0</v>
      </c>
      <c r="L95" s="10"/>
      <c r="M95" s="55"/>
      <c r="S95" s="9"/>
    </row>
    <row r="96" spans="1:19" s="8" customFormat="1" x14ac:dyDescent="0.3">
      <c r="B96" s="82"/>
      <c r="C96" s="8">
        <v>10</v>
      </c>
      <c r="D96" s="9">
        <f xml:space="preserve"> N87</f>
        <v>16456596.574086085</v>
      </c>
      <c r="E96" s="41">
        <f t="shared" si="12"/>
        <v>97112193.978237182</v>
      </c>
      <c r="F96" s="9">
        <f t="shared" si="14"/>
        <v>366413036.58733559</v>
      </c>
      <c r="G96" s="8">
        <v>1.7999999999999999E-2</v>
      </c>
      <c r="H96" s="9">
        <f t="shared" si="15"/>
        <v>373008471.2459076</v>
      </c>
      <c r="I96" s="9"/>
      <c r="J96" s="9">
        <f t="shared" si="13"/>
        <v>389465067.81999367</v>
      </c>
      <c r="K96" s="47">
        <v>0</v>
      </c>
      <c r="L96" s="10"/>
      <c r="M96" s="55"/>
      <c r="S96" s="9"/>
    </row>
    <row r="97" spans="1:19" s="8" customFormat="1" x14ac:dyDescent="0.3">
      <c r="B97" s="82"/>
      <c r="C97" s="8">
        <v>11</v>
      </c>
      <c r="D97" s="9">
        <f xml:space="preserve"> N87</f>
        <v>16456596.574086085</v>
      </c>
      <c r="E97" s="41">
        <f t="shared" si="12"/>
        <v>99267413.469845444</v>
      </c>
      <c r="F97" s="9">
        <f t="shared" si="14"/>
        <v>389465067.81999367</v>
      </c>
      <c r="G97" s="8">
        <v>1.7999999999999999E-2</v>
      </c>
      <c r="H97" s="9">
        <f t="shared" si="15"/>
        <v>396475439.04075354</v>
      </c>
      <c r="I97" s="9"/>
      <c r="J97" s="9">
        <f t="shared" si="13"/>
        <v>412932035.61483961</v>
      </c>
      <c r="K97" s="47">
        <v>0</v>
      </c>
      <c r="L97" s="10"/>
      <c r="M97" s="55"/>
      <c r="S97" s="9"/>
    </row>
    <row r="98" spans="1:19" s="18" customFormat="1" x14ac:dyDescent="0.3">
      <c r="B98" s="82"/>
      <c r="C98" s="18">
        <v>12</v>
      </c>
      <c r="D98" s="19">
        <f xml:space="preserve"> N87</f>
        <v>16456596.574086085</v>
      </c>
      <c r="E98" s="19">
        <f t="shared" si="12"/>
        <v>101461426.91230266</v>
      </c>
      <c r="F98" s="19">
        <f t="shared" si="14"/>
        <v>412932035.61483961</v>
      </c>
      <c r="G98" s="18">
        <v>1.7999999999999999E-2</v>
      </c>
      <c r="H98" s="19">
        <f t="shared" si="15"/>
        <v>420364812.2559067</v>
      </c>
      <c r="I98" s="19">
        <f xml:space="preserve"> H98</f>
        <v>420364812.2559067</v>
      </c>
      <c r="J98" s="9">
        <f t="shared" si="13"/>
        <v>436821408.82999277</v>
      </c>
      <c r="K98" s="50">
        <v>0</v>
      </c>
      <c r="L98" s="20">
        <f xml:space="preserve"> I98 / 2</f>
        <v>210182406.12795335</v>
      </c>
      <c r="M98" s="58">
        <f xml:space="preserve"> (F87 + SUM(D88:D98)) - SUM(K88:K98)</f>
        <v>356916817.77104467</v>
      </c>
      <c r="N98" s="19">
        <f xml:space="preserve"> H98 - M98</f>
        <v>63447994.48486203</v>
      </c>
      <c r="O98" s="18">
        <v>0.84</v>
      </c>
      <c r="P98" s="19">
        <f xml:space="preserve"> N98 * O98</f>
        <v>53296315.367284104</v>
      </c>
      <c r="Q98" s="19">
        <f xml:space="preserve"> N98 - P98</f>
        <v>10151679.117577925</v>
      </c>
      <c r="R98" s="18">
        <f xml:space="preserve"> N98 / M98 * 100</f>
        <v>17.77668950460124</v>
      </c>
      <c r="S98" s="19"/>
    </row>
    <row r="99" spans="1:19" s="8" customFormat="1" x14ac:dyDescent="0.3">
      <c r="A99" s="8">
        <v>9</v>
      </c>
      <c r="B99" s="82">
        <v>2030</v>
      </c>
      <c r="C99" s="8">
        <v>1</v>
      </c>
      <c r="D99" s="9">
        <f>N99</f>
        <v>20015200.510662779</v>
      </c>
      <c r="E99" s="41">
        <f t="shared" si="12"/>
        <v>103694932.59672411</v>
      </c>
      <c r="F99" s="9">
        <f xml:space="preserve"> (H98 / 2) + D99 - K99</f>
        <v>230197606.63861614</v>
      </c>
      <c r="G99" s="8">
        <v>1.7999999999999999E-2</v>
      </c>
      <c r="H99" s="9">
        <f t="shared" si="15"/>
        <v>234341163.55811122</v>
      </c>
      <c r="I99" s="9"/>
      <c r="J99" s="9">
        <f t="shared" si="13"/>
        <v>254356364.06877398</v>
      </c>
      <c r="K99" s="47">
        <v>0</v>
      </c>
      <c r="L99" s="10"/>
      <c r="M99" s="55"/>
      <c r="N99" s="11">
        <f xml:space="preserve"> (L98 / 12) +2500000</f>
        <v>20015200.510662779</v>
      </c>
      <c r="P99" s="9">
        <f xml:space="preserve"> (H98 / 2 )</f>
        <v>210182406.12795335</v>
      </c>
      <c r="S99" s="9"/>
    </row>
    <row r="100" spans="1:19" s="8" customFormat="1" x14ac:dyDescent="0.3">
      <c r="B100" s="82"/>
      <c r="C100" s="8">
        <v>2</v>
      </c>
      <c r="D100" s="9">
        <f>N99</f>
        <v>20015200.510662779</v>
      </c>
      <c r="E100" s="41">
        <f t="shared" si="12"/>
        <v>105968641.38346514</v>
      </c>
      <c r="F100" s="9">
        <f t="shared" ref="F100:F110" si="16" xml:space="preserve"> H99 + D100 - K100</f>
        <v>254356364.06877398</v>
      </c>
      <c r="G100" s="8">
        <v>1.7999999999999999E-2</v>
      </c>
      <c r="H100" s="9">
        <f t="shared" si="15"/>
        <v>258934778.62201193</v>
      </c>
      <c r="I100" s="9"/>
      <c r="J100" s="9">
        <f t="shared" si="13"/>
        <v>278949979.13267469</v>
      </c>
      <c r="K100" s="47">
        <v>0</v>
      </c>
      <c r="L100" s="10"/>
      <c r="M100" s="55"/>
      <c r="S100" s="9"/>
    </row>
    <row r="101" spans="1:19" s="8" customFormat="1" x14ac:dyDescent="0.3">
      <c r="B101" s="82"/>
      <c r="C101" s="8">
        <v>3</v>
      </c>
      <c r="D101" s="9">
        <f>N99</f>
        <v>20015200.510662779</v>
      </c>
      <c r="E101" s="41">
        <f t="shared" si="12"/>
        <v>108283276.92836751</v>
      </c>
      <c r="F101" s="9">
        <f t="shared" si="16"/>
        <v>278949979.13267469</v>
      </c>
      <c r="G101" s="8">
        <v>1.7999999999999999E-2</v>
      </c>
      <c r="H101" s="9">
        <f t="shared" si="15"/>
        <v>283971078.75706285</v>
      </c>
      <c r="I101" s="9"/>
      <c r="J101" s="9">
        <f t="shared" si="13"/>
        <v>303986279.26772565</v>
      </c>
      <c r="K101" s="47">
        <v>0</v>
      </c>
      <c r="L101" s="10"/>
      <c r="M101" s="55"/>
      <c r="S101" s="9"/>
    </row>
    <row r="102" spans="1:19" s="8" customFormat="1" x14ac:dyDescent="0.3">
      <c r="B102" s="82"/>
      <c r="C102" s="8">
        <v>4</v>
      </c>
      <c r="D102" s="9">
        <f>N99</f>
        <v>20015200.510662779</v>
      </c>
      <c r="E102" s="41">
        <f t="shared" si="12"/>
        <v>110639575.91307813</v>
      </c>
      <c r="F102" s="9">
        <f t="shared" si="16"/>
        <v>303986279.26772565</v>
      </c>
      <c r="G102" s="8">
        <v>1.7999999999999999E-2</v>
      </c>
      <c r="H102" s="9">
        <f t="shared" si="15"/>
        <v>309458032.2945447</v>
      </c>
      <c r="I102" s="9"/>
      <c r="J102" s="9">
        <f t="shared" si="13"/>
        <v>329473232.80520749</v>
      </c>
      <c r="K102" s="47">
        <v>0</v>
      </c>
      <c r="L102" s="10"/>
      <c r="M102" s="55"/>
      <c r="S102" s="9"/>
    </row>
    <row r="103" spans="1:19" s="8" customFormat="1" x14ac:dyDescent="0.3">
      <c r="B103" s="82"/>
      <c r="C103" s="8">
        <v>5</v>
      </c>
      <c r="D103" s="9">
        <f>N99</f>
        <v>20015200.510662779</v>
      </c>
      <c r="E103" s="41">
        <f t="shared" si="12"/>
        <v>113038288.27951354</v>
      </c>
      <c r="F103" s="9">
        <f t="shared" si="16"/>
        <v>319321553.68762958</v>
      </c>
      <c r="G103" s="8">
        <v>1.7999999999999999E-2</v>
      </c>
      <c r="H103" s="9">
        <f t="shared" si="15"/>
        <v>325069341.6540069</v>
      </c>
      <c r="I103" s="9"/>
      <c r="J103" s="9">
        <f t="shared" si="13"/>
        <v>345084542.16466969</v>
      </c>
      <c r="K103" s="47">
        <f xml:space="preserve"> Q98</f>
        <v>10151679.117577925</v>
      </c>
      <c r="L103" s="10"/>
      <c r="M103" s="55"/>
      <c r="S103" s="9"/>
    </row>
    <row r="104" spans="1:19" s="8" customFormat="1" x14ac:dyDescent="0.3">
      <c r="B104" s="82"/>
      <c r="C104" s="8">
        <v>6</v>
      </c>
      <c r="D104" s="9">
        <f>N99</f>
        <v>20015200.510662779</v>
      </c>
      <c r="E104" s="41">
        <f t="shared" si="12"/>
        <v>115480177.46854478</v>
      </c>
      <c r="F104" s="9">
        <f t="shared" si="16"/>
        <v>345084542.16466969</v>
      </c>
      <c r="G104" s="8">
        <v>1.7999999999999999E-2</v>
      </c>
      <c r="H104" s="9">
        <f t="shared" si="15"/>
        <v>351296063.92363375</v>
      </c>
      <c r="I104" s="9"/>
      <c r="J104" s="9">
        <f t="shared" si="13"/>
        <v>371311264.43429655</v>
      </c>
      <c r="K104" s="47">
        <v>0</v>
      </c>
      <c r="L104" s="10"/>
      <c r="M104" s="55"/>
      <c r="S104" s="9"/>
    </row>
    <row r="105" spans="1:19" s="8" customFormat="1" x14ac:dyDescent="0.3">
      <c r="B105" s="82"/>
      <c r="C105" s="8">
        <v>7</v>
      </c>
      <c r="D105" s="9">
        <f>N99</f>
        <v>20015200.510662779</v>
      </c>
      <c r="E105" s="41">
        <f t="shared" si="12"/>
        <v>117966020.66297859</v>
      </c>
      <c r="F105" s="9">
        <f t="shared" si="16"/>
        <v>371311264.43429655</v>
      </c>
      <c r="G105" s="8">
        <v>1.7999999999999999E-2</v>
      </c>
      <c r="H105" s="9">
        <f t="shared" si="15"/>
        <v>377994867.19411391</v>
      </c>
      <c r="I105" s="9"/>
      <c r="J105" s="9">
        <f t="shared" si="13"/>
        <v>398010067.7047767</v>
      </c>
      <c r="K105" s="47">
        <v>0</v>
      </c>
      <c r="L105" s="10"/>
      <c r="M105" s="55"/>
      <c r="S105" s="9"/>
    </row>
    <row r="106" spans="1:19" s="8" customFormat="1" x14ac:dyDescent="0.3">
      <c r="B106" s="82"/>
      <c r="C106" s="8">
        <v>8</v>
      </c>
      <c r="D106" s="9">
        <f>N99</f>
        <v>20015200.510662779</v>
      </c>
      <c r="E106" s="41">
        <f t="shared" si="12"/>
        <v>120496609.0349122</v>
      </c>
      <c r="F106" s="9">
        <f t="shared" si="16"/>
        <v>398010067.7047767</v>
      </c>
      <c r="G106" s="8">
        <v>1.7999999999999999E-2</v>
      </c>
      <c r="H106" s="9">
        <f t="shared" si="15"/>
        <v>405174248.92346269</v>
      </c>
      <c r="I106" s="9"/>
      <c r="J106" s="9">
        <f t="shared" si="13"/>
        <v>425189449.43412548</v>
      </c>
      <c r="K106" s="47">
        <v>0</v>
      </c>
      <c r="L106" s="10"/>
      <c r="M106" s="55"/>
      <c r="S106" s="9"/>
    </row>
    <row r="107" spans="1:19" s="8" customFormat="1" x14ac:dyDescent="0.3">
      <c r="B107" s="82"/>
      <c r="C107" s="8">
        <v>9</v>
      </c>
      <c r="D107" s="9">
        <f>N99</f>
        <v>20015200.510662779</v>
      </c>
      <c r="E107" s="41">
        <f t="shared" si="12"/>
        <v>123072747.99754062</v>
      </c>
      <c r="F107" s="9">
        <f t="shared" si="16"/>
        <v>425189449.43412548</v>
      </c>
      <c r="G107" s="8">
        <v>1.7999999999999999E-2</v>
      </c>
      <c r="H107" s="9">
        <f t="shared" si="15"/>
        <v>432842859.52393973</v>
      </c>
      <c r="I107" s="9"/>
      <c r="J107" s="9">
        <f t="shared" si="13"/>
        <v>452858060.03460252</v>
      </c>
      <c r="K107" s="47">
        <v>0</v>
      </c>
      <c r="L107" s="10"/>
      <c r="M107" s="55"/>
      <c r="S107" s="9"/>
    </row>
    <row r="108" spans="1:19" s="8" customFormat="1" x14ac:dyDescent="0.3">
      <c r="B108" s="82"/>
      <c r="C108" s="8">
        <v>10</v>
      </c>
      <c r="D108" s="9">
        <f>N99</f>
        <v>20015200.510662779</v>
      </c>
      <c r="E108" s="41">
        <f t="shared" si="12"/>
        <v>125695257.46149635</v>
      </c>
      <c r="F108" s="9">
        <f t="shared" si="16"/>
        <v>452858060.03460252</v>
      </c>
      <c r="G108" s="8">
        <v>1.7999999999999999E-2</v>
      </c>
      <c r="H108" s="9">
        <f t="shared" si="15"/>
        <v>461009505.11522537</v>
      </c>
      <c r="I108" s="9"/>
      <c r="J108" s="9">
        <f t="shared" si="13"/>
        <v>481024705.62588817</v>
      </c>
      <c r="K108" s="47">
        <v>0</v>
      </c>
      <c r="L108" s="10"/>
      <c r="M108" s="55"/>
      <c r="S108" s="9"/>
    </row>
    <row r="109" spans="1:19" s="8" customFormat="1" x14ac:dyDescent="0.3">
      <c r="B109" s="82"/>
      <c r="C109" s="8">
        <v>11</v>
      </c>
      <c r="D109" s="9">
        <f>N99</f>
        <v>20015200.510662779</v>
      </c>
      <c r="E109" s="41">
        <f t="shared" si="12"/>
        <v>128364972.09580329</v>
      </c>
      <c r="F109" s="9">
        <f t="shared" si="16"/>
        <v>481024705.62588817</v>
      </c>
      <c r="G109" s="8">
        <v>1.7999999999999999E-2</v>
      </c>
      <c r="H109" s="9">
        <f t="shared" si="15"/>
        <v>489683150.32715416</v>
      </c>
      <c r="I109" s="9"/>
      <c r="J109" s="9">
        <f t="shared" si="13"/>
        <v>509698350.83781695</v>
      </c>
      <c r="K109" s="47">
        <v>0</v>
      </c>
      <c r="L109" s="10"/>
      <c r="M109" s="55"/>
      <c r="S109" s="9"/>
    </row>
    <row r="110" spans="1:19" s="18" customFormat="1" x14ac:dyDescent="0.3">
      <c r="B110" s="82"/>
      <c r="C110" s="18">
        <v>12</v>
      </c>
      <c r="D110" s="19">
        <f>N99</f>
        <v>20015200.510662779</v>
      </c>
      <c r="E110" s="19">
        <f t="shared" si="12"/>
        <v>131082741.59352775</v>
      </c>
      <c r="F110" s="19">
        <f t="shared" si="16"/>
        <v>509698350.83781695</v>
      </c>
      <c r="G110" s="18">
        <v>1.7999999999999999E-2</v>
      </c>
      <c r="H110" s="19">
        <f t="shared" si="15"/>
        <v>518872921.15289766</v>
      </c>
      <c r="I110" s="19">
        <f xml:space="preserve"> H110</f>
        <v>518872921.15289766</v>
      </c>
      <c r="J110" s="9">
        <f t="shared" si="13"/>
        <v>538888121.66356039</v>
      </c>
      <c r="K110" s="50">
        <v>0</v>
      </c>
      <c r="L110" s="20">
        <f xml:space="preserve"> I110 / 2</f>
        <v>259436460.57644883</v>
      </c>
      <c r="M110" s="58">
        <f xml:space="preserve"> (F99 + SUM(D100:D110)) - SUM(K100:K110)</f>
        <v>440213133.13832885</v>
      </c>
      <c r="N110" s="19">
        <f xml:space="preserve"> H110 - M110</f>
        <v>78659788.014568806</v>
      </c>
      <c r="O110" s="18">
        <v>0.84</v>
      </c>
      <c r="P110" s="19">
        <f xml:space="preserve"> N110 * O110</f>
        <v>66074221.932237796</v>
      </c>
      <c r="Q110" s="19">
        <f xml:space="preserve"> N110 - P110</f>
        <v>12585566.082331009</v>
      </c>
      <c r="R110" s="18">
        <f xml:space="preserve"> N110 / M110 * 100</f>
        <v>17.868569130092588</v>
      </c>
      <c r="S110" s="19"/>
    </row>
    <row r="111" spans="1:19" s="8" customFormat="1" x14ac:dyDescent="0.3">
      <c r="A111" s="8">
        <v>10</v>
      </c>
      <c r="B111" s="82">
        <v>2031</v>
      </c>
      <c r="C111" s="8">
        <v>1</v>
      </c>
      <c r="D111" s="9">
        <f>N111</f>
        <v>24119705.048037402</v>
      </c>
      <c r="E111" s="41">
        <f t="shared" si="12"/>
        <v>133849430.94221126</v>
      </c>
      <c r="F111" s="9">
        <f xml:space="preserve"> (H110 / 2) + D111 - K111</f>
        <v>283556165.62448621</v>
      </c>
      <c r="G111" s="8">
        <v>1.7999999999999999E-2</v>
      </c>
      <c r="H111" s="9">
        <f t="shared" si="15"/>
        <v>288660176.60572696</v>
      </c>
      <c r="I111" s="9"/>
      <c r="J111" s="9">
        <f t="shared" si="13"/>
        <v>312779881.65376437</v>
      </c>
      <c r="K111" s="47">
        <v>0</v>
      </c>
      <c r="L111" s="10"/>
      <c r="M111" s="55"/>
      <c r="N111" s="11">
        <f xml:space="preserve"> (L110 / 12) +2500000</f>
        <v>24119705.048037402</v>
      </c>
      <c r="P111" s="9">
        <f xml:space="preserve"> (H110 / 2 )</f>
        <v>259436460.57644883</v>
      </c>
      <c r="S111" s="9"/>
    </row>
    <row r="112" spans="1:19" s="8" customFormat="1" x14ac:dyDescent="0.3">
      <c r="B112" s="82"/>
      <c r="C112" s="8">
        <v>2</v>
      </c>
      <c r="D112" s="9">
        <f>N111</f>
        <v>24119705.048037402</v>
      </c>
      <c r="E112" s="41">
        <f t="shared" si="12"/>
        <v>136665920.69917107</v>
      </c>
      <c r="F112" s="9">
        <f t="shared" ref="F112:F122" si="17" xml:space="preserve"> H111 + D112 - K112</f>
        <v>312779881.65376437</v>
      </c>
      <c r="G112" s="8">
        <v>1.7999999999999999E-2</v>
      </c>
      <c r="H112" s="9">
        <f t="shared" si="15"/>
        <v>318409919.52353215</v>
      </c>
      <c r="I112" s="9"/>
      <c r="J112" s="9">
        <f t="shared" si="13"/>
        <v>342529624.57156956</v>
      </c>
      <c r="K112" s="47">
        <v>0</v>
      </c>
      <c r="L112" s="10"/>
      <c r="M112" s="55"/>
      <c r="S112" s="9"/>
    </row>
    <row r="113" spans="1:19" s="8" customFormat="1" x14ac:dyDescent="0.3">
      <c r="B113" s="82"/>
      <c r="C113" s="8">
        <v>3</v>
      </c>
      <c r="D113" s="9">
        <f>N111</f>
        <v>24119705.048037402</v>
      </c>
      <c r="E113" s="41">
        <f t="shared" si="12"/>
        <v>139533107.27175614</v>
      </c>
      <c r="F113" s="9">
        <f t="shared" si="17"/>
        <v>342529624.57156956</v>
      </c>
      <c r="G113" s="8">
        <v>1.7999999999999999E-2</v>
      </c>
      <c r="H113" s="9">
        <f t="shared" si="15"/>
        <v>348695157.81385779</v>
      </c>
      <c r="I113" s="9"/>
      <c r="J113" s="9">
        <f t="shared" si="13"/>
        <v>372814862.8618952</v>
      </c>
      <c r="K113" s="47">
        <v>0</v>
      </c>
      <c r="L113" s="10"/>
      <c r="M113" s="55"/>
      <c r="S113" s="9"/>
    </row>
    <row r="114" spans="1:19" s="8" customFormat="1" x14ac:dyDescent="0.3">
      <c r="B114" s="82"/>
      <c r="C114" s="8">
        <v>4</v>
      </c>
      <c r="D114" s="9">
        <f>N111</f>
        <v>24119705.048037402</v>
      </c>
      <c r="E114" s="41">
        <f t="shared" si="12"/>
        <v>142451903.20264775</v>
      </c>
      <c r="F114" s="9">
        <f t="shared" si="17"/>
        <v>372814862.8618952</v>
      </c>
      <c r="G114" s="8">
        <v>1.7999999999999999E-2</v>
      </c>
      <c r="H114" s="9">
        <f t="shared" si="15"/>
        <v>379525530.39340931</v>
      </c>
      <c r="I114" s="9"/>
      <c r="J114" s="9">
        <f t="shared" si="13"/>
        <v>403645235.44144672</v>
      </c>
      <c r="K114" s="47">
        <v>0</v>
      </c>
      <c r="L114" s="10"/>
      <c r="M114" s="55"/>
      <c r="S114" s="9"/>
    </row>
    <row r="115" spans="1:19" s="8" customFormat="1" x14ac:dyDescent="0.3">
      <c r="B115" s="82"/>
      <c r="C115" s="8">
        <v>5</v>
      </c>
      <c r="D115" s="9">
        <f>N111</f>
        <v>24119705.048037402</v>
      </c>
      <c r="E115" s="41">
        <f t="shared" si="12"/>
        <v>145423237.46029541</v>
      </c>
      <c r="F115" s="9">
        <f t="shared" si="17"/>
        <v>391059669.35911572</v>
      </c>
      <c r="G115" s="8">
        <v>1.7999999999999999E-2</v>
      </c>
      <c r="H115" s="9">
        <f t="shared" si="15"/>
        <v>398098743.40757978</v>
      </c>
      <c r="I115" s="9"/>
      <c r="J115" s="9">
        <f t="shared" si="13"/>
        <v>422218448.45561719</v>
      </c>
      <c r="K115" s="47">
        <f xml:space="preserve"> Q110</f>
        <v>12585566.082331009</v>
      </c>
      <c r="L115" s="10"/>
      <c r="M115" s="55"/>
      <c r="S115" s="9"/>
    </row>
    <row r="116" spans="1:19" s="8" customFormat="1" x14ac:dyDescent="0.3">
      <c r="B116" s="82"/>
      <c r="C116" s="8">
        <v>6</v>
      </c>
      <c r="D116" s="9">
        <f>N111</f>
        <v>24119705.048037402</v>
      </c>
      <c r="E116" s="41">
        <f t="shared" si="12"/>
        <v>148448055.73458073</v>
      </c>
      <c r="F116" s="9">
        <f t="shared" si="17"/>
        <v>422218448.45561719</v>
      </c>
      <c r="G116" s="8">
        <v>1.7999999999999999E-2</v>
      </c>
      <c r="H116" s="9">
        <f t="shared" si="15"/>
        <v>429818380.52781832</v>
      </c>
      <c r="I116" s="9"/>
      <c r="J116" s="9">
        <f t="shared" si="13"/>
        <v>453938085.57585573</v>
      </c>
      <c r="K116" s="47">
        <v>0</v>
      </c>
      <c r="L116" s="10"/>
      <c r="M116" s="55"/>
      <c r="S116" s="9"/>
    </row>
    <row r="117" spans="1:19" s="8" customFormat="1" x14ac:dyDescent="0.3">
      <c r="B117" s="82"/>
      <c r="C117" s="8">
        <v>7</v>
      </c>
      <c r="D117" s="9">
        <f>N111</f>
        <v>24119705.048037402</v>
      </c>
      <c r="E117" s="41">
        <f t="shared" si="12"/>
        <v>151527320.73780319</v>
      </c>
      <c r="F117" s="9">
        <f t="shared" si="17"/>
        <v>453938085.57585573</v>
      </c>
      <c r="G117" s="8">
        <v>1.7999999999999999E-2</v>
      </c>
      <c r="H117" s="9">
        <f t="shared" si="15"/>
        <v>462108971.11622113</v>
      </c>
      <c r="I117" s="9"/>
      <c r="J117" s="9">
        <f t="shared" si="13"/>
        <v>486228676.16425854</v>
      </c>
      <c r="K117" s="47">
        <v>0</v>
      </c>
      <c r="L117" s="10"/>
      <c r="M117" s="55"/>
      <c r="S117" s="9"/>
    </row>
    <row r="118" spans="1:19" s="8" customFormat="1" x14ac:dyDescent="0.3">
      <c r="B118" s="82"/>
      <c r="C118" s="8">
        <v>8</v>
      </c>
      <c r="D118" s="9">
        <f>N111</f>
        <v>24119705.048037402</v>
      </c>
      <c r="E118" s="41">
        <f t="shared" si="12"/>
        <v>154662012.51108366</v>
      </c>
      <c r="F118" s="9">
        <f t="shared" si="17"/>
        <v>486228676.16425854</v>
      </c>
      <c r="G118" s="8">
        <v>1.7999999999999999E-2</v>
      </c>
      <c r="H118" s="9">
        <f t="shared" si="15"/>
        <v>494980792.33521521</v>
      </c>
      <c r="I118" s="9"/>
      <c r="J118" s="9">
        <f t="shared" si="13"/>
        <v>519100497.38325262</v>
      </c>
      <c r="K118" s="47">
        <v>0</v>
      </c>
      <c r="L118" s="10"/>
      <c r="M118" s="55"/>
      <c r="S118" s="9"/>
    </row>
    <row r="119" spans="1:19" s="8" customFormat="1" x14ac:dyDescent="0.3">
      <c r="B119" s="82"/>
      <c r="C119" s="8">
        <v>9</v>
      </c>
      <c r="D119" s="9">
        <f>N111</f>
        <v>24119705.048037402</v>
      </c>
      <c r="E119" s="41">
        <f t="shared" si="12"/>
        <v>157853128.73628318</v>
      </c>
      <c r="F119" s="9">
        <f t="shared" si="17"/>
        <v>519100497.38325262</v>
      </c>
      <c r="G119" s="8">
        <v>1.7999999999999999E-2</v>
      </c>
      <c r="H119" s="9">
        <f t="shared" si="15"/>
        <v>528444306.33615118</v>
      </c>
      <c r="I119" s="9"/>
      <c r="J119" s="9">
        <f t="shared" si="13"/>
        <v>552564011.38418853</v>
      </c>
      <c r="K119" s="47">
        <v>0</v>
      </c>
      <c r="L119" s="10"/>
      <c r="M119" s="55"/>
      <c r="S119" s="9"/>
    </row>
    <row r="120" spans="1:19" s="8" customFormat="1" x14ac:dyDescent="0.3">
      <c r="B120" s="82"/>
      <c r="C120" s="8">
        <v>10</v>
      </c>
      <c r="D120" s="9">
        <f>N111</f>
        <v>24119705.048037402</v>
      </c>
      <c r="E120" s="41">
        <f t="shared" si="12"/>
        <v>161101685.05353627</v>
      </c>
      <c r="F120" s="9">
        <f t="shared" si="17"/>
        <v>552564011.38418853</v>
      </c>
      <c r="G120" s="8">
        <v>1.7999999999999999E-2</v>
      </c>
      <c r="H120" s="9">
        <f t="shared" si="15"/>
        <v>562510163.58910394</v>
      </c>
      <c r="I120" s="9"/>
      <c r="J120" s="9">
        <f t="shared" si="13"/>
        <v>586629868.63714135</v>
      </c>
      <c r="K120" s="47">
        <v>0</v>
      </c>
      <c r="L120" s="10"/>
      <c r="M120" s="55"/>
      <c r="S120" s="9"/>
    </row>
    <row r="121" spans="1:19" s="8" customFormat="1" x14ac:dyDescent="0.3">
      <c r="B121" s="82"/>
      <c r="C121" s="8">
        <v>11</v>
      </c>
      <c r="D121" s="9">
        <f>N111</f>
        <v>24119705.048037402</v>
      </c>
      <c r="E121" s="41">
        <f t="shared" si="12"/>
        <v>164408715.38449991</v>
      </c>
      <c r="F121" s="9">
        <f t="shared" si="17"/>
        <v>586629868.63714135</v>
      </c>
      <c r="G121" s="8">
        <v>1.7999999999999999E-2</v>
      </c>
      <c r="H121" s="9">
        <f t="shared" si="15"/>
        <v>597189206.27260995</v>
      </c>
      <c r="I121" s="9"/>
      <c r="J121" s="9">
        <f t="shared" si="13"/>
        <v>621308911.32064736</v>
      </c>
      <c r="K121" s="47">
        <v>0</v>
      </c>
      <c r="L121" s="10"/>
      <c r="M121" s="55"/>
      <c r="S121" s="9"/>
    </row>
    <row r="122" spans="1:19" s="18" customFormat="1" x14ac:dyDescent="0.3">
      <c r="B122" s="82"/>
      <c r="C122" s="18">
        <v>12</v>
      </c>
      <c r="D122" s="19">
        <f>N111</f>
        <v>24119705.048037402</v>
      </c>
      <c r="E122" s="19">
        <f t="shared" si="12"/>
        <v>167775272.26142091</v>
      </c>
      <c r="F122" s="19">
        <f t="shared" si="17"/>
        <v>621308911.32064736</v>
      </c>
      <c r="G122" s="18">
        <v>1.7999999999999999E-2</v>
      </c>
      <c r="H122" s="19">
        <f t="shared" si="15"/>
        <v>632492471.724419</v>
      </c>
      <c r="I122" s="19">
        <f xml:space="preserve"> H122</f>
        <v>632492471.724419</v>
      </c>
      <c r="J122" s="9">
        <f t="shared" si="13"/>
        <v>656612176.77245641</v>
      </c>
      <c r="K122" s="50">
        <v>0</v>
      </c>
      <c r="L122" s="20">
        <f xml:space="preserve"> I122 / 2</f>
        <v>316246235.8622095</v>
      </c>
      <c r="M122" s="58">
        <f xml:space="preserve"> (F111 + SUM(D112:D122)) - SUM(K112:K122)</f>
        <v>536287355.07056671</v>
      </c>
      <c r="N122" s="19">
        <f xml:space="preserve"> H122 - M122</f>
        <v>96205116.653852284</v>
      </c>
      <c r="O122" s="18">
        <v>0.84</v>
      </c>
      <c r="P122" s="19">
        <f xml:space="preserve"> N122 * O122</f>
        <v>80812297.989235923</v>
      </c>
      <c r="Q122" s="19">
        <f xml:space="preserve"> N122 - P122</f>
        <v>15392818.664616361</v>
      </c>
      <c r="R122" s="18">
        <f xml:space="preserve"> N122 / M122 * 100</f>
        <v>17.939098459853348</v>
      </c>
      <c r="S122" s="19"/>
    </row>
    <row r="123" spans="1:19" s="8" customFormat="1" x14ac:dyDescent="0.3">
      <c r="A123" s="8">
        <v>11</v>
      </c>
      <c r="B123" s="82">
        <v>2032</v>
      </c>
      <c r="C123" s="8">
        <v>1</v>
      </c>
      <c r="D123" s="9">
        <f>N123</f>
        <v>28853852.988517459</v>
      </c>
      <c r="E123" s="41">
        <f t="shared" si="12"/>
        <v>171202427.16212648</v>
      </c>
      <c r="F123" s="9">
        <f xml:space="preserve"> (H122 / 2) + D123 - K123</f>
        <v>345100088.85072696</v>
      </c>
      <c r="G123" s="8">
        <v>1.7999999999999999E-2</v>
      </c>
      <c r="H123" s="9">
        <f t="shared" si="15"/>
        <v>351311890.45004004</v>
      </c>
      <c r="I123" s="9"/>
      <c r="J123" s="9">
        <f t="shared" si="13"/>
        <v>380165743.43855751</v>
      </c>
      <c r="K123" s="47"/>
      <c r="L123" s="10"/>
      <c r="M123" s="55"/>
      <c r="N123" s="11">
        <f xml:space="preserve"> (L122 / 12) +2500000</f>
        <v>28853852.988517459</v>
      </c>
      <c r="P123" s="9">
        <f xml:space="preserve"> (H122 / 2 )</f>
        <v>316246235.8622095</v>
      </c>
      <c r="S123" s="9"/>
    </row>
    <row r="124" spans="1:19" s="8" customFormat="1" x14ac:dyDescent="0.3">
      <c r="B124" s="82"/>
      <c r="C124" s="8">
        <v>2</v>
      </c>
      <c r="D124" s="9">
        <f>N123</f>
        <v>28853852.988517459</v>
      </c>
      <c r="E124" s="41">
        <f t="shared" si="12"/>
        <v>174691270.85104474</v>
      </c>
      <c r="F124" s="9">
        <f t="shared" ref="F124:F134" si="18" xml:space="preserve"> H123 + D124 - K124</f>
        <v>380165743.43855751</v>
      </c>
      <c r="G124" s="8">
        <v>1.7999999999999999E-2</v>
      </c>
      <c r="H124" s="9">
        <f t="shared" si="15"/>
        <v>387008726.82045156</v>
      </c>
      <c r="I124" s="9"/>
      <c r="J124" s="9">
        <f t="shared" si="13"/>
        <v>415862579.80896902</v>
      </c>
      <c r="K124" s="47"/>
      <c r="L124" s="10"/>
      <c r="M124" s="55"/>
      <c r="S124" s="9"/>
    </row>
    <row r="125" spans="1:19" s="8" customFormat="1" x14ac:dyDescent="0.3">
      <c r="B125" s="82"/>
      <c r="C125" s="8">
        <v>3</v>
      </c>
      <c r="D125" s="9">
        <f>N123</f>
        <v>28853852.988517459</v>
      </c>
      <c r="E125" s="41">
        <f t="shared" si="12"/>
        <v>178242913.72636354</v>
      </c>
      <c r="F125" s="9">
        <f t="shared" si="18"/>
        <v>415862579.80896902</v>
      </c>
      <c r="G125" s="8">
        <v>1.7999999999999999E-2</v>
      </c>
      <c r="H125" s="9">
        <f t="shared" si="15"/>
        <v>423348106.24553049</v>
      </c>
      <c r="I125" s="9"/>
      <c r="J125" s="9">
        <f t="shared" si="13"/>
        <v>452201959.23404795</v>
      </c>
      <c r="K125" s="47"/>
      <c r="L125" s="10"/>
      <c r="M125" s="55"/>
      <c r="S125" s="9"/>
    </row>
    <row r="126" spans="1:19" s="8" customFormat="1" x14ac:dyDescent="0.3">
      <c r="B126" s="82"/>
      <c r="C126" s="8">
        <v>4</v>
      </c>
      <c r="D126" s="9">
        <f>N123</f>
        <v>28853852.988517459</v>
      </c>
      <c r="E126" s="41">
        <f t="shared" si="12"/>
        <v>181858486.17343807</v>
      </c>
      <c r="F126" s="9">
        <f t="shared" si="18"/>
        <v>452201959.23404795</v>
      </c>
      <c r="G126" s="8">
        <v>1.7999999999999999E-2</v>
      </c>
      <c r="H126" s="9">
        <f t="shared" si="15"/>
        <v>460341594.50026083</v>
      </c>
      <c r="I126" s="9"/>
      <c r="J126" s="9">
        <f t="shared" si="13"/>
        <v>489195447.48877829</v>
      </c>
      <c r="K126" s="47"/>
      <c r="L126" s="10"/>
      <c r="M126" s="55"/>
      <c r="S126" s="9"/>
    </row>
    <row r="127" spans="1:19" s="8" customFormat="1" x14ac:dyDescent="0.3">
      <c r="B127" s="82"/>
      <c r="C127" s="8">
        <v>5</v>
      </c>
      <c r="D127" s="9">
        <f>N123</f>
        <v>28853852.988517459</v>
      </c>
      <c r="E127" s="41">
        <f t="shared" si="12"/>
        <v>185539138.92455995</v>
      </c>
      <c r="F127" s="9">
        <f t="shared" si="18"/>
        <v>473802628.82416195</v>
      </c>
      <c r="G127" s="8">
        <v>1.7999999999999999E-2</v>
      </c>
      <c r="H127" s="9">
        <f t="shared" si="15"/>
        <v>482331076.14299685</v>
      </c>
      <c r="I127" s="9"/>
      <c r="J127" s="9">
        <f t="shared" si="13"/>
        <v>511184929.13151431</v>
      </c>
      <c r="K127" s="47">
        <f xml:space="preserve"> Q122</f>
        <v>15392818.664616361</v>
      </c>
      <c r="L127" s="10"/>
      <c r="M127" s="55"/>
      <c r="S127" s="9"/>
    </row>
    <row r="128" spans="1:19" s="8" customFormat="1" x14ac:dyDescent="0.3">
      <c r="B128" s="82"/>
      <c r="C128" s="8">
        <v>6</v>
      </c>
      <c r="D128" s="9">
        <f>N123</f>
        <v>28853852.988517459</v>
      </c>
      <c r="E128" s="41">
        <f t="shared" si="12"/>
        <v>189286043.42520204</v>
      </c>
      <c r="F128" s="9">
        <f t="shared" si="18"/>
        <v>511184929.13151431</v>
      </c>
      <c r="G128" s="8">
        <v>1.7999999999999999E-2</v>
      </c>
      <c r="H128" s="9">
        <f t="shared" si="15"/>
        <v>520386257.85588157</v>
      </c>
      <c r="I128" s="9"/>
      <c r="J128" s="9">
        <f t="shared" si="13"/>
        <v>549240110.84439898</v>
      </c>
      <c r="K128" s="47"/>
      <c r="L128" s="10"/>
      <c r="M128" s="55"/>
      <c r="S128" s="9"/>
    </row>
    <row r="129" spans="1:19" s="8" customFormat="1" x14ac:dyDescent="0.3">
      <c r="B129" s="82"/>
      <c r="C129" s="8">
        <v>7</v>
      </c>
      <c r="D129" s="9">
        <f>N123</f>
        <v>28853852.988517459</v>
      </c>
      <c r="E129" s="41">
        <f t="shared" si="12"/>
        <v>193100392.20685568</v>
      </c>
      <c r="F129" s="9">
        <f t="shared" si="18"/>
        <v>549240110.84439898</v>
      </c>
      <c r="G129" s="8">
        <v>1.7999999999999999E-2</v>
      </c>
      <c r="H129" s="9">
        <f t="shared" si="15"/>
        <v>559126432.83959818</v>
      </c>
      <c r="I129" s="9"/>
      <c r="J129" s="9">
        <f t="shared" si="13"/>
        <v>587980285.82811558</v>
      </c>
      <c r="K129" s="47"/>
      <c r="L129" s="10"/>
      <c r="M129" s="55"/>
      <c r="S129" s="9"/>
    </row>
    <row r="130" spans="1:19" s="8" customFormat="1" x14ac:dyDescent="0.3">
      <c r="B130" s="82"/>
      <c r="C130" s="8">
        <v>8</v>
      </c>
      <c r="D130" s="9">
        <f>N123</f>
        <v>28853852.988517459</v>
      </c>
      <c r="E130" s="41">
        <f t="shared" si="12"/>
        <v>196983399.26657909</v>
      </c>
      <c r="F130" s="9">
        <f t="shared" si="18"/>
        <v>587980285.82811558</v>
      </c>
      <c r="G130" s="8">
        <v>1.7999999999999999E-2</v>
      </c>
      <c r="H130" s="9">
        <f t="shared" si="15"/>
        <v>598563930.97302163</v>
      </c>
      <c r="I130" s="9"/>
      <c r="J130" s="9">
        <f t="shared" si="13"/>
        <v>627417783.96153903</v>
      </c>
      <c r="K130" s="47"/>
      <c r="L130" s="10"/>
      <c r="M130" s="55"/>
      <c r="S130" s="9"/>
    </row>
    <row r="131" spans="1:19" s="8" customFormat="1" x14ac:dyDescent="0.3">
      <c r="B131" s="82"/>
      <c r="C131" s="8">
        <v>9</v>
      </c>
      <c r="D131" s="9">
        <f>N123</f>
        <v>28853852.988517459</v>
      </c>
      <c r="E131" s="41">
        <f t="shared" si="12"/>
        <v>200936300.45337752</v>
      </c>
      <c r="F131" s="9">
        <f t="shared" si="18"/>
        <v>627417783.96153903</v>
      </c>
      <c r="G131" s="8">
        <v>1.7999999999999999E-2</v>
      </c>
      <c r="H131" s="9">
        <f t="shared" si="15"/>
        <v>638711304.07284677</v>
      </c>
      <c r="I131" s="9"/>
      <c r="J131" s="9">
        <f t="shared" si="13"/>
        <v>667565157.06136417</v>
      </c>
      <c r="K131" s="47"/>
      <c r="L131" s="10"/>
      <c r="M131" s="55"/>
      <c r="S131" s="9"/>
    </row>
    <row r="132" spans="1:19" s="8" customFormat="1" x14ac:dyDescent="0.3">
      <c r="B132" s="82"/>
      <c r="C132" s="8">
        <v>10</v>
      </c>
      <c r="D132" s="9">
        <f>N123</f>
        <v>28853852.988517459</v>
      </c>
      <c r="E132" s="41">
        <f t="shared" si="12"/>
        <v>204960353.86153832</v>
      </c>
      <c r="F132" s="9">
        <f t="shared" si="18"/>
        <v>667565157.06136417</v>
      </c>
      <c r="G132" s="8">
        <v>1.7999999999999999E-2</v>
      </c>
      <c r="H132" s="9">
        <f t="shared" si="15"/>
        <v>679581329.88846874</v>
      </c>
      <c r="I132" s="9"/>
      <c r="J132" s="9">
        <f t="shared" si="13"/>
        <v>708435182.87698615</v>
      </c>
      <c r="K132" s="47"/>
      <c r="L132" s="10"/>
      <c r="M132" s="55"/>
      <c r="S132" s="9"/>
    </row>
    <row r="133" spans="1:19" s="8" customFormat="1" x14ac:dyDescent="0.3">
      <c r="B133" s="82"/>
      <c r="C133" s="8">
        <v>11</v>
      </c>
      <c r="D133" s="9">
        <f>N123</f>
        <v>28853852.988517459</v>
      </c>
      <c r="E133" s="41">
        <f t="shared" si="12"/>
        <v>209056840.23104602</v>
      </c>
      <c r="F133" s="9">
        <f t="shared" si="18"/>
        <v>708435182.87698615</v>
      </c>
      <c r="G133" s="8">
        <v>1.7999999999999999E-2</v>
      </c>
      <c r="H133" s="9">
        <f t="shared" si="15"/>
        <v>721187016.16877186</v>
      </c>
      <c r="I133" s="9"/>
      <c r="J133" s="9">
        <f t="shared" si="13"/>
        <v>750040869.15728927</v>
      </c>
      <c r="K133" s="47"/>
      <c r="L133" s="10"/>
      <c r="M133" s="55"/>
      <c r="S133" s="9"/>
    </row>
    <row r="134" spans="1:19" s="18" customFormat="1" x14ac:dyDescent="0.3">
      <c r="B134" s="82"/>
      <c r="C134" s="18">
        <v>12</v>
      </c>
      <c r="D134" s="19">
        <f>N123</f>
        <v>28853852.988517459</v>
      </c>
      <c r="E134" s="19">
        <f t="shared" si="12"/>
        <v>213227063.35520485</v>
      </c>
      <c r="F134" s="19">
        <f t="shared" si="18"/>
        <v>714040869.15728927</v>
      </c>
      <c r="G134" s="18">
        <v>1.7999999999999999E-2</v>
      </c>
      <c r="H134" s="19">
        <f t="shared" si="15"/>
        <v>726893604.80212045</v>
      </c>
      <c r="I134" s="19">
        <f xml:space="preserve"> H134</f>
        <v>726893604.80212045</v>
      </c>
      <c r="J134" s="9">
        <f t="shared" si="13"/>
        <v>755747457.79063785</v>
      </c>
      <c r="K134" s="51">
        <v>36000000</v>
      </c>
      <c r="L134" s="20">
        <f xml:space="preserve"> (I134-K134) / 2</f>
        <v>345446802.40106022</v>
      </c>
      <c r="M134" s="58">
        <f xml:space="preserve"> (F123 + SUM(D124:D134)) - SUM(K124:K134)</f>
        <v>611099653.05980265</v>
      </c>
      <c r="N134" s="19">
        <f xml:space="preserve"> H134 - M134</f>
        <v>115793951.7423178</v>
      </c>
      <c r="O134" s="18">
        <v>0.84</v>
      </c>
      <c r="P134" s="19">
        <f xml:space="preserve"> N134 * O134</f>
        <v>97266919.463546947</v>
      </c>
      <c r="Q134" s="19">
        <f xml:space="preserve"> N134 - P134</f>
        <v>18527032.278770849</v>
      </c>
      <c r="R134" s="18">
        <f xml:space="preserve"> N134 / M134 * 100</f>
        <v>18.948456469011628</v>
      </c>
      <c r="S134" s="19"/>
    </row>
    <row r="135" spans="1:19" s="12" customFormat="1" x14ac:dyDescent="0.3">
      <c r="A135" s="12">
        <v>12</v>
      </c>
      <c r="B135" s="81">
        <v>2033</v>
      </c>
      <c r="C135" s="12">
        <v>1</v>
      </c>
      <c r="D135" s="13">
        <f>N135</f>
        <v>31287233.533421684</v>
      </c>
      <c r="E135" s="41">
        <f xml:space="preserve"> (E134) + ((E134) * G135 )</f>
        <v>217065150.49559852</v>
      </c>
      <c r="F135" s="13">
        <f xml:space="preserve"> (H134 / 2) + D135 - K135</f>
        <v>394734035.93448192</v>
      </c>
      <c r="G135" s="12">
        <v>1.7999999999999999E-2</v>
      </c>
      <c r="H135" s="13">
        <f t="shared" si="15"/>
        <v>401839248.58130258</v>
      </c>
      <c r="I135" s="13"/>
      <c r="J135" s="9">
        <f t="shared" si="13"/>
        <v>433126482.11472428</v>
      </c>
      <c r="K135" s="48">
        <v>0</v>
      </c>
      <c r="L135" s="14"/>
      <c r="M135" s="56"/>
      <c r="N135" s="11">
        <f xml:space="preserve"> (L134 / 12) +2500000</f>
        <v>31287233.533421684</v>
      </c>
      <c r="P135" s="13">
        <f xml:space="preserve"> (H134 - K135) / 2</f>
        <v>363446802.40106022</v>
      </c>
      <c r="Q135" s="16" t="s">
        <v>0</v>
      </c>
      <c r="S135" s="13"/>
    </row>
    <row r="136" spans="1:19" s="12" customFormat="1" x14ac:dyDescent="0.3">
      <c r="B136" s="81"/>
      <c r="C136" s="12">
        <v>2</v>
      </c>
      <c r="D136" s="13">
        <f>N135</f>
        <v>31287233.533421684</v>
      </c>
      <c r="E136" s="41">
        <f xml:space="preserve"> (E135) + ((E135) * G136 )</f>
        <v>220972323.2045193</v>
      </c>
      <c r="F136" s="13">
        <f t="shared" ref="F136:F146" si="19" xml:space="preserve"> H135 + D136 - K136</f>
        <v>433126482.11472428</v>
      </c>
      <c r="G136" s="12">
        <v>1.7999999999999999E-2</v>
      </c>
      <c r="H136" s="13">
        <f t="shared" si="15"/>
        <v>440922758.79278934</v>
      </c>
      <c r="I136" s="13"/>
      <c r="J136" s="9">
        <f t="shared" si="13"/>
        <v>472209992.32621104</v>
      </c>
      <c r="K136" s="48"/>
      <c r="L136" s="14"/>
      <c r="M136" s="56"/>
      <c r="S136" s="13"/>
    </row>
    <row r="137" spans="1:19" s="12" customFormat="1" x14ac:dyDescent="0.3">
      <c r="B137" s="81"/>
      <c r="C137" s="12">
        <v>3</v>
      </c>
      <c r="D137" s="13">
        <f>N135</f>
        <v>31287233.533421684</v>
      </c>
      <c r="E137" s="41">
        <f t="shared" ref="E137:E194" si="20" xml:space="preserve"> (E136) + ((E136) * G137 )</f>
        <v>224949825.02220064</v>
      </c>
      <c r="F137" s="13">
        <f t="shared" si="19"/>
        <v>472209992.32621104</v>
      </c>
      <c r="G137" s="12">
        <v>1.7999999999999999E-2</v>
      </c>
      <c r="H137" s="13">
        <f t="shared" si="15"/>
        <v>480709772.18808281</v>
      </c>
      <c r="I137" s="13"/>
      <c r="J137" s="9">
        <f t="shared" si="13"/>
        <v>511997005.72150451</v>
      </c>
      <c r="K137" s="48"/>
      <c r="L137" s="14"/>
      <c r="M137" s="56"/>
      <c r="S137" s="13"/>
    </row>
    <row r="138" spans="1:19" s="12" customFormat="1" x14ac:dyDescent="0.3">
      <c r="B138" s="81"/>
      <c r="C138" s="12">
        <v>4</v>
      </c>
      <c r="D138" s="13">
        <f>N135</f>
        <v>31287233.533421684</v>
      </c>
      <c r="E138" s="41">
        <f t="shared" si="20"/>
        <v>228998921.87260026</v>
      </c>
      <c r="F138" s="13">
        <f t="shared" si="19"/>
        <v>511997005.72150451</v>
      </c>
      <c r="G138" s="12">
        <v>1.7999999999999999E-2</v>
      </c>
      <c r="H138" s="13">
        <f t="shared" si="15"/>
        <v>521212951.82449162</v>
      </c>
      <c r="I138" s="13"/>
      <c r="J138" s="9">
        <f t="shared" si="13"/>
        <v>552500185.35791326</v>
      </c>
      <c r="K138" s="48"/>
      <c r="L138" s="14"/>
      <c r="M138" s="56"/>
      <c r="S138" s="13"/>
    </row>
    <row r="139" spans="1:19" s="12" customFormat="1" x14ac:dyDescent="0.3">
      <c r="B139" s="81"/>
      <c r="C139" s="12">
        <v>5</v>
      </c>
      <c r="D139" s="13">
        <f>N135</f>
        <v>31287233.533421684</v>
      </c>
      <c r="E139" s="41">
        <f t="shared" si="20"/>
        <v>233120902.46630707</v>
      </c>
      <c r="F139" s="13">
        <f t="shared" si="19"/>
        <v>533973153.07914239</v>
      </c>
      <c r="G139" s="12">
        <v>1.7999999999999999E-2</v>
      </c>
      <c r="H139" s="13">
        <f t="shared" si="15"/>
        <v>543584669.83456695</v>
      </c>
      <c r="I139" s="13"/>
      <c r="J139" s="9">
        <f t="shared" si="13"/>
        <v>574871903.36798859</v>
      </c>
      <c r="K139" s="48">
        <f xml:space="preserve"> Q134</f>
        <v>18527032.278770849</v>
      </c>
      <c r="L139" s="14"/>
      <c r="M139" s="56"/>
      <c r="S139" s="13"/>
    </row>
    <row r="140" spans="1:19" s="12" customFormat="1" x14ac:dyDescent="0.3">
      <c r="B140" s="81"/>
      <c r="C140" s="12">
        <v>6</v>
      </c>
      <c r="D140" s="13">
        <f>N135</f>
        <v>31287233.533421684</v>
      </c>
      <c r="E140" s="41">
        <f t="shared" si="20"/>
        <v>237317078.7107006</v>
      </c>
      <c r="F140" s="13">
        <f t="shared" si="19"/>
        <v>574871903.36798859</v>
      </c>
      <c r="G140" s="12">
        <v>1.7999999999999999E-2</v>
      </c>
      <c r="H140" s="13">
        <f t="shared" si="15"/>
        <v>585219597.6286124</v>
      </c>
      <c r="I140" s="13"/>
      <c r="J140" s="9">
        <f t="shared" si="13"/>
        <v>616506831.16203403</v>
      </c>
      <c r="K140" s="48"/>
      <c r="L140" s="14"/>
      <c r="M140" s="56"/>
      <c r="S140" s="13"/>
    </row>
    <row r="141" spans="1:19" s="12" customFormat="1" x14ac:dyDescent="0.3">
      <c r="B141" s="81"/>
      <c r="C141" s="12">
        <v>7</v>
      </c>
      <c r="D141" s="13">
        <f>N135</f>
        <v>31287233.533421684</v>
      </c>
      <c r="E141" s="41">
        <f t="shared" si="20"/>
        <v>241588786.1274932</v>
      </c>
      <c r="F141" s="13">
        <f t="shared" si="19"/>
        <v>616506831.16203403</v>
      </c>
      <c r="G141" s="12">
        <v>1.7999999999999999E-2</v>
      </c>
      <c r="H141" s="13">
        <f t="shared" si="15"/>
        <v>627603954.12295067</v>
      </c>
      <c r="I141" s="13"/>
      <c r="J141" s="9">
        <f t="shared" si="13"/>
        <v>658891187.65637231</v>
      </c>
      <c r="K141" s="48"/>
      <c r="L141" s="14"/>
      <c r="M141" s="56"/>
      <c r="S141" s="13"/>
    </row>
    <row r="142" spans="1:19" s="12" customFormat="1" x14ac:dyDescent="0.3">
      <c r="B142" s="81"/>
      <c r="C142" s="12">
        <v>8</v>
      </c>
      <c r="D142" s="13">
        <f>N135</f>
        <v>31287233.533421684</v>
      </c>
      <c r="E142" s="41">
        <f t="shared" si="20"/>
        <v>245937384.27778807</v>
      </c>
      <c r="F142" s="13">
        <f t="shared" si="19"/>
        <v>658891187.65637231</v>
      </c>
      <c r="G142" s="12">
        <v>1.7999999999999999E-2</v>
      </c>
      <c r="H142" s="13">
        <f t="shared" si="15"/>
        <v>670751229.03418696</v>
      </c>
      <c r="I142" s="13"/>
      <c r="J142" s="9">
        <f t="shared" si="13"/>
        <v>702038462.56760859</v>
      </c>
      <c r="K142" s="48"/>
      <c r="L142" s="14"/>
      <c r="M142" s="56"/>
      <c r="S142" s="13"/>
    </row>
    <row r="143" spans="1:19" s="12" customFormat="1" x14ac:dyDescent="0.3">
      <c r="B143" s="81"/>
      <c r="C143" s="12">
        <v>9</v>
      </c>
      <c r="D143" s="13">
        <f>N135</f>
        <v>31287233.533421684</v>
      </c>
      <c r="E143" s="41">
        <f t="shared" si="20"/>
        <v>250364257.19478825</v>
      </c>
      <c r="F143" s="13">
        <f t="shared" si="19"/>
        <v>702038462.56760859</v>
      </c>
      <c r="G143" s="12">
        <v>1.7999999999999999E-2</v>
      </c>
      <c r="H143" s="13">
        <f t="shared" si="15"/>
        <v>714675154.89382553</v>
      </c>
      <c r="I143" s="13"/>
      <c r="J143" s="9">
        <f t="shared" si="13"/>
        <v>745962388.42724717</v>
      </c>
      <c r="K143" s="48"/>
      <c r="L143" s="14"/>
      <c r="M143" s="56"/>
      <c r="S143" s="13"/>
    </row>
    <row r="144" spans="1:19" s="12" customFormat="1" x14ac:dyDescent="0.3">
      <c r="B144" s="81"/>
      <c r="C144" s="12">
        <v>10</v>
      </c>
      <c r="D144" s="13">
        <f>N135</f>
        <v>31287233.533421684</v>
      </c>
      <c r="E144" s="41">
        <f t="shared" si="20"/>
        <v>254870813.82429445</v>
      </c>
      <c r="F144" s="13">
        <f t="shared" si="19"/>
        <v>745962388.42724717</v>
      </c>
      <c r="G144" s="12">
        <v>1.7999999999999999E-2</v>
      </c>
      <c r="H144" s="13">
        <f t="shared" si="15"/>
        <v>759389711.41893756</v>
      </c>
      <c r="I144" s="13"/>
      <c r="J144" s="9">
        <f t="shared" si="13"/>
        <v>790676944.9523592</v>
      </c>
      <c r="K144" s="48"/>
      <c r="L144" s="14"/>
      <c r="M144" s="56"/>
      <c r="S144" s="13"/>
    </row>
    <row r="145" spans="1:19" s="12" customFormat="1" x14ac:dyDescent="0.3">
      <c r="B145" s="81"/>
      <c r="C145" s="12">
        <v>11</v>
      </c>
      <c r="D145" s="13">
        <f>N135</f>
        <v>31287233.533421684</v>
      </c>
      <c r="E145" s="41">
        <f t="shared" si="20"/>
        <v>259458488.47313175</v>
      </c>
      <c r="F145" s="13">
        <f t="shared" si="19"/>
        <v>790676944.9523592</v>
      </c>
      <c r="G145" s="12">
        <v>1.7999999999999999E-2</v>
      </c>
      <c r="H145" s="13">
        <f t="shared" si="15"/>
        <v>804909129.96150172</v>
      </c>
      <c r="I145" s="13"/>
      <c r="J145" s="9">
        <f t="shared" ref="J145:J194" si="21" xml:space="preserve"> D145 + H145</f>
        <v>836196363.49492335</v>
      </c>
      <c r="K145" s="48"/>
      <c r="L145" s="14"/>
      <c r="M145" s="56"/>
      <c r="S145" s="13"/>
    </row>
    <row r="146" spans="1:19" s="18" customFormat="1" x14ac:dyDescent="0.3">
      <c r="B146" s="81"/>
      <c r="C146" s="18">
        <v>12</v>
      </c>
      <c r="D146" s="19">
        <f>N135</f>
        <v>31287233.533421684</v>
      </c>
      <c r="E146" s="19">
        <f t="shared" si="20"/>
        <v>264128741.26564813</v>
      </c>
      <c r="F146" s="19">
        <f t="shared" si="19"/>
        <v>800196363.49492335</v>
      </c>
      <c r="G146" s="18">
        <v>1.7999999999999999E-2</v>
      </c>
      <c r="H146" s="19">
        <f t="shared" si="15"/>
        <v>814599898.03783202</v>
      </c>
      <c r="I146" s="19">
        <f xml:space="preserve"> H146</f>
        <v>814599898.03783202</v>
      </c>
      <c r="J146" s="9">
        <f t="shared" si="21"/>
        <v>845887131.57125366</v>
      </c>
      <c r="K146" s="51">
        <v>36000000</v>
      </c>
      <c r="L146" s="20">
        <f xml:space="preserve"> (I146-K146) / 2</f>
        <v>389299949.01891601</v>
      </c>
      <c r="M146" s="58">
        <f xml:space="preserve"> (F135 + SUM(D136:D146)) - SUM(K136:K146)</f>
        <v>684366572.52334964</v>
      </c>
      <c r="N146" s="19">
        <f xml:space="preserve"> H146 - M146</f>
        <v>130233325.51448238</v>
      </c>
      <c r="O146" s="18">
        <v>0.84</v>
      </c>
      <c r="P146" s="19">
        <f xml:space="preserve"> N146 * O146</f>
        <v>109395993.43216519</v>
      </c>
      <c r="Q146" s="19">
        <f xml:space="preserve"> N146 - P146</f>
        <v>20837332.082317188</v>
      </c>
      <c r="R146" s="18">
        <f xml:space="preserve"> N146 / M146 * 100</f>
        <v>19.029761350601181</v>
      </c>
      <c r="S146" s="19"/>
    </row>
    <row r="147" spans="1:19" s="12" customFormat="1" x14ac:dyDescent="0.3">
      <c r="A147" s="12">
        <v>13</v>
      </c>
      <c r="B147" s="81">
        <v>2034</v>
      </c>
      <c r="C147" s="12">
        <v>1</v>
      </c>
      <c r="D147" s="13">
        <f>N147</f>
        <v>34941662.418243006</v>
      </c>
      <c r="E147" s="41">
        <f t="shared" si="20"/>
        <v>268883058.60842979</v>
      </c>
      <c r="F147" s="13">
        <f xml:space="preserve"> (H146 / 2) + D147 - K147</f>
        <v>442241611.437159</v>
      </c>
      <c r="G147" s="12">
        <v>1.7999999999999999E-2</v>
      </c>
      <c r="H147" s="13">
        <f t="shared" si="15"/>
        <v>450201960.44302785</v>
      </c>
      <c r="I147" s="13"/>
      <c r="J147" s="9">
        <f t="shared" si="21"/>
        <v>485143622.86127084</v>
      </c>
      <c r="K147" s="48"/>
      <c r="L147" s="14"/>
      <c r="M147" s="56"/>
      <c r="N147" s="11">
        <f xml:space="preserve"> (L146 / 12) +2500000</f>
        <v>34941662.418243006</v>
      </c>
      <c r="P147" s="9">
        <f xml:space="preserve"> (H146 - K147) / 2</f>
        <v>407299949.01891601</v>
      </c>
      <c r="S147" s="13"/>
    </row>
    <row r="148" spans="1:19" s="12" customFormat="1" x14ac:dyDescent="0.3">
      <c r="B148" s="81"/>
      <c r="C148" s="12">
        <v>2</v>
      </c>
      <c r="D148" s="13">
        <f>N147</f>
        <v>34941662.418243006</v>
      </c>
      <c r="E148" s="41">
        <f t="shared" si="20"/>
        <v>273722953.66338152</v>
      </c>
      <c r="F148" s="13">
        <f t="shared" ref="F148:F158" si="22" xml:space="preserve"> H147 + D148 - K148</f>
        <v>485143622.86127084</v>
      </c>
      <c r="G148" s="12">
        <v>1.7999999999999999E-2</v>
      </c>
      <c r="H148" s="13">
        <f t="shared" si="15"/>
        <v>493876208.07277369</v>
      </c>
      <c r="I148" s="13"/>
      <c r="J148" s="9">
        <f t="shared" si="21"/>
        <v>528817870.49101669</v>
      </c>
      <c r="K148" s="48"/>
      <c r="L148" s="14"/>
      <c r="M148" s="56"/>
      <c r="S148" s="13"/>
    </row>
    <row r="149" spans="1:19" s="12" customFormat="1" x14ac:dyDescent="0.3">
      <c r="B149" s="81"/>
      <c r="C149" s="12">
        <v>3</v>
      </c>
      <c r="D149" s="13">
        <f>N147</f>
        <v>34941662.418243006</v>
      </c>
      <c r="E149" s="41">
        <f t="shared" si="20"/>
        <v>278649966.8293224</v>
      </c>
      <c r="F149" s="13">
        <f t="shared" si="22"/>
        <v>528817870.49101669</v>
      </c>
      <c r="G149" s="12">
        <v>1.7999999999999999E-2</v>
      </c>
      <c r="H149" s="13">
        <f t="shared" si="15"/>
        <v>538336592.15985501</v>
      </c>
      <c r="I149" s="13"/>
      <c r="J149" s="9">
        <f t="shared" si="21"/>
        <v>573278254.57809806</v>
      </c>
      <c r="K149" s="48"/>
      <c r="L149" s="14"/>
      <c r="M149" s="56"/>
      <c r="S149" s="13"/>
    </row>
    <row r="150" spans="1:19" s="12" customFormat="1" x14ac:dyDescent="0.3">
      <c r="B150" s="81"/>
      <c r="C150" s="12">
        <v>4</v>
      </c>
      <c r="D150" s="13">
        <f>N147</f>
        <v>34941662.418243006</v>
      </c>
      <c r="E150" s="41">
        <f t="shared" si="20"/>
        <v>283665666.23225021</v>
      </c>
      <c r="F150" s="13">
        <f t="shared" si="22"/>
        <v>573278254.57809806</v>
      </c>
      <c r="G150" s="12">
        <v>1.7999999999999999E-2</v>
      </c>
      <c r="H150" s="13">
        <f t="shared" si="15"/>
        <v>583597263.16050386</v>
      </c>
      <c r="I150" s="13"/>
      <c r="J150" s="9">
        <f t="shared" si="21"/>
        <v>618538925.57874691</v>
      </c>
      <c r="K150" s="48"/>
      <c r="L150" s="14"/>
      <c r="M150" s="56"/>
      <c r="S150" s="13"/>
    </row>
    <row r="151" spans="1:19" s="12" customFormat="1" x14ac:dyDescent="0.3">
      <c r="B151" s="81"/>
      <c r="C151" s="12">
        <v>5</v>
      </c>
      <c r="D151" s="13">
        <f>N147</f>
        <v>34941662.418243006</v>
      </c>
      <c r="E151" s="41">
        <f t="shared" si="20"/>
        <v>288771648.22443074</v>
      </c>
      <c r="F151" s="13">
        <f t="shared" si="22"/>
        <v>597701593.49642968</v>
      </c>
      <c r="G151" s="12">
        <v>1.7999999999999999E-2</v>
      </c>
      <c r="H151" s="13">
        <f t="shared" si="15"/>
        <v>608460222.1793654</v>
      </c>
      <c r="I151" s="13"/>
      <c r="J151" s="9">
        <f t="shared" si="21"/>
        <v>643401884.59760845</v>
      </c>
      <c r="K151" s="48">
        <f xml:space="preserve"> Q146</f>
        <v>20837332.082317188</v>
      </c>
      <c r="L151" s="14"/>
      <c r="M151" s="56"/>
      <c r="S151" s="13"/>
    </row>
    <row r="152" spans="1:19" s="12" customFormat="1" x14ac:dyDescent="0.3">
      <c r="B152" s="81"/>
      <c r="C152" s="12">
        <v>6</v>
      </c>
      <c r="D152" s="13">
        <f>N147</f>
        <v>34941662.418243006</v>
      </c>
      <c r="E152" s="41">
        <f t="shared" si="20"/>
        <v>293969537.89247048</v>
      </c>
      <c r="F152" s="13">
        <f t="shared" si="22"/>
        <v>643401884.59760845</v>
      </c>
      <c r="G152" s="12">
        <v>1.7999999999999999E-2</v>
      </c>
      <c r="H152" s="13">
        <f t="shared" si="15"/>
        <v>654983118.52036536</v>
      </c>
      <c r="I152" s="13"/>
      <c r="J152" s="9">
        <f t="shared" si="21"/>
        <v>689924780.93860841</v>
      </c>
      <c r="K152" s="48"/>
      <c r="L152" s="14"/>
      <c r="M152" s="56"/>
      <c r="S152" s="13"/>
    </row>
    <row r="153" spans="1:19" s="12" customFormat="1" x14ac:dyDescent="0.3">
      <c r="B153" s="81"/>
      <c r="C153" s="12">
        <v>7</v>
      </c>
      <c r="D153" s="13">
        <f>N147</f>
        <v>34941662.418243006</v>
      </c>
      <c r="E153" s="41">
        <f t="shared" si="20"/>
        <v>299260989.57453495</v>
      </c>
      <c r="F153" s="13">
        <f t="shared" si="22"/>
        <v>689924780.93860841</v>
      </c>
      <c r="G153" s="12">
        <v>1.7999999999999999E-2</v>
      </c>
      <c r="H153" s="13">
        <f t="shared" si="15"/>
        <v>702343426.99550331</v>
      </c>
      <c r="I153" s="13"/>
      <c r="J153" s="9">
        <f t="shared" si="21"/>
        <v>737285089.41374636</v>
      </c>
      <c r="K153" s="48"/>
      <c r="L153" s="14"/>
      <c r="M153" s="56"/>
      <c r="S153" s="13"/>
    </row>
    <row r="154" spans="1:19" s="12" customFormat="1" x14ac:dyDescent="0.3">
      <c r="B154" s="81"/>
      <c r="C154" s="12">
        <v>8</v>
      </c>
      <c r="D154" s="13">
        <f>N147</f>
        <v>34941662.418243006</v>
      </c>
      <c r="E154" s="41">
        <f t="shared" si="20"/>
        <v>304647687.38687658</v>
      </c>
      <c r="F154" s="13">
        <f t="shared" si="22"/>
        <v>737285089.41374636</v>
      </c>
      <c r="G154" s="12">
        <v>1.7999999999999999E-2</v>
      </c>
      <c r="H154" s="13">
        <f t="shared" si="15"/>
        <v>750556221.02319384</v>
      </c>
      <c r="I154" s="13"/>
      <c r="J154" s="9">
        <f t="shared" si="21"/>
        <v>785497883.44143689</v>
      </c>
      <c r="K154" s="48"/>
      <c r="L154" s="14"/>
      <c r="M154" s="56"/>
      <c r="S154" s="13"/>
    </row>
    <row r="155" spans="1:19" s="12" customFormat="1" x14ac:dyDescent="0.3">
      <c r="B155" s="81"/>
      <c r="C155" s="12">
        <v>9</v>
      </c>
      <c r="D155" s="13">
        <f>N147</f>
        <v>34941662.418243006</v>
      </c>
      <c r="E155" s="41">
        <f t="shared" si="20"/>
        <v>310131345.75984037</v>
      </c>
      <c r="F155" s="13">
        <f t="shared" si="22"/>
        <v>785497883.44143689</v>
      </c>
      <c r="G155" s="12">
        <v>1.7999999999999999E-2</v>
      </c>
      <c r="H155" s="13">
        <f t="shared" si="15"/>
        <v>799636845.34338272</v>
      </c>
      <c r="I155" s="13"/>
      <c r="J155" s="9">
        <f t="shared" si="21"/>
        <v>834578507.76162577</v>
      </c>
      <c r="K155" s="48"/>
      <c r="L155" s="14"/>
      <c r="M155" s="56"/>
      <c r="S155" s="13"/>
    </row>
    <row r="156" spans="1:19" s="12" customFormat="1" x14ac:dyDescent="0.3">
      <c r="B156" s="81"/>
      <c r="C156" s="12">
        <v>10</v>
      </c>
      <c r="D156" s="13">
        <f>N147</f>
        <v>34941662.418243006</v>
      </c>
      <c r="E156" s="41">
        <f t="shared" si="20"/>
        <v>315713709.98351747</v>
      </c>
      <c r="F156" s="13">
        <f t="shared" si="22"/>
        <v>834578507.76162577</v>
      </c>
      <c r="G156" s="12">
        <v>1.7999999999999999E-2</v>
      </c>
      <c r="H156" s="13">
        <f t="shared" si="15"/>
        <v>849600920.901335</v>
      </c>
      <c r="I156" s="13"/>
      <c r="J156" s="9">
        <f t="shared" si="21"/>
        <v>884542583.31957805</v>
      </c>
      <c r="K156" s="48"/>
      <c r="L156" s="14"/>
      <c r="M156" s="56"/>
      <c r="S156" s="13"/>
    </row>
    <row r="157" spans="1:19" s="12" customFormat="1" x14ac:dyDescent="0.3">
      <c r="B157" s="81"/>
      <c r="C157" s="12">
        <v>11</v>
      </c>
      <c r="D157" s="13">
        <f>N147</f>
        <v>34941662.418243006</v>
      </c>
      <c r="E157" s="41">
        <f t="shared" si="20"/>
        <v>321396556.76322079</v>
      </c>
      <c r="F157" s="13">
        <f t="shared" si="22"/>
        <v>884542583.31957805</v>
      </c>
      <c r="G157" s="12">
        <v>1.7999999999999999E-2</v>
      </c>
      <c r="H157" s="13">
        <f t="shared" si="15"/>
        <v>900464349.81933045</v>
      </c>
      <c r="I157" s="13"/>
      <c r="J157" s="9">
        <f t="shared" si="21"/>
        <v>935406012.2375735</v>
      </c>
      <c r="K157" s="48"/>
      <c r="L157" s="14"/>
      <c r="M157" s="56"/>
      <c r="S157" s="13"/>
    </row>
    <row r="158" spans="1:19" s="18" customFormat="1" x14ac:dyDescent="0.3">
      <c r="B158" s="81"/>
      <c r="C158" s="18">
        <v>12</v>
      </c>
      <c r="D158" s="19">
        <f>N147</f>
        <v>34941662.418243006</v>
      </c>
      <c r="E158" s="19">
        <f t="shared" si="20"/>
        <v>327181694.78495878</v>
      </c>
      <c r="F158" s="19">
        <f t="shared" si="22"/>
        <v>899406012.2375735</v>
      </c>
      <c r="G158" s="18">
        <v>1.7999999999999999E-2</v>
      </c>
      <c r="H158" s="19">
        <f t="shared" ref="H158:H194" si="23" xml:space="preserve"> (F158 * G158) + F158</f>
        <v>915595320.45784986</v>
      </c>
      <c r="I158" s="19">
        <f xml:space="preserve"> H158</f>
        <v>915595320.45784986</v>
      </c>
      <c r="J158" s="9">
        <f t="shared" si="21"/>
        <v>950536982.87609291</v>
      </c>
      <c r="K158" s="51">
        <v>36000000</v>
      </c>
      <c r="L158" s="20">
        <f xml:space="preserve"> (I158-K158) / 2</f>
        <v>439797660.22892493</v>
      </c>
      <c r="M158" s="58">
        <f xml:space="preserve"> (F147 + SUM(D148:D158)) - SUM(K148:K158)</f>
        <v>769762565.95551479</v>
      </c>
      <c r="N158" s="19">
        <f xml:space="preserve"> H158 - M158</f>
        <v>145832754.50233507</v>
      </c>
      <c r="O158" s="18">
        <v>0.84</v>
      </c>
      <c r="P158" s="19">
        <f xml:space="preserve"> N158 * O158</f>
        <v>122499513.78196146</v>
      </c>
      <c r="Q158" s="19">
        <f xml:space="preserve"> N158 - P158</f>
        <v>23333240.720373616</v>
      </c>
      <c r="R158" s="18">
        <f xml:space="preserve"> N158 / M158 * 100</f>
        <v>18.945160618626765</v>
      </c>
      <c r="S158" s="19"/>
    </row>
    <row r="159" spans="1:19" s="12" customFormat="1" x14ac:dyDescent="0.3">
      <c r="A159" s="12">
        <v>14</v>
      </c>
      <c r="B159" s="81">
        <v>2035</v>
      </c>
      <c r="C159" s="12">
        <v>1</v>
      </c>
      <c r="D159" s="13">
        <f>N159</f>
        <v>39149805.019077078</v>
      </c>
      <c r="E159" s="41">
        <f t="shared" si="20"/>
        <v>333070965.29108804</v>
      </c>
      <c r="F159" s="13">
        <f xml:space="preserve"> (H158 / 2) + D159 - K159</f>
        <v>496947465.24800199</v>
      </c>
      <c r="G159" s="12">
        <v>1.7999999999999999E-2</v>
      </c>
      <c r="H159" s="13">
        <f t="shared" si="23"/>
        <v>505892519.62246603</v>
      </c>
      <c r="I159" s="13"/>
      <c r="J159" s="9">
        <f t="shared" si="21"/>
        <v>545042324.64154315</v>
      </c>
      <c r="K159" s="48"/>
      <c r="L159" s="14"/>
      <c r="M159" s="56"/>
      <c r="N159" s="11">
        <f xml:space="preserve"> (L158 / 12) +2500000</f>
        <v>39149805.019077078</v>
      </c>
      <c r="P159" s="9">
        <f xml:space="preserve"> (H158 - K159) / 2</f>
        <v>457797660.22892493</v>
      </c>
      <c r="S159" s="13"/>
    </row>
    <row r="160" spans="1:19" s="12" customFormat="1" x14ac:dyDescent="0.3">
      <c r="B160" s="81"/>
      <c r="C160" s="12">
        <v>2</v>
      </c>
      <c r="D160" s="13">
        <f>N159</f>
        <v>39149805.019077078</v>
      </c>
      <c r="E160" s="41">
        <f t="shared" si="20"/>
        <v>339066242.66632766</v>
      </c>
      <c r="F160" s="13">
        <f t="shared" ref="F160:F170" si="24" xml:space="preserve"> H159 + D160 - K160</f>
        <v>545042324.64154315</v>
      </c>
      <c r="G160" s="12">
        <v>1.7999999999999999E-2</v>
      </c>
      <c r="H160" s="13">
        <f t="shared" si="23"/>
        <v>554853086.48509097</v>
      </c>
      <c r="I160" s="13"/>
      <c r="J160" s="9">
        <f t="shared" si="21"/>
        <v>594002891.50416803</v>
      </c>
      <c r="K160" s="48"/>
      <c r="L160" s="14"/>
      <c r="M160" s="56"/>
      <c r="S160" s="13"/>
    </row>
    <row r="161" spans="1:19" s="12" customFormat="1" x14ac:dyDescent="0.3">
      <c r="B161" s="81"/>
      <c r="C161" s="12">
        <v>3</v>
      </c>
      <c r="D161" s="13">
        <f>N159</f>
        <v>39149805.019077078</v>
      </c>
      <c r="E161" s="41">
        <f t="shared" si="20"/>
        <v>345169435.03432155</v>
      </c>
      <c r="F161" s="13">
        <f t="shared" si="24"/>
        <v>594002891.50416803</v>
      </c>
      <c r="G161" s="12">
        <v>1.7999999999999999E-2</v>
      </c>
      <c r="H161" s="13">
        <f t="shared" si="23"/>
        <v>604694943.55124307</v>
      </c>
      <c r="I161" s="13"/>
      <c r="J161" s="9">
        <f t="shared" si="21"/>
        <v>643844748.57032013</v>
      </c>
      <c r="K161" s="48"/>
      <c r="L161" s="14"/>
      <c r="M161" s="56"/>
      <c r="S161" s="13"/>
    </row>
    <row r="162" spans="1:19" s="12" customFormat="1" x14ac:dyDescent="0.3">
      <c r="B162" s="81"/>
      <c r="C162" s="12">
        <v>4</v>
      </c>
      <c r="D162" s="13">
        <f>N159</f>
        <v>39149805.019077078</v>
      </c>
      <c r="E162" s="41">
        <f t="shared" si="20"/>
        <v>351382484.86493933</v>
      </c>
      <c r="F162" s="13">
        <f t="shared" si="24"/>
        <v>643844748.57032013</v>
      </c>
      <c r="G162" s="12">
        <v>1.7999999999999999E-2</v>
      </c>
      <c r="H162" s="13">
        <f t="shared" si="23"/>
        <v>655433954.04458594</v>
      </c>
      <c r="I162" s="13"/>
      <c r="J162" s="9">
        <f t="shared" si="21"/>
        <v>694583759.06366301</v>
      </c>
      <c r="K162" s="48"/>
      <c r="L162" s="14"/>
      <c r="M162" s="56"/>
      <c r="S162" s="13"/>
    </row>
    <row r="163" spans="1:19" s="12" customFormat="1" x14ac:dyDescent="0.3">
      <c r="B163" s="81"/>
      <c r="C163" s="12">
        <v>5</v>
      </c>
      <c r="D163" s="13">
        <f>N159</f>
        <v>39149805.019077078</v>
      </c>
      <c r="E163" s="41">
        <f t="shared" si="20"/>
        <v>357707369.59250826</v>
      </c>
      <c r="F163" s="13">
        <f t="shared" si="24"/>
        <v>671250518.34328938</v>
      </c>
      <c r="G163" s="12">
        <v>1.7999999999999999E-2</v>
      </c>
      <c r="H163" s="13">
        <f t="shared" si="23"/>
        <v>683333027.67346859</v>
      </c>
      <c r="I163" s="13"/>
      <c r="J163" s="9">
        <f t="shared" si="21"/>
        <v>722482832.69254565</v>
      </c>
      <c r="K163" s="48">
        <f xml:space="preserve"> Q158</f>
        <v>23333240.720373616</v>
      </c>
      <c r="L163" s="14"/>
      <c r="M163" s="56"/>
      <c r="S163" s="13"/>
    </row>
    <row r="164" spans="1:19" s="12" customFormat="1" x14ac:dyDescent="0.3">
      <c r="B164" s="81"/>
      <c r="C164" s="12">
        <v>6</v>
      </c>
      <c r="D164" s="13">
        <f>N159</f>
        <v>39149805.019077078</v>
      </c>
      <c r="E164" s="41">
        <f t="shared" si="20"/>
        <v>364146102.24517339</v>
      </c>
      <c r="F164" s="13">
        <f t="shared" si="24"/>
        <v>722482832.69254565</v>
      </c>
      <c r="G164" s="12">
        <v>1.7999999999999999E-2</v>
      </c>
      <c r="H164" s="13">
        <f t="shared" si="23"/>
        <v>735487523.68101144</v>
      </c>
      <c r="I164" s="13"/>
      <c r="J164" s="9">
        <f t="shared" si="21"/>
        <v>774637328.7000885</v>
      </c>
      <c r="K164" s="48"/>
      <c r="L164" s="14"/>
      <c r="M164" s="56"/>
      <c r="S164" s="13"/>
    </row>
    <row r="165" spans="1:19" s="12" customFormat="1" x14ac:dyDescent="0.3">
      <c r="B165" s="81"/>
      <c r="C165" s="12">
        <v>7</v>
      </c>
      <c r="D165" s="13">
        <f>N159</f>
        <v>39149805.019077078</v>
      </c>
      <c r="E165" s="41">
        <f t="shared" si="20"/>
        <v>370700732.08558649</v>
      </c>
      <c r="F165" s="13">
        <f t="shared" si="24"/>
        <v>774637328.7000885</v>
      </c>
      <c r="G165" s="12">
        <v>1.7999999999999999E-2</v>
      </c>
      <c r="H165" s="13">
        <f t="shared" si="23"/>
        <v>788580800.61669004</v>
      </c>
      <c r="I165" s="13"/>
      <c r="J165" s="9">
        <f t="shared" si="21"/>
        <v>827730605.6357671</v>
      </c>
      <c r="K165" s="48"/>
      <c r="L165" s="14"/>
      <c r="M165" s="56"/>
      <c r="S165" s="13"/>
    </row>
    <row r="166" spans="1:19" s="12" customFormat="1" x14ac:dyDescent="0.3">
      <c r="B166" s="81"/>
      <c r="C166" s="12">
        <v>8</v>
      </c>
      <c r="D166" s="13">
        <f>N159</f>
        <v>39149805.019077078</v>
      </c>
      <c r="E166" s="41">
        <f t="shared" si="20"/>
        <v>377373345.26312703</v>
      </c>
      <c r="F166" s="13">
        <f t="shared" si="24"/>
        <v>827730605.6357671</v>
      </c>
      <c r="G166" s="12">
        <v>1.7999999999999999E-2</v>
      </c>
      <c r="H166" s="13">
        <f t="shared" si="23"/>
        <v>842629756.53721094</v>
      </c>
      <c r="I166" s="13"/>
      <c r="J166" s="9">
        <f t="shared" si="21"/>
        <v>881779561.556288</v>
      </c>
      <c r="K166" s="48"/>
      <c r="L166" s="14"/>
      <c r="M166" s="56"/>
      <c r="S166" s="13"/>
    </row>
    <row r="167" spans="1:19" s="12" customFormat="1" x14ac:dyDescent="0.3">
      <c r="B167" s="81"/>
      <c r="C167" s="12">
        <v>9</v>
      </c>
      <c r="D167" s="13">
        <f>N159</f>
        <v>39149805.019077078</v>
      </c>
      <c r="E167" s="41">
        <f t="shared" si="20"/>
        <v>384166065.47786331</v>
      </c>
      <c r="F167" s="13">
        <f t="shared" si="24"/>
        <v>881779561.556288</v>
      </c>
      <c r="G167" s="12">
        <v>1.7999999999999999E-2</v>
      </c>
      <c r="H167" s="13">
        <f t="shared" si="23"/>
        <v>897651593.66430116</v>
      </c>
      <c r="I167" s="13"/>
      <c r="J167" s="9">
        <f t="shared" si="21"/>
        <v>936801398.68337822</v>
      </c>
      <c r="K167" s="48"/>
      <c r="L167" s="14"/>
      <c r="M167" s="56"/>
      <c r="S167" s="13"/>
    </row>
    <row r="168" spans="1:19" s="12" customFormat="1" x14ac:dyDescent="0.3">
      <c r="B168" s="81"/>
      <c r="C168" s="12">
        <v>10</v>
      </c>
      <c r="D168" s="13">
        <f>N159</f>
        <v>39149805.019077078</v>
      </c>
      <c r="E168" s="41">
        <f t="shared" si="20"/>
        <v>391081054.65646487</v>
      </c>
      <c r="F168" s="13">
        <f t="shared" si="24"/>
        <v>936801398.68337822</v>
      </c>
      <c r="G168" s="12">
        <v>1.7999999999999999E-2</v>
      </c>
      <c r="H168" s="13">
        <f t="shared" si="23"/>
        <v>953663823.85967898</v>
      </c>
      <c r="I168" s="13"/>
      <c r="J168" s="9">
        <f t="shared" si="21"/>
        <v>992813628.87875605</v>
      </c>
      <c r="K168" s="48"/>
      <c r="L168" s="14"/>
      <c r="M168" s="56"/>
      <c r="S168" s="13"/>
    </row>
    <row r="169" spans="1:19" s="12" customFormat="1" x14ac:dyDescent="0.3">
      <c r="B169" s="81"/>
      <c r="C169" s="12">
        <v>11</v>
      </c>
      <c r="D169" s="13">
        <f>N159</f>
        <v>39149805.019077078</v>
      </c>
      <c r="E169" s="41">
        <f t="shared" si="20"/>
        <v>398120513.64028126</v>
      </c>
      <c r="F169" s="13">
        <f t="shared" si="24"/>
        <v>992813628.87875605</v>
      </c>
      <c r="G169" s="12">
        <v>1.7999999999999999E-2</v>
      </c>
      <c r="H169" s="13">
        <f t="shared" si="23"/>
        <v>1010684274.1985737</v>
      </c>
      <c r="I169" s="13"/>
      <c r="J169" s="9">
        <f t="shared" si="21"/>
        <v>1049834079.2176508</v>
      </c>
      <c r="K169" s="48"/>
      <c r="L169" s="14"/>
      <c r="M169" s="56"/>
      <c r="S169" s="13"/>
    </row>
    <row r="170" spans="1:19" s="18" customFormat="1" x14ac:dyDescent="0.3">
      <c r="B170" s="81"/>
      <c r="C170" s="18">
        <v>12</v>
      </c>
      <c r="D170" s="19">
        <f>N159</f>
        <v>39149805.019077078</v>
      </c>
      <c r="E170" s="19">
        <f t="shared" si="20"/>
        <v>405286682.88580632</v>
      </c>
      <c r="F170" s="19">
        <f t="shared" si="24"/>
        <v>1013834079.2176508</v>
      </c>
      <c r="G170" s="18">
        <v>1.7999999999999999E-2</v>
      </c>
      <c r="H170" s="19">
        <f t="shared" si="23"/>
        <v>1032083092.6435685</v>
      </c>
      <c r="I170" s="19">
        <f xml:space="preserve"> H170</f>
        <v>1032083092.6435685</v>
      </c>
      <c r="J170" s="9">
        <f t="shared" si="21"/>
        <v>1071232897.6626456</v>
      </c>
      <c r="K170" s="51">
        <v>36000000</v>
      </c>
      <c r="L170" s="20">
        <f xml:space="preserve"> (I170-K170) / 2</f>
        <v>498041546.32178426</v>
      </c>
      <c r="M170" s="58">
        <f xml:space="preserve"> (F159 + SUM(D160:D170)) - SUM(K160:K170)</f>
        <v>868262079.73747611</v>
      </c>
      <c r="N170" s="19">
        <f xml:space="preserve"> H170 - M170</f>
        <v>163821012.90609241</v>
      </c>
      <c r="O170" s="18">
        <v>0.84</v>
      </c>
      <c r="P170" s="19">
        <f xml:space="preserve"> N170 * O170</f>
        <v>137609650.84111762</v>
      </c>
      <c r="Q170" s="19">
        <f xml:space="preserve"> N170 - P170</f>
        <v>26211362.064974785</v>
      </c>
      <c r="R170" s="18">
        <f xml:space="preserve"> N170 / M170 * 100</f>
        <v>18.867691763715467</v>
      </c>
      <c r="S170" s="19"/>
    </row>
    <row r="171" spans="1:19" s="12" customFormat="1" x14ac:dyDescent="0.3">
      <c r="A171" s="12">
        <v>15</v>
      </c>
      <c r="B171" s="81">
        <v>2036</v>
      </c>
      <c r="C171" s="12">
        <v>1</v>
      </c>
      <c r="D171" s="13">
        <f>N171</f>
        <v>44003462.193482019</v>
      </c>
      <c r="E171" s="41">
        <f t="shared" si="20"/>
        <v>412581843.17775083</v>
      </c>
      <c r="F171" s="13">
        <f xml:space="preserve"> (H170 / 2) + D171 - K171</f>
        <v>560045008.5152663</v>
      </c>
      <c r="G171" s="12">
        <v>1.7999999999999999E-2</v>
      </c>
      <c r="H171" s="13">
        <f t="shared" si="23"/>
        <v>570125818.66854107</v>
      </c>
      <c r="I171" s="13"/>
      <c r="J171" s="9">
        <f t="shared" si="21"/>
        <v>614129280.86202312</v>
      </c>
      <c r="K171" s="48"/>
      <c r="L171" s="14"/>
      <c r="M171" s="56"/>
      <c r="N171" s="11">
        <f xml:space="preserve"> (L170 / 12) +2500000</f>
        <v>44003462.193482019</v>
      </c>
      <c r="P171" s="9">
        <f xml:space="preserve"> (H170 - K171) / 2</f>
        <v>516041546.32178426</v>
      </c>
      <c r="S171" s="13"/>
    </row>
    <row r="172" spans="1:19" s="12" customFormat="1" x14ac:dyDescent="0.3">
      <c r="B172" s="81"/>
      <c r="C172" s="12">
        <v>2</v>
      </c>
      <c r="D172" s="13">
        <f>N171</f>
        <v>44003462.193482019</v>
      </c>
      <c r="E172" s="41">
        <f t="shared" si="20"/>
        <v>420008316.35495037</v>
      </c>
      <c r="F172" s="13">
        <f t="shared" ref="F172:F182" si="25" xml:space="preserve"> H171 + D172 - K172</f>
        <v>614129280.86202312</v>
      </c>
      <c r="G172" s="12">
        <v>1.7999999999999999E-2</v>
      </c>
      <c r="H172" s="13">
        <f t="shared" si="23"/>
        <v>625183607.91753948</v>
      </c>
      <c r="I172" s="13"/>
      <c r="J172" s="9">
        <f t="shared" si="21"/>
        <v>669187070.11102152</v>
      </c>
      <c r="K172" s="48"/>
      <c r="L172" s="14"/>
      <c r="M172" s="56"/>
      <c r="S172" s="13"/>
    </row>
    <row r="173" spans="1:19" s="12" customFormat="1" x14ac:dyDescent="0.3">
      <c r="B173" s="81"/>
      <c r="C173" s="12">
        <v>3</v>
      </c>
      <c r="D173" s="13">
        <f>N171</f>
        <v>44003462.193482019</v>
      </c>
      <c r="E173" s="41">
        <f t="shared" si="20"/>
        <v>427568466.04933947</v>
      </c>
      <c r="F173" s="13">
        <f t="shared" si="25"/>
        <v>669187070.11102152</v>
      </c>
      <c r="G173" s="12">
        <v>1.7999999999999999E-2</v>
      </c>
      <c r="H173" s="13">
        <f t="shared" si="23"/>
        <v>681232437.37301993</v>
      </c>
      <c r="I173" s="13"/>
      <c r="J173" s="9">
        <f t="shared" si="21"/>
        <v>725235899.56650198</v>
      </c>
      <c r="K173" s="48"/>
      <c r="L173" s="14"/>
      <c r="M173" s="56"/>
      <c r="S173" s="13"/>
    </row>
    <row r="174" spans="1:19" s="12" customFormat="1" x14ac:dyDescent="0.3">
      <c r="B174" s="81"/>
      <c r="C174" s="12">
        <v>4</v>
      </c>
      <c r="D174" s="13">
        <f>N171</f>
        <v>44003462.193482019</v>
      </c>
      <c r="E174" s="41">
        <f t="shared" si="20"/>
        <v>435264698.43822759</v>
      </c>
      <c r="F174" s="13">
        <f t="shared" si="25"/>
        <v>725235899.56650198</v>
      </c>
      <c r="G174" s="12">
        <v>1.7999999999999999E-2</v>
      </c>
      <c r="H174" s="13">
        <f t="shared" si="23"/>
        <v>738290145.75869906</v>
      </c>
      <c r="I174" s="13"/>
      <c r="J174" s="9">
        <f t="shared" si="21"/>
        <v>782293607.9521811</v>
      </c>
      <c r="K174" s="48"/>
      <c r="L174" s="14"/>
      <c r="M174" s="56"/>
      <c r="S174" s="13"/>
    </row>
    <row r="175" spans="1:19" s="12" customFormat="1" x14ac:dyDescent="0.3">
      <c r="B175" s="81"/>
      <c r="C175" s="12">
        <v>5</v>
      </c>
      <c r="D175" s="13">
        <f>N171</f>
        <v>44003462.193482019</v>
      </c>
      <c r="E175" s="41">
        <f t="shared" si="20"/>
        <v>443099463.01011568</v>
      </c>
      <c r="F175" s="13">
        <f t="shared" si="25"/>
        <v>756082245.88720632</v>
      </c>
      <c r="G175" s="12">
        <v>1.7999999999999999E-2</v>
      </c>
      <c r="H175" s="13">
        <f t="shared" si="23"/>
        <v>769691726.31317604</v>
      </c>
      <c r="I175" s="13"/>
      <c r="J175" s="9">
        <f t="shared" si="21"/>
        <v>813695188.50665808</v>
      </c>
      <c r="K175" s="48">
        <f xml:space="preserve"> Q170</f>
        <v>26211362.064974785</v>
      </c>
      <c r="L175" s="14"/>
      <c r="M175" s="56"/>
      <c r="S175" s="13"/>
    </row>
    <row r="176" spans="1:19" s="12" customFormat="1" x14ac:dyDescent="0.3">
      <c r="B176" s="81"/>
      <c r="C176" s="12">
        <v>6</v>
      </c>
      <c r="D176" s="13">
        <f>N171</f>
        <v>44003462.193482019</v>
      </c>
      <c r="E176" s="41">
        <f t="shared" si="20"/>
        <v>451075253.34429777</v>
      </c>
      <c r="F176" s="13">
        <f t="shared" si="25"/>
        <v>813695188.50665808</v>
      </c>
      <c r="G176" s="12">
        <v>1.7999999999999999E-2</v>
      </c>
      <c r="H176" s="13">
        <f t="shared" si="23"/>
        <v>828341701.89977789</v>
      </c>
      <c r="I176" s="13"/>
      <c r="J176" s="9">
        <f t="shared" si="21"/>
        <v>872345164.09325993</v>
      </c>
      <c r="K176" s="48"/>
      <c r="L176" s="14"/>
      <c r="M176" s="56"/>
      <c r="S176" s="13"/>
    </row>
    <row r="177" spans="1:19" s="12" customFormat="1" x14ac:dyDescent="0.3">
      <c r="B177" s="81"/>
      <c r="C177" s="12">
        <v>7</v>
      </c>
      <c r="D177" s="13">
        <f>N171</f>
        <v>44003462.193482019</v>
      </c>
      <c r="E177" s="41">
        <f t="shared" si="20"/>
        <v>459194607.90449512</v>
      </c>
      <c r="F177" s="13">
        <f t="shared" si="25"/>
        <v>872345164.09325993</v>
      </c>
      <c r="G177" s="12">
        <v>1.7999999999999999E-2</v>
      </c>
      <c r="H177" s="13">
        <f t="shared" si="23"/>
        <v>888047377.04693866</v>
      </c>
      <c r="I177" s="13"/>
      <c r="J177" s="9">
        <f t="shared" si="21"/>
        <v>932050839.2404207</v>
      </c>
      <c r="K177" s="48"/>
      <c r="L177" s="14"/>
      <c r="M177" s="56"/>
      <c r="S177" s="13"/>
    </row>
    <row r="178" spans="1:19" s="12" customFormat="1" x14ac:dyDescent="0.3">
      <c r="B178" s="81"/>
      <c r="C178" s="12">
        <v>8</v>
      </c>
      <c r="D178" s="13">
        <f>N171</f>
        <v>44003462.193482019</v>
      </c>
      <c r="E178" s="41">
        <f t="shared" si="20"/>
        <v>467460110.84677601</v>
      </c>
      <c r="F178" s="13">
        <f t="shared" si="25"/>
        <v>932050839.2404207</v>
      </c>
      <c r="G178" s="12">
        <v>1.7999999999999999E-2</v>
      </c>
      <c r="H178" s="13">
        <f t="shared" si="23"/>
        <v>948827754.34674823</v>
      </c>
      <c r="I178" s="13"/>
      <c r="J178" s="9">
        <f t="shared" si="21"/>
        <v>992831216.54023027</v>
      </c>
      <c r="K178" s="48"/>
      <c r="L178" s="14"/>
      <c r="M178" s="56"/>
      <c r="S178" s="13"/>
    </row>
    <row r="179" spans="1:19" s="12" customFormat="1" x14ac:dyDescent="0.3">
      <c r="B179" s="81"/>
      <c r="C179" s="12">
        <v>9</v>
      </c>
      <c r="D179" s="13">
        <f>N171</f>
        <v>44003462.193482019</v>
      </c>
      <c r="E179" s="41">
        <f t="shared" si="20"/>
        <v>475874392.84201795</v>
      </c>
      <c r="F179" s="13">
        <f t="shared" si="25"/>
        <v>992831216.54023027</v>
      </c>
      <c r="G179" s="12">
        <v>1.7999999999999999E-2</v>
      </c>
      <c r="H179" s="13">
        <f t="shared" si="23"/>
        <v>1010702178.4379544</v>
      </c>
      <c r="I179" s="13"/>
      <c r="J179" s="9">
        <f t="shared" si="21"/>
        <v>1054705640.6314365</v>
      </c>
      <c r="K179" s="48"/>
      <c r="L179" s="14"/>
      <c r="M179" s="56"/>
      <c r="S179" s="13"/>
    </row>
    <row r="180" spans="1:19" s="12" customFormat="1" x14ac:dyDescent="0.3">
      <c r="B180" s="81"/>
      <c r="C180" s="12">
        <v>10</v>
      </c>
      <c r="D180" s="13">
        <f>N171</f>
        <v>44003462.193482019</v>
      </c>
      <c r="E180" s="41">
        <f t="shared" si="20"/>
        <v>484440131.91317427</v>
      </c>
      <c r="F180" s="13">
        <f t="shared" si="25"/>
        <v>1054705640.6314365</v>
      </c>
      <c r="G180" s="12">
        <v>1.7999999999999999E-2</v>
      </c>
      <c r="H180" s="13">
        <f t="shared" si="23"/>
        <v>1073690342.1628023</v>
      </c>
      <c r="I180" s="13"/>
      <c r="J180" s="9">
        <f t="shared" si="21"/>
        <v>1117693804.3562844</v>
      </c>
      <c r="K180" s="48"/>
      <c r="L180" s="14"/>
      <c r="M180" s="56"/>
      <c r="S180" s="13"/>
    </row>
    <row r="181" spans="1:19" s="12" customFormat="1" x14ac:dyDescent="0.3">
      <c r="B181" s="81"/>
      <c r="C181" s="12">
        <v>11</v>
      </c>
      <c r="D181" s="13">
        <f>N171</f>
        <v>44003462.193482019</v>
      </c>
      <c r="E181" s="41">
        <f t="shared" si="20"/>
        <v>493160054.28761142</v>
      </c>
      <c r="F181" s="13">
        <f t="shared" si="25"/>
        <v>1117693804.3562844</v>
      </c>
      <c r="G181" s="12">
        <v>1.7999999999999999E-2</v>
      </c>
      <c r="H181" s="13">
        <f t="shared" si="23"/>
        <v>1137812292.8346975</v>
      </c>
      <c r="I181" s="13"/>
      <c r="J181" s="9">
        <f t="shared" si="21"/>
        <v>1181815755.0281794</v>
      </c>
      <c r="K181" s="48"/>
      <c r="L181" s="14"/>
      <c r="M181" s="56"/>
      <c r="S181" s="13"/>
    </row>
    <row r="182" spans="1:19" s="18" customFormat="1" x14ac:dyDescent="0.3">
      <c r="B182" s="81"/>
      <c r="C182" s="18">
        <v>12</v>
      </c>
      <c r="D182" s="19">
        <f>N171</f>
        <v>44003462.193482019</v>
      </c>
      <c r="E182" s="19">
        <f t="shared" si="20"/>
        <v>502036935.26478845</v>
      </c>
      <c r="F182" s="19">
        <f t="shared" si="25"/>
        <v>1145815755.0281794</v>
      </c>
      <c r="G182" s="18">
        <v>1.7999999999999999E-2</v>
      </c>
      <c r="H182" s="19">
        <f t="shared" si="23"/>
        <v>1166440438.6186867</v>
      </c>
      <c r="I182" s="19">
        <f xml:space="preserve"> H182</f>
        <v>1166440438.6186867</v>
      </c>
      <c r="J182" s="9">
        <f t="shared" si="21"/>
        <v>1210443900.8121686</v>
      </c>
      <c r="K182" s="51">
        <v>36000000</v>
      </c>
      <c r="L182" s="20">
        <f xml:space="preserve"> (I182-K182) / 2</f>
        <v>565220219.30934334</v>
      </c>
      <c r="M182" s="58">
        <f xml:space="preserve"> (F171 + SUM(D172:D182)) - SUM(K172:K182)</f>
        <v>981871730.57859373</v>
      </c>
      <c r="N182" s="19">
        <f xml:space="preserve"> H182 - M182</f>
        <v>184568708.04009295</v>
      </c>
      <c r="O182" s="18">
        <v>0.84</v>
      </c>
      <c r="P182" s="19">
        <f xml:space="preserve"> N182 * O182</f>
        <v>155037714.75367805</v>
      </c>
      <c r="Q182" s="19">
        <f xml:space="preserve"> N182 - P182</f>
        <v>29530993.286414891</v>
      </c>
      <c r="R182" s="18">
        <f xml:space="preserve"> N182 / M182 * 100</f>
        <v>18.797639476933607</v>
      </c>
      <c r="S182" s="19"/>
    </row>
    <row r="183" spans="1:19" s="12" customFormat="1" x14ac:dyDescent="0.3">
      <c r="A183" s="12">
        <v>16</v>
      </c>
      <c r="B183" s="81">
        <v>2037</v>
      </c>
      <c r="C183" s="12">
        <v>1</v>
      </c>
      <c r="D183" s="13">
        <f>N183</f>
        <v>49601684.942445278</v>
      </c>
      <c r="E183" s="41">
        <f t="shared" si="20"/>
        <v>511073600.09955466</v>
      </c>
      <c r="F183" s="13">
        <f xml:space="preserve"> (H182 / 2) + D183 - K183</f>
        <v>632821904.25178862</v>
      </c>
      <c r="G183" s="12">
        <v>1.7999999999999999E-2</v>
      </c>
      <c r="H183" s="13">
        <f t="shared" si="23"/>
        <v>644212698.52832079</v>
      </c>
      <c r="I183" s="13"/>
      <c r="J183" s="9">
        <f t="shared" si="21"/>
        <v>693814383.47076607</v>
      </c>
      <c r="K183" s="48"/>
      <c r="L183" s="14"/>
      <c r="M183" s="56"/>
      <c r="N183" s="11">
        <f xml:space="preserve"> (L182 / 12) +2500000</f>
        <v>49601684.942445278</v>
      </c>
      <c r="P183" s="9">
        <f xml:space="preserve"> (H182 - K183) / 2</f>
        <v>583220219.30934334</v>
      </c>
      <c r="S183" s="13"/>
    </row>
    <row r="184" spans="1:19" s="12" customFormat="1" x14ac:dyDescent="0.3">
      <c r="B184" s="81"/>
      <c r="C184" s="12">
        <v>2</v>
      </c>
      <c r="D184" s="13">
        <f>N183</f>
        <v>49601684.942445278</v>
      </c>
      <c r="E184" s="41">
        <f t="shared" si="20"/>
        <v>520272924.90134662</v>
      </c>
      <c r="F184" s="13">
        <f t="shared" ref="F184:F194" si="26" xml:space="preserve"> H183 + D184 - K184</f>
        <v>693814383.47076607</v>
      </c>
      <c r="G184" s="12">
        <v>1.7999999999999999E-2</v>
      </c>
      <c r="H184" s="13">
        <f t="shared" si="23"/>
        <v>706303042.37323987</v>
      </c>
      <c r="I184" s="13"/>
      <c r="J184" s="9">
        <f t="shared" si="21"/>
        <v>755904727.31568515</v>
      </c>
      <c r="K184" s="48"/>
      <c r="L184" s="14"/>
      <c r="M184" s="56"/>
      <c r="S184" s="13"/>
    </row>
    <row r="185" spans="1:19" s="12" customFormat="1" x14ac:dyDescent="0.3">
      <c r="B185" s="81"/>
      <c r="C185" s="12">
        <v>3</v>
      </c>
      <c r="D185" s="13">
        <f>N183</f>
        <v>49601684.942445278</v>
      </c>
      <c r="E185" s="41">
        <f t="shared" si="20"/>
        <v>529637837.54957086</v>
      </c>
      <c r="F185" s="13">
        <f t="shared" si="26"/>
        <v>755904727.31568515</v>
      </c>
      <c r="G185" s="12">
        <v>1.7999999999999999E-2</v>
      </c>
      <c r="H185" s="13">
        <f t="shared" si="23"/>
        <v>769511012.40736747</v>
      </c>
      <c r="I185" s="13"/>
      <c r="J185" s="9">
        <f t="shared" si="21"/>
        <v>819112697.34981275</v>
      </c>
      <c r="K185" s="48"/>
      <c r="L185" s="14"/>
      <c r="M185" s="56"/>
      <c r="S185" s="13"/>
    </row>
    <row r="186" spans="1:19" s="12" customFormat="1" x14ac:dyDescent="0.3">
      <c r="B186" s="81"/>
      <c r="C186" s="12">
        <v>4</v>
      </c>
      <c r="D186" s="13">
        <f>N183</f>
        <v>49601684.942445278</v>
      </c>
      <c r="E186" s="41">
        <f t="shared" si="20"/>
        <v>539171318.62546313</v>
      </c>
      <c r="F186" s="13">
        <f t="shared" si="26"/>
        <v>819112697.34981275</v>
      </c>
      <c r="G186" s="12">
        <v>1.7999999999999999E-2</v>
      </c>
      <c r="H186" s="13">
        <f t="shared" si="23"/>
        <v>833856725.90210938</v>
      </c>
      <c r="I186" s="13"/>
      <c r="J186" s="9">
        <f t="shared" si="21"/>
        <v>883458410.84455466</v>
      </c>
      <c r="K186" s="48"/>
      <c r="L186" s="14"/>
      <c r="M186" s="56"/>
      <c r="S186" s="13"/>
    </row>
    <row r="187" spans="1:19" s="12" customFormat="1" x14ac:dyDescent="0.3">
      <c r="B187" s="81"/>
      <c r="C187" s="12">
        <v>5</v>
      </c>
      <c r="D187" s="13">
        <f>N183</f>
        <v>49601684.942445278</v>
      </c>
      <c r="E187" s="41">
        <f t="shared" si="20"/>
        <v>548876402.36072147</v>
      </c>
      <c r="F187" s="13">
        <f t="shared" si="26"/>
        <v>853927417.5581398</v>
      </c>
      <c r="G187" s="12">
        <v>1.7999999999999999E-2</v>
      </c>
      <c r="H187" s="13">
        <f t="shared" si="23"/>
        <v>869298111.07418633</v>
      </c>
      <c r="I187" s="13"/>
      <c r="J187" s="9">
        <f t="shared" si="21"/>
        <v>918899796.0166316</v>
      </c>
      <c r="K187" s="48">
        <f xml:space="preserve"> Q182</f>
        <v>29530993.286414891</v>
      </c>
      <c r="L187" s="14"/>
      <c r="M187" s="56"/>
      <c r="S187" s="13"/>
    </row>
    <row r="188" spans="1:19" s="12" customFormat="1" x14ac:dyDescent="0.3">
      <c r="B188" s="81"/>
      <c r="C188" s="12">
        <v>6</v>
      </c>
      <c r="D188" s="13">
        <f>N183</f>
        <v>49601684.942445278</v>
      </c>
      <c r="E188" s="41">
        <f t="shared" si="20"/>
        <v>558756177.6032145</v>
      </c>
      <c r="F188" s="13">
        <f t="shared" si="26"/>
        <v>918899796.0166316</v>
      </c>
      <c r="G188" s="12">
        <v>1.7999999999999999E-2</v>
      </c>
      <c r="H188" s="13">
        <f t="shared" si="23"/>
        <v>935439992.34493101</v>
      </c>
      <c r="I188" s="13"/>
      <c r="J188" s="9">
        <f t="shared" si="21"/>
        <v>985041677.28737628</v>
      </c>
      <c r="K188" s="48"/>
      <c r="L188" s="14"/>
      <c r="M188" s="56"/>
      <c r="S188" s="13"/>
    </row>
    <row r="189" spans="1:19" s="12" customFormat="1" x14ac:dyDescent="0.3">
      <c r="B189" s="81"/>
      <c r="C189" s="12">
        <v>7</v>
      </c>
      <c r="D189" s="13">
        <f>N183</f>
        <v>49601684.942445278</v>
      </c>
      <c r="E189" s="41">
        <f t="shared" si="20"/>
        <v>568813788.80007231</v>
      </c>
      <c r="F189" s="13">
        <f t="shared" si="26"/>
        <v>985041677.28737628</v>
      </c>
      <c r="G189" s="12">
        <v>1.7999999999999999E-2</v>
      </c>
      <c r="H189" s="13">
        <f t="shared" si="23"/>
        <v>1002772427.478549</v>
      </c>
      <c r="I189" s="13"/>
      <c r="J189" s="9">
        <f t="shared" si="21"/>
        <v>1052374112.4209943</v>
      </c>
      <c r="K189" s="48"/>
      <c r="L189" s="14"/>
      <c r="M189" s="56"/>
      <c r="S189" s="13"/>
    </row>
    <row r="190" spans="1:19" s="12" customFormat="1" x14ac:dyDescent="0.3">
      <c r="B190" s="81"/>
      <c r="C190" s="12">
        <v>8</v>
      </c>
      <c r="D190" s="13">
        <f>N183</f>
        <v>49601684.942445278</v>
      </c>
      <c r="E190" s="41">
        <f t="shared" si="20"/>
        <v>579052436.99847364</v>
      </c>
      <c r="F190" s="13">
        <f t="shared" si="26"/>
        <v>1052374112.4209943</v>
      </c>
      <c r="G190" s="12">
        <v>1.7999999999999999E-2</v>
      </c>
      <c r="H190" s="13">
        <f t="shared" si="23"/>
        <v>1071316846.4445722</v>
      </c>
      <c r="I190" s="13"/>
      <c r="J190" s="9">
        <f t="shared" si="21"/>
        <v>1120918531.3870175</v>
      </c>
      <c r="K190" s="48"/>
      <c r="L190" s="14"/>
      <c r="M190" s="56"/>
      <c r="S190" s="13"/>
    </row>
    <row r="191" spans="1:19" s="12" customFormat="1" x14ac:dyDescent="0.3">
      <c r="B191" s="81"/>
      <c r="C191" s="12">
        <v>9</v>
      </c>
      <c r="D191" s="13">
        <f>N183</f>
        <v>49601684.942445278</v>
      </c>
      <c r="E191" s="41">
        <f t="shared" si="20"/>
        <v>589475380.86444616</v>
      </c>
      <c r="F191" s="13">
        <f t="shared" si="26"/>
        <v>1120918531.3870175</v>
      </c>
      <c r="G191" s="12">
        <v>1.7999999999999999E-2</v>
      </c>
      <c r="H191" s="13">
        <f t="shared" si="23"/>
        <v>1141095064.9519837</v>
      </c>
      <c r="I191" s="13"/>
      <c r="J191" s="9">
        <f t="shared" si="21"/>
        <v>1190696749.894429</v>
      </c>
      <c r="K191" s="48"/>
      <c r="L191" s="14"/>
      <c r="M191" s="56"/>
      <c r="S191" s="13"/>
    </row>
    <row r="192" spans="1:19" s="12" customFormat="1" x14ac:dyDescent="0.3">
      <c r="B192" s="81"/>
      <c r="C192" s="12">
        <v>10</v>
      </c>
      <c r="D192" s="13">
        <f>N183</f>
        <v>49601684.942445278</v>
      </c>
      <c r="E192" s="41">
        <f t="shared" si="20"/>
        <v>600085937.72000623</v>
      </c>
      <c r="F192" s="13">
        <f t="shared" si="26"/>
        <v>1190696749.894429</v>
      </c>
      <c r="G192" s="12">
        <v>1.7999999999999999E-2</v>
      </c>
      <c r="H192" s="13">
        <f t="shared" si="23"/>
        <v>1212129291.3925288</v>
      </c>
      <c r="I192" s="13"/>
      <c r="J192" s="9">
        <f t="shared" si="21"/>
        <v>1261730976.3349741</v>
      </c>
      <c r="K192" s="48"/>
      <c r="L192" s="14"/>
      <c r="M192" s="56"/>
      <c r="S192" s="13"/>
    </row>
    <row r="193" spans="1:19" s="12" customFormat="1" x14ac:dyDescent="0.3">
      <c r="B193" s="81"/>
      <c r="C193" s="12">
        <v>11</v>
      </c>
      <c r="D193" s="13">
        <f>N183</f>
        <v>49601684.942445278</v>
      </c>
      <c r="E193" s="41">
        <f t="shared" si="20"/>
        <v>610887484.59896636</v>
      </c>
      <c r="F193" s="13">
        <f t="shared" si="26"/>
        <v>1261730976.3349741</v>
      </c>
      <c r="G193" s="12">
        <v>1.7999999999999999E-2</v>
      </c>
      <c r="H193" s="13">
        <f t="shared" si="23"/>
        <v>1284442133.9090035</v>
      </c>
      <c r="I193" s="13"/>
      <c r="J193" s="9">
        <f t="shared" si="21"/>
        <v>1334043818.8514488</v>
      </c>
      <c r="K193" s="48"/>
      <c r="L193" s="14"/>
      <c r="M193" s="56"/>
      <c r="S193" s="13"/>
    </row>
    <row r="194" spans="1:19" s="18" customFormat="1" x14ac:dyDescent="0.3">
      <c r="B194" s="81"/>
      <c r="C194" s="18">
        <v>12</v>
      </c>
      <c r="D194" s="19">
        <f>N183</f>
        <v>49601684.942445278</v>
      </c>
      <c r="E194" s="19">
        <f t="shared" si="20"/>
        <v>621883459.32174778</v>
      </c>
      <c r="F194" s="19">
        <f t="shared" si="26"/>
        <v>1298043818.8514488</v>
      </c>
      <c r="G194" s="18">
        <v>1.7999999999999999E-2</v>
      </c>
      <c r="H194" s="19">
        <f t="shared" si="23"/>
        <v>1321408607.5907748</v>
      </c>
      <c r="I194" s="19">
        <f xml:space="preserve"> H194</f>
        <v>1321408607.5907748</v>
      </c>
      <c r="J194" s="9">
        <f t="shared" si="21"/>
        <v>1371010292.5332201</v>
      </c>
      <c r="K194" s="51">
        <v>36000000</v>
      </c>
      <c r="L194" s="20">
        <f xml:space="preserve"> (I194-K194) / 2</f>
        <v>642704303.79538739</v>
      </c>
      <c r="M194" s="58">
        <f xml:space="preserve"> (F183 + SUM(D184:D194)) - SUM(K184:K194)</f>
        <v>1112909445.3322718</v>
      </c>
      <c r="N194" s="19">
        <f xml:space="preserve"> H194 - M194</f>
        <v>208499162.25850296</v>
      </c>
      <c r="O194" s="18">
        <v>0.84</v>
      </c>
      <c r="P194" s="19">
        <f xml:space="preserve"> N194 * O194</f>
        <v>175139296.29714248</v>
      </c>
      <c r="Q194" s="19">
        <f xml:space="preserve"> N194 - P194</f>
        <v>33359865.961360484</v>
      </c>
      <c r="R194" s="18">
        <f xml:space="preserve"> N194 / M194 * 100</f>
        <v>18.734602633932461</v>
      </c>
      <c r="S194" s="19"/>
    </row>
    <row r="195" spans="1:19" s="3" customFormat="1" x14ac:dyDescent="0.3">
      <c r="A195" s="3">
        <v>17</v>
      </c>
      <c r="B195" s="80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80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80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80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80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80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80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80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80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80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80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80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80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80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80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80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80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80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80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80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80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80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80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80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80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80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80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80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80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80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80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80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80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80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80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80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80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80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80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80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80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80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80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80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80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80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80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80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80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80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80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80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80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80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80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80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80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80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80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80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5"/>
  <sheetViews>
    <sheetView workbookViewId="0">
      <selection activeCell="F20" sqref="F20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2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2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2">
        <v>44846</v>
      </c>
      <c r="B6" t="s">
        <v>51</v>
      </c>
      <c r="C6">
        <v>8.6999999999999993</v>
      </c>
      <c r="D6">
        <v>8.4</v>
      </c>
      <c r="E6">
        <v>8.5</v>
      </c>
    </row>
    <row r="7" spans="1:5" x14ac:dyDescent="0.3">
      <c r="A7" s="62"/>
      <c r="B7" t="s">
        <v>62</v>
      </c>
      <c r="C7">
        <v>7.2</v>
      </c>
      <c r="D7">
        <v>7.3</v>
      </c>
      <c r="E7">
        <v>7.2</v>
      </c>
    </row>
    <row r="8" spans="1:5" x14ac:dyDescent="0.3">
      <c r="A8" s="62">
        <v>44847</v>
      </c>
      <c r="B8" t="s">
        <v>52</v>
      </c>
      <c r="C8">
        <v>8.3000000000000007</v>
      </c>
      <c r="D8">
        <v>8.1</v>
      </c>
    </row>
    <row r="9" spans="1:5" x14ac:dyDescent="0.3">
      <c r="B9" t="s">
        <v>53</v>
      </c>
      <c r="C9">
        <v>6.3</v>
      </c>
      <c r="D9">
        <v>6.5</v>
      </c>
    </row>
    <row r="10" spans="1:5" x14ac:dyDescent="0.3">
      <c r="B10" t="s">
        <v>54</v>
      </c>
      <c r="C10" s="63" t="s">
        <v>55</v>
      </c>
      <c r="D10" s="63" t="s">
        <v>56</v>
      </c>
    </row>
    <row r="11" spans="1:5" x14ac:dyDescent="0.3">
      <c r="A11" s="62">
        <v>44848</v>
      </c>
      <c r="B11" t="s">
        <v>57</v>
      </c>
    </row>
    <row r="12" spans="1:5" x14ac:dyDescent="0.3">
      <c r="A12" s="62">
        <v>44853</v>
      </c>
      <c r="B12" t="s">
        <v>58</v>
      </c>
    </row>
    <row r="13" spans="1:5" x14ac:dyDescent="0.3">
      <c r="A13" s="62"/>
      <c r="B13" t="s">
        <v>59</v>
      </c>
    </row>
    <row r="14" spans="1:5" x14ac:dyDescent="0.3">
      <c r="A14" s="62">
        <v>44854</v>
      </c>
      <c r="B14" t="s">
        <v>60</v>
      </c>
    </row>
    <row r="15" spans="1:5" x14ac:dyDescent="0.3">
      <c r="B15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31"/>
  <sheetViews>
    <sheetView topLeftCell="A13" workbookViewId="0">
      <selection activeCell="J25" sqref="J25"/>
    </sheetView>
  </sheetViews>
  <sheetFormatPr defaultRowHeight="16.5" x14ac:dyDescent="0.3"/>
  <cols>
    <col min="1" max="1" width="15.125" style="76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83" t="s">
        <v>64</v>
      </c>
      <c r="D3" s="83"/>
      <c r="E3" s="83"/>
      <c r="F3" s="83"/>
      <c r="G3" s="83"/>
      <c r="H3" s="83"/>
      <c r="I3" s="83"/>
      <c r="J3" s="83"/>
      <c r="K3" s="83"/>
      <c r="L3" s="83"/>
      <c r="M3" s="83"/>
    </row>
    <row r="4" spans="2:13" x14ac:dyDescent="0.3"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</row>
    <row r="5" spans="2:13" x14ac:dyDescent="0.3">
      <c r="B5" t="s">
        <v>65</v>
      </c>
      <c r="C5" s="64" t="s">
        <v>67</v>
      </c>
      <c r="F5" t="s">
        <v>66</v>
      </c>
    </row>
    <row r="7" spans="2:13" x14ac:dyDescent="0.3">
      <c r="B7" s="77" t="s">
        <v>68</v>
      </c>
      <c r="C7" s="76"/>
      <c r="D7" s="76"/>
      <c r="E7" s="76"/>
      <c r="F7" s="76"/>
      <c r="G7" s="76"/>
      <c r="H7" s="76"/>
      <c r="I7" s="76"/>
      <c r="J7" s="76"/>
    </row>
    <row r="8" spans="2:13" x14ac:dyDescent="0.3">
      <c r="B8" s="78" t="s">
        <v>69</v>
      </c>
      <c r="C8" s="78" t="s">
        <v>70</v>
      </c>
      <c r="D8" s="78" t="s">
        <v>71</v>
      </c>
      <c r="E8" s="78" t="s">
        <v>72</v>
      </c>
      <c r="F8" s="78" t="s">
        <v>73</v>
      </c>
      <c r="G8" s="78" t="s">
        <v>74</v>
      </c>
      <c r="H8" s="78" t="s">
        <v>75</v>
      </c>
      <c r="I8" s="78" t="s">
        <v>76</v>
      </c>
      <c r="J8" s="78" t="s">
        <v>77</v>
      </c>
    </row>
    <row r="9" spans="2:13" x14ac:dyDescent="0.3">
      <c r="B9" s="79" t="s">
        <v>78</v>
      </c>
      <c r="C9" s="79" t="s">
        <v>79</v>
      </c>
      <c r="D9" s="79" t="s">
        <v>80</v>
      </c>
      <c r="E9" s="79" t="s">
        <v>81</v>
      </c>
      <c r="F9" s="79" t="s">
        <v>82</v>
      </c>
      <c r="G9" s="79" t="s">
        <v>83</v>
      </c>
      <c r="H9" s="79" t="s">
        <v>84</v>
      </c>
      <c r="I9" s="79" t="s">
        <v>85</v>
      </c>
      <c r="J9" s="79" t="s">
        <v>86</v>
      </c>
    </row>
    <row r="10" spans="2:13" x14ac:dyDescent="0.3">
      <c r="B10" s="79" t="s">
        <v>87</v>
      </c>
      <c r="C10" s="79" t="s">
        <v>88</v>
      </c>
      <c r="D10" s="79" t="s">
        <v>89</v>
      </c>
      <c r="E10" s="79" t="s">
        <v>90</v>
      </c>
      <c r="F10" s="79" t="s">
        <v>91</v>
      </c>
      <c r="G10" s="79" t="s">
        <v>92</v>
      </c>
      <c r="H10" s="79" t="s">
        <v>93</v>
      </c>
      <c r="I10" s="79" t="s">
        <v>94</v>
      </c>
      <c r="J10" s="79" t="s">
        <v>95</v>
      </c>
    </row>
    <row r="11" spans="2:13" x14ac:dyDescent="0.3">
      <c r="B11" s="79" t="s">
        <v>96</v>
      </c>
      <c r="C11" s="79" t="s">
        <v>97</v>
      </c>
      <c r="D11" s="79" t="s">
        <v>98</v>
      </c>
      <c r="E11" s="79" t="s">
        <v>99</v>
      </c>
      <c r="F11" s="79" t="s">
        <v>100</v>
      </c>
      <c r="G11" s="79" t="s">
        <v>101</v>
      </c>
      <c r="H11" s="79" t="s">
        <v>102</v>
      </c>
      <c r="I11" s="79" t="s">
        <v>103</v>
      </c>
      <c r="J11" s="79" t="s">
        <v>104</v>
      </c>
    </row>
    <row r="12" spans="2:13" x14ac:dyDescent="0.3">
      <c r="B12" s="79" t="s">
        <v>105</v>
      </c>
      <c r="C12" s="79" t="s">
        <v>106</v>
      </c>
      <c r="D12" s="79" t="s">
        <v>107</v>
      </c>
      <c r="E12" s="79" t="s">
        <v>108</v>
      </c>
      <c r="F12" s="79" t="s">
        <v>109</v>
      </c>
      <c r="G12" s="79" t="s">
        <v>110</v>
      </c>
      <c r="H12" s="79" t="s">
        <v>111</v>
      </c>
      <c r="I12" s="79" t="s">
        <v>112</v>
      </c>
      <c r="J12" s="79" t="s">
        <v>113</v>
      </c>
    </row>
    <row r="13" spans="2:13" x14ac:dyDescent="0.3">
      <c r="B13" s="79" t="s">
        <v>114</v>
      </c>
      <c r="C13" s="79" t="s">
        <v>115</v>
      </c>
      <c r="D13" s="79" t="s">
        <v>116</v>
      </c>
      <c r="E13" s="79" t="s">
        <v>117</v>
      </c>
      <c r="F13" s="79" t="s">
        <v>118</v>
      </c>
      <c r="G13" s="79" t="s">
        <v>119</v>
      </c>
      <c r="H13" s="79" t="s">
        <v>120</v>
      </c>
      <c r="I13" s="79" t="s">
        <v>121</v>
      </c>
      <c r="J13" s="79" t="s">
        <v>122</v>
      </c>
    </row>
    <row r="14" spans="2:13" x14ac:dyDescent="0.3">
      <c r="B14" s="79" t="s">
        <v>123</v>
      </c>
      <c r="C14" s="79" t="s">
        <v>124</v>
      </c>
      <c r="D14" s="79" t="s">
        <v>125</v>
      </c>
      <c r="E14" s="79" t="s">
        <v>126</v>
      </c>
      <c r="F14" s="79" t="s">
        <v>127</v>
      </c>
      <c r="G14" s="79" t="s">
        <v>94</v>
      </c>
      <c r="H14" s="79" t="s">
        <v>113</v>
      </c>
      <c r="I14" s="79" t="s">
        <v>128</v>
      </c>
      <c r="J14" s="79" t="s">
        <v>129</v>
      </c>
    </row>
    <row r="15" spans="2:13" x14ac:dyDescent="0.3">
      <c r="B15" s="79" t="s">
        <v>130</v>
      </c>
      <c r="C15" s="79" t="s">
        <v>84</v>
      </c>
      <c r="D15" s="79" t="s">
        <v>131</v>
      </c>
      <c r="E15" s="79" t="s">
        <v>127</v>
      </c>
      <c r="F15" s="79" t="s">
        <v>132</v>
      </c>
      <c r="G15" s="79" t="s">
        <v>133</v>
      </c>
      <c r="H15" s="79" t="s">
        <v>134</v>
      </c>
      <c r="I15" s="79" t="s">
        <v>135</v>
      </c>
      <c r="J15" s="79" t="s">
        <v>136</v>
      </c>
    </row>
    <row r="16" spans="2:13" x14ac:dyDescent="0.3">
      <c r="B16" s="79" t="s">
        <v>137</v>
      </c>
      <c r="C16" s="79" t="s">
        <v>138</v>
      </c>
      <c r="D16" s="79" t="s">
        <v>109</v>
      </c>
      <c r="E16" s="79" t="s">
        <v>139</v>
      </c>
      <c r="F16" s="79" t="s">
        <v>140</v>
      </c>
      <c r="G16" s="79" t="s">
        <v>141</v>
      </c>
      <c r="H16" s="79" t="s">
        <v>142</v>
      </c>
      <c r="I16" s="79" t="s">
        <v>143</v>
      </c>
      <c r="J16" s="79" t="s">
        <v>144</v>
      </c>
    </row>
    <row r="17" spans="1:12" x14ac:dyDescent="0.3">
      <c r="B17" s="79" t="s">
        <v>145</v>
      </c>
      <c r="C17" s="79" t="s">
        <v>146</v>
      </c>
      <c r="D17" s="79" t="s">
        <v>147</v>
      </c>
      <c r="E17" s="79" t="s">
        <v>148</v>
      </c>
      <c r="F17" s="79" t="s">
        <v>149</v>
      </c>
      <c r="G17" s="79" t="s">
        <v>150</v>
      </c>
      <c r="H17" s="79" t="s">
        <v>151</v>
      </c>
      <c r="I17" s="79" t="s">
        <v>152</v>
      </c>
      <c r="J17" s="79" t="s">
        <v>153</v>
      </c>
    </row>
    <row r="18" spans="1:12" x14ac:dyDescent="0.3">
      <c r="B18" s="79" t="s">
        <v>154</v>
      </c>
      <c r="C18" s="79" t="s">
        <v>155</v>
      </c>
      <c r="D18" s="79" t="s">
        <v>156</v>
      </c>
      <c r="E18" s="79" t="s">
        <v>157</v>
      </c>
      <c r="F18" s="79" t="s">
        <v>158</v>
      </c>
      <c r="G18" s="79" t="s">
        <v>159</v>
      </c>
      <c r="H18" s="79" t="s">
        <v>160</v>
      </c>
      <c r="I18" s="79" t="s">
        <v>161</v>
      </c>
      <c r="J18" s="79" t="s">
        <v>162</v>
      </c>
    </row>
    <row r="19" spans="1:12" x14ac:dyDescent="0.3">
      <c r="B19" s="79" t="s">
        <v>163</v>
      </c>
      <c r="C19" s="79" t="s">
        <v>164</v>
      </c>
      <c r="D19" s="79" t="s">
        <v>165</v>
      </c>
      <c r="E19" s="79" t="s">
        <v>166</v>
      </c>
      <c r="F19" s="79" t="s">
        <v>167</v>
      </c>
      <c r="G19" s="79" t="s">
        <v>168</v>
      </c>
      <c r="H19" s="79" t="s">
        <v>169</v>
      </c>
      <c r="I19" s="79" t="s">
        <v>170</v>
      </c>
      <c r="J19" s="79" t="s">
        <v>171</v>
      </c>
      <c r="K19" s="69">
        <f xml:space="preserve"> J19 / 100</f>
        <v>0.1174</v>
      </c>
    </row>
    <row r="21" spans="1:12" ht="27" x14ac:dyDescent="0.3">
      <c r="A21" s="8"/>
      <c r="B21" s="8"/>
      <c r="C21" s="66" t="s">
        <v>174</v>
      </c>
      <c r="D21" s="66" t="s">
        <v>173</v>
      </c>
      <c r="E21" s="66" t="s">
        <v>175</v>
      </c>
      <c r="F21" s="8"/>
      <c r="G21" s="8"/>
      <c r="H21" s="8"/>
      <c r="I21" s="8"/>
      <c r="J21" s="8"/>
      <c r="K21" s="8" t="s">
        <v>63</v>
      </c>
    </row>
    <row r="22" spans="1:12" x14ac:dyDescent="0.3">
      <c r="A22" s="67" t="s">
        <v>172</v>
      </c>
      <c r="B22" s="8">
        <v>2022</v>
      </c>
      <c r="C22" s="65">
        <v>532300000000</v>
      </c>
      <c r="D22" s="8">
        <v>2.81</v>
      </c>
      <c r="E22" s="65">
        <v>40173220</v>
      </c>
      <c r="F22" s="72">
        <f xml:space="preserve"> J19 / 100</f>
        <v>0.1174</v>
      </c>
      <c r="G22" s="75">
        <f>D22-J19</f>
        <v>-8.93</v>
      </c>
      <c r="H22" s="74">
        <f xml:space="preserve"> G22 / 100</f>
        <v>-8.929999999999999E-2</v>
      </c>
      <c r="I22" s="68">
        <f xml:space="preserve"> C22 * H22</f>
        <v>-47534389999.999992</v>
      </c>
      <c r="J22" s="65">
        <f xml:space="preserve"> C22 + I22</f>
        <v>484765610000</v>
      </c>
      <c r="K22" s="68">
        <f xml:space="preserve"> J22 / E22</f>
        <v>12066.884606212796</v>
      </c>
    </row>
    <row r="23" spans="1:12" x14ac:dyDescent="0.3">
      <c r="A23" s="8"/>
      <c r="B23" s="8">
        <v>2021</v>
      </c>
      <c r="C23" s="65">
        <v>518200000000</v>
      </c>
      <c r="D23" s="8">
        <v>1.69</v>
      </c>
      <c r="E23" s="65">
        <v>40173220</v>
      </c>
      <c r="F23" s="72">
        <f xml:space="preserve"> J19 / 100</f>
        <v>0.1174</v>
      </c>
      <c r="G23" s="75">
        <f>D23-J19</f>
        <v>-10.050000000000001</v>
      </c>
      <c r="H23" s="74">
        <f xml:space="preserve"> G23 / 100</f>
        <v>-0.10050000000000001</v>
      </c>
      <c r="I23" s="68">
        <f xml:space="preserve"> C23 * H23</f>
        <v>-52079100000</v>
      </c>
      <c r="J23" s="65">
        <f t="shared" ref="J23:J27" si="0" xml:space="preserve"> C23 + I23</f>
        <v>466120900000</v>
      </c>
      <c r="K23" s="68">
        <f t="shared" ref="K23:K27" si="1" xml:space="preserve"> J23 / E23</f>
        <v>11602.776675606287</v>
      </c>
    </row>
    <row r="24" spans="1:12" x14ac:dyDescent="0.3">
      <c r="A24" s="8" t="s">
        <v>176</v>
      </c>
      <c r="B24" s="8">
        <v>2022</v>
      </c>
      <c r="C24" s="8">
        <v>45400000000</v>
      </c>
      <c r="D24" s="8">
        <v>11.17</v>
      </c>
      <c r="E24" s="71">
        <v>1944613</v>
      </c>
      <c r="F24" s="72">
        <f xml:space="preserve"> J19 / 100</f>
        <v>0.1174</v>
      </c>
      <c r="G24" s="73">
        <f>D24-J19</f>
        <v>-0.57000000000000028</v>
      </c>
      <c r="H24" s="74">
        <f t="shared" ref="H24:H27" si="2" xml:space="preserve"> G24 / 100</f>
        <v>-5.7000000000000028E-3</v>
      </c>
      <c r="I24" s="68">
        <f t="shared" ref="I24:I27" si="3" xml:space="preserve"> C24 * H24</f>
        <v>-258780000.00000012</v>
      </c>
      <c r="J24" s="65">
        <f t="shared" si="0"/>
        <v>45141220000</v>
      </c>
      <c r="K24" s="68">
        <f t="shared" si="1"/>
        <v>23213.472295001629</v>
      </c>
      <c r="L24" s="76"/>
    </row>
    <row r="25" spans="1:12" x14ac:dyDescent="0.3">
      <c r="A25" s="8"/>
      <c r="B25" s="8">
        <v>2021</v>
      </c>
      <c r="C25" s="8">
        <v>38000000000</v>
      </c>
      <c r="D25" s="70">
        <v>8.67</v>
      </c>
      <c r="E25" s="71">
        <v>1944613</v>
      </c>
      <c r="F25" s="72">
        <f xml:space="preserve"> J19 / 100</f>
        <v>0.1174</v>
      </c>
      <c r="G25" s="73">
        <f>D25-J19</f>
        <v>-3.0700000000000003</v>
      </c>
      <c r="H25" s="74">
        <f t="shared" si="2"/>
        <v>-3.0700000000000002E-2</v>
      </c>
      <c r="I25" s="68">
        <f t="shared" si="3"/>
        <v>-1166600000</v>
      </c>
      <c r="J25" s="65">
        <f t="shared" si="0"/>
        <v>36833400000</v>
      </c>
      <c r="K25" s="68">
        <f t="shared" si="1"/>
        <v>18941.24949282968</v>
      </c>
      <c r="L25" s="76"/>
    </row>
    <row r="26" spans="1:12" x14ac:dyDescent="0.3">
      <c r="A26" s="8" t="s">
        <v>177</v>
      </c>
      <c r="B26" s="8">
        <v>2022</v>
      </c>
      <c r="C26" s="65">
        <v>2828000000000</v>
      </c>
      <c r="D26" s="8">
        <v>9.9499999999999993</v>
      </c>
      <c r="E26" s="71">
        <v>25370002</v>
      </c>
      <c r="F26" s="72">
        <f xml:space="preserve"> J19 / 100</f>
        <v>0.1174</v>
      </c>
      <c r="G26" s="73">
        <f>D26-J19</f>
        <v>-1.7900000000000009</v>
      </c>
      <c r="H26" s="74">
        <f t="shared" si="2"/>
        <v>-1.790000000000001E-2</v>
      </c>
      <c r="I26" s="68">
        <f t="shared" si="3"/>
        <v>-50621200000.000031</v>
      </c>
      <c r="J26" s="65">
        <f t="shared" si="0"/>
        <v>2777378800000</v>
      </c>
      <c r="K26" s="68">
        <f t="shared" si="1"/>
        <v>109474.91450729882</v>
      </c>
      <c r="L26" s="76"/>
    </row>
    <row r="27" spans="1:12" x14ac:dyDescent="0.3">
      <c r="A27" s="8"/>
      <c r="B27" s="8">
        <v>2021</v>
      </c>
      <c r="C27" s="65">
        <v>2621700000000</v>
      </c>
      <c r="D27" s="8">
        <v>26.41</v>
      </c>
      <c r="E27" s="71">
        <v>25370002</v>
      </c>
      <c r="F27" s="72">
        <f xml:space="preserve"> J19 / 100</f>
        <v>0.1174</v>
      </c>
      <c r="G27" s="73">
        <f>D27-J19</f>
        <v>14.67</v>
      </c>
      <c r="H27" s="74">
        <f t="shared" si="2"/>
        <v>0.1467</v>
      </c>
      <c r="I27" s="68">
        <f t="shared" si="3"/>
        <v>384603390000</v>
      </c>
      <c r="J27" s="65">
        <f t="shared" si="0"/>
        <v>3006303390000</v>
      </c>
      <c r="K27" s="68">
        <f t="shared" si="1"/>
        <v>118498.35053225458</v>
      </c>
      <c r="L27" s="76"/>
    </row>
    <row r="28" spans="1:12" x14ac:dyDescent="0.3">
      <c r="G28" s="76"/>
      <c r="H28" s="76"/>
      <c r="I28" s="76"/>
      <c r="J28" s="76"/>
      <c r="K28" s="76"/>
      <c r="L28" s="76"/>
    </row>
    <row r="29" spans="1:12" x14ac:dyDescent="0.3">
      <c r="G29" s="76"/>
      <c r="H29" s="76"/>
      <c r="I29" s="76"/>
      <c r="J29" s="76"/>
      <c r="K29" s="76"/>
      <c r="L29" s="76"/>
    </row>
    <row r="30" spans="1:12" x14ac:dyDescent="0.3">
      <c r="G30" s="76"/>
      <c r="H30" s="76"/>
      <c r="I30" s="76"/>
      <c r="J30" s="76"/>
      <c r="K30" s="76"/>
      <c r="L30" s="76"/>
    </row>
    <row r="31" spans="1:12" x14ac:dyDescent="0.3">
      <c r="G31" s="76"/>
      <c r="H31" s="76"/>
      <c r="I31" s="76"/>
      <c r="J31" s="76"/>
      <c r="K31" s="76"/>
      <c r="L31" s="76"/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I18"/>
  <sheetViews>
    <sheetView workbookViewId="0">
      <selection activeCell="L7" sqref="L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</cols>
  <sheetData>
    <row r="1" spans="2:9" x14ac:dyDescent="0.3">
      <c r="B1" s="85"/>
      <c r="C1" s="85"/>
    </row>
    <row r="2" spans="2:9" x14ac:dyDescent="0.3">
      <c r="B2" s="84" t="s">
        <v>34</v>
      </c>
      <c r="C2" s="84"/>
      <c r="E2" s="84" t="s">
        <v>38</v>
      </c>
      <c r="F2" s="84"/>
      <c r="H2" s="84" t="s">
        <v>45</v>
      </c>
      <c r="I2" s="84"/>
    </row>
    <row r="3" spans="2:9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</row>
    <row r="4" spans="2:9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</row>
    <row r="5" spans="2:9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</row>
    <row r="6" spans="2:9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</row>
    <row r="7" spans="2:9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</row>
    <row r="8" spans="2:9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</row>
    <row r="9" spans="2:9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</row>
    <row r="10" spans="2:9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</row>
    <row r="11" spans="2:9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</row>
    <row r="12" spans="2:9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</row>
    <row r="13" spans="2:9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</row>
    <row r="14" spans="2:9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</row>
    <row r="15" spans="2:9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</row>
    <row r="16" spans="2:9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</row>
    <row r="17" spans="2:9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</row>
    <row r="18" spans="2:9" x14ac:dyDescent="0.3">
      <c r="B18" s="25"/>
    </row>
  </sheetData>
  <mergeCells count="4">
    <mergeCell ref="B2:C2"/>
    <mergeCell ref="B1:C1"/>
    <mergeCell ref="E2:F2"/>
    <mergeCell ref="H2:I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opLeftCell="B1" workbookViewId="0">
      <selection activeCell="D17" sqref="D17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:R11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2000000</v>
      </c>
      <c r="P11" s="1">
        <v>600000</v>
      </c>
      <c r="Q11" s="1">
        <f t="shared" ref="Q11" si="6">SUM(C11:P11)</f>
        <v>6580000</v>
      </c>
      <c r="R11" s="1">
        <f t="shared" si="5"/>
        <v>350000</v>
      </c>
    </row>
    <row r="12" spans="1:18" x14ac:dyDescent="0.3">
      <c r="B12" s="1">
        <v>6930000</v>
      </c>
      <c r="C12" s="1">
        <v>630000</v>
      </c>
      <c r="D12" s="1">
        <v>2500000</v>
      </c>
      <c r="E12" s="1">
        <v>300000</v>
      </c>
      <c r="F12" s="1">
        <v>100000</v>
      </c>
      <c r="G12" s="1">
        <v>200000</v>
      </c>
      <c r="H12" s="1">
        <v>50000</v>
      </c>
      <c r="I12" s="1">
        <v>100000</v>
      </c>
      <c r="J12" s="1">
        <v>0</v>
      </c>
      <c r="K12" s="1">
        <v>100000</v>
      </c>
      <c r="L12" s="1">
        <v>0</v>
      </c>
      <c r="M12" s="1">
        <v>0</v>
      </c>
      <c r="N12" s="1">
        <v>0</v>
      </c>
      <c r="O12" s="1">
        <v>2000000</v>
      </c>
      <c r="P12" s="1">
        <v>600000</v>
      </c>
      <c r="Q12" s="1">
        <f t="shared" ref="Q12" si="7">SUM(C12:P12)</f>
        <v>6580000</v>
      </c>
      <c r="R12" s="1">
        <f t="shared" ref="R12" si="8" xml:space="preserve"> B12 - Q12</f>
        <v>350000</v>
      </c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시나리오_old</vt:lpstr>
      <vt:lpstr>시나리오</vt:lpstr>
      <vt:lpstr>일정확인</vt:lpstr>
      <vt:lpstr>내자산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2022-11-10T02:32:26Z</dcterms:modified>
</cp:coreProperties>
</file>