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4345561-06C2-4142-AA30-93E198AE0B33}" xr6:coauthVersionLast="36" xr6:coauthVersionMax="47" xr10:uidLastSave="{00000000-0000-0000-0000-000000000000}"/>
  <bookViews>
    <workbookView xWindow="780" yWindow="0" windowWidth="18330" windowHeight="15480" xr2:uid="{00000000-000D-0000-FFFF-FFFF00000000}"/>
  </bookViews>
  <sheets>
    <sheet name="시나리오" sheetId="25" r:id="rId1"/>
    <sheet name="생활패턴" sheetId="5" r:id="rId2"/>
    <sheet name="포트폴리오＿월 자금 흐름 관리" sheetId="23" r:id="rId3"/>
    <sheet name="이사비용" sheetId="26" r:id="rId4"/>
    <sheet name="단타일지" sheetId="9" r:id="rId5"/>
    <sheet name="플러그파워" sheetId="11" r:id="rId6"/>
    <sheet name="금융사이클" sheetId="10" r:id="rId7"/>
    <sheet name="2022단타일지" sheetId="13" r:id="rId8"/>
    <sheet name="차량관리" sheetId="24" r:id="rId9"/>
    <sheet name="back_시나리오" sheetId="1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3" l="1"/>
  <c r="H4" i="23"/>
  <c r="F4" i="23"/>
  <c r="D4" i="23"/>
  <c r="B4" i="23"/>
  <c r="L4" i="23" s="1"/>
  <c r="L3" i="23"/>
  <c r="F18" i="26"/>
  <c r="E18" i="26"/>
  <c r="C18" i="26"/>
  <c r="K4" i="23" l="1"/>
  <c r="C4" i="23"/>
  <c r="I4" i="23"/>
  <c r="G4" i="23"/>
  <c r="E4" i="23"/>
  <c r="D34" i="25" l="1"/>
  <c r="D46" i="25"/>
  <c r="D70" i="25"/>
  <c r="D130" i="25"/>
  <c r="D118" i="25"/>
  <c r="D106" i="25"/>
  <c r="D94" i="25"/>
  <c r="D82" i="25"/>
  <c r="D58" i="25"/>
  <c r="C130" i="25"/>
  <c r="C118" i="25"/>
  <c r="C106" i="25"/>
  <c r="C94" i="25"/>
  <c r="C82" i="25"/>
  <c r="C70" i="25"/>
  <c r="C58" i="25"/>
  <c r="C46" i="25"/>
  <c r="C34" i="25"/>
  <c r="D22" i="25"/>
  <c r="C22" i="25"/>
  <c r="K4" i="25"/>
  <c r="K5" i="25" s="1"/>
  <c r="K6" i="25" s="1"/>
  <c r="K7" i="25" s="1"/>
  <c r="I4" i="25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F7" i="25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l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I70" i="25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I130" i="25" s="1"/>
  <c r="O131" i="25" s="1"/>
  <c r="P131" i="25" s="1"/>
  <c r="M7" i="25"/>
  <c r="N7" i="25" s="1"/>
  <c r="K8" i="25"/>
  <c r="M4" i="25"/>
  <c r="N4" i="25" s="1"/>
  <c r="M5" i="25"/>
  <c r="N5" i="25" s="1"/>
  <c r="M6" i="25"/>
  <c r="N6" i="25" s="1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D34" i="5"/>
  <c r="F70" i="25" l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M8" i="25"/>
  <c r="N8" i="25" s="1"/>
  <c r="K9" i="25"/>
  <c r="Q160" i="18"/>
  <c r="D32" i="5"/>
  <c r="F82" i="25" l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M9" i="25"/>
  <c r="N9" i="25" s="1"/>
  <c r="K10" i="25"/>
  <c r="Q161" i="18"/>
  <c r="F106" i="25" l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M10" i="25"/>
  <c r="N10" i="25" s="1"/>
  <c r="K11" i="25"/>
  <c r="Q162" i="18"/>
  <c r="I48" i="18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F118" i="25" l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K12" i="25"/>
  <c r="M11" i="25"/>
  <c r="N11" i="25" s="1"/>
  <c r="Q163" i="18"/>
  <c r="I100" i="18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K13" i="25" l="1"/>
  <c r="M12" i="25"/>
  <c r="N12" i="25" s="1"/>
  <c r="Q164" i="18"/>
  <c r="I123" i="18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F80" i="11"/>
  <c r="F58" i="11"/>
  <c r="E47" i="11"/>
  <c r="G69" i="11"/>
  <c r="C69" i="11" l="1"/>
  <c r="D69" i="11"/>
  <c r="M13" i="25"/>
  <c r="N13" i="25" s="1"/>
  <c r="K14" i="25"/>
  <c r="Q165" i="18"/>
  <c r="I135" i="18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D30" i="5"/>
  <c r="K15" i="25" l="1"/>
  <c r="M14" i="25"/>
  <c r="N14" i="25" s="1"/>
  <c r="Q148" i="18"/>
  <c r="I149" i="18"/>
  <c r="Q166" i="18"/>
  <c r="D68" i="11"/>
  <c r="E46" i="11"/>
  <c r="F57" i="11"/>
  <c r="G68" i="11"/>
  <c r="F79" i="11"/>
  <c r="G58" i="11" l="1"/>
  <c r="C68" i="11"/>
  <c r="E80" i="11" s="1"/>
  <c r="G80" i="11" s="1"/>
  <c r="M15" i="25"/>
  <c r="N15" i="25" s="1"/>
  <c r="K16" i="25"/>
  <c r="Q149" i="18"/>
  <c r="I150" i="18"/>
  <c r="Q167" i="18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M16" i="25" l="1"/>
  <c r="N16" i="25" s="1"/>
  <c r="K17" i="25"/>
  <c r="Q150" i="18"/>
  <c r="I151" i="18"/>
  <c r="Q168" i="18"/>
  <c r="J3" i="24"/>
  <c r="J4" i="24" s="1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K18" i="25" l="1"/>
  <c r="M17" i="25"/>
  <c r="N17" i="25" s="1"/>
  <c r="Q151" i="18"/>
  <c r="I152" i="18"/>
  <c r="Q169" i="18"/>
  <c r="M24" i="9"/>
  <c r="M23" i="9"/>
  <c r="M22" i="9"/>
  <c r="M21" i="9"/>
  <c r="M20" i="9"/>
  <c r="M19" i="9"/>
  <c r="M18" i="9"/>
  <c r="L28" i="9"/>
  <c r="M28" i="9" s="1"/>
  <c r="M27" i="9"/>
  <c r="M26" i="9"/>
  <c r="M25" i="9"/>
  <c r="M18" i="25" l="1"/>
  <c r="N18" i="25" s="1"/>
  <c r="K19" i="25"/>
  <c r="I153" i="18"/>
  <c r="Q152" i="18"/>
  <c r="Q171" i="18"/>
  <c r="Q170" i="18"/>
  <c r="M29" i="9"/>
  <c r="K20" i="25" l="1"/>
  <c r="M19" i="25"/>
  <c r="N19" i="25" s="1"/>
  <c r="Q153" i="18"/>
  <c r="I154" i="18"/>
  <c r="F78" i="11"/>
  <c r="G67" i="11"/>
  <c r="F56" i="11"/>
  <c r="G57" i="11" s="1"/>
  <c r="E45" i="11"/>
  <c r="K21" i="25" l="1"/>
  <c r="M20" i="25"/>
  <c r="N20" i="25" s="1"/>
  <c r="I155" i="18"/>
  <c r="Q154" i="18"/>
  <c r="C67" i="11"/>
  <c r="D67" i="11"/>
  <c r="K22" i="25" l="1"/>
  <c r="M21" i="25"/>
  <c r="N21" i="25" s="1"/>
  <c r="I156" i="18"/>
  <c r="Q155" i="18"/>
  <c r="E79" i="11"/>
  <c r="G79" i="11" s="1"/>
  <c r="H80" i="11" s="1"/>
  <c r="I80" i="11" s="1"/>
  <c r="R23" i="5"/>
  <c r="M22" i="25" l="1"/>
  <c r="N22" i="25" s="1"/>
  <c r="K23" i="25"/>
  <c r="Q156" i="18"/>
  <c r="I157" i="18"/>
  <c r="H33" i="18"/>
  <c r="H34" i="18" s="1"/>
  <c r="H35" i="18" s="1"/>
  <c r="M23" i="25" l="1"/>
  <c r="N23" i="25" s="1"/>
  <c r="K24" i="25"/>
  <c r="I158" i="18"/>
  <c r="Q157" i="18"/>
  <c r="F77" i="11"/>
  <c r="E44" i="11"/>
  <c r="G66" i="11"/>
  <c r="F55" i="11"/>
  <c r="G56" i="11" s="1"/>
  <c r="K25" i="25" l="1"/>
  <c r="M24" i="25"/>
  <c r="N24" i="25" s="1"/>
  <c r="I159" i="18"/>
  <c r="Q159" i="18" s="1"/>
  <c r="Q158" i="18"/>
  <c r="D66" i="11"/>
  <c r="C66" i="11"/>
  <c r="E78" i="11" s="1"/>
  <c r="G78" i="11" s="1"/>
  <c r="H79" i="11" s="1"/>
  <c r="I79" i="11" s="1"/>
  <c r="K26" i="25" l="1"/>
  <c r="M25" i="25"/>
  <c r="N25" i="25" s="1"/>
  <c r="S17" i="5"/>
  <c r="K27" i="25" l="1"/>
  <c r="M26" i="25"/>
  <c r="N26" i="25" s="1"/>
  <c r="S13" i="5"/>
  <c r="K28" i="25" l="1"/>
  <c r="M27" i="25"/>
  <c r="N27" i="25" s="1"/>
  <c r="E43" i="11"/>
  <c r="F76" i="11"/>
  <c r="G65" i="11"/>
  <c r="F54" i="11"/>
  <c r="M28" i="25" l="1"/>
  <c r="N28" i="25" s="1"/>
  <c r="K29" i="25"/>
  <c r="D65" i="11"/>
  <c r="G55" i="11"/>
  <c r="C65" i="11"/>
  <c r="E77" i="11" s="1"/>
  <c r="G77" i="11" s="1"/>
  <c r="H78" i="11" s="1"/>
  <c r="I78" i="11" s="1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26" i="18"/>
  <c r="Q25" i="18"/>
  <c r="K30" i="25" l="1"/>
  <c r="M29" i="25"/>
  <c r="N29" i="25" s="1"/>
  <c r="F75" i="11"/>
  <c r="G64" i="11"/>
  <c r="F53" i="11"/>
  <c r="E42" i="11"/>
  <c r="M30" i="25" l="1"/>
  <c r="N30" i="25" s="1"/>
  <c r="K31" i="25"/>
  <c r="G54" i="11"/>
  <c r="C64" i="11"/>
  <c r="D64" i="11"/>
  <c r="N19" i="18"/>
  <c r="N20" i="18" s="1"/>
  <c r="M31" i="25" l="1"/>
  <c r="N31" i="25" s="1"/>
  <c r="K32" i="25"/>
  <c r="E76" i="1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M32" i="25" l="1"/>
  <c r="N32" i="25" s="1"/>
  <c r="K33" i="25"/>
  <c r="H28" i="9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K4" i="18"/>
  <c r="K5" i="18" s="1"/>
  <c r="K34" i="25" l="1"/>
  <c r="M33" i="25"/>
  <c r="N33" i="25" s="1"/>
  <c r="N45" i="18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P22" i="18"/>
  <c r="K6" i="18"/>
  <c r="F74" i="11"/>
  <c r="E41" i="11"/>
  <c r="G63" i="11"/>
  <c r="F52" i="11"/>
  <c r="C63" i="11" s="1"/>
  <c r="K35" i="25" l="1"/>
  <c r="M34" i="25"/>
  <c r="N34" i="25" s="1"/>
  <c r="P148" i="18"/>
  <c r="P149" i="18"/>
  <c r="E75" i="11"/>
  <c r="G75" i="11" s="1"/>
  <c r="G53" i="11"/>
  <c r="D63" i="11"/>
  <c r="P23" i="18"/>
  <c r="K7" i="18"/>
  <c r="K36" i="25" l="1"/>
  <c r="M35" i="25"/>
  <c r="N35" i="25" s="1"/>
  <c r="P150" i="18"/>
  <c r="H76" i="11"/>
  <c r="I76" i="11" s="1"/>
  <c r="P24" i="18"/>
  <c r="K8" i="18"/>
  <c r="K37" i="25" l="1"/>
  <c r="M36" i="25"/>
  <c r="N36" i="25" s="1"/>
  <c r="P151" i="18"/>
  <c r="P25" i="18"/>
  <c r="K9" i="18"/>
  <c r="F73" i="11"/>
  <c r="G61" i="11"/>
  <c r="G62" i="11"/>
  <c r="K38" i="25" l="1"/>
  <c r="M37" i="25"/>
  <c r="N37" i="25" s="1"/>
  <c r="P152" i="18"/>
  <c r="P26" i="18"/>
  <c r="K10" i="18"/>
  <c r="F51" i="11"/>
  <c r="C62" i="11" s="1"/>
  <c r="E40" i="11"/>
  <c r="M38" i="25" l="1"/>
  <c r="N38" i="25" s="1"/>
  <c r="K39" i="25"/>
  <c r="P153" i="18"/>
  <c r="E74" i="11"/>
  <c r="G74" i="11" s="1"/>
  <c r="G52" i="11"/>
  <c r="D62" i="11"/>
  <c r="P27" i="18"/>
  <c r="K11" i="18"/>
  <c r="M39" i="25" l="1"/>
  <c r="N39" i="25" s="1"/>
  <c r="K40" i="25"/>
  <c r="P154" i="18"/>
  <c r="H75" i="11"/>
  <c r="I75" i="11" s="1"/>
  <c r="P28" i="18"/>
  <c r="K12" i="18"/>
  <c r="K41" i="25" l="1"/>
  <c r="M40" i="25"/>
  <c r="N40" i="25" s="1"/>
  <c r="P155" i="18"/>
  <c r="P29" i="18"/>
  <c r="K13" i="18"/>
  <c r="C22" i="9"/>
  <c r="C23" i="9" s="1"/>
  <c r="C19" i="9"/>
  <c r="C20" i="9" s="1"/>
  <c r="K30" i="11"/>
  <c r="F50" i="11"/>
  <c r="E39" i="11"/>
  <c r="D31" i="11"/>
  <c r="G30" i="11" s="1"/>
  <c r="I30" i="11" s="1"/>
  <c r="K42" i="25" l="1"/>
  <c r="M41" i="25"/>
  <c r="N41" i="25" s="1"/>
  <c r="P156" i="18"/>
  <c r="D61" i="1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16" i="13" l="1"/>
  <c r="C16" i="13"/>
  <c r="K43" i="25"/>
  <c r="M42" i="25"/>
  <c r="N42" i="25" s="1"/>
  <c r="P157" i="18"/>
  <c r="L17" i="13"/>
  <c r="P31" i="18"/>
  <c r="K15" i="18"/>
  <c r="M14" i="9"/>
  <c r="I17" i="13"/>
  <c r="O17" i="13"/>
  <c r="R14" i="9"/>
  <c r="H14" i="9"/>
  <c r="I22" i="11"/>
  <c r="D23" i="11"/>
  <c r="E25" i="11" s="1"/>
  <c r="K44" i="25" l="1"/>
  <c r="M43" i="25"/>
  <c r="N43" i="25" s="1"/>
  <c r="P158" i="18"/>
  <c r="P32" i="18"/>
  <c r="K16" i="18"/>
  <c r="D25" i="11"/>
  <c r="F25" i="11"/>
  <c r="I23" i="11"/>
  <c r="H24" i="11" s="1"/>
  <c r="G25" i="11"/>
  <c r="M44" i="25" l="1"/>
  <c r="N44" i="25" s="1"/>
  <c r="K45" i="25"/>
  <c r="P159" i="18"/>
  <c r="P33" i="18"/>
  <c r="K17" i="18"/>
  <c r="D24" i="11"/>
  <c r="C24" i="11"/>
  <c r="K46" i="25" l="1"/>
  <c r="M45" i="25"/>
  <c r="N45" i="25" s="1"/>
  <c r="P160" i="18"/>
  <c r="P34" i="18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K47" i="25" l="1"/>
  <c r="M46" i="25"/>
  <c r="N46" i="25" s="1"/>
  <c r="P161" i="18"/>
  <c r="P35" i="18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K48" i="25" l="1"/>
  <c r="M47" i="25"/>
  <c r="N47" i="25" s="1"/>
  <c r="P162" i="18"/>
  <c r="P36" i="18"/>
  <c r="K20" i="18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M48" i="25" l="1"/>
  <c r="N48" i="25" s="1"/>
  <c r="K49" i="25"/>
  <c r="P163" i="18"/>
  <c r="P37" i="18"/>
  <c r="K21" i="18"/>
  <c r="C17" i="9"/>
  <c r="M49" i="25" l="1"/>
  <c r="N49" i="25" s="1"/>
  <c r="K50" i="25"/>
  <c r="P164" i="18"/>
  <c r="P38" i="18"/>
  <c r="K22" i="18"/>
  <c r="M50" i="25" l="1"/>
  <c r="N50" i="25" s="1"/>
  <c r="K51" i="25"/>
  <c r="P165" i="18"/>
  <c r="P39" i="18"/>
  <c r="K23" i="18"/>
  <c r="L19" i="11"/>
  <c r="K52" i="25" l="1"/>
  <c r="M51" i="25"/>
  <c r="N51" i="25" s="1"/>
  <c r="P166" i="18"/>
  <c r="P40" i="18"/>
  <c r="K24" i="18"/>
  <c r="K53" i="25" l="1"/>
  <c r="M52" i="25"/>
  <c r="N52" i="25" s="1"/>
  <c r="P167" i="18"/>
  <c r="P41" i="18"/>
  <c r="K25" i="18"/>
  <c r="R25" i="18" s="1"/>
  <c r="M53" i="25" l="1"/>
  <c r="N53" i="25" s="1"/>
  <c r="K54" i="25"/>
  <c r="P168" i="18"/>
  <c r="P42" i="18"/>
  <c r="K26" i="18"/>
  <c r="R26" i="18" s="1"/>
  <c r="M54" i="25" l="1"/>
  <c r="N54" i="25" s="1"/>
  <c r="K55" i="25"/>
  <c r="P169" i="18"/>
  <c r="P43" i="18"/>
  <c r="K27" i="18"/>
  <c r="R27" i="18" s="1"/>
  <c r="K56" i="25" l="1"/>
  <c r="M55" i="25"/>
  <c r="N55" i="25" s="1"/>
  <c r="P170" i="18"/>
  <c r="P171" i="18"/>
  <c r="P44" i="18"/>
  <c r="K28" i="18"/>
  <c r="R28" i="18" s="1"/>
  <c r="M56" i="25" l="1"/>
  <c r="N56" i="25" s="1"/>
  <c r="K57" i="25"/>
  <c r="P45" i="18"/>
  <c r="K29" i="18"/>
  <c r="R29" i="18" s="1"/>
  <c r="K58" i="25" l="1"/>
  <c r="M57" i="25"/>
  <c r="N57" i="25" s="1"/>
  <c r="C13" i="5"/>
  <c r="U13" i="5" s="1"/>
  <c r="P46" i="18"/>
  <c r="K30" i="18"/>
  <c r="R30" i="18" s="1"/>
  <c r="M58" i="25" l="1"/>
  <c r="N58" i="25" s="1"/>
  <c r="K59" i="25"/>
  <c r="C14" i="5"/>
  <c r="U14" i="5" s="1"/>
  <c r="C15" i="5" s="1"/>
  <c r="P47" i="18"/>
  <c r="K31" i="18"/>
  <c r="R31" i="18" s="1"/>
  <c r="M59" i="25" l="1"/>
  <c r="N59" i="25" s="1"/>
  <c r="K60" i="25"/>
  <c r="U15" i="5"/>
  <c r="C16" i="5" s="1"/>
  <c r="P48" i="18"/>
  <c r="K32" i="18"/>
  <c r="R32" i="18" s="1"/>
  <c r="M60" i="25" l="1"/>
  <c r="N60" i="25" s="1"/>
  <c r="K61" i="25"/>
  <c r="U16" i="5"/>
  <c r="C17" i="5" s="1"/>
  <c r="P49" i="18"/>
  <c r="K33" i="18"/>
  <c r="R33" i="18" s="1"/>
  <c r="K62" i="25" l="1"/>
  <c r="M61" i="25"/>
  <c r="N61" i="25" s="1"/>
  <c r="U17" i="5"/>
  <c r="C18" i="5" s="1"/>
  <c r="P50" i="18"/>
  <c r="K34" i="18"/>
  <c r="R34" i="18" s="1"/>
  <c r="K63" i="25" l="1"/>
  <c r="M62" i="25"/>
  <c r="N62" i="25" s="1"/>
  <c r="U18" i="5"/>
  <c r="C19" i="5" s="1"/>
  <c r="P51" i="18"/>
  <c r="K35" i="18"/>
  <c r="M63" i="25" l="1"/>
  <c r="N63" i="25" s="1"/>
  <c r="K64" i="25"/>
  <c r="R35" i="18"/>
  <c r="K36" i="18"/>
  <c r="R36" i="18" s="1"/>
  <c r="U19" i="5"/>
  <c r="C20" i="5" s="1"/>
  <c r="P52" i="18"/>
  <c r="M64" i="25" l="1"/>
  <c r="N64" i="25" s="1"/>
  <c r="K65" i="25"/>
  <c r="U20" i="5"/>
  <c r="C21" i="5" s="1"/>
  <c r="P53" i="18"/>
  <c r="K37" i="18"/>
  <c r="R37" i="18" s="1"/>
  <c r="M65" i="25" l="1"/>
  <c r="N65" i="25" s="1"/>
  <c r="K66" i="25"/>
  <c r="U21" i="5"/>
  <c r="C22" i="5" s="1"/>
  <c r="P54" i="18"/>
  <c r="K38" i="18"/>
  <c r="R38" i="18" s="1"/>
  <c r="K67" i="25" l="1"/>
  <c r="M66" i="25"/>
  <c r="N66" i="25" s="1"/>
  <c r="U22" i="5"/>
  <c r="C23" i="5" s="1"/>
  <c r="P55" i="18"/>
  <c r="K39" i="18"/>
  <c r="R39" i="18" s="1"/>
  <c r="K68" i="25" l="1"/>
  <c r="M67" i="25"/>
  <c r="N67" i="25" s="1"/>
  <c r="U23" i="5"/>
  <c r="C24" i="5" s="1"/>
  <c r="P56" i="18"/>
  <c r="K40" i="18"/>
  <c r="R40" i="18" s="1"/>
  <c r="K69" i="25" l="1"/>
  <c r="M68" i="25"/>
  <c r="N68" i="25" s="1"/>
  <c r="U24" i="5"/>
  <c r="C25" i="5" s="1"/>
  <c r="P57" i="18"/>
  <c r="R41" i="18"/>
  <c r="M69" i="25" l="1"/>
  <c r="N69" i="25" s="1"/>
  <c r="K70" i="25"/>
  <c r="U25" i="5"/>
  <c r="C26" i="5" s="1"/>
  <c r="U26" i="5" s="1"/>
  <c r="C27" i="5" s="1"/>
  <c r="P58" i="18"/>
  <c r="R42" i="18"/>
  <c r="K71" i="25" l="1"/>
  <c r="M70" i="25"/>
  <c r="N70" i="25" s="1"/>
  <c r="U27" i="5"/>
  <c r="C28" i="5" s="1"/>
  <c r="P59" i="18"/>
  <c r="K43" i="18"/>
  <c r="R43" i="18" s="1"/>
  <c r="K72" i="25" l="1"/>
  <c r="M71" i="25"/>
  <c r="N71" i="25" s="1"/>
  <c r="U28" i="5"/>
  <c r="C29" i="5" s="1"/>
  <c r="P60" i="18"/>
  <c r="K44" i="18"/>
  <c r="R44" i="18" s="1"/>
  <c r="M72" i="25" l="1"/>
  <c r="N72" i="25" s="1"/>
  <c r="K73" i="25"/>
  <c r="U29" i="5"/>
  <c r="C30" i="5" s="1"/>
  <c r="P61" i="18"/>
  <c r="K45" i="18"/>
  <c r="R45" i="18" s="1"/>
  <c r="M73" i="25" l="1"/>
  <c r="N73" i="25" s="1"/>
  <c r="K74" i="25"/>
  <c r="U30" i="5"/>
  <c r="C31" i="5" s="1"/>
  <c r="P62" i="18"/>
  <c r="K46" i="18"/>
  <c r="R46" i="18" s="1"/>
  <c r="K75" i="25" l="1"/>
  <c r="M74" i="25"/>
  <c r="N74" i="25" s="1"/>
  <c r="U31" i="5"/>
  <c r="C32" i="5" s="1"/>
  <c r="U32" i="5" s="1"/>
  <c r="P63" i="18"/>
  <c r="K47" i="18"/>
  <c r="R47" i="18" s="1"/>
  <c r="K76" i="25" l="1"/>
  <c r="M75" i="25"/>
  <c r="N75" i="25" s="1"/>
  <c r="C33" i="5"/>
  <c r="P64" i="18"/>
  <c r="K48" i="18"/>
  <c r="R48" i="18" s="1"/>
  <c r="K77" i="25" l="1"/>
  <c r="M76" i="25"/>
  <c r="N76" i="25" s="1"/>
  <c r="U33" i="5"/>
  <c r="C34" i="5" s="1"/>
  <c r="P65" i="18"/>
  <c r="K49" i="18"/>
  <c r="R49" i="18" s="1"/>
  <c r="K78" i="25" l="1"/>
  <c r="M77" i="25"/>
  <c r="N77" i="25" s="1"/>
  <c r="U34" i="5"/>
  <c r="C35" i="5" s="1"/>
  <c r="P66" i="18"/>
  <c r="K50" i="18"/>
  <c r="R50" i="18" s="1"/>
  <c r="M78" i="25" l="1"/>
  <c r="N78" i="25" s="1"/>
  <c r="K79" i="25"/>
  <c r="U35" i="5"/>
  <c r="C36" i="5" s="1"/>
  <c r="P67" i="18"/>
  <c r="K51" i="18"/>
  <c r="R51" i="18" s="1"/>
  <c r="M79" i="25" l="1"/>
  <c r="N79" i="25" s="1"/>
  <c r="K80" i="25"/>
  <c r="U36" i="5"/>
  <c r="C37" i="5" s="1"/>
  <c r="P68" i="18"/>
  <c r="K52" i="18"/>
  <c r="R52" i="18" s="1"/>
  <c r="M80" i="25" l="1"/>
  <c r="N80" i="25" s="1"/>
  <c r="K81" i="25"/>
  <c r="U37" i="5"/>
  <c r="C38" i="5" s="1"/>
  <c r="P69" i="18"/>
  <c r="K53" i="18"/>
  <c r="R53" i="18" s="1"/>
  <c r="K82" i="25" l="1"/>
  <c r="M81" i="25"/>
  <c r="N81" i="25" s="1"/>
  <c r="U38" i="5"/>
  <c r="C39" i="5" s="1"/>
  <c r="P70" i="18"/>
  <c r="K54" i="18"/>
  <c r="R54" i="18" s="1"/>
  <c r="K83" i="25" l="1"/>
  <c r="M82" i="25"/>
  <c r="N82" i="25" s="1"/>
  <c r="U39" i="5"/>
  <c r="C40" i="5" s="1"/>
  <c r="P71" i="18"/>
  <c r="K55" i="18"/>
  <c r="R55" i="18" s="1"/>
  <c r="K84" i="25" l="1"/>
  <c r="M83" i="25"/>
  <c r="N83" i="25" s="1"/>
  <c r="U40" i="5"/>
  <c r="C41" i="5" s="1"/>
  <c r="P72" i="18"/>
  <c r="K56" i="18"/>
  <c r="R56" i="18" s="1"/>
  <c r="K85" i="25" l="1"/>
  <c r="M84" i="25"/>
  <c r="N84" i="25" s="1"/>
  <c r="U41" i="5"/>
  <c r="C42" i="5" s="1"/>
  <c r="P73" i="18"/>
  <c r="K57" i="18"/>
  <c r="R57" i="18" s="1"/>
  <c r="K86" i="25" l="1"/>
  <c r="M85" i="25"/>
  <c r="N85" i="25" s="1"/>
  <c r="U42" i="5"/>
  <c r="C43" i="5" s="1"/>
  <c r="P74" i="18"/>
  <c r="K58" i="18"/>
  <c r="R58" i="18" s="1"/>
  <c r="M86" i="25" l="1"/>
  <c r="N86" i="25" s="1"/>
  <c r="K87" i="25"/>
  <c r="U43" i="5"/>
  <c r="C44" i="5" s="1"/>
  <c r="P75" i="18"/>
  <c r="K59" i="18"/>
  <c r="R59" i="18" s="1"/>
  <c r="M87" i="25" l="1"/>
  <c r="N87" i="25" s="1"/>
  <c r="K88" i="25"/>
  <c r="U44" i="5"/>
  <c r="C45" i="5" s="1"/>
  <c r="P76" i="18"/>
  <c r="K60" i="18"/>
  <c r="R60" i="18" s="1"/>
  <c r="M88" i="25" l="1"/>
  <c r="N88" i="25" s="1"/>
  <c r="K89" i="25"/>
  <c r="U45" i="5"/>
  <c r="C46" i="5" s="1"/>
  <c r="P77" i="18"/>
  <c r="K61" i="18"/>
  <c r="R61" i="18" s="1"/>
  <c r="M89" i="25" l="1"/>
  <c r="N89" i="25" s="1"/>
  <c r="K90" i="25"/>
  <c r="U46" i="5"/>
  <c r="C47" i="5" s="1"/>
  <c r="P78" i="18"/>
  <c r="K62" i="18"/>
  <c r="R62" i="18" s="1"/>
  <c r="M90" i="25" l="1"/>
  <c r="N90" i="25" s="1"/>
  <c r="K91" i="25"/>
  <c r="U47" i="5"/>
  <c r="C48" i="5" s="1"/>
  <c r="P79" i="18"/>
  <c r="K63" i="18"/>
  <c r="R63" i="18" s="1"/>
  <c r="M91" i="25" l="1"/>
  <c r="N91" i="25" s="1"/>
  <c r="K92" i="25"/>
  <c r="U48" i="5"/>
  <c r="C49" i="5" s="1"/>
  <c r="P80" i="18"/>
  <c r="K64" i="18"/>
  <c r="R64" i="18" s="1"/>
  <c r="M92" i="25" l="1"/>
  <c r="N92" i="25" s="1"/>
  <c r="K93" i="25"/>
  <c r="U49" i="5"/>
  <c r="C50" i="5" s="1"/>
  <c r="P81" i="18"/>
  <c r="K65" i="18"/>
  <c r="R65" i="18" s="1"/>
  <c r="K94" i="25" l="1"/>
  <c r="M93" i="25"/>
  <c r="N93" i="25" s="1"/>
  <c r="U50" i="5"/>
  <c r="C51" i="5" s="1"/>
  <c r="P82" i="18"/>
  <c r="K66" i="18"/>
  <c r="R66" i="18" s="1"/>
  <c r="K95" i="25" l="1"/>
  <c r="M94" i="25"/>
  <c r="N94" i="25" s="1"/>
  <c r="U51" i="5"/>
  <c r="C52" i="5" s="1"/>
  <c r="P83" i="18"/>
  <c r="K67" i="18"/>
  <c r="R67" i="18" s="1"/>
  <c r="K96" i="25" l="1"/>
  <c r="M95" i="25"/>
  <c r="N95" i="25" s="1"/>
  <c r="U52" i="5"/>
  <c r="C53" i="5" s="1"/>
  <c r="P84" i="18"/>
  <c r="K68" i="18"/>
  <c r="R68" i="18" s="1"/>
  <c r="M96" i="25" l="1"/>
  <c r="N96" i="25" s="1"/>
  <c r="K97" i="25"/>
  <c r="U53" i="5"/>
  <c r="C54" i="5" s="1"/>
  <c r="P85" i="18"/>
  <c r="K69" i="18"/>
  <c r="R69" i="18" s="1"/>
  <c r="M97" i="25" l="1"/>
  <c r="N97" i="25" s="1"/>
  <c r="K98" i="25"/>
  <c r="U54" i="5"/>
  <c r="C55" i="5" s="1"/>
  <c r="P86" i="18"/>
  <c r="K70" i="18"/>
  <c r="R70" i="18" s="1"/>
  <c r="M98" i="25" l="1"/>
  <c r="N98" i="25" s="1"/>
  <c r="K99" i="25"/>
  <c r="U55" i="5"/>
  <c r="C56" i="5" s="1"/>
  <c r="P87" i="18"/>
  <c r="K71" i="18"/>
  <c r="R71" i="18" s="1"/>
  <c r="M99" i="25" l="1"/>
  <c r="N99" i="25" s="1"/>
  <c r="K100" i="25"/>
  <c r="U56" i="5"/>
  <c r="C57" i="5" s="1"/>
  <c r="P88" i="18"/>
  <c r="K72" i="18"/>
  <c r="R72" i="18" s="1"/>
  <c r="K101" i="25" l="1"/>
  <c r="M100" i="25"/>
  <c r="N100" i="25" s="1"/>
  <c r="U57" i="5"/>
  <c r="C58" i="5" s="1"/>
  <c r="P89" i="18"/>
  <c r="K73" i="18"/>
  <c r="R73" i="18" s="1"/>
  <c r="K102" i="25" l="1"/>
  <c r="M101" i="25"/>
  <c r="N101" i="25" s="1"/>
  <c r="U58" i="5"/>
  <c r="C59" i="5" s="1"/>
  <c r="P90" i="18"/>
  <c r="K74" i="18"/>
  <c r="R74" i="18" s="1"/>
  <c r="M102" i="25" l="1"/>
  <c r="N102" i="25" s="1"/>
  <c r="K103" i="25"/>
  <c r="U59" i="5"/>
  <c r="C60" i="5" s="1"/>
  <c r="P91" i="18"/>
  <c r="K75" i="18"/>
  <c r="R75" i="18" s="1"/>
  <c r="K104" i="25" l="1"/>
  <c r="M103" i="25"/>
  <c r="N103" i="25" s="1"/>
  <c r="U60" i="5"/>
  <c r="C61" i="5" s="1"/>
  <c r="P92" i="18"/>
  <c r="K76" i="18"/>
  <c r="R76" i="18" s="1"/>
  <c r="M104" i="25" l="1"/>
  <c r="N104" i="25" s="1"/>
  <c r="K105" i="25"/>
  <c r="U61" i="5"/>
  <c r="C62" i="5" s="1"/>
  <c r="P93" i="18"/>
  <c r="K77" i="18"/>
  <c r="R77" i="18" s="1"/>
  <c r="K106" i="25" l="1"/>
  <c r="M105" i="25"/>
  <c r="N105" i="25" s="1"/>
  <c r="U62" i="5"/>
  <c r="C63" i="5" s="1"/>
  <c r="P94" i="18"/>
  <c r="K78" i="18"/>
  <c r="R78" i="18" s="1"/>
  <c r="K107" i="25" l="1"/>
  <c r="M106" i="25"/>
  <c r="N106" i="25" s="1"/>
  <c r="U63" i="5"/>
  <c r="C64" i="5" s="1"/>
  <c r="P95" i="18"/>
  <c r="K79" i="18"/>
  <c r="R79" i="18" s="1"/>
  <c r="M107" i="25" l="1"/>
  <c r="N107" i="25" s="1"/>
  <c r="K108" i="25"/>
  <c r="U64" i="5"/>
  <c r="C65" i="5" s="1"/>
  <c r="P96" i="18"/>
  <c r="K80" i="18"/>
  <c r="R80" i="18" s="1"/>
  <c r="K109" i="25" l="1"/>
  <c r="M108" i="25"/>
  <c r="N108" i="25" s="1"/>
  <c r="U65" i="5"/>
  <c r="C66" i="5" s="1"/>
  <c r="P97" i="18"/>
  <c r="K81" i="18"/>
  <c r="R81" i="18" s="1"/>
  <c r="K110" i="25" l="1"/>
  <c r="M109" i="25"/>
  <c r="N109" i="25" s="1"/>
  <c r="U66" i="5"/>
  <c r="C67" i="5" s="1"/>
  <c r="P98" i="18"/>
  <c r="K82" i="18"/>
  <c r="R82" i="18" s="1"/>
  <c r="M110" i="25" l="1"/>
  <c r="N110" i="25" s="1"/>
  <c r="K111" i="25"/>
  <c r="U67" i="5"/>
  <c r="C68" i="5" s="1"/>
  <c r="P99" i="18"/>
  <c r="K83" i="18"/>
  <c r="R83" i="18" s="1"/>
  <c r="M111" i="25" l="1"/>
  <c r="N111" i="25" s="1"/>
  <c r="K112" i="25"/>
  <c r="U68" i="5"/>
  <c r="C69" i="5" s="1"/>
  <c r="P100" i="18"/>
  <c r="K84" i="18"/>
  <c r="R84" i="18" s="1"/>
  <c r="M112" i="25" l="1"/>
  <c r="N112" i="25" s="1"/>
  <c r="K113" i="25"/>
  <c r="U69" i="5"/>
  <c r="C70" i="5" s="1"/>
  <c r="P101" i="18"/>
  <c r="K85" i="18"/>
  <c r="R85" i="18" s="1"/>
  <c r="M113" i="25" l="1"/>
  <c r="N113" i="25" s="1"/>
  <c r="K114" i="25"/>
  <c r="U70" i="5"/>
  <c r="C71" i="5" s="1"/>
  <c r="P102" i="18"/>
  <c r="K86" i="18"/>
  <c r="R86" i="18" s="1"/>
  <c r="K115" i="25" l="1"/>
  <c r="M114" i="25"/>
  <c r="N114" i="25" s="1"/>
  <c r="U71" i="5"/>
  <c r="C72" i="5" s="1"/>
  <c r="P103" i="18"/>
  <c r="K87" i="18"/>
  <c r="R87" i="18" s="1"/>
  <c r="M115" i="25" l="1"/>
  <c r="N115" i="25" s="1"/>
  <c r="K116" i="25"/>
  <c r="U72" i="5"/>
  <c r="C73" i="5" s="1"/>
  <c r="P104" i="18"/>
  <c r="K88" i="18"/>
  <c r="R88" i="18" s="1"/>
  <c r="K117" i="25" l="1"/>
  <c r="M116" i="25"/>
  <c r="N116" i="25" s="1"/>
  <c r="U73" i="5"/>
  <c r="C74" i="5" s="1"/>
  <c r="P105" i="18"/>
  <c r="K89" i="18"/>
  <c r="R89" i="18" s="1"/>
  <c r="M117" i="25" l="1"/>
  <c r="N117" i="25" s="1"/>
  <c r="K118" i="25"/>
  <c r="U74" i="5"/>
  <c r="C75" i="5" s="1"/>
  <c r="P106" i="18"/>
  <c r="K90" i="18"/>
  <c r="R90" i="18" s="1"/>
  <c r="M118" i="25" l="1"/>
  <c r="N118" i="25" s="1"/>
  <c r="K119" i="25"/>
  <c r="U75" i="5"/>
  <c r="C76" i="5" s="1"/>
  <c r="P107" i="18"/>
  <c r="K91" i="18"/>
  <c r="R91" i="18" s="1"/>
  <c r="M119" i="25" l="1"/>
  <c r="N119" i="25" s="1"/>
  <c r="K120" i="25"/>
  <c r="U76" i="5"/>
  <c r="C77" i="5" s="1"/>
  <c r="P108" i="18"/>
  <c r="K92" i="18"/>
  <c r="R92" i="18" s="1"/>
  <c r="M120" i="25" l="1"/>
  <c r="N120" i="25" s="1"/>
  <c r="K121" i="25"/>
  <c r="U77" i="5"/>
  <c r="C78" i="5" s="1"/>
  <c r="P109" i="18"/>
  <c r="K93" i="18"/>
  <c r="R93" i="18" s="1"/>
  <c r="M121" i="25" l="1"/>
  <c r="N121" i="25" s="1"/>
  <c r="K122" i="25"/>
  <c r="U78" i="5"/>
  <c r="C79" i="5" s="1"/>
  <c r="P110" i="18"/>
  <c r="K94" i="18"/>
  <c r="R94" i="18" s="1"/>
  <c r="K123" i="25" l="1"/>
  <c r="M122" i="25"/>
  <c r="N122" i="25" s="1"/>
  <c r="U79" i="5"/>
  <c r="C80" i="5" s="1"/>
  <c r="P111" i="18"/>
  <c r="K95" i="18"/>
  <c r="R95" i="18" s="1"/>
  <c r="K124" i="25" l="1"/>
  <c r="M123" i="25"/>
  <c r="N123" i="25" s="1"/>
  <c r="U80" i="5"/>
  <c r="C81" i="5" s="1"/>
  <c r="P112" i="18"/>
  <c r="K96" i="18"/>
  <c r="R96" i="18" s="1"/>
  <c r="K125" i="25" l="1"/>
  <c r="M124" i="25"/>
  <c r="N124" i="25" s="1"/>
  <c r="U81" i="5"/>
  <c r="C82" i="5" s="1"/>
  <c r="P113" i="18"/>
  <c r="K97" i="18"/>
  <c r="R97" i="18" s="1"/>
  <c r="K126" i="25" l="1"/>
  <c r="M125" i="25"/>
  <c r="N125" i="25" s="1"/>
  <c r="U82" i="5"/>
  <c r="C83" i="5" s="1"/>
  <c r="P114" i="18"/>
  <c r="K98" i="18"/>
  <c r="R98" i="18" s="1"/>
  <c r="K127" i="25" l="1"/>
  <c r="M126" i="25"/>
  <c r="N126" i="25" s="1"/>
  <c r="U83" i="5"/>
  <c r="C84" i="5" s="1"/>
  <c r="P115" i="18"/>
  <c r="K99" i="18"/>
  <c r="R99" i="18" s="1"/>
  <c r="M127" i="25" l="1"/>
  <c r="N127" i="25" s="1"/>
  <c r="K128" i="25"/>
  <c r="U84" i="5"/>
  <c r="C85" i="5" s="1"/>
  <c r="P116" i="18"/>
  <c r="K100" i="18"/>
  <c r="R100" i="18" s="1"/>
  <c r="K129" i="25" l="1"/>
  <c r="M128" i="25"/>
  <c r="N128" i="25" s="1"/>
  <c r="U85" i="5"/>
  <c r="C86" i="5" s="1"/>
  <c r="P117" i="18"/>
  <c r="K101" i="18"/>
  <c r="R101" i="18" s="1"/>
  <c r="M129" i="25" l="1"/>
  <c r="N129" i="25" s="1"/>
  <c r="K130" i="25"/>
  <c r="U86" i="5"/>
  <c r="C87" i="5" s="1"/>
  <c r="P118" i="18"/>
  <c r="K102" i="18"/>
  <c r="R102" i="18" s="1"/>
  <c r="M130" i="25" l="1"/>
  <c r="N130" i="25" s="1"/>
  <c r="K131" i="25"/>
  <c r="U87" i="5"/>
  <c r="C88" i="5" s="1"/>
  <c r="P119" i="18"/>
  <c r="K103" i="18"/>
  <c r="R103" i="18" s="1"/>
  <c r="K132" i="25" l="1"/>
  <c r="M131" i="25"/>
  <c r="N131" i="25" s="1"/>
  <c r="U88" i="5"/>
  <c r="C89" i="5" s="1"/>
  <c r="P120" i="18"/>
  <c r="K104" i="18"/>
  <c r="R104" i="18" s="1"/>
  <c r="K133" i="25" l="1"/>
  <c r="M132" i="25"/>
  <c r="N132" i="25" s="1"/>
  <c r="U89" i="5"/>
  <c r="C90" i="5" s="1"/>
  <c r="P121" i="18"/>
  <c r="K105" i="18"/>
  <c r="R105" i="18" s="1"/>
  <c r="K134" i="25" l="1"/>
  <c r="M133" i="25"/>
  <c r="N133" i="25" s="1"/>
  <c r="U90" i="5"/>
  <c r="C91" i="5" s="1"/>
  <c r="P122" i="18"/>
  <c r="K106" i="18"/>
  <c r="R106" i="18" s="1"/>
  <c r="K135" i="25" l="1"/>
  <c r="M134" i="25"/>
  <c r="N134" i="25" s="1"/>
  <c r="U91" i="5"/>
  <c r="C92" i="5" s="1"/>
  <c r="P123" i="18"/>
  <c r="K107" i="18"/>
  <c r="R107" i="18" s="1"/>
  <c r="K136" i="25" l="1"/>
  <c r="M135" i="25"/>
  <c r="N135" i="25" s="1"/>
  <c r="U92" i="5"/>
  <c r="C93" i="5" s="1"/>
  <c r="P124" i="18"/>
  <c r="K108" i="18"/>
  <c r="R108" i="18" s="1"/>
  <c r="K137" i="25" l="1"/>
  <c r="M136" i="25"/>
  <c r="N136" i="25" s="1"/>
  <c r="U93" i="5"/>
  <c r="C94" i="5" s="1"/>
  <c r="P125" i="18"/>
  <c r="K109" i="18"/>
  <c r="R109" i="18" s="1"/>
  <c r="K138" i="25" l="1"/>
  <c r="M137" i="25"/>
  <c r="N137" i="25" s="1"/>
  <c r="U94" i="5"/>
  <c r="C95" i="5" s="1"/>
  <c r="P126" i="18"/>
  <c r="K110" i="18"/>
  <c r="R110" i="18" s="1"/>
  <c r="K139" i="25" l="1"/>
  <c r="M138" i="25"/>
  <c r="N138" i="25" s="1"/>
  <c r="U95" i="5"/>
  <c r="C96" i="5" s="1"/>
  <c r="P127" i="18"/>
  <c r="K111" i="18"/>
  <c r="R111" i="18" s="1"/>
  <c r="K140" i="25" l="1"/>
  <c r="M139" i="25"/>
  <c r="N139" i="25" s="1"/>
  <c r="U96" i="5"/>
  <c r="C97" i="5" s="1"/>
  <c r="P128" i="18"/>
  <c r="K112" i="18"/>
  <c r="R112" i="18" s="1"/>
  <c r="K141" i="25" l="1"/>
  <c r="M140" i="25"/>
  <c r="N140" i="25" s="1"/>
  <c r="U97" i="5"/>
  <c r="C98" i="5" s="1"/>
  <c r="P129" i="18"/>
  <c r="K113" i="18"/>
  <c r="R113" i="18" s="1"/>
  <c r="K142" i="25" l="1"/>
  <c r="M142" i="25" s="1"/>
  <c r="N142" i="25" s="1"/>
  <c r="M141" i="25"/>
  <c r="N141" i="25" s="1"/>
  <c r="U98" i="5"/>
  <c r="C99" i="5" s="1"/>
  <c r="P130" i="18"/>
  <c r="K114" i="18"/>
  <c r="R114" i="18" s="1"/>
  <c r="U99" i="5" l="1"/>
  <c r="C100" i="5" s="1"/>
  <c r="P131" i="18"/>
  <c r="K115" i="18"/>
  <c r="R115" i="18" s="1"/>
  <c r="U100" i="5" l="1"/>
  <c r="C101" i="5" s="1"/>
  <c r="P132" i="18"/>
  <c r="K116" i="18"/>
  <c r="R116" i="18" s="1"/>
  <c r="U101" i="5" l="1"/>
  <c r="C102" i="5" s="1"/>
  <c r="P133" i="18"/>
  <c r="K117" i="18"/>
  <c r="R117" i="18" s="1"/>
  <c r="U102" i="5" l="1"/>
  <c r="C103" i="5" s="1"/>
  <c r="P134" i="18"/>
  <c r="K118" i="18"/>
  <c r="R118" i="18" s="1"/>
  <c r="U103" i="5" l="1"/>
  <c r="C104" i="5" s="1"/>
  <c r="P135" i="18"/>
  <c r="K119" i="18"/>
  <c r="R119" i="18" s="1"/>
  <c r="U104" i="5" l="1"/>
  <c r="C105" i="5" s="1"/>
  <c r="P136" i="18"/>
  <c r="K120" i="18"/>
  <c r="R120" i="18" s="1"/>
  <c r="U105" i="5" l="1"/>
  <c r="C106" i="5" s="1"/>
  <c r="P137" i="18"/>
  <c r="K121" i="18"/>
  <c r="R121" i="18" s="1"/>
  <c r="U106" i="5" l="1"/>
  <c r="C107" i="5" s="1"/>
  <c r="P138" i="18"/>
  <c r="K122" i="18"/>
  <c r="R122" i="18" s="1"/>
  <c r="U107" i="5" l="1"/>
  <c r="C108" i="5" s="1"/>
  <c r="P139" i="18"/>
  <c r="K123" i="18"/>
  <c r="R123" i="18" s="1"/>
  <c r="U108" i="5" l="1"/>
  <c r="C109" i="5" s="1"/>
  <c r="P140" i="18"/>
  <c r="K124" i="18"/>
  <c r="R124" i="18" s="1"/>
  <c r="U109" i="5" l="1"/>
  <c r="C110" i="5" s="1"/>
  <c r="P141" i="18"/>
  <c r="K125" i="18"/>
  <c r="R125" i="18" s="1"/>
  <c r="U110" i="5" l="1"/>
  <c r="C111" i="5" s="1"/>
  <c r="P142" i="18"/>
  <c r="K126" i="18"/>
  <c r="R126" i="18" s="1"/>
  <c r="U111" i="5" l="1"/>
  <c r="C112" i="5" s="1"/>
  <c r="P143" i="18"/>
  <c r="K127" i="18"/>
  <c r="R127" i="18" s="1"/>
  <c r="U112" i="5" l="1"/>
  <c r="C113" i="5" s="1"/>
  <c r="P144" i="18"/>
  <c r="K128" i="18"/>
  <c r="R128" i="18" s="1"/>
  <c r="U113" i="5" l="1"/>
  <c r="C114" i="5" s="1"/>
  <c r="P145" i="18"/>
  <c r="K129" i="18"/>
  <c r="R129" i="18" s="1"/>
  <c r="U114" i="5" l="1"/>
  <c r="C115" i="5" s="1"/>
  <c r="P146" i="18"/>
  <c r="K130" i="18"/>
  <c r="R130" i="18" s="1"/>
  <c r="U115" i="5" l="1"/>
  <c r="C116" i="5" s="1"/>
  <c r="P147" i="18"/>
  <c r="K131" i="18"/>
  <c r="R131" i="18" s="1"/>
  <c r="U116" i="5" l="1"/>
  <c r="C117" i="5" s="1"/>
  <c r="K132" i="18"/>
  <c r="R132" i="18" s="1"/>
  <c r="U117" i="5" l="1"/>
  <c r="C118" i="5" s="1"/>
  <c r="K133" i="18"/>
  <c r="R133" i="18" s="1"/>
  <c r="U118" i="5" l="1"/>
  <c r="C119" i="5" s="1"/>
  <c r="K134" i="18"/>
  <c r="R134" i="18" s="1"/>
  <c r="U119" i="5" l="1"/>
  <c r="C120" i="5" s="1"/>
  <c r="K135" i="18"/>
  <c r="R135" i="18" s="1"/>
  <c r="U120" i="5" l="1"/>
  <c r="C121" i="5" s="1"/>
  <c r="K136" i="18"/>
  <c r="R136" i="18" s="1"/>
  <c r="U121" i="5" l="1"/>
  <c r="C122" i="5" s="1"/>
  <c r="K137" i="18"/>
  <c r="R137" i="18" s="1"/>
  <c r="U122" i="5" l="1"/>
  <c r="C123" i="5" s="1"/>
  <c r="U123" i="5" s="1"/>
  <c r="C124" i="5" s="1"/>
  <c r="U124" i="5" s="1"/>
  <c r="C125" i="5" s="1"/>
  <c r="U125" i="5" s="1"/>
  <c r="C126" i="5" s="1"/>
  <c r="U126" i="5" s="1"/>
  <c r="C127" i="5" s="1"/>
  <c r="U127" i="5" s="1"/>
  <c r="C128" i="5" s="1"/>
  <c r="U128" i="5" s="1"/>
  <c r="C129" i="5" s="1"/>
  <c r="U129" i="5" s="1"/>
  <c r="C130" i="5" s="1"/>
  <c r="U130" i="5" s="1"/>
  <c r="C131" i="5" s="1"/>
  <c r="U131" i="5" s="1"/>
  <c r="C132" i="5" s="1"/>
  <c r="U132" i="5" s="1"/>
  <c r="C133" i="5" s="1"/>
  <c r="U133" i="5" s="1"/>
  <c r="C134" i="5" s="1"/>
  <c r="U134" i="5" s="1"/>
  <c r="C135" i="5" s="1"/>
  <c r="U135" i="5" s="1"/>
  <c r="C136" i="5" s="1"/>
  <c r="U136" i="5" s="1"/>
  <c r="C137" i="5" s="1"/>
  <c r="U137" i="5" s="1"/>
  <c r="C138" i="5" s="1"/>
  <c r="U138" i="5" s="1"/>
  <c r="C139" i="5" s="1"/>
  <c r="U139" i="5" s="1"/>
  <c r="C140" i="5" s="1"/>
  <c r="U140" i="5" s="1"/>
  <c r="C141" i="5" s="1"/>
  <c r="U141" i="5" s="1"/>
  <c r="C142" i="5" s="1"/>
  <c r="U142" i="5" s="1"/>
  <c r="C143" i="5" s="1"/>
  <c r="U143" i="5" s="1"/>
  <c r="C144" i="5" s="1"/>
  <c r="U144" i="5" s="1"/>
  <c r="C145" i="5" s="1"/>
  <c r="U145" i="5" s="1"/>
  <c r="C146" i="5" s="1"/>
  <c r="U146" i="5" s="1"/>
  <c r="K138" i="18"/>
  <c r="R138" i="18" s="1"/>
  <c r="C147" i="5" l="1"/>
  <c r="U147" i="5" s="1"/>
  <c r="C148" i="5" s="1"/>
  <c r="U148" i="5" s="1"/>
  <c r="K139" i="18"/>
  <c r="R139" i="18" s="1"/>
  <c r="C149" i="5" l="1"/>
  <c r="U149" i="5" s="1"/>
  <c r="C150" i="5" s="1"/>
  <c r="U150" i="5" s="1"/>
  <c r="C151" i="5" s="1"/>
  <c r="U151" i="5" s="1"/>
  <c r="K140" i="18"/>
  <c r="R140" i="18" s="1"/>
  <c r="C152" i="5" l="1"/>
  <c r="U152" i="5" s="1"/>
  <c r="K141" i="18"/>
  <c r="R141" i="18" s="1"/>
  <c r="C153" i="5" l="1"/>
  <c r="U153" i="5" s="1"/>
  <c r="K142" i="18"/>
  <c r="R142" i="18" s="1"/>
  <c r="C154" i="5" l="1"/>
  <c r="U154" i="5" s="1"/>
  <c r="K143" i="18"/>
  <c r="R143" i="18" s="1"/>
  <c r="C155" i="5" l="1"/>
  <c r="U155" i="5" s="1"/>
  <c r="K144" i="18"/>
  <c r="R144" i="18" s="1"/>
  <c r="C156" i="5" l="1"/>
  <c r="U156" i="5" s="1"/>
  <c r="K145" i="18"/>
  <c r="R145" i="18" s="1"/>
  <c r="C157" i="5" l="1"/>
  <c r="U157" i="5" s="1"/>
  <c r="K146" i="18"/>
  <c r="R146" i="18" s="1"/>
  <c r="C158" i="5" l="1"/>
  <c r="U158" i="5" s="1"/>
  <c r="K147" i="18"/>
  <c r="R147" i="18" l="1"/>
  <c r="K148" i="18"/>
  <c r="K149" i="18" l="1"/>
  <c r="R148" i="18"/>
  <c r="K150" i="18" l="1"/>
  <c r="R149" i="18"/>
  <c r="K151" i="18" l="1"/>
  <c r="R150" i="18"/>
  <c r="K152" i="18" l="1"/>
  <c r="R151" i="18"/>
  <c r="K153" i="18" l="1"/>
  <c r="R152" i="18"/>
  <c r="K154" i="18" l="1"/>
  <c r="R153" i="18"/>
  <c r="K155" i="18" l="1"/>
  <c r="R154" i="18"/>
  <c r="K156" i="18" l="1"/>
  <c r="R155" i="18"/>
  <c r="K157" i="18" l="1"/>
  <c r="R156" i="18"/>
  <c r="K158" i="18" l="1"/>
  <c r="R157" i="18"/>
  <c r="K159" i="18" l="1"/>
  <c r="R158" i="18"/>
  <c r="K160" i="18" l="1"/>
  <c r="R159" i="18"/>
  <c r="K161" i="18" l="1"/>
  <c r="R160" i="18"/>
  <c r="K162" i="18" l="1"/>
  <c r="R161" i="18"/>
  <c r="K163" i="18" l="1"/>
  <c r="R162" i="18"/>
  <c r="K164" i="18" l="1"/>
  <c r="R163" i="18"/>
  <c r="K165" i="18" l="1"/>
  <c r="R164" i="18"/>
  <c r="K166" i="18" l="1"/>
  <c r="R165" i="18"/>
  <c r="K167" i="18" l="1"/>
  <c r="R166" i="18"/>
  <c r="K168" i="18" l="1"/>
  <c r="R167" i="18"/>
  <c r="K169" i="18" l="1"/>
  <c r="R168" i="18"/>
  <c r="K170" i="18" l="1"/>
  <c r="R169" i="18"/>
  <c r="K171" i="18" l="1"/>
  <c r="R171" i="18" s="1"/>
  <c r="R17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<sst xmlns="http://schemas.openxmlformats.org/spreadsheetml/2006/main" count="713" uniqueCount="303">
  <si>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</si>
  <si>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</si>
  <si>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</si>
  <si>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</si>
  <si>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</si>
  <si>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</si>
  <si>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</si>
  <si>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</si>
  <si>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</si>
  <si>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</si>
  <si>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</si>
  <si>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</si>
  <si>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</si>
  <si>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</si>
  <si>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</si>
  <si>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</si>
  <si>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</si>
  <si>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</si>
  <si>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</si>
  <si>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</si>
  <si>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</si>
  <si>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</si>
  <si>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</si>
  <si>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</si>
  <si>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</si>
  <si>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</si>
  <si>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</si>
  <si>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</si>
  <si>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</si>
  <si>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</si>
  <si>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</si>
  <si>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</si>
  <si>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</si>
  <si>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</si>
  <si>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</si>
  <si>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</si>
  <si>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</si>
  <si>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</si>
  <si>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</si>
  <si>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</si>
  <si>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</si>
  <si>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</si>
  <si>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</si>
  <si>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</si>
  <si>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</si>
  <si>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</si>
  <si>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</si>
  <si>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</si>
  <si>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</si>
  <si>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</si>
  <si>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</si>
  <si>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</si>
  <si>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</si>
  <si>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</si>
  <si>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</si>
  <si>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</si>
  <si>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</si>
  <si>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</si>
  <si>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</si>
  <si>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</si>
  <si>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</si>
  <si>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</si>
  <si>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</si>
  <si>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</si>
  <si>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</si>
  <si>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</si>
  <si>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</si>
  <si>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</si>
  <si>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</si>
  <si>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</si>
  <si>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</si>
  <si>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</si>
  <si>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</si>
  <si>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</si>
  <si>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</si>
  <si>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</si>
  <si>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</si>
  <si>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</si>
  <si>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</si>
  <si>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</si>
  <si>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</si>
  <si>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</si>
  <si>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</si>
  <si>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</si>
  <si>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</si>
  <si>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</si>
  <si>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</si>
  <si>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</si>
  <si>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</si>
  <si>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</si>
  <si>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</si>
  <si>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</si>
  <si>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</si>
  <si>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</si>
  <si>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</si>
  <si>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</si>
  <si>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</si>
  <si>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</si>
  <si>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</si>
  <si>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</si>
  <si>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</si>
  <si>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</si>
  <si>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</si>
  <si>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</si>
  <si>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</si>
  <si>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</si>
  <si>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</si>
  <si>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</si>
  <si>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</si>
  <si>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</si>
  <si>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</si>
  <si>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</si>
  <si>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</si>
  <si>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</si>
  <si>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</si>
  <si>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</si>
  <si>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</si>
  <si>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</si>
  <si>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</si>
  <si>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</si>
  <si>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</si>
  <si>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</si>
  <si>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</si>
  <si>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</si>
  <si>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</si>
  <si>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</si>
  <si>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</si>
  <si>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</si>
  <si>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</si>
  <si>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</si>
  <si>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</si>
  <si>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</si>
  <si>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</si>
  <si>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</si>
  <si>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</si>
  <si>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</si>
  <si>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</si>
  <si>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</si>
  <si>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</si>
  <si>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</si>
  <si>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</si>
  <si>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</si>
  <si>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</si>
  <si>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</si>
  <si>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</si>
  <si>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</si>
  <si>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</si>
  <si>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</si>
  <si>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</si>
  <si>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</si>
  <si>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</si>
  <si>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</si>
  <si>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</si>
  <si>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</si>
  <si>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</si>
  <si>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</si>
  <si>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</si>
  <si>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</si>
  <si>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</si>
  <si>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</si>
  <si>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</si>
  <si>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</si>
  <si>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</si>
  <si>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</si>
  <si>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</si>
  <si>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</si>
  <si>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</si>
  <si>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</si>
  <si>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</si>
  <si>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</si>
  <si>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</si>
  <si>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</si>
  <si>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</si>
  <si>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</si>
  <si>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</si>
  <si>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</si>
  <si>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</si>
  <si>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</si>
  <si>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</si>
  <si>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</si>
  <si>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</si>
  <si>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</si>
  <si>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사업지출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</si>
  <si>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</si>
  <si>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</si>
  <si>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</si>
  <si>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</si>
  <si>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</si>
  <si>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</si>
  <si>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와이프돈 1020</t>
    <phoneticPr fontId="1" type="noConversion"/>
  </si>
  <si>
    <t>대출원금+이자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</si>
  <si>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</si>
  <si>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</si>
  <si>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</si>
  <si>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</si>
  <si>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</si>
  <si>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</si>
  <si>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</si>
  <si>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</si>
  <si>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</si>
  <si>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</si>
  <si>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</si>
  <si>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</si>
  <si>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</si>
  <si>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</si>
  <si>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</si>
  <si>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</si>
  <si>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</si>
  <si>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</si>
  <si>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</si>
  <si>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</si>
  <si>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</si>
  <si>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</si>
  <si>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</si>
  <si>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</si>
  <si>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</si>
  <si>
    <t>대출원금이거나 차량</t>
    <phoneticPr fontId="1" type="noConversion"/>
  </si>
  <si>
    <t>와이프 지원금 현금 1030</t>
    <phoneticPr fontId="1" type="noConversion"/>
  </si>
  <si>
    <t>집대출원금</t>
    <phoneticPr fontId="1" type="noConversion"/>
  </si>
  <si>
    <t>오일</t>
    <phoneticPr fontId="1" type="noConversion"/>
  </si>
  <si>
    <t>한국주식</t>
    <phoneticPr fontId="1" type="noConversion"/>
  </si>
  <si>
    <t>미국주식</t>
    <phoneticPr fontId="1" type="noConversion"/>
  </si>
  <si>
    <t>미국채권</t>
    <phoneticPr fontId="1" type="noConversion"/>
  </si>
  <si>
    <t>2025-06</t>
    <phoneticPr fontId="1" type="noConversion"/>
  </si>
  <si>
    <t>대출 2.56억 기준 (380,000,000) ,  (쳥약통장680 + 보증금5400 + 어머니 증여 100000000) , 세금 이사비 기타 900</t>
    <phoneticPr fontId="1" type="noConversion"/>
  </si>
  <si>
    <t>연금 저축
(만55세)</t>
    <phoneticPr fontId="1" type="noConversion"/>
  </si>
  <si>
    <t>06</t>
  </si>
  <si>
    <t>06</t>
    <phoneticPr fontId="1" type="noConversion"/>
  </si>
  <si>
    <t>07</t>
  </si>
  <si>
    <t>07</t>
    <phoneticPr fontId="1" type="noConversion"/>
  </si>
  <si>
    <t>08</t>
  </si>
  <si>
    <t>09</t>
  </si>
  <si>
    <t>10</t>
  </si>
  <si>
    <t>11</t>
  </si>
  <si>
    <t>12</t>
  </si>
  <si>
    <t>01</t>
    <phoneticPr fontId="1" type="noConversion"/>
  </si>
  <si>
    <t>02</t>
    <phoneticPr fontId="1" type="noConversion"/>
  </si>
  <si>
    <t>03</t>
  </si>
  <si>
    <t>04</t>
  </si>
  <si>
    <t>05</t>
  </si>
  <si>
    <t>투자합산</t>
    <phoneticPr fontId="1" type="noConversion"/>
  </si>
  <si>
    <t>비유동추가금</t>
    <phoneticPr fontId="1" type="noConversion"/>
  </si>
  <si>
    <t>유동추가금</t>
    <phoneticPr fontId="1" type="noConversion"/>
  </si>
  <si>
    <t>자산</t>
    <phoneticPr fontId="1" type="noConversion"/>
  </si>
  <si>
    <t>* 노랑우산 500 연금저축 400 IRP 300 세제혜택</t>
    <phoneticPr fontId="1" type="noConversion"/>
  </si>
  <si>
    <t>목표
수익율</t>
    <phoneticPr fontId="1" type="noConversion"/>
  </si>
  <si>
    <t>최종자산</t>
    <phoneticPr fontId="1" type="noConversion"/>
  </si>
  <si>
    <t>퇴직금
(노랑우산)</t>
    <phoneticPr fontId="1" type="noConversion"/>
  </si>
  <si>
    <t>연금저축
(55세)</t>
    <phoneticPr fontId="1" type="noConversion"/>
  </si>
  <si>
    <t>주택잔금처리후 잔금</t>
    <phoneticPr fontId="1" type="noConversion"/>
  </si>
  <si>
    <t>2035
은퇴
???</t>
    <phoneticPr fontId="1" type="noConversion"/>
  </si>
  <si>
    <t>집대출완료</t>
    <phoneticPr fontId="1" type="noConversion"/>
  </si>
  <si>
    <t>2035
은퇴시작
???</t>
    <phoneticPr fontId="1" type="noConversion"/>
  </si>
  <si>
    <t>USOI</t>
    <phoneticPr fontId="1" type="noConversion"/>
  </si>
  <si>
    <t>두산퓨어셀</t>
    <phoneticPr fontId="1" type="noConversion"/>
  </si>
  <si>
    <t>진행중</t>
    <phoneticPr fontId="1" type="noConversion"/>
  </si>
  <si>
    <t>TIGER배당성장</t>
    <phoneticPr fontId="1" type="noConversion"/>
  </si>
  <si>
    <t>TIGER배당커버드콜액티브</t>
    <phoneticPr fontId="1" type="noConversion"/>
  </si>
  <si>
    <t>Sol미국다우존스</t>
    <phoneticPr fontId="1" type="noConversion"/>
  </si>
  <si>
    <t>버크셔셀렉인컴</t>
    <phoneticPr fontId="1" type="noConversion"/>
  </si>
  <si>
    <t>미국슈왑장기국고채</t>
    <phoneticPr fontId="1" type="noConversion"/>
  </si>
  <si>
    <t>달라</t>
    <phoneticPr fontId="1" type="noConversion"/>
  </si>
  <si>
    <t>원화</t>
    <phoneticPr fontId="1" type="noConversion"/>
  </si>
  <si>
    <t>배당금</t>
    <phoneticPr fontId="1" type="noConversion"/>
  </si>
  <si>
    <t>벽지교체</t>
    <phoneticPr fontId="1" type="noConversion"/>
  </si>
  <si>
    <t>8월 4,5일</t>
    <phoneticPr fontId="1" type="noConversion"/>
  </si>
  <si>
    <t>이사비용</t>
    <phoneticPr fontId="1" type="noConversion"/>
  </si>
  <si>
    <t>에어컨설치비용</t>
    <phoneticPr fontId="1" type="noConversion"/>
  </si>
  <si>
    <t>8월 9일</t>
    <phoneticPr fontId="1" type="noConversion"/>
  </si>
  <si>
    <t>계약금납부금액</t>
    <phoneticPr fontId="1" type="noConversion"/>
  </si>
  <si>
    <t>잔금 현금납부</t>
    <phoneticPr fontId="1" type="noConversion"/>
  </si>
  <si>
    <t>입주전 청소</t>
    <phoneticPr fontId="1" type="noConversion"/>
  </si>
  <si>
    <t>8월 8일</t>
    <phoneticPr fontId="1" type="noConversion"/>
  </si>
  <si>
    <t xml:space="preserve">취등록세 </t>
    <phoneticPr fontId="1" type="noConversion"/>
  </si>
  <si>
    <t>등기비용</t>
    <phoneticPr fontId="1" type="noConversion"/>
  </si>
  <si>
    <t>부동산중계비</t>
    <phoneticPr fontId="1" type="noConversion"/>
  </si>
  <si>
    <t>일자</t>
    <phoneticPr fontId="1" type="noConversion"/>
  </si>
  <si>
    <t>옷방</t>
    <phoneticPr fontId="1" type="noConversion"/>
  </si>
  <si>
    <t>8월 6~7</t>
    <phoneticPr fontId="1" type="noConversion"/>
  </si>
  <si>
    <t>거실책장</t>
    <phoneticPr fontId="1" type="noConversion"/>
  </si>
  <si>
    <t>냉장고 틈새장</t>
    <phoneticPr fontId="1" type="noConversion"/>
  </si>
  <si>
    <t>https://smartstore.naver.com/itus/products/6711843939</t>
    <phoneticPr fontId="1" type="noConversion"/>
  </si>
  <si>
    <t>이동식 TV</t>
    <phoneticPr fontId="1" type="noConversion"/>
  </si>
  <si>
    <t>https://brand.naver.com/widevu/products/10192893508</t>
    <phoneticPr fontId="1" type="noConversion"/>
  </si>
  <si>
    <t>총비용</t>
    <phoneticPr fontId="1" type="noConversion"/>
  </si>
  <si>
    <t>총합</t>
    <phoneticPr fontId="1" type="noConversion"/>
  </si>
  <si>
    <t>항목</t>
    <phoneticPr fontId="1" type="noConversion"/>
  </si>
  <si>
    <t>TEL. 010-3326-3443</t>
    <phoneticPr fontId="1" type="noConversion"/>
  </si>
  <si>
    <t>거실 의자</t>
    <phoneticPr fontId="1" type="noConversion"/>
  </si>
  <si>
    <t>기아</t>
    <phoneticPr fontId="1" type="noConversion"/>
  </si>
  <si>
    <t>네이버</t>
    <phoneticPr fontId="1" type="noConversion"/>
  </si>
  <si>
    <t>중국</t>
    <phoneticPr fontId="1" type="noConversion"/>
  </si>
  <si>
    <t>견젹요청함 010 6563 8809 드레스룸백경 : 8월1일실측후 예약</t>
    <phoneticPr fontId="1" type="noConversion"/>
  </si>
  <si>
    <t>https://brand.naver.com/trini/products/9898880651
차콜 항하부 유리도어 * 2
800mm * 414mm * 1900mm</t>
    <phoneticPr fontId="1" type="noConversion"/>
  </si>
  <si>
    <t>소파 + 작은소파</t>
    <phoneticPr fontId="1" type="noConversion"/>
  </si>
  <si>
    <t>8월 1일</t>
    <phoneticPr fontId="1" type="noConversion"/>
  </si>
  <si>
    <t>거실테이블</t>
    <phoneticPr fontId="1" type="noConversion"/>
  </si>
  <si>
    <t>8월 1일</t>
  </si>
  <si>
    <t>음식물처리기</t>
    <phoneticPr fontId="1" type="noConversion"/>
  </si>
  <si>
    <t>7월2일</t>
    <phoneticPr fontId="1" type="noConversion"/>
  </si>
  <si>
    <t>화분</t>
    <phoneticPr fontId="1" type="noConversion"/>
  </si>
  <si>
    <t>https://smartstore.naver.com/flowervineshop/products/5641291421
https://smartstore.naver.com/flowervineshop/category/cc04b203caa24bd3820d1f1814fdde0b?cp=1</t>
    <phoneticPr fontId="1" type="noConversion"/>
  </si>
  <si>
    <t>SQQQ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</si>
</sst>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  <numFmt numFmtId="185" formatCode="#,##0.000_);[Red]\(#,##0.00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40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44" borderId="2" xfId="0" applyFont="1" applyFill="1" applyBorder="1" applyAlignment="1">
      <alignment horizontal="center" vertical="center"/>
    </xf>
    <xf numFmtId="177" fontId="2" fillId="44" borderId="1" xfId="0" applyNumberFormat="1" applyFont="1" applyFill="1" applyBorder="1">
      <alignment vertical="center"/>
    </xf>
    <xf numFmtId="0" fontId="2" fillId="44" borderId="1" xfId="0" applyFont="1" applyFill="1" applyBorder="1">
      <alignment vertical="center"/>
    </xf>
    <xf numFmtId="0" fontId="2" fillId="44" borderId="52" xfId="0" applyFont="1" applyFill="1" applyBorder="1">
      <alignment vertical="center"/>
    </xf>
    <xf numFmtId="0" fontId="0" fillId="45" borderId="21" xfId="0" applyFill="1" applyBorder="1">
      <alignment vertical="center"/>
    </xf>
    <xf numFmtId="176" fontId="0" fillId="45" borderId="1" xfId="0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0" fontId="0" fillId="45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0" fontId="0" fillId="42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48" borderId="1" xfId="0" applyNumberFormat="1" applyFont="1" applyFill="1" applyBorder="1">
      <alignment vertical="center"/>
    </xf>
    <xf numFmtId="0" fontId="18" fillId="49" borderId="1" xfId="41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49" borderId="1" xfId="41" applyNumberFormat="1" applyFill="1" applyBorder="1">
      <alignment vertical="center"/>
    </xf>
    <xf numFmtId="176" fontId="4" fillId="49" borderId="1" xfId="41" applyNumberFormat="1" applyFont="1" applyFill="1" applyBorder="1">
      <alignment vertical="center"/>
    </xf>
    <xf numFmtId="0" fontId="0" fillId="49" borderId="1" xfId="0" applyFill="1" applyBorder="1">
      <alignment vertical="center"/>
    </xf>
    <xf numFmtId="0" fontId="18" fillId="49" borderId="57" xfId="4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0" fontId="2" fillId="47" borderId="24" xfId="0" applyFont="1" applyFill="1" applyBorder="1">
      <alignment vertical="center"/>
    </xf>
    <xf numFmtId="0" fontId="0" fillId="47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0" fontId="2" fillId="47" borderId="1" xfId="0" applyFont="1" applyFill="1" applyBorder="1">
      <alignment vertical="center"/>
    </xf>
    <xf numFmtId="0" fontId="0" fillId="50" borderId="1" xfId="0" applyFill="1" applyBorder="1">
      <alignment vertical="center"/>
    </xf>
    <xf numFmtId="176" fontId="0" fillId="50" borderId="1" xfId="0" applyNumberFormat="1" applyFill="1" applyBorder="1">
      <alignment vertical="center"/>
    </xf>
    <xf numFmtId="176" fontId="4" fillId="50" borderId="1" xfId="41" applyNumberFormat="1" applyFont="1" applyFill="1" applyBorder="1">
      <alignment vertical="center"/>
    </xf>
    <xf numFmtId="0" fontId="0" fillId="42" borderId="33" xfId="0" applyFill="1" applyBorder="1">
      <alignment vertical="center"/>
    </xf>
    <xf numFmtId="0" fontId="0" fillId="42" borderId="34" xfId="0" applyFill="1" applyBorder="1">
      <alignment vertical="center"/>
    </xf>
    <xf numFmtId="0" fontId="2" fillId="42" borderId="34" xfId="0" applyFont="1" applyFill="1" applyBorder="1">
      <alignment vertical="center"/>
    </xf>
    <xf numFmtId="0" fontId="0" fillId="42" borderId="38" xfId="0" applyFill="1" applyBorder="1">
      <alignment vertical="center"/>
    </xf>
    <xf numFmtId="0" fontId="0" fillId="42" borderId="37" xfId="0" applyFill="1" applyBorder="1">
      <alignment vertical="center"/>
    </xf>
    <xf numFmtId="0" fontId="0" fillId="42" borderId="24" xfId="0" applyFill="1" applyBorder="1">
      <alignment vertical="center"/>
    </xf>
    <xf numFmtId="0" fontId="0" fillId="42" borderId="25" xfId="0" applyFill="1" applyBorder="1">
      <alignment vertical="center"/>
    </xf>
    <xf numFmtId="0" fontId="26" fillId="42" borderId="4" xfId="0" applyFont="1" applyFill="1" applyBorder="1">
      <alignment vertical="center"/>
    </xf>
    <xf numFmtId="177" fontId="26" fillId="42" borderId="5" xfId="0" applyNumberFormat="1" applyFont="1" applyFill="1" applyBorder="1">
      <alignment vertical="center"/>
    </xf>
    <xf numFmtId="177" fontId="26" fillId="42" borderId="4" xfId="0" applyNumberFormat="1" applyFont="1" applyFill="1" applyBorder="1">
      <alignment vertical="center"/>
    </xf>
    <xf numFmtId="177" fontId="26" fillId="42" borderId="1" xfId="0" applyNumberFormat="1" applyFont="1" applyFill="1" applyBorder="1">
      <alignment vertical="center"/>
    </xf>
    <xf numFmtId="0" fontId="26" fillId="42" borderId="5" xfId="0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177" fontId="0" fillId="39" borderId="1" xfId="0" applyNumberFormat="1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46" borderId="33" xfId="0" applyFill="1" applyBorder="1">
      <alignment vertical="center"/>
    </xf>
    <xf numFmtId="0" fontId="0" fillId="46" borderId="34" xfId="0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6" fontId="2" fillId="46" borderId="56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0" fontId="2" fillId="46" borderId="24" xfId="0" applyFont="1" applyFill="1" applyBorder="1">
      <alignment vertical="center"/>
    </xf>
    <xf numFmtId="0" fontId="0" fillId="46" borderId="38" xfId="0" applyFill="1" applyBorder="1">
      <alignment vertical="center"/>
    </xf>
    <xf numFmtId="0" fontId="0" fillId="46" borderId="37" xfId="0" applyFill="1" applyBorder="1">
      <alignment vertical="center"/>
    </xf>
    <xf numFmtId="0" fontId="0" fillId="46" borderId="5" xfId="0" applyFill="1" applyBorder="1">
      <alignment vertical="center"/>
    </xf>
    <xf numFmtId="0" fontId="0" fillId="46" borderId="0" xfId="0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6" fillId="0" borderId="1" xfId="0" applyNumberFormat="1" applyFont="1" applyBorder="1" applyAlignment="1">
      <alignment horizontal="center" vertical="center"/>
    </xf>
    <xf numFmtId="177" fontId="2" fillId="39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right" vertical="center"/>
    </xf>
    <xf numFmtId="185" fontId="0" fillId="0" borderId="1" xfId="0" applyNumberFormat="1" applyBorder="1">
      <alignment vertical="center"/>
    </xf>
    <xf numFmtId="49" fontId="26" fillId="43" borderId="57" xfId="0" applyNumberFormat="1" applyFont="1" applyFill="1" applyBorder="1" applyAlignment="1">
      <alignment horizontal="center" vertical="center"/>
    </xf>
    <xf numFmtId="177" fontId="0" fillId="43" borderId="1" xfId="0" applyNumberFormat="1" applyFill="1" applyBorder="1">
      <alignment vertical="center"/>
    </xf>
    <xf numFmtId="176" fontId="0" fillId="43" borderId="1" xfId="0" applyNumberFormat="1" applyFill="1" applyBorder="1" applyAlignment="1">
      <alignment horizontal="right" vertical="center"/>
    </xf>
    <xf numFmtId="176" fontId="0" fillId="43" borderId="1" xfId="0" applyNumberFormat="1" applyFill="1" applyBorder="1">
      <alignment vertical="center"/>
    </xf>
    <xf numFmtId="185" fontId="0" fillId="43" borderId="1" xfId="0" applyNumberFormat="1" applyFill="1" applyBorder="1">
      <alignment vertical="center"/>
    </xf>
    <xf numFmtId="0" fontId="0" fillId="43" borderId="50" xfId="0" applyFill="1" applyBorder="1">
      <alignment vertical="center"/>
    </xf>
    <xf numFmtId="0" fontId="26" fillId="43" borderId="1" xfId="41" applyFont="1" applyFill="1" applyBorder="1">
      <alignment vertical="center"/>
    </xf>
    <xf numFmtId="176" fontId="26" fillId="43" borderId="1" xfId="0" applyNumberFormat="1" applyFont="1" applyFill="1" applyBorder="1">
      <alignment vertical="center"/>
    </xf>
    <xf numFmtId="176" fontId="26" fillId="43" borderId="1" xfId="41" applyNumberFormat="1" applyFont="1" applyFill="1" applyBorder="1">
      <alignment vertical="center"/>
    </xf>
    <xf numFmtId="0" fontId="26" fillId="43" borderId="57" xfId="41" applyFont="1" applyFill="1" applyBorder="1">
      <alignment vertical="center"/>
    </xf>
    <xf numFmtId="49" fontId="26" fillId="43" borderId="1" xfId="0" applyNumberFormat="1" applyFont="1" applyFill="1" applyBorder="1" applyAlignment="1">
      <alignment horizontal="center" vertical="center"/>
    </xf>
    <xf numFmtId="0" fontId="2" fillId="43" borderId="5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right" vertical="center"/>
    </xf>
    <xf numFmtId="49" fontId="2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185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176" fontId="18" fillId="47" borderId="1" xfId="41" applyNumberFormat="1" applyFill="1" applyBorder="1">
      <alignment vertical="center"/>
    </xf>
    <xf numFmtId="176" fontId="26" fillId="47" borderId="1" xfId="0" applyNumberFormat="1" applyFont="1" applyFill="1" applyBorder="1">
      <alignment vertical="center"/>
    </xf>
    <xf numFmtId="176" fontId="26" fillId="47" borderId="1" xfId="41" applyNumberFormat="1" applyFont="1" applyFill="1" applyBorder="1">
      <alignment vertical="center"/>
    </xf>
    <xf numFmtId="0" fontId="26" fillId="47" borderId="1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2" fillId="4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41" borderId="1" xfId="0" applyFont="1" applyFill="1" applyBorder="1" applyAlignment="1">
      <alignment horizontal="center" vertical="center" wrapText="1"/>
    </xf>
    <xf numFmtId="177" fontId="2" fillId="0" borderId="4" xfId="0" applyNumberFormat="1" applyFont="1" applyBorder="1">
      <alignment vertical="center"/>
    </xf>
    <xf numFmtId="177" fontId="2" fillId="43" borderId="4" xfId="0" applyNumberFormat="1" applyFont="1" applyFill="1" applyBorder="1">
      <alignment vertical="center"/>
    </xf>
    <xf numFmtId="177" fontId="2" fillId="3" borderId="4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76" fontId="26" fillId="2" borderId="1" xfId="41" applyNumberFormat="1" applyFont="1" applyFill="1" applyBorder="1">
      <alignment vertical="center"/>
    </xf>
    <xf numFmtId="49" fontId="26" fillId="50" borderId="1" xfId="0" applyNumberFormat="1" applyFont="1" applyFill="1" applyBorder="1" applyAlignment="1">
      <alignment horizontal="center" vertical="center"/>
    </xf>
    <xf numFmtId="177" fontId="0" fillId="50" borderId="1" xfId="0" applyNumberFormat="1" applyFill="1" applyBorder="1">
      <alignment vertical="center"/>
    </xf>
    <xf numFmtId="176" fontId="0" fillId="50" borderId="1" xfId="0" applyNumberFormat="1" applyFill="1" applyBorder="1" applyAlignment="1">
      <alignment horizontal="right" vertical="center"/>
    </xf>
    <xf numFmtId="177" fontId="2" fillId="50" borderId="1" xfId="0" applyNumberFormat="1" applyFont="1" applyFill="1" applyBorder="1">
      <alignment vertical="center"/>
    </xf>
    <xf numFmtId="185" fontId="0" fillId="50" borderId="1" xfId="0" applyNumberFormat="1" applyFill="1" applyBorder="1">
      <alignment vertical="center"/>
    </xf>
    <xf numFmtId="177" fontId="2" fillId="50" borderId="4" xfId="0" applyNumberFormat="1" applyFont="1" applyFill="1" applyBorder="1">
      <alignment vertical="center"/>
    </xf>
    <xf numFmtId="0" fontId="0" fillId="50" borderId="0" xfId="0" applyFill="1">
      <alignment vertical="center"/>
    </xf>
    <xf numFmtId="177" fontId="0" fillId="44" borderId="0" xfId="0" applyNumberFormat="1" applyFill="1">
      <alignment vertical="center"/>
    </xf>
    <xf numFmtId="177" fontId="0" fillId="47" borderId="0" xfId="0" applyNumberFormat="1" applyFill="1">
      <alignment vertical="center"/>
    </xf>
    <xf numFmtId="0" fontId="2" fillId="2" borderId="52" xfId="0" applyFon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0" fillId="41" borderId="0" xfId="0" applyNumberFormat="1" applyFill="1" applyAlignment="1">
      <alignment horizontal="center" vertical="center"/>
    </xf>
    <xf numFmtId="180" fontId="0" fillId="41" borderId="0" xfId="0" applyNumberFormat="1" applyFill="1" applyAlignment="1">
      <alignment horizontal="center" vertical="center"/>
    </xf>
    <xf numFmtId="176" fontId="0" fillId="39" borderId="0" xfId="0" applyNumberFormat="1" applyFill="1" applyAlignment="1">
      <alignment horizontal="center" vertical="center"/>
    </xf>
    <xf numFmtId="183" fontId="0" fillId="39" borderId="0" xfId="0" applyNumberFormat="1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49" fontId="0" fillId="51" borderId="0" xfId="0" applyNumberFormat="1" applyFill="1" applyAlignment="1">
      <alignment horizontal="center" vertical="center"/>
    </xf>
    <xf numFmtId="176" fontId="0" fillId="51" borderId="0" xfId="0" applyNumberFormat="1" applyFill="1" applyAlignment="1">
      <alignment horizontal="center" vertical="center"/>
    </xf>
    <xf numFmtId="0" fontId="0" fillId="51" borderId="0" xfId="0" applyFill="1">
      <alignment vertical="center"/>
    </xf>
    <xf numFmtId="179" fontId="0" fillId="0" borderId="0" xfId="0" applyNumberFormat="1">
      <alignment vertical="center"/>
    </xf>
    <xf numFmtId="179" fontId="2" fillId="42" borderId="1" xfId="0" applyNumberFormat="1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49" fontId="26" fillId="42" borderId="1" xfId="0" applyNumberFormat="1" applyFont="1" applyFill="1" applyBorder="1" applyAlignment="1">
      <alignment horizontal="center" vertical="center"/>
    </xf>
    <xf numFmtId="177" fontId="0" fillId="42" borderId="1" xfId="0" applyNumberFormat="1" applyFill="1" applyBorder="1" applyAlignment="1">
      <alignment horizontal="right" vertical="center"/>
    </xf>
    <xf numFmtId="185" fontId="0" fillId="42" borderId="1" xfId="0" applyNumberFormat="1" applyFill="1" applyBorder="1">
      <alignment vertical="center"/>
    </xf>
    <xf numFmtId="177" fontId="2" fillId="42" borderId="4" xfId="0" applyNumberFormat="1" applyFont="1" applyFill="1" applyBorder="1">
      <alignment vertical="center"/>
    </xf>
    <xf numFmtId="0" fontId="2" fillId="38" borderId="1" xfId="0" applyFont="1" applyFill="1" applyBorder="1" applyAlignment="1">
      <alignment horizontal="center" vertical="center"/>
    </xf>
    <xf numFmtId="177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0" xfId="0" applyFill="1">
      <alignment vertical="center"/>
    </xf>
    <xf numFmtId="0" fontId="19" fillId="38" borderId="0" xfId="35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3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179" fontId="2" fillId="41" borderId="32" xfId="0" applyNumberFormat="1" applyFont="1" applyFill="1" applyBorder="1" applyAlignment="1">
      <alignment horizontal="center" vertical="center"/>
    </xf>
    <xf numFmtId="179" fontId="2" fillId="41" borderId="5" xfId="0" applyNumberFormat="1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3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9" fillId="38" borderId="0" xfId="35" applyFill="1" applyAlignment="1">
      <alignment vertical="center" wrapText="1"/>
    </xf>
    <xf numFmtId="0" fontId="24" fillId="38" borderId="1" xfId="0" applyFont="1" applyFill="1" applyBorder="1" applyAlignment="1">
      <alignment horizontal="center" vertical="center"/>
    </xf>
    <xf numFmtId="0" fontId="2" fillId="4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9" borderId="0" xfId="0" applyFont="1" applyFill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rand.naver.com/trini/products/9898880651&#52264;&#53084;%20&#54637;&#54616;&#48512;%20&#50976;&#47532;&#46020;&#50612;%20*%202800mm%20*%20414mm%20*%201900mm" TargetMode="External"/><Relationship Id="rId2" Type="http://schemas.openxmlformats.org/officeDocument/2006/relationships/hyperlink" Target="https://brand.naver.com/widevu/products/10192893508" TargetMode="External"/><Relationship Id="rId1" Type="http://schemas.openxmlformats.org/officeDocument/2006/relationships/hyperlink" Target="https://smartstore.naver.com/itus/products/6711843939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2543-37D8-4712-95F2-32CE0202AB2B}">
  <dimension ref="A1:P142"/>
  <sheetViews>
    <sheetView tabSelected="1" workbookViewId="0">
      <selection activeCell="F5" sqref="F5"/>
    </sheetView>
  </sheetViews>
  <sheetFormatPr defaultRowHeight="16.5" x14ac:dyDescent="0.3"/>
  <cols>
    <col min="1" max="1" width="9" style="255"/>
    <col min="2" max="2" width="4.875" style="256" customWidth="1"/>
    <col min="3" max="3" width="13.25" bestFit="1" customWidth="1"/>
    <col min="4" max="4" width="13.125" bestFit="1" customWidth="1"/>
    <col min="5" max="5" width="12.5" style="259" bestFit="1" customWidth="1"/>
    <col min="6" max="7" width="12.875" bestFit="1" customWidth="1"/>
    <col min="8" max="8" width="12.5" style="281" bestFit="1" customWidth="1"/>
    <col min="9" max="9" width="14.25" style="288" bestFit="1" customWidth="1"/>
    <col min="10" max="10" width="7.375" bestFit="1" customWidth="1"/>
    <col min="11" max="11" width="13.625" style="288" bestFit="1" customWidth="1"/>
    <col min="12" max="12" width="7.375" bestFit="1" customWidth="1"/>
    <col min="13" max="13" width="15.5" style="192" bestFit="1" customWidth="1"/>
    <col min="14" max="14" width="15.5" style="1" bestFit="1" customWidth="1"/>
    <col min="15" max="15" width="13.625" bestFit="1" customWidth="1"/>
    <col min="16" max="16" width="20" bestFit="1" customWidth="1"/>
  </cols>
  <sheetData>
    <row r="1" spans="1:14" x14ac:dyDescent="0.3">
      <c r="A1" s="192" t="s">
        <v>244</v>
      </c>
    </row>
    <row r="2" spans="1:14" x14ac:dyDescent="0.3">
      <c r="C2" s="342" t="s">
        <v>84</v>
      </c>
      <c r="D2" s="342"/>
      <c r="E2" s="333" t="s">
        <v>169</v>
      </c>
      <c r="F2" s="333"/>
      <c r="G2" s="335" t="s">
        <v>161</v>
      </c>
      <c r="H2" s="336"/>
      <c r="I2" s="337" t="s">
        <v>162</v>
      </c>
      <c r="J2" s="337"/>
      <c r="K2" s="337"/>
      <c r="L2" s="338"/>
      <c r="M2" s="334" t="s">
        <v>240</v>
      </c>
      <c r="N2" s="339" t="s">
        <v>246</v>
      </c>
    </row>
    <row r="3" spans="1:14" ht="33" x14ac:dyDescent="0.3">
      <c r="C3" s="276" t="s">
        <v>241</v>
      </c>
      <c r="D3" s="276" t="s">
        <v>242</v>
      </c>
      <c r="E3" s="258" t="s">
        <v>170</v>
      </c>
      <c r="F3" s="124" t="s">
        <v>171</v>
      </c>
      <c r="G3" s="257" t="s">
        <v>168</v>
      </c>
      <c r="H3" s="293" t="s">
        <v>247</v>
      </c>
      <c r="I3" s="293" t="s">
        <v>248</v>
      </c>
      <c r="J3" s="289" t="s">
        <v>245</v>
      </c>
      <c r="K3" s="254" t="s">
        <v>243</v>
      </c>
      <c r="L3" s="289" t="s">
        <v>245</v>
      </c>
      <c r="M3" s="334"/>
      <c r="N3" s="339"/>
    </row>
    <row r="4" spans="1:14" s="57" customFormat="1" x14ac:dyDescent="0.3">
      <c r="A4" s="340">
        <v>2025</v>
      </c>
      <c r="B4" s="320" t="s">
        <v>227</v>
      </c>
      <c r="C4" s="177">
        <v>5000000</v>
      </c>
      <c r="D4" s="177">
        <v>31000000</v>
      </c>
      <c r="E4" s="321">
        <v>60000000</v>
      </c>
      <c r="F4" s="177">
        <v>0</v>
      </c>
      <c r="G4" s="177">
        <v>15000000</v>
      </c>
      <c r="H4" s="177">
        <v>10920000</v>
      </c>
      <c r="I4" s="180">
        <f xml:space="preserve"> (0 + C4) * J4 + (0 + C4)</f>
        <v>4960000</v>
      </c>
      <c r="J4" s="322">
        <v>-8.0000000000000002E-3</v>
      </c>
      <c r="K4" s="180">
        <f xml:space="preserve"> (D4) * L4 +  (D4)</f>
        <v>30318000</v>
      </c>
      <c r="L4" s="322">
        <v>-2.1999999999999999E-2</v>
      </c>
      <c r="M4" s="323">
        <f>I4 + K4</f>
        <v>35278000</v>
      </c>
      <c r="N4" s="180">
        <f xml:space="preserve"> M4 + H4 + G4 - F4 - E4</f>
        <v>1198000</v>
      </c>
    </row>
    <row r="5" spans="1:14" x14ac:dyDescent="0.3">
      <c r="A5" s="340"/>
      <c r="B5" s="256" t="s">
        <v>229</v>
      </c>
      <c r="C5" s="262">
        <v>0</v>
      </c>
      <c r="D5" s="262">
        <v>0</v>
      </c>
      <c r="E5" s="263">
        <v>60000000</v>
      </c>
      <c r="F5" s="262">
        <v>0</v>
      </c>
      <c r="G5" s="262">
        <v>15000000</v>
      </c>
      <c r="H5" s="92">
        <f xml:space="preserve"> H4 + 420000</f>
        <v>11340000</v>
      </c>
      <c r="I5" s="153">
        <f t="shared" ref="I5:I36" si="0" xml:space="preserve"> (I4 * J5) + (I4 + C5)</f>
        <v>4999680</v>
      </c>
      <c r="J5" s="264">
        <v>8.0000000000000002E-3</v>
      </c>
      <c r="K5" s="153">
        <f t="shared" ref="K5:K36" si="1" xml:space="preserve">  K4 * L5 + D5 + K4</f>
        <v>30863724</v>
      </c>
      <c r="L5" s="264">
        <v>1.7999999999999999E-2</v>
      </c>
      <c r="M5" s="290">
        <f>I5 + K5</f>
        <v>35863404</v>
      </c>
      <c r="N5" s="286">
        <f xml:space="preserve"> M5 + H5 + G5 - F5 - E5</f>
        <v>2203404</v>
      </c>
    </row>
    <row r="6" spans="1:14" x14ac:dyDescent="0.3">
      <c r="A6" s="340"/>
      <c r="B6" s="256" t="s">
        <v>230</v>
      </c>
      <c r="C6" s="262">
        <v>0</v>
      </c>
      <c r="D6" s="262">
        <v>0</v>
      </c>
      <c r="E6" s="8">
        <v>50000000</v>
      </c>
      <c r="F6" s="2">
        <v>256000000</v>
      </c>
      <c r="G6" s="2">
        <v>380000000</v>
      </c>
      <c r="H6" s="92">
        <f xml:space="preserve"> H5 + 420000</f>
        <v>11760000</v>
      </c>
      <c r="I6" s="153">
        <f t="shared" si="0"/>
        <v>5039677.4400000004</v>
      </c>
      <c r="J6" s="264">
        <v>8.0000000000000002E-3</v>
      </c>
      <c r="K6" s="153">
        <f t="shared" si="1"/>
        <v>31419271.032000002</v>
      </c>
      <c r="L6" s="264">
        <v>1.7999999999999999E-2</v>
      </c>
      <c r="M6" s="290">
        <f t="shared" ref="M6:M69" si="2">I6 + K6</f>
        <v>36458948.472000003</v>
      </c>
      <c r="N6" s="286">
        <f t="shared" ref="N6:N69" si="3" xml:space="preserve"> M6 + H6 + G6 - F6 - E6</f>
        <v>122218948.472</v>
      </c>
    </row>
    <row r="7" spans="1:14" x14ac:dyDescent="0.3">
      <c r="A7" s="340"/>
      <c r="B7" s="256" t="s">
        <v>231</v>
      </c>
      <c r="C7" s="262">
        <v>0</v>
      </c>
      <c r="D7" s="262">
        <v>0</v>
      </c>
      <c r="E7" s="277">
        <v>10000000</v>
      </c>
      <c r="F7" s="2">
        <f xml:space="preserve"> F6 - 710000</f>
        <v>255290000</v>
      </c>
      <c r="G7" s="2">
        <v>380000000</v>
      </c>
      <c r="H7" s="92">
        <f t="shared" ref="H7:H70" si="4" xml:space="preserve"> H6 + 420000</f>
        <v>12180000</v>
      </c>
      <c r="I7" s="153">
        <f t="shared" si="0"/>
        <v>5079994.8595200004</v>
      </c>
      <c r="J7" s="264">
        <v>8.0000000000000002E-3</v>
      </c>
      <c r="K7" s="153">
        <f t="shared" si="1"/>
        <v>31984817.910576001</v>
      </c>
      <c r="L7" s="264">
        <v>1.7999999999999999E-2</v>
      </c>
      <c r="M7" s="290">
        <f t="shared" si="2"/>
        <v>37064812.770096004</v>
      </c>
      <c r="N7" s="286">
        <f t="shared" si="3"/>
        <v>163954812.770096</v>
      </c>
    </row>
    <row r="8" spans="1:14" x14ac:dyDescent="0.3">
      <c r="A8" s="340"/>
      <c r="B8" s="256" t="s">
        <v>232</v>
      </c>
      <c r="C8" s="262">
        <v>0</v>
      </c>
      <c r="D8" s="262">
        <v>0</v>
      </c>
      <c r="E8" s="277">
        <v>10000000</v>
      </c>
      <c r="F8" s="2">
        <f xml:space="preserve"> F7 - 710000</f>
        <v>254580000</v>
      </c>
      <c r="G8" s="2">
        <v>380000000</v>
      </c>
      <c r="H8" s="92">
        <f t="shared" si="4"/>
        <v>12600000</v>
      </c>
      <c r="I8" s="153">
        <f t="shared" si="0"/>
        <v>5120634.8183961604</v>
      </c>
      <c r="J8" s="264">
        <v>8.0000000000000002E-3</v>
      </c>
      <c r="K8" s="153">
        <f t="shared" si="1"/>
        <v>32560544.632966369</v>
      </c>
      <c r="L8" s="264">
        <v>1.7999999999999999E-2</v>
      </c>
      <c r="M8" s="290">
        <f t="shared" si="2"/>
        <v>37681179.451362528</v>
      </c>
      <c r="N8" s="286">
        <f t="shared" si="3"/>
        <v>165701179.45136255</v>
      </c>
    </row>
    <row r="9" spans="1:14" x14ac:dyDescent="0.3">
      <c r="A9" s="340"/>
      <c r="B9" s="261" t="s">
        <v>233</v>
      </c>
      <c r="C9" s="262">
        <v>0</v>
      </c>
      <c r="D9" s="262">
        <v>0</v>
      </c>
      <c r="E9" s="277">
        <v>10000000</v>
      </c>
      <c r="F9" s="2">
        <f t="shared" ref="F9:F72" si="5" xml:space="preserve"> F8 - 710000</f>
        <v>253870000</v>
      </c>
      <c r="G9" s="2">
        <v>380000000</v>
      </c>
      <c r="H9" s="92">
        <f t="shared" si="4"/>
        <v>13020000</v>
      </c>
      <c r="I9" s="153">
        <f t="shared" si="0"/>
        <v>5161599.8969433298</v>
      </c>
      <c r="J9" s="264">
        <v>8.0000000000000002E-3</v>
      </c>
      <c r="K9" s="153">
        <f t="shared" si="1"/>
        <v>33146634.436359763</v>
      </c>
      <c r="L9" s="264">
        <v>1.7999999999999999E-2</v>
      </c>
      <c r="M9" s="290">
        <f t="shared" si="2"/>
        <v>38308234.333303094</v>
      </c>
      <c r="N9" s="286">
        <f t="shared" si="3"/>
        <v>167458234.33330309</v>
      </c>
    </row>
    <row r="10" spans="1:14" s="270" customFormat="1" ht="17.25" thickBot="1" x14ac:dyDescent="0.35">
      <c r="A10" s="340"/>
      <c r="B10" s="265" t="s">
        <v>234</v>
      </c>
      <c r="C10" s="266">
        <v>0</v>
      </c>
      <c r="D10" s="266">
        <v>0</v>
      </c>
      <c r="E10" s="267">
        <v>0</v>
      </c>
      <c r="F10" s="268">
        <f t="shared" si="5"/>
        <v>253160000</v>
      </c>
      <c r="G10" s="268">
        <v>380000000</v>
      </c>
      <c r="H10" s="266">
        <f t="shared" si="4"/>
        <v>13440000</v>
      </c>
      <c r="I10" s="287">
        <f t="shared" si="0"/>
        <v>5202892.6961188763</v>
      </c>
      <c r="J10" s="269">
        <v>8.0000000000000002E-3</v>
      </c>
      <c r="K10" s="287">
        <f t="shared" si="1"/>
        <v>33743273.85621424</v>
      </c>
      <c r="L10" s="269">
        <v>1.7999999999999999E-2</v>
      </c>
      <c r="M10" s="291">
        <f t="shared" si="2"/>
        <v>38946166.552333117</v>
      </c>
      <c r="N10" s="287">
        <f t="shared" si="3"/>
        <v>179226166.55233312</v>
      </c>
    </row>
    <row r="11" spans="1:14" x14ac:dyDescent="0.3">
      <c r="A11" s="340">
        <v>2026</v>
      </c>
      <c r="B11" s="260" t="s">
        <v>235</v>
      </c>
      <c r="C11" s="262">
        <v>100000</v>
      </c>
      <c r="D11" s="262">
        <v>400000</v>
      </c>
      <c r="E11" s="8">
        <v>0</v>
      </c>
      <c r="F11" s="2">
        <f t="shared" si="5"/>
        <v>252450000</v>
      </c>
      <c r="G11" s="2">
        <v>380000000</v>
      </c>
      <c r="H11" s="92">
        <f t="shared" si="4"/>
        <v>13860000</v>
      </c>
      <c r="I11" s="153">
        <f t="shared" si="0"/>
        <v>5344515.8376878276</v>
      </c>
      <c r="J11" s="264">
        <v>8.0000000000000002E-3</v>
      </c>
      <c r="K11" s="153">
        <f t="shared" si="1"/>
        <v>34750652.785626099</v>
      </c>
      <c r="L11" s="264">
        <v>1.7999999999999999E-2</v>
      </c>
      <c r="M11" s="290">
        <f t="shared" si="2"/>
        <v>40095168.623313926</v>
      </c>
      <c r="N11" s="286">
        <f t="shared" si="3"/>
        <v>181505168.6233139</v>
      </c>
    </row>
    <row r="12" spans="1:14" x14ac:dyDescent="0.3">
      <c r="A12" s="340"/>
      <c r="B12" s="256" t="s">
        <v>236</v>
      </c>
      <c r="C12" s="262">
        <v>100000</v>
      </c>
      <c r="D12" s="262">
        <v>400000</v>
      </c>
      <c r="E12" s="8">
        <v>0</v>
      </c>
      <c r="F12" s="2">
        <f t="shared" si="5"/>
        <v>251740000</v>
      </c>
      <c r="G12" s="2">
        <v>380000000</v>
      </c>
      <c r="H12" s="92">
        <f t="shared" si="4"/>
        <v>14280000</v>
      </c>
      <c r="I12" s="153">
        <f t="shared" si="0"/>
        <v>5487271.9643893307</v>
      </c>
      <c r="J12" s="264">
        <v>8.0000000000000002E-3</v>
      </c>
      <c r="K12" s="153">
        <f t="shared" si="1"/>
        <v>35776164.535767369</v>
      </c>
      <c r="L12" s="264">
        <v>1.7999999999999999E-2</v>
      </c>
      <c r="M12" s="290">
        <f t="shared" si="2"/>
        <v>41263436.500156701</v>
      </c>
      <c r="N12" s="286">
        <f t="shared" si="3"/>
        <v>183803436.5001567</v>
      </c>
    </row>
    <row r="13" spans="1:14" x14ac:dyDescent="0.3">
      <c r="A13" s="340"/>
      <c r="B13" s="256" t="s">
        <v>237</v>
      </c>
      <c r="C13" s="262">
        <v>100000</v>
      </c>
      <c r="D13" s="262">
        <v>400000</v>
      </c>
      <c r="E13" s="8">
        <v>0</v>
      </c>
      <c r="F13" s="2">
        <f t="shared" si="5"/>
        <v>251030000</v>
      </c>
      <c r="G13" s="2">
        <v>380000000</v>
      </c>
      <c r="H13" s="92">
        <f t="shared" si="4"/>
        <v>14700000</v>
      </c>
      <c r="I13" s="153">
        <f t="shared" si="0"/>
        <v>5631170.1401044456</v>
      </c>
      <c r="J13" s="264">
        <v>8.0000000000000002E-3</v>
      </c>
      <c r="K13" s="153">
        <f t="shared" si="1"/>
        <v>36820135.497411184</v>
      </c>
      <c r="L13" s="264">
        <v>1.7999999999999999E-2</v>
      </c>
      <c r="M13" s="290">
        <f t="shared" si="2"/>
        <v>42451305.637515627</v>
      </c>
      <c r="N13" s="286">
        <f t="shared" si="3"/>
        <v>186121305.6375156</v>
      </c>
    </row>
    <row r="14" spans="1:14" x14ac:dyDescent="0.3">
      <c r="A14" s="340"/>
      <c r="B14" s="256" t="s">
        <v>238</v>
      </c>
      <c r="C14" s="262">
        <v>100000</v>
      </c>
      <c r="D14" s="262">
        <v>400000</v>
      </c>
      <c r="E14" s="8">
        <v>0</v>
      </c>
      <c r="F14" s="2">
        <f t="shared" si="5"/>
        <v>250320000</v>
      </c>
      <c r="G14" s="2">
        <v>380000000</v>
      </c>
      <c r="H14" s="92">
        <f t="shared" si="4"/>
        <v>15120000</v>
      </c>
      <c r="I14" s="153">
        <f t="shared" si="0"/>
        <v>5776219.5012252815</v>
      </c>
      <c r="J14" s="264">
        <v>8.0000000000000002E-3</v>
      </c>
      <c r="K14" s="153">
        <f t="shared" si="1"/>
        <v>37882897.936364584</v>
      </c>
      <c r="L14" s="264">
        <v>1.7999999999999999E-2</v>
      </c>
      <c r="M14" s="290">
        <f t="shared" si="2"/>
        <v>43659117.437589869</v>
      </c>
      <c r="N14" s="286">
        <f t="shared" si="3"/>
        <v>188459117.43758988</v>
      </c>
    </row>
    <row r="15" spans="1:14" x14ac:dyDescent="0.3">
      <c r="A15" s="340"/>
      <c r="B15" s="256" t="s">
        <v>239</v>
      </c>
      <c r="C15" s="262">
        <v>100000</v>
      </c>
      <c r="D15" s="262">
        <v>400000</v>
      </c>
      <c r="E15" s="8">
        <v>0</v>
      </c>
      <c r="F15" s="2">
        <f t="shared" si="5"/>
        <v>249610000</v>
      </c>
      <c r="G15" s="2">
        <v>380000000</v>
      </c>
      <c r="H15" s="92">
        <f t="shared" si="4"/>
        <v>15540000</v>
      </c>
      <c r="I15" s="153">
        <f t="shared" si="0"/>
        <v>5922429.2572350837</v>
      </c>
      <c r="J15" s="264">
        <v>8.0000000000000002E-3</v>
      </c>
      <c r="K15" s="153">
        <f t="shared" si="1"/>
        <v>38964790.099219143</v>
      </c>
      <c r="L15" s="264">
        <v>1.7999999999999999E-2</v>
      </c>
      <c r="M15" s="290">
        <f t="shared" si="2"/>
        <v>44887219.356454223</v>
      </c>
      <c r="N15" s="286">
        <f t="shared" si="3"/>
        <v>190817219.35645425</v>
      </c>
    </row>
    <row r="16" spans="1:14" x14ac:dyDescent="0.3">
      <c r="A16" s="340"/>
      <c r="B16" s="256" t="s">
        <v>226</v>
      </c>
      <c r="C16" s="262">
        <v>100000</v>
      </c>
      <c r="D16" s="262">
        <v>400000</v>
      </c>
      <c r="E16" s="8">
        <v>0</v>
      </c>
      <c r="F16" s="2">
        <f t="shared" si="5"/>
        <v>248900000</v>
      </c>
      <c r="G16" s="2">
        <v>380000000</v>
      </c>
      <c r="H16" s="92">
        <f t="shared" si="4"/>
        <v>15960000</v>
      </c>
      <c r="I16" s="153">
        <f t="shared" si="0"/>
        <v>6069808.6912929649</v>
      </c>
      <c r="J16" s="264">
        <v>8.0000000000000002E-3</v>
      </c>
      <c r="K16" s="153">
        <f t="shared" si="1"/>
        <v>40066156.321005091</v>
      </c>
      <c r="L16" s="264">
        <v>1.7999999999999999E-2</v>
      </c>
      <c r="M16" s="290">
        <f t="shared" si="2"/>
        <v>46135965.012298055</v>
      </c>
      <c r="N16" s="286">
        <f t="shared" si="3"/>
        <v>193195965.01229805</v>
      </c>
    </row>
    <row r="17" spans="1:14" x14ac:dyDescent="0.3">
      <c r="A17" s="340"/>
      <c r="B17" s="256" t="s">
        <v>228</v>
      </c>
      <c r="C17" s="262">
        <v>100000</v>
      </c>
      <c r="D17" s="262">
        <v>400000</v>
      </c>
      <c r="E17" s="8">
        <v>0</v>
      </c>
      <c r="F17" s="2">
        <f t="shared" si="5"/>
        <v>248190000</v>
      </c>
      <c r="G17" s="2">
        <v>380000000</v>
      </c>
      <c r="H17" s="92">
        <f t="shared" si="4"/>
        <v>16380000</v>
      </c>
      <c r="I17" s="153">
        <f t="shared" si="0"/>
        <v>6218367.1608233089</v>
      </c>
      <c r="J17" s="264">
        <v>8.0000000000000002E-3</v>
      </c>
      <c r="K17" s="153">
        <f t="shared" si="1"/>
        <v>41187347.134783186</v>
      </c>
      <c r="L17" s="264">
        <v>1.7999999999999999E-2</v>
      </c>
      <c r="M17" s="290">
        <f t="shared" si="2"/>
        <v>47405714.295606494</v>
      </c>
      <c r="N17" s="286">
        <f t="shared" si="3"/>
        <v>195595714.29560649</v>
      </c>
    </row>
    <row r="18" spans="1:14" x14ac:dyDescent="0.3">
      <c r="A18" s="340"/>
      <c r="B18" s="256" t="s">
        <v>230</v>
      </c>
      <c r="C18" s="262">
        <v>100000</v>
      </c>
      <c r="D18" s="262">
        <v>400000</v>
      </c>
      <c r="E18" s="8">
        <v>0</v>
      </c>
      <c r="F18" s="2">
        <f t="shared" si="5"/>
        <v>247480000</v>
      </c>
      <c r="G18" s="2">
        <v>380000000</v>
      </c>
      <c r="H18" s="92">
        <f t="shared" si="4"/>
        <v>16800000</v>
      </c>
      <c r="I18" s="153">
        <f t="shared" si="0"/>
        <v>6368114.0981098954</v>
      </c>
      <c r="J18" s="264">
        <v>8.0000000000000002E-3</v>
      </c>
      <c r="K18" s="153">
        <f t="shared" si="1"/>
        <v>42328719.383209281</v>
      </c>
      <c r="L18" s="264">
        <v>1.7999999999999999E-2</v>
      </c>
      <c r="M18" s="290">
        <f t="shared" si="2"/>
        <v>48696833.481319174</v>
      </c>
      <c r="N18" s="286">
        <f t="shared" si="3"/>
        <v>198016833.48131919</v>
      </c>
    </row>
    <row r="19" spans="1:14" x14ac:dyDescent="0.3">
      <c r="A19" s="340"/>
      <c r="B19" s="256" t="s">
        <v>231</v>
      </c>
      <c r="C19" s="262">
        <v>100000</v>
      </c>
      <c r="D19" s="262">
        <v>400000</v>
      </c>
      <c r="E19" s="8">
        <v>0</v>
      </c>
      <c r="F19" s="2">
        <f t="shared" si="5"/>
        <v>246770000</v>
      </c>
      <c r="G19" s="2">
        <v>380000000</v>
      </c>
      <c r="H19" s="92">
        <f t="shared" si="4"/>
        <v>17220000</v>
      </c>
      <c r="I19" s="153">
        <f t="shared" si="0"/>
        <v>6519059.0108947745</v>
      </c>
      <c r="J19" s="264">
        <v>8.0000000000000002E-3</v>
      </c>
      <c r="K19" s="153">
        <f t="shared" si="1"/>
        <v>43490636.332107045</v>
      </c>
      <c r="L19" s="264">
        <v>1.7999999999999999E-2</v>
      </c>
      <c r="M19" s="290">
        <f t="shared" si="2"/>
        <v>50009695.34300182</v>
      </c>
      <c r="N19" s="286">
        <f t="shared" si="3"/>
        <v>200459695.34300184</v>
      </c>
    </row>
    <row r="20" spans="1:14" x14ac:dyDescent="0.3">
      <c r="A20" s="340"/>
      <c r="B20" s="256" t="s">
        <v>232</v>
      </c>
      <c r="C20" s="262">
        <v>100000</v>
      </c>
      <c r="D20" s="262">
        <v>400000</v>
      </c>
      <c r="E20" s="8">
        <v>0</v>
      </c>
      <c r="F20" s="2">
        <f t="shared" si="5"/>
        <v>246060000</v>
      </c>
      <c r="G20" s="2">
        <v>380000000</v>
      </c>
      <c r="H20" s="92">
        <f t="shared" si="4"/>
        <v>17640000</v>
      </c>
      <c r="I20" s="153">
        <f t="shared" si="0"/>
        <v>6671211.4829819323</v>
      </c>
      <c r="J20" s="264">
        <v>8.0000000000000002E-3</v>
      </c>
      <c r="K20" s="153">
        <f t="shared" si="1"/>
        <v>44673467.786084972</v>
      </c>
      <c r="L20" s="264">
        <v>1.7999999999999999E-2</v>
      </c>
      <c r="M20" s="290">
        <f t="shared" si="2"/>
        <v>51344679.269066907</v>
      </c>
      <c r="N20" s="286">
        <f t="shared" si="3"/>
        <v>202924679.26906693</v>
      </c>
    </row>
    <row r="21" spans="1:14" x14ac:dyDescent="0.3">
      <c r="A21" s="340"/>
      <c r="B21" s="261" t="s">
        <v>233</v>
      </c>
      <c r="C21" s="262">
        <v>100000</v>
      </c>
      <c r="D21" s="262">
        <v>400000</v>
      </c>
      <c r="E21" s="8">
        <v>0</v>
      </c>
      <c r="F21" s="2">
        <f t="shared" si="5"/>
        <v>245350000</v>
      </c>
      <c r="G21" s="2">
        <v>380000000</v>
      </c>
      <c r="H21" s="92">
        <f t="shared" si="4"/>
        <v>18060000</v>
      </c>
      <c r="I21" s="153">
        <f t="shared" si="0"/>
        <v>6824581.1748457877</v>
      </c>
      <c r="J21" s="264">
        <v>8.0000000000000002E-3</v>
      </c>
      <c r="K21" s="153">
        <f t="shared" si="1"/>
        <v>45877590.2062345</v>
      </c>
      <c r="L21" s="264">
        <v>1.7999999999999999E-2</v>
      </c>
      <c r="M21" s="290">
        <f t="shared" si="2"/>
        <v>52702171.381080285</v>
      </c>
      <c r="N21" s="286">
        <f t="shared" si="3"/>
        <v>205412171.38108027</v>
      </c>
    </row>
    <row r="22" spans="1:14" s="270" customFormat="1" ht="17.25" thickBot="1" x14ac:dyDescent="0.35">
      <c r="A22" s="340"/>
      <c r="B22" s="265" t="s">
        <v>234</v>
      </c>
      <c r="C22" s="266">
        <f xml:space="preserve"> 100000 + 3000000</f>
        <v>3100000</v>
      </c>
      <c r="D22" s="266">
        <f xml:space="preserve"> 400000 - 3000000</f>
        <v>-2600000</v>
      </c>
      <c r="E22" s="267">
        <v>0</v>
      </c>
      <c r="F22" s="268">
        <f t="shared" si="5"/>
        <v>244640000</v>
      </c>
      <c r="G22" s="268">
        <v>380000000</v>
      </c>
      <c r="H22" s="266">
        <f t="shared" si="4"/>
        <v>18480000</v>
      </c>
      <c r="I22" s="287">
        <f t="shared" si="0"/>
        <v>9979177.8242445551</v>
      </c>
      <c r="J22" s="269">
        <v>8.0000000000000002E-3</v>
      </c>
      <c r="K22" s="287">
        <f t="shared" si="1"/>
        <v>44103386.829946719</v>
      </c>
      <c r="L22" s="269">
        <v>1.7999999999999999E-2</v>
      </c>
      <c r="M22" s="291">
        <f t="shared" si="2"/>
        <v>54082564.65419127</v>
      </c>
      <c r="N22" s="287">
        <f t="shared" si="3"/>
        <v>207922564.65419126</v>
      </c>
    </row>
    <row r="23" spans="1:14" x14ac:dyDescent="0.3">
      <c r="A23" s="340">
        <v>2027</v>
      </c>
      <c r="B23" s="260" t="s">
        <v>235</v>
      </c>
      <c r="C23" s="262">
        <v>100000</v>
      </c>
      <c r="D23" s="262">
        <v>400000</v>
      </c>
      <c r="E23" s="8">
        <v>0</v>
      </c>
      <c r="F23" s="2">
        <f t="shared" si="5"/>
        <v>243930000</v>
      </c>
      <c r="G23" s="2">
        <v>380000000</v>
      </c>
      <c r="H23" s="92">
        <f t="shared" si="4"/>
        <v>18900000</v>
      </c>
      <c r="I23" s="153">
        <f t="shared" si="0"/>
        <v>10159011.246838512</v>
      </c>
      <c r="J23" s="264">
        <v>8.0000000000000002E-3</v>
      </c>
      <c r="K23" s="153">
        <f t="shared" si="1"/>
        <v>45297247.792885758</v>
      </c>
      <c r="L23" s="264">
        <v>1.7999999999999999E-2</v>
      </c>
      <c r="M23" s="290">
        <f t="shared" si="2"/>
        <v>55456259.039724268</v>
      </c>
      <c r="N23" s="286">
        <f t="shared" si="3"/>
        <v>210426259.03972423</v>
      </c>
    </row>
    <row r="24" spans="1:14" x14ac:dyDescent="0.3">
      <c r="A24" s="340"/>
      <c r="B24" s="256" t="s">
        <v>236</v>
      </c>
      <c r="C24" s="262">
        <v>100000</v>
      </c>
      <c r="D24" s="262">
        <v>400000</v>
      </c>
      <c r="E24" s="8">
        <v>0</v>
      </c>
      <c r="F24" s="2">
        <f t="shared" si="5"/>
        <v>243220000</v>
      </c>
      <c r="G24" s="2">
        <v>380000000</v>
      </c>
      <c r="H24" s="92">
        <f t="shared" si="4"/>
        <v>19320000</v>
      </c>
      <c r="I24" s="153">
        <f t="shared" si="0"/>
        <v>10340283.336813221</v>
      </c>
      <c r="J24" s="264">
        <v>8.0000000000000002E-3</v>
      </c>
      <c r="K24" s="153">
        <f t="shared" si="1"/>
        <v>46512598.253157705</v>
      </c>
      <c r="L24" s="264">
        <v>1.7999999999999999E-2</v>
      </c>
      <c r="M24" s="290">
        <f t="shared" si="2"/>
        <v>56852881.589970924</v>
      </c>
      <c r="N24" s="286">
        <f t="shared" si="3"/>
        <v>212952881.58997095</v>
      </c>
    </row>
    <row r="25" spans="1:14" x14ac:dyDescent="0.3">
      <c r="A25" s="340"/>
      <c r="B25" s="256" t="s">
        <v>237</v>
      </c>
      <c r="C25" s="262">
        <v>100000</v>
      </c>
      <c r="D25" s="262">
        <v>400000</v>
      </c>
      <c r="E25" s="8">
        <v>0</v>
      </c>
      <c r="F25" s="2">
        <f t="shared" si="5"/>
        <v>242510000</v>
      </c>
      <c r="G25" s="2">
        <v>380000000</v>
      </c>
      <c r="H25" s="92">
        <f t="shared" si="4"/>
        <v>19740000</v>
      </c>
      <c r="I25" s="153">
        <f t="shared" si="0"/>
        <v>10523005.603507727</v>
      </c>
      <c r="J25" s="264">
        <v>8.0000000000000002E-3</v>
      </c>
      <c r="K25" s="153">
        <f t="shared" si="1"/>
        <v>47749825.021714546</v>
      </c>
      <c r="L25" s="264">
        <v>1.7999999999999999E-2</v>
      </c>
      <c r="M25" s="290">
        <f t="shared" si="2"/>
        <v>58272830.625222273</v>
      </c>
      <c r="N25" s="286">
        <f t="shared" si="3"/>
        <v>215502830.62522227</v>
      </c>
    </row>
    <row r="26" spans="1:14" x14ac:dyDescent="0.3">
      <c r="A26" s="340"/>
      <c r="B26" s="256" t="s">
        <v>238</v>
      </c>
      <c r="C26" s="262">
        <v>100000</v>
      </c>
      <c r="D26" s="262">
        <v>400000</v>
      </c>
      <c r="E26" s="8">
        <v>0</v>
      </c>
      <c r="F26" s="2">
        <f t="shared" si="5"/>
        <v>241800000</v>
      </c>
      <c r="G26" s="2">
        <v>380000000</v>
      </c>
      <c r="H26" s="92">
        <f t="shared" si="4"/>
        <v>20160000</v>
      </c>
      <c r="I26" s="153">
        <f t="shared" si="0"/>
        <v>10707189.648335788</v>
      </c>
      <c r="J26" s="264">
        <v>8.0000000000000002E-3</v>
      </c>
      <c r="K26" s="153">
        <f t="shared" si="1"/>
        <v>49009321.872105405</v>
      </c>
      <c r="L26" s="264">
        <v>1.7999999999999999E-2</v>
      </c>
      <c r="M26" s="290">
        <f t="shared" si="2"/>
        <v>59716511.520441189</v>
      </c>
      <c r="N26" s="286">
        <f t="shared" si="3"/>
        <v>218076511.52044117</v>
      </c>
    </row>
    <row r="27" spans="1:14" x14ac:dyDescent="0.3">
      <c r="A27" s="340"/>
      <c r="B27" s="256" t="s">
        <v>239</v>
      </c>
      <c r="C27" s="262">
        <v>100000</v>
      </c>
      <c r="D27" s="262">
        <v>400000</v>
      </c>
      <c r="E27" s="8">
        <v>0</v>
      </c>
      <c r="F27" s="2">
        <f t="shared" si="5"/>
        <v>241090000</v>
      </c>
      <c r="G27" s="2">
        <v>380000000</v>
      </c>
      <c r="H27" s="92">
        <f t="shared" si="4"/>
        <v>20580000</v>
      </c>
      <c r="I27" s="153">
        <f t="shared" si="0"/>
        <v>10892847.165522475</v>
      </c>
      <c r="J27" s="264">
        <v>8.0000000000000002E-3</v>
      </c>
      <c r="K27" s="153">
        <f t="shared" si="1"/>
        <v>50291489.665803298</v>
      </c>
      <c r="L27" s="264">
        <v>1.7999999999999999E-2</v>
      </c>
      <c r="M27" s="290">
        <f t="shared" si="2"/>
        <v>61184336.831325769</v>
      </c>
      <c r="N27" s="286">
        <f t="shared" si="3"/>
        <v>220674336.83132577</v>
      </c>
    </row>
    <row r="28" spans="1:14" x14ac:dyDescent="0.3">
      <c r="A28" s="340"/>
      <c r="B28" s="256" t="s">
        <v>226</v>
      </c>
      <c r="C28" s="262">
        <v>100000</v>
      </c>
      <c r="D28" s="262">
        <v>400000</v>
      </c>
      <c r="E28" s="8">
        <v>0</v>
      </c>
      <c r="F28" s="2">
        <f t="shared" si="5"/>
        <v>240380000</v>
      </c>
      <c r="G28" s="2">
        <v>380000000</v>
      </c>
      <c r="H28" s="92">
        <f t="shared" si="4"/>
        <v>21000000</v>
      </c>
      <c r="I28" s="153">
        <f t="shared" si="0"/>
        <v>11079989.942846654</v>
      </c>
      <c r="J28" s="264">
        <v>8.0000000000000002E-3</v>
      </c>
      <c r="K28" s="153">
        <f t="shared" si="1"/>
        <v>51596736.479787759</v>
      </c>
      <c r="L28" s="264">
        <v>1.7999999999999999E-2</v>
      </c>
      <c r="M28" s="290">
        <f t="shared" si="2"/>
        <v>62676726.422634415</v>
      </c>
      <c r="N28" s="286">
        <f t="shared" si="3"/>
        <v>223296726.42263442</v>
      </c>
    </row>
    <row r="29" spans="1:14" x14ac:dyDescent="0.3">
      <c r="A29" s="340"/>
      <c r="B29" s="256" t="s">
        <v>228</v>
      </c>
      <c r="C29" s="262">
        <v>100000</v>
      </c>
      <c r="D29" s="262">
        <v>400000</v>
      </c>
      <c r="E29" s="8">
        <v>0</v>
      </c>
      <c r="F29" s="2">
        <f t="shared" si="5"/>
        <v>239670000</v>
      </c>
      <c r="G29" s="2">
        <v>380000000</v>
      </c>
      <c r="H29" s="92">
        <f t="shared" si="4"/>
        <v>21420000</v>
      </c>
      <c r="I29" s="153">
        <f t="shared" si="0"/>
        <v>11268629.862389427</v>
      </c>
      <c r="J29" s="264">
        <v>8.0000000000000002E-3</v>
      </c>
      <c r="K29" s="153">
        <f t="shared" si="1"/>
        <v>52925477.736423939</v>
      </c>
      <c r="L29" s="264">
        <v>1.7999999999999999E-2</v>
      </c>
      <c r="M29" s="290">
        <f t="shared" si="2"/>
        <v>64194107.59881337</v>
      </c>
      <c r="N29" s="286">
        <f t="shared" si="3"/>
        <v>225944107.59881335</v>
      </c>
    </row>
    <row r="30" spans="1:14" x14ac:dyDescent="0.3">
      <c r="A30" s="340"/>
      <c r="B30" s="256" t="s">
        <v>230</v>
      </c>
      <c r="C30" s="262">
        <v>100000</v>
      </c>
      <c r="D30" s="262">
        <v>400000</v>
      </c>
      <c r="E30" s="8">
        <v>0</v>
      </c>
      <c r="F30" s="2">
        <f t="shared" si="5"/>
        <v>238960000</v>
      </c>
      <c r="G30" s="2">
        <v>380000000</v>
      </c>
      <c r="H30" s="92">
        <f t="shared" si="4"/>
        <v>21840000</v>
      </c>
      <c r="I30" s="153">
        <f t="shared" si="0"/>
        <v>11458778.901288543</v>
      </c>
      <c r="J30" s="264">
        <v>8.0000000000000002E-3</v>
      </c>
      <c r="K30" s="153">
        <f t="shared" si="1"/>
        <v>54278136.335679568</v>
      </c>
      <c r="L30" s="264">
        <v>1.7999999999999999E-2</v>
      </c>
      <c r="M30" s="290">
        <f t="shared" si="2"/>
        <v>65736915.236968115</v>
      </c>
      <c r="N30" s="286">
        <f t="shared" si="3"/>
        <v>228616915.2369681</v>
      </c>
    </row>
    <row r="31" spans="1:14" x14ac:dyDescent="0.3">
      <c r="A31" s="340"/>
      <c r="B31" s="256" t="s">
        <v>231</v>
      </c>
      <c r="C31" s="262">
        <v>100000</v>
      </c>
      <c r="D31" s="262">
        <v>400000</v>
      </c>
      <c r="E31" s="8">
        <v>0</v>
      </c>
      <c r="F31" s="2">
        <f t="shared" si="5"/>
        <v>238250000</v>
      </c>
      <c r="G31" s="2">
        <v>380000000</v>
      </c>
      <c r="H31" s="92">
        <f t="shared" si="4"/>
        <v>22260000</v>
      </c>
      <c r="I31" s="153">
        <f t="shared" si="0"/>
        <v>11650449.132498851</v>
      </c>
      <c r="J31" s="264">
        <v>8.0000000000000002E-3</v>
      </c>
      <c r="K31" s="153">
        <f t="shared" si="1"/>
        <v>55655142.789721802</v>
      </c>
      <c r="L31" s="264">
        <v>1.7999999999999999E-2</v>
      </c>
      <c r="M31" s="290">
        <f t="shared" si="2"/>
        <v>67305591.922220647</v>
      </c>
      <c r="N31" s="286">
        <f t="shared" si="3"/>
        <v>231315591.92222065</v>
      </c>
    </row>
    <row r="32" spans="1:14" x14ac:dyDescent="0.3">
      <c r="A32" s="340"/>
      <c r="B32" s="256" t="s">
        <v>232</v>
      </c>
      <c r="C32" s="262">
        <v>100000</v>
      </c>
      <c r="D32" s="262">
        <v>400000</v>
      </c>
      <c r="E32" s="8">
        <v>0</v>
      </c>
      <c r="F32" s="2">
        <f t="shared" si="5"/>
        <v>237540000</v>
      </c>
      <c r="G32" s="2">
        <v>380000000</v>
      </c>
      <c r="H32" s="92">
        <f t="shared" si="4"/>
        <v>22680000</v>
      </c>
      <c r="I32" s="153">
        <f t="shared" si="0"/>
        <v>11843652.725558842</v>
      </c>
      <c r="J32" s="264">
        <v>8.0000000000000002E-3</v>
      </c>
      <c r="K32" s="153">
        <f t="shared" si="1"/>
        <v>57056935.359936796</v>
      </c>
      <c r="L32" s="264">
        <v>1.7999999999999999E-2</v>
      </c>
      <c r="M32" s="290">
        <f t="shared" si="2"/>
        <v>68900588.085495636</v>
      </c>
      <c r="N32" s="286">
        <f t="shared" si="3"/>
        <v>234040588.08549565</v>
      </c>
    </row>
    <row r="33" spans="1:14" x14ac:dyDescent="0.3">
      <c r="A33" s="340"/>
      <c r="B33" s="256" t="s">
        <v>233</v>
      </c>
      <c r="C33" s="262">
        <v>100000</v>
      </c>
      <c r="D33" s="262">
        <v>400000</v>
      </c>
      <c r="E33" s="8">
        <v>0</v>
      </c>
      <c r="F33" s="2">
        <f t="shared" si="5"/>
        <v>236830000</v>
      </c>
      <c r="G33" s="2">
        <v>380000000</v>
      </c>
      <c r="H33" s="92">
        <f t="shared" si="4"/>
        <v>23100000</v>
      </c>
      <c r="I33" s="153">
        <f t="shared" si="0"/>
        <v>12038401.947363311</v>
      </c>
      <c r="J33" s="264">
        <v>8.0000000000000002E-3</v>
      </c>
      <c r="K33" s="153">
        <f t="shared" si="1"/>
        <v>58483960.196415655</v>
      </c>
      <c r="L33" s="264">
        <v>1.7999999999999999E-2</v>
      </c>
      <c r="M33" s="290">
        <f t="shared" si="2"/>
        <v>70522362.143778965</v>
      </c>
      <c r="N33" s="286">
        <f t="shared" si="3"/>
        <v>236792362.14377898</v>
      </c>
    </row>
    <row r="34" spans="1:14" s="96" customFormat="1" x14ac:dyDescent="0.3">
      <c r="A34" s="340"/>
      <c r="B34" s="275" t="s">
        <v>234</v>
      </c>
      <c r="C34" s="266">
        <f xml:space="preserve"> 100000 + 3000000</f>
        <v>3100000</v>
      </c>
      <c r="D34" s="266">
        <f xml:space="preserve"> 400000 - 3000000 -10000000</f>
        <v>-12600000</v>
      </c>
      <c r="E34" s="267">
        <v>0</v>
      </c>
      <c r="F34" s="268">
        <f t="shared" si="5"/>
        <v>236120000</v>
      </c>
      <c r="G34" s="268">
        <v>380000000</v>
      </c>
      <c r="H34" s="92">
        <f t="shared" si="4"/>
        <v>23520000</v>
      </c>
      <c r="I34" s="153">
        <f t="shared" si="0"/>
        <v>15234709.162942218</v>
      </c>
      <c r="J34" s="269">
        <v>8.0000000000000002E-3</v>
      </c>
      <c r="K34" s="153">
        <f t="shared" si="1"/>
        <v>46936671.479951136</v>
      </c>
      <c r="L34" s="269">
        <v>1.7999999999999999E-2</v>
      </c>
      <c r="M34" s="291">
        <f t="shared" si="2"/>
        <v>62171380.642893352</v>
      </c>
      <c r="N34" s="286">
        <f t="shared" si="3"/>
        <v>229571380.64289331</v>
      </c>
    </row>
    <row r="35" spans="1:14" x14ac:dyDescent="0.3">
      <c r="A35" s="340">
        <v>2028</v>
      </c>
      <c r="B35" s="256" t="s">
        <v>235</v>
      </c>
      <c r="C35" s="262">
        <v>100000</v>
      </c>
      <c r="D35" s="262">
        <v>400000</v>
      </c>
      <c r="E35" s="8">
        <v>0</v>
      </c>
      <c r="F35" s="2">
        <f t="shared" si="5"/>
        <v>235410000</v>
      </c>
      <c r="G35" s="2">
        <v>380000000</v>
      </c>
      <c r="H35" s="92">
        <f t="shared" si="4"/>
        <v>23940000</v>
      </c>
      <c r="I35" s="153">
        <f t="shared" si="0"/>
        <v>15456586.836245755</v>
      </c>
      <c r="J35" s="264">
        <v>8.0000000000000002E-3</v>
      </c>
      <c r="K35" s="153">
        <f t="shared" si="1"/>
        <v>48181531.566590257</v>
      </c>
      <c r="L35" s="264">
        <v>1.7999999999999999E-2</v>
      </c>
      <c r="M35" s="290">
        <f t="shared" si="2"/>
        <v>63638118.40283601</v>
      </c>
      <c r="N35" s="286">
        <f t="shared" si="3"/>
        <v>232168118.40283602</v>
      </c>
    </row>
    <row r="36" spans="1:14" x14ac:dyDescent="0.3">
      <c r="A36" s="340"/>
      <c r="B36" s="256" t="s">
        <v>236</v>
      </c>
      <c r="C36" s="262">
        <v>100000</v>
      </c>
      <c r="D36" s="262">
        <v>400000</v>
      </c>
      <c r="E36" s="8">
        <v>0</v>
      </c>
      <c r="F36" s="2">
        <f t="shared" si="5"/>
        <v>234700000</v>
      </c>
      <c r="G36" s="2">
        <v>380000000</v>
      </c>
      <c r="H36" s="92">
        <f t="shared" si="4"/>
        <v>24360000</v>
      </c>
      <c r="I36" s="153">
        <f t="shared" si="0"/>
        <v>15680239.530935721</v>
      </c>
      <c r="J36" s="264">
        <v>8.0000000000000002E-3</v>
      </c>
      <c r="K36" s="153">
        <f t="shared" si="1"/>
        <v>49448799.134788878</v>
      </c>
      <c r="L36" s="264">
        <v>1.7999999999999999E-2</v>
      </c>
      <c r="M36" s="290">
        <f t="shared" si="2"/>
        <v>65129038.665724598</v>
      </c>
      <c r="N36" s="286">
        <f t="shared" si="3"/>
        <v>234789038.66572464</v>
      </c>
    </row>
    <row r="37" spans="1:14" x14ac:dyDescent="0.3">
      <c r="A37" s="340"/>
      <c r="B37" s="256" t="s">
        <v>237</v>
      </c>
      <c r="C37" s="262">
        <v>100000</v>
      </c>
      <c r="D37" s="262">
        <v>400000</v>
      </c>
      <c r="E37" s="8">
        <v>0</v>
      </c>
      <c r="F37" s="2">
        <f t="shared" si="5"/>
        <v>233990000</v>
      </c>
      <c r="G37" s="2">
        <v>380000000</v>
      </c>
      <c r="H37" s="92">
        <f t="shared" si="4"/>
        <v>24780000</v>
      </c>
      <c r="I37" s="153">
        <f t="shared" ref="I37:I68" si="6" xml:space="preserve"> (I36 * J37) + (I36 + C37)</f>
        <v>15905681.447183207</v>
      </c>
      <c r="J37" s="264">
        <v>8.0000000000000002E-3</v>
      </c>
      <c r="K37" s="153">
        <f t="shared" ref="K37:K68" si="7" xml:space="preserve">  K36 * L37 + D37 + K36</f>
        <v>50738877.519215077</v>
      </c>
      <c r="L37" s="264">
        <v>1.7999999999999999E-2</v>
      </c>
      <c r="M37" s="290">
        <f t="shared" si="2"/>
        <v>66644558.966398284</v>
      </c>
      <c r="N37" s="286">
        <f t="shared" si="3"/>
        <v>237434558.9663983</v>
      </c>
    </row>
    <row r="38" spans="1:14" x14ac:dyDescent="0.3">
      <c r="A38" s="340"/>
      <c r="B38" s="256" t="s">
        <v>238</v>
      </c>
      <c r="C38" s="262">
        <v>100000</v>
      </c>
      <c r="D38" s="262">
        <v>400000</v>
      </c>
      <c r="E38" s="8">
        <v>0</v>
      </c>
      <c r="F38" s="2">
        <f t="shared" si="5"/>
        <v>233280000</v>
      </c>
      <c r="G38" s="2">
        <v>380000000</v>
      </c>
      <c r="H38" s="92">
        <f t="shared" si="4"/>
        <v>25200000</v>
      </c>
      <c r="I38" s="153">
        <f t="shared" si="6"/>
        <v>16132926.898760673</v>
      </c>
      <c r="J38" s="264">
        <v>8.0000000000000002E-3</v>
      </c>
      <c r="K38" s="153">
        <f t="shared" si="7"/>
        <v>52052177.31456095</v>
      </c>
      <c r="L38" s="264">
        <v>1.7999999999999999E-2</v>
      </c>
      <c r="M38" s="290">
        <f t="shared" si="2"/>
        <v>68185104.213321626</v>
      </c>
      <c r="N38" s="286">
        <f t="shared" si="3"/>
        <v>240105104.21332163</v>
      </c>
    </row>
    <row r="39" spans="1:14" x14ac:dyDescent="0.3">
      <c r="A39" s="340"/>
      <c r="B39" s="256" t="s">
        <v>239</v>
      </c>
      <c r="C39" s="262">
        <v>100000</v>
      </c>
      <c r="D39" s="262">
        <v>400000</v>
      </c>
      <c r="E39" s="8">
        <v>0</v>
      </c>
      <c r="F39" s="2">
        <f t="shared" si="5"/>
        <v>232570000</v>
      </c>
      <c r="G39" s="2">
        <v>380000000</v>
      </c>
      <c r="H39" s="92">
        <f t="shared" si="4"/>
        <v>25620000</v>
      </c>
      <c r="I39" s="153">
        <f t="shared" si="6"/>
        <v>16361990.313950758</v>
      </c>
      <c r="J39" s="264">
        <v>8.0000000000000002E-3</v>
      </c>
      <c r="K39" s="153">
        <f t="shared" si="7"/>
        <v>53389116.506223045</v>
      </c>
      <c r="L39" s="264">
        <v>1.7999999999999999E-2</v>
      </c>
      <c r="M39" s="290">
        <f t="shared" si="2"/>
        <v>69751106.8201738</v>
      </c>
      <c r="N39" s="286">
        <f t="shared" si="3"/>
        <v>242801106.8201738</v>
      </c>
    </row>
    <row r="40" spans="1:14" x14ac:dyDescent="0.3">
      <c r="A40" s="340"/>
      <c r="B40" s="256" t="s">
        <v>226</v>
      </c>
      <c r="C40" s="262">
        <v>100000</v>
      </c>
      <c r="D40" s="262">
        <v>400000</v>
      </c>
      <c r="E40" s="8">
        <v>0</v>
      </c>
      <c r="F40" s="2">
        <f t="shared" si="5"/>
        <v>231860000</v>
      </c>
      <c r="G40" s="2">
        <v>380000000</v>
      </c>
      <c r="H40" s="92">
        <f t="shared" si="4"/>
        <v>26040000</v>
      </c>
      <c r="I40" s="153">
        <f t="shared" si="6"/>
        <v>16592886.236462364</v>
      </c>
      <c r="J40" s="264">
        <v>8.0000000000000002E-3</v>
      </c>
      <c r="K40" s="153">
        <f t="shared" si="7"/>
        <v>54750120.60333506</v>
      </c>
      <c r="L40" s="264">
        <v>1.7999999999999999E-2</v>
      </c>
      <c r="M40" s="290">
        <f t="shared" si="2"/>
        <v>71343006.839797422</v>
      </c>
      <c r="N40" s="286">
        <f t="shared" si="3"/>
        <v>245523006.83979744</v>
      </c>
    </row>
    <row r="41" spans="1:14" x14ac:dyDescent="0.3">
      <c r="A41" s="340"/>
      <c r="B41" s="256" t="s">
        <v>228</v>
      </c>
      <c r="C41" s="262">
        <v>100000</v>
      </c>
      <c r="D41" s="262">
        <v>400000</v>
      </c>
      <c r="E41" s="8">
        <v>0</v>
      </c>
      <c r="F41" s="2">
        <f t="shared" si="5"/>
        <v>231150000</v>
      </c>
      <c r="G41" s="2">
        <v>380000000</v>
      </c>
      <c r="H41" s="92">
        <f t="shared" si="4"/>
        <v>26460000</v>
      </c>
      <c r="I41" s="153">
        <f t="shared" si="6"/>
        <v>16825629.326354064</v>
      </c>
      <c r="J41" s="264">
        <v>8.0000000000000002E-3</v>
      </c>
      <c r="K41" s="153">
        <f t="shared" si="7"/>
        <v>56135622.77419509</v>
      </c>
      <c r="L41" s="264">
        <v>1.7999999999999999E-2</v>
      </c>
      <c r="M41" s="290">
        <f t="shared" si="2"/>
        <v>72961252.100549161</v>
      </c>
      <c r="N41" s="286">
        <f t="shared" si="3"/>
        <v>248271252.10054916</v>
      </c>
    </row>
    <row r="42" spans="1:14" x14ac:dyDescent="0.3">
      <c r="A42" s="340"/>
      <c r="B42" s="256" t="s">
        <v>230</v>
      </c>
      <c r="C42" s="262">
        <v>100000</v>
      </c>
      <c r="D42" s="262">
        <v>400000</v>
      </c>
      <c r="E42" s="8">
        <v>0</v>
      </c>
      <c r="F42" s="2">
        <f t="shared" si="5"/>
        <v>230440000</v>
      </c>
      <c r="G42" s="2">
        <v>380000000</v>
      </c>
      <c r="H42" s="92">
        <f t="shared" si="4"/>
        <v>26880000</v>
      </c>
      <c r="I42" s="153">
        <f t="shared" si="6"/>
        <v>17060234.360964898</v>
      </c>
      <c r="J42" s="264">
        <v>8.0000000000000002E-3</v>
      </c>
      <c r="K42" s="153">
        <f t="shared" si="7"/>
        <v>57546063.984130599</v>
      </c>
      <c r="L42" s="264">
        <v>1.7999999999999999E-2</v>
      </c>
      <c r="M42" s="290">
        <f t="shared" si="2"/>
        <v>74606298.3450955</v>
      </c>
      <c r="N42" s="286">
        <f t="shared" si="3"/>
        <v>251046298.34509552</v>
      </c>
    </row>
    <row r="43" spans="1:14" x14ac:dyDescent="0.3">
      <c r="A43" s="340"/>
      <c r="B43" s="256" t="s">
        <v>231</v>
      </c>
      <c r="C43" s="262">
        <v>100000</v>
      </c>
      <c r="D43" s="262">
        <v>400000</v>
      </c>
      <c r="E43" s="8">
        <v>0</v>
      </c>
      <c r="F43" s="2">
        <f t="shared" si="5"/>
        <v>229730000</v>
      </c>
      <c r="G43" s="2">
        <v>380000000</v>
      </c>
      <c r="H43" s="92">
        <f t="shared" si="4"/>
        <v>27300000</v>
      </c>
      <c r="I43" s="153">
        <f t="shared" si="6"/>
        <v>17296716.235852618</v>
      </c>
      <c r="J43" s="264">
        <v>8.0000000000000002E-3</v>
      </c>
      <c r="K43" s="153">
        <f t="shared" si="7"/>
        <v>58981893.135844946</v>
      </c>
      <c r="L43" s="264">
        <v>1.7999999999999999E-2</v>
      </c>
      <c r="M43" s="290">
        <f t="shared" si="2"/>
        <v>76278609.37169756</v>
      </c>
      <c r="N43" s="286">
        <f t="shared" si="3"/>
        <v>253848609.37169755</v>
      </c>
    </row>
    <row r="44" spans="1:14" x14ac:dyDescent="0.3">
      <c r="A44" s="340"/>
      <c r="B44" s="256" t="s">
        <v>232</v>
      </c>
      <c r="C44" s="262">
        <v>100000</v>
      </c>
      <c r="D44" s="262">
        <v>400000</v>
      </c>
      <c r="E44" s="8">
        <v>0</v>
      </c>
      <c r="F44" s="2">
        <f t="shared" si="5"/>
        <v>229020000</v>
      </c>
      <c r="G44" s="2">
        <v>380000000</v>
      </c>
      <c r="H44" s="92">
        <f t="shared" si="4"/>
        <v>27720000</v>
      </c>
      <c r="I44" s="153">
        <f t="shared" si="6"/>
        <v>17535089.96573944</v>
      </c>
      <c r="J44" s="264">
        <v>8.0000000000000002E-3</v>
      </c>
      <c r="K44" s="153">
        <f t="shared" si="7"/>
        <v>60443567.212290153</v>
      </c>
      <c r="L44" s="264">
        <v>1.7999999999999999E-2</v>
      </c>
      <c r="M44" s="290">
        <f t="shared" si="2"/>
        <v>77978657.178029597</v>
      </c>
      <c r="N44" s="286">
        <f t="shared" si="3"/>
        <v>256678657.1780296</v>
      </c>
    </row>
    <row r="45" spans="1:14" x14ac:dyDescent="0.3">
      <c r="A45" s="340"/>
      <c r="B45" s="256" t="s">
        <v>233</v>
      </c>
      <c r="C45" s="262">
        <v>100000</v>
      </c>
      <c r="D45" s="262">
        <v>400000</v>
      </c>
      <c r="E45" s="8">
        <v>0</v>
      </c>
      <c r="F45" s="2">
        <f t="shared" si="5"/>
        <v>228310000</v>
      </c>
      <c r="G45" s="2">
        <v>380000000</v>
      </c>
      <c r="H45" s="92">
        <f t="shared" si="4"/>
        <v>28140000</v>
      </c>
      <c r="I45" s="153">
        <f t="shared" si="6"/>
        <v>17775370.685465354</v>
      </c>
      <c r="J45" s="264">
        <v>8.0000000000000002E-3</v>
      </c>
      <c r="K45" s="153">
        <f t="shared" si="7"/>
        <v>61931551.422111377</v>
      </c>
      <c r="L45" s="264">
        <v>1.7999999999999999E-2</v>
      </c>
      <c r="M45" s="290">
        <f t="shared" si="2"/>
        <v>79706922.107576728</v>
      </c>
      <c r="N45" s="286">
        <f t="shared" si="3"/>
        <v>259536922.10757673</v>
      </c>
    </row>
    <row r="46" spans="1:14" s="281" customFormat="1" x14ac:dyDescent="0.3">
      <c r="A46" s="340"/>
      <c r="B46" s="278" t="s">
        <v>234</v>
      </c>
      <c r="C46" s="92">
        <f xml:space="preserve"> 100000 + 3000000</f>
        <v>3100000</v>
      </c>
      <c r="D46" s="92">
        <f xml:space="preserve"> 400000 - 3000000</f>
        <v>-2600000</v>
      </c>
      <c r="E46" s="279">
        <v>0</v>
      </c>
      <c r="F46" s="131">
        <f xml:space="preserve"> F45 - 710000</f>
        <v>227600000</v>
      </c>
      <c r="G46" s="131">
        <v>380000000</v>
      </c>
      <c r="H46" s="92">
        <f t="shared" si="4"/>
        <v>28560000</v>
      </c>
      <c r="I46" s="153">
        <f t="shared" si="6"/>
        <v>21017573.650949076</v>
      </c>
      <c r="J46" s="280">
        <v>8.0000000000000002E-3</v>
      </c>
      <c r="K46" s="153">
        <f t="shared" si="7"/>
        <v>60446319.34770938</v>
      </c>
      <c r="L46" s="280">
        <v>1.7999999999999999E-2</v>
      </c>
      <c r="M46" s="292">
        <f t="shared" si="2"/>
        <v>81463892.998658448</v>
      </c>
      <c r="N46" s="286">
        <f t="shared" si="3"/>
        <v>262423892.99865842</v>
      </c>
    </row>
    <row r="47" spans="1:14" x14ac:dyDescent="0.3">
      <c r="A47" s="340">
        <v>2029</v>
      </c>
      <c r="B47" s="256" t="s">
        <v>235</v>
      </c>
      <c r="C47" s="262">
        <v>100000</v>
      </c>
      <c r="D47" s="262">
        <v>400000</v>
      </c>
      <c r="E47" s="8">
        <v>0</v>
      </c>
      <c r="F47" s="2">
        <f t="shared" si="5"/>
        <v>226890000</v>
      </c>
      <c r="G47" s="2">
        <v>380000000</v>
      </c>
      <c r="H47" s="92">
        <f t="shared" si="4"/>
        <v>28980000</v>
      </c>
      <c r="I47" s="153">
        <f t="shared" si="6"/>
        <v>21285714.240156669</v>
      </c>
      <c r="J47" s="264">
        <v>8.0000000000000002E-3</v>
      </c>
      <c r="K47" s="153">
        <f t="shared" si="7"/>
        <v>61934353.09596815</v>
      </c>
      <c r="L47" s="264">
        <v>1.7999999999999999E-2</v>
      </c>
      <c r="M47" s="290">
        <f t="shared" si="2"/>
        <v>83220067.336124822</v>
      </c>
      <c r="N47" s="286">
        <f t="shared" si="3"/>
        <v>265310067.33612484</v>
      </c>
    </row>
    <row r="48" spans="1:14" x14ac:dyDescent="0.3">
      <c r="A48" s="340"/>
      <c r="B48" s="256" t="s">
        <v>236</v>
      </c>
      <c r="C48" s="262">
        <v>100000</v>
      </c>
      <c r="D48" s="262">
        <v>400000</v>
      </c>
      <c r="E48" s="8">
        <v>0</v>
      </c>
      <c r="F48" s="2">
        <f t="shared" si="5"/>
        <v>226180000</v>
      </c>
      <c r="G48" s="2">
        <v>380000000</v>
      </c>
      <c r="H48" s="92">
        <f t="shared" si="4"/>
        <v>29400000</v>
      </c>
      <c r="I48" s="153">
        <f t="shared" si="6"/>
        <v>21555999.954077922</v>
      </c>
      <c r="J48" s="264">
        <v>8.0000000000000002E-3</v>
      </c>
      <c r="K48" s="153">
        <f t="shared" si="7"/>
        <v>63449171.451695576</v>
      </c>
      <c r="L48" s="264">
        <v>1.7999999999999999E-2</v>
      </c>
      <c r="M48" s="290">
        <f t="shared" si="2"/>
        <v>85005171.405773491</v>
      </c>
      <c r="N48" s="286">
        <f t="shared" si="3"/>
        <v>268225171.40577352</v>
      </c>
    </row>
    <row r="49" spans="1:14" x14ac:dyDescent="0.3">
      <c r="A49" s="340"/>
      <c r="B49" s="256" t="s">
        <v>237</v>
      </c>
      <c r="C49" s="262">
        <v>100000</v>
      </c>
      <c r="D49" s="262">
        <v>400000</v>
      </c>
      <c r="E49" s="8">
        <v>0</v>
      </c>
      <c r="F49" s="2">
        <f t="shared" si="5"/>
        <v>225470000</v>
      </c>
      <c r="G49" s="2">
        <v>380000000</v>
      </c>
      <c r="H49" s="92">
        <f t="shared" si="4"/>
        <v>29820000</v>
      </c>
      <c r="I49" s="153">
        <f t="shared" si="6"/>
        <v>21828447.953710545</v>
      </c>
      <c r="J49" s="264">
        <v>8.0000000000000002E-3</v>
      </c>
      <c r="K49" s="153">
        <f t="shared" si="7"/>
        <v>64991256.537826099</v>
      </c>
      <c r="L49" s="264">
        <v>1.7999999999999999E-2</v>
      </c>
      <c r="M49" s="290">
        <f t="shared" si="2"/>
        <v>86819704.491536647</v>
      </c>
      <c r="N49" s="286">
        <f t="shared" si="3"/>
        <v>271169704.49153662</v>
      </c>
    </row>
    <row r="50" spans="1:14" x14ac:dyDescent="0.3">
      <c r="A50" s="340"/>
      <c r="B50" s="256" t="s">
        <v>238</v>
      </c>
      <c r="C50" s="262">
        <v>100000</v>
      </c>
      <c r="D50" s="262">
        <v>400000</v>
      </c>
      <c r="E50" s="8">
        <v>0</v>
      </c>
      <c r="F50" s="2">
        <f t="shared" si="5"/>
        <v>224760000</v>
      </c>
      <c r="G50" s="2">
        <v>380000000</v>
      </c>
      <c r="H50" s="92">
        <f t="shared" si="4"/>
        <v>30240000</v>
      </c>
      <c r="I50" s="153">
        <f t="shared" si="6"/>
        <v>22103075.537340228</v>
      </c>
      <c r="J50" s="264">
        <v>8.0000000000000002E-3</v>
      </c>
      <c r="K50" s="153">
        <f t="shared" si="7"/>
        <v>66561099.155506968</v>
      </c>
      <c r="L50" s="264">
        <v>1.7999999999999999E-2</v>
      </c>
      <c r="M50" s="290">
        <f t="shared" si="2"/>
        <v>88664174.692847192</v>
      </c>
      <c r="N50" s="286">
        <f t="shared" si="3"/>
        <v>274144174.69284719</v>
      </c>
    </row>
    <row r="51" spans="1:14" x14ac:dyDescent="0.3">
      <c r="A51" s="340"/>
      <c r="B51" s="256" t="s">
        <v>239</v>
      </c>
      <c r="C51" s="262">
        <v>100000</v>
      </c>
      <c r="D51" s="262">
        <v>400000</v>
      </c>
      <c r="E51" s="8">
        <v>0</v>
      </c>
      <c r="F51" s="2">
        <f t="shared" si="5"/>
        <v>224050000</v>
      </c>
      <c r="G51" s="2">
        <v>380000000</v>
      </c>
      <c r="H51" s="92">
        <f t="shared" si="4"/>
        <v>30660000</v>
      </c>
      <c r="I51" s="153">
        <f t="shared" si="6"/>
        <v>22379900.14163895</v>
      </c>
      <c r="J51" s="264">
        <v>8.0000000000000002E-3</v>
      </c>
      <c r="K51" s="153">
        <f t="shared" si="7"/>
        <v>68159198.940306097</v>
      </c>
      <c r="L51" s="264">
        <v>1.7999999999999999E-2</v>
      </c>
      <c r="M51" s="290">
        <f t="shared" si="2"/>
        <v>90539099.081945047</v>
      </c>
      <c r="N51" s="286">
        <f t="shared" si="3"/>
        <v>277149099.08194506</v>
      </c>
    </row>
    <row r="52" spans="1:14" x14ac:dyDescent="0.3">
      <c r="A52" s="340"/>
      <c r="B52" s="256" t="s">
        <v>226</v>
      </c>
      <c r="C52" s="262">
        <v>100000</v>
      </c>
      <c r="D52" s="262">
        <v>400000</v>
      </c>
      <c r="E52" s="8">
        <v>0</v>
      </c>
      <c r="F52" s="2">
        <f t="shared" si="5"/>
        <v>223340000</v>
      </c>
      <c r="G52" s="2">
        <v>380000000</v>
      </c>
      <c r="H52" s="92">
        <f t="shared" si="4"/>
        <v>31080000</v>
      </c>
      <c r="I52" s="153">
        <f t="shared" si="6"/>
        <v>22658939.342772063</v>
      </c>
      <c r="J52" s="264">
        <v>8.0000000000000002E-3</v>
      </c>
      <c r="K52" s="153">
        <f t="shared" si="7"/>
        <v>69786064.521231607</v>
      </c>
      <c r="L52" s="264">
        <v>1.7999999999999999E-2</v>
      </c>
      <c r="M52" s="290">
        <f t="shared" si="2"/>
        <v>92445003.864003673</v>
      </c>
      <c r="N52" s="286">
        <f t="shared" si="3"/>
        <v>280185003.86400366</v>
      </c>
    </row>
    <row r="53" spans="1:14" x14ac:dyDescent="0.3">
      <c r="A53" s="340"/>
      <c r="B53" s="256" t="s">
        <v>228</v>
      </c>
      <c r="C53" s="262">
        <v>100000</v>
      </c>
      <c r="D53" s="262">
        <v>400000</v>
      </c>
      <c r="E53" s="8">
        <v>0</v>
      </c>
      <c r="F53" s="2">
        <f t="shared" si="5"/>
        <v>222630000</v>
      </c>
      <c r="G53" s="2">
        <v>380000000</v>
      </c>
      <c r="H53" s="92">
        <f t="shared" si="4"/>
        <v>31500000</v>
      </c>
      <c r="I53" s="153">
        <f t="shared" si="6"/>
        <v>22940210.85751424</v>
      </c>
      <c r="J53" s="264">
        <v>8.0000000000000002E-3</v>
      </c>
      <c r="K53" s="153">
        <f t="shared" si="7"/>
        <v>71442213.682613775</v>
      </c>
      <c r="L53" s="264">
        <v>1.7999999999999999E-2</v>
      </c>
      <c r="M53" s="290">
        <f t="shared" si="2"/>
        <v>94382424.540128022</v>
      </c>
      <c r="N53" s="286">
        <f t="shared" si="3"/>
        <v>283252424.54012799</v>
      </c>
    </row>
    <row r="54" spans="1:14" x14ac:dyDescent="0.3">
      <c r="A54" s="340"/>
      <c r="B54" s="256" t="s">
        <v>230</v>
      </c>
      <c r="C54" s="262">
        <v>100000</v>
      </c>
      <c r="D54" s="262">
        <v>400000</v>
      </c>
      <c r="E54" s="8">
        <v>0</v>
      </c>
      <c r="F54" s="2">
        <f t="shared" si="5"/>
        <v>221920000</v>
      </c>
      <c r="G54" s="2">
        <v>380000000</v>
      </c>
      <c r="H54" s="92">
        <f t="shared" si="4"/>
        <v>31920000</v>
      </c>
      <c r="I54" s="153">
        <f t="shared" si="6"/>
        <v>23223732.544374354</v>
      </c>
      <c r="J54" s="264">
        <v>8.0000000000000002E-3</v>
      </c>
      <c r="K54" s="153">
        <f t="shared" si="7"/>
        <v>73128173.528900817</v>
      </c>
      <c r="L54" s="264">
        <v>1.7999999999999999E-2</v>
      </c>
      <c r="M54" s="290">
        <f t="shared" si="2"/>
        <v>96351906.073275179</v>
      </c>
      <c r="N54" s="286">
        <f t="shared" si="3"/>
        <v>286351906.07327521</v>
      </c>
    </row>
    <row r="55" spans="1:14" x14ac:dyDescent="0.3">
      <c r="A55" s="340"/>
      <c r="B55" s="256" t="s">
        <v>231</v>
      </c>
      <c r="C55" s="262">
        <v>100000</v>
      </c>
      <c r="D55" s="262">
        <v>400000</v>
      </c>
      <c r="E55" s="8">
        <v>0</v>
      </c>
      <c r="F55" s="2">
        <f t="shared" si="5"/>
        <v>221210000</v>
      </c>
      <c r="G55" s="2">
        <v>380000000</v>
      </c>
      <c r="H55" s="92">
        <f t="shared" si="4"/>
        <v>32340000</v>
      </c>
      <c r="I55" s="153">
        <f t="shared" si="6"/>
        <v>23509522.404729348</v>
      </c>
      <c r="J55" s="264">
        <v>8.0000000000000002E-3</v>
      </c>
      <c r="K55" s="153">
        <f t="shared" si="7"/>
        <v>74844480.652421027</v>
      </c>
      <c r="L55" s="264">
        <v>1.7999999999999999E-2</v>
      </c>
      <c r="M55" s="290">
        <f t="shared" si="2"/>
        <v>98354003.057150379</v>
      </c>
      <c r="N55" s="286">
        <f t="shared" si="3"/>
        <v>289484003.05715036</v>
      </c>
    </row>
    <row r="56" spans="1:14" x14ac:dyDescent="0.3">
      <c r="A56" s="340"/>
      <c r="B56" s="256" t="s">
        <v>232</v>
      </c>
      <c r="C56" s="262">
        <v>100000</v>
      </c>
      <c r="D56" s="262">
        <v>400000</v>
      </c>
      <c r="E56" s="8">
        <v>0</v>
      </c>
      <c r="F56" s="2">
        <f t="shared" si="5"/>
        <v>220500000</v>
      </c>
      <c r="G56" s="2">
        <v>380000000</v>
      </c>
      <c r="H56" s="92">
        <f t="shared" si="4"/>
        <v>32760000</v>
      </c>
      <c r="I56" s="153">
        <f t="shared" si="6"/>
        <v>23797598.583967183</v>
      </c>
      <c r="J56" s="264">
        <v>8.0000000000000002E-3</v>
      </c>
      <c r="K56" s="153">
        <f t="shared" si="7"/>
        <v>76591681.304164603</v>
      </c>
      <c r="L56" s="264">
        <v>1.7999999999999999E-2</v>
      </c>
      <c r="M56" s="290">
        <f t="shared" si="2"/>
        <v>100389279.88813178</v>
      </c>
      <c r="N56" s="286">
        <f t="shared" si="3"/>
        <v>292649279.8881318</v>
      </c>
    </row>
    <row r="57" spans="1:14" x14ac:dyDescent="0.3">
      <c r="A57" s="340"/>
      <c r="B57" s="256" t="s">
        <v>233</v>
      </c>
      <c r="C57" s="262">
        <v>100000</v>
      </c>
      <c r="D57" s="262">
        <v>400000</v>
      </c>
      <c r="E57" s="8">
        <v>0</v>
      </c>
      <c r="F57" s="2">
        <f t="shared" si="5"/>
        <v>219790000</v>
      </c>
      <c r="G57" s="2">
        <v>380000000</v>
      </c>
      <c r="H57" s="92">
        <f t="shared" si="4"/>
        <v>33180000</v>
      </c>
      <c r="I57" s="153">
        <f t="shared" si="6"/>
        <v>24087979.372638918</v>
      </c>
      <c r="J57" s="264">
        <v>8.0000000000000002E-3</v>
      </c>
      <c r="K57" s="153">
        <f t="shared" si="7"/>
        <v>78370331.56763956</v>
      </c>
      <c r="L57" s="264">
        <v>1.7999999999999999E-2</v>
      </c>
      <c r="M57" s="290">
        <f t="shared" si="2"/>
        <v>102458310.94027847</v>
      </c>
      <c r="N57" s="286">
        <f t="shared" si="3"/>
        <v>295848310.94027847</v>
      </c>
    </row>
    <row r="58" spans="1:14" s="281" customFormat="1" x14ac:dyDescent="0.3">
      <c r="A58" s="340"/>
      <c r="B58" s="278" t="s">
        <v>234</v>
      </c>
      <c r="C58" s="92">
        <f xml:space="preserve"> 100000 + 3000000</f>
        <v>3100000</v>
      </c>
      <c r="D58" s="92">
        <f xml:space="preserve"> 400000 - 3000000 - 10000000</f>
        <v>-12600000</v>
      </c>
      <c r="E58" s="279">
        <v>0</v>
      </c>
      <c r="F58" s="131">
        <f xml:space="preserve"> F57 - 710000</f>
        <v>219080000</v>
      </c>
      <c r="G58" s="131">
        <v>380000000</v>
      </c>
      <c r="H58" s="92">
        <f t="shared" si="4"/>
        <v>33600000</v>
      </c>
      <c r="I58" s="153">
        <f t="shared" si="6"/>
        <v>27380683.207620028</v>
      </c>
      <c r="J58" s="280">
        <v>8.0000000000000002E-3</v>
      </c>
      <c r="K58" s="153">
        <f t="shared" si="7"/>
        <v>67180997.535857067</v>
      </c>
      <c r="L58" s="280">
        <v>1.7999999999999999E-2</v>
      </c>
      <c r="M58" s="292">
        <f t="shared" si="2"/>
        <v>94561680.743477091</v>
      </c>
      <c r="N58" s="286">
        <f t="shared" si="3"/>
        <v>289081680.74347711</v>
      </c>
    </row>
    <row r="59" spans="1:14" x14ac:dyDescent="0.3">
      <c r="A59" s="340">
        <v>2030</v>
      </c>
      <c r="B59" s="256" t="s">
        <v>235</v>
      </c>
      <c r="C59" s="262">
        <v>100000</v>
      </c>
      <c r="D59" s="262">
        <v>400000</v>
      </c>
      <c r="E59" s="8">
        <v>0</v>
      </c>
      <c r="F59" s="2">
        <f t="shared" si="5"/>
        <v>218370000</v>
      </c>
      <c r="G59" s="2">
        <v>380000000</v>
      </c>
      <c r="H59" s="92">
        <f t="shared" si="4"/>
        <v>34020000</v>
      </c>
      <c r="I59" s="153">
        <f t="shared" si="6"/>
        <v>27699728.673280988</v>
      </c>
      <c r="J59" s="264">
        <v>8.0000000000000002E-3</v>
      </c>
      <c r="K59" s="153">
        <f t="shared" si="7"/>
        <v>68790255.491502494</v>
      </c>
      <c r="L59" s="264">
        <v>1.7999999999999999E-2</v>
      </c>
      <c r="M59" s="290">
        <f t="shared" si="2"/>
        <v>96489984.164783478</v>
      </c>
      <c r="N59" s="286">
        <f t="shared" si="3"/>
        <v>292139984.16478348</v>
      </c>
    </row>
    <row r="60" spans="1:14" x14ac:dyDescent="0.3">
      <c r="A60" s="340"/>
      <c r="B60" s="256" t="s">
        <v>236</v>
      </c>
      <c r="C60" s="262">
        <v>100000</v>
      </c>
      <c r="D60" s="262">
        <v>400000</v>
      </c>
      <c r="E60" s="8">
        <v>0</v>
      </c>
      <c r="F60" s="2">
        <f t="shared" si="5"/>
        <v>217660000</v>
      </c>
      <c r="G60" s="2">
        <v>380000000</v>
      </c>
      <c r="H60" s="92">
        <f t="shared" si="4"/>
        <v>34440000</v>
      </c>
      <c r="I60" s="153">
        <f t="shared" si="6"/>
        <v>28021326.502667237</v>
      </c>
      <c r="J60" s="264">
        <v>8.0000000000000002E-3</v>
      </c>
      <c r="K60" s="153">
        <f t="shared" si="7"/>
        <v>70428480.09034954</v>
      </c>
      <c r="L60" s="264">
        <v>1.7999999999999999E-2</v>
      </c>
      <c r="M60" s="290">
        <f t="shared" si="2"/>
        <v>98449806.593016773</v>
      </c>
      <c r="N60" s="286">
        <f t="shared" si="3"/>
        <v>295229806.59301674</v>
      </c>
    </row>
    <row r="61" spans="1:14" x14ac:dyDescent="0.3">
      <c r="A61" s="340"/>
      <c r="B61" s="256" t="s">
        <v>237</v>
      </c>
      <c r="C61" s="262">
        <v>100000</v>
      </c>
      <c r="D61" s="262">
        <v>400000</v>
      </c>
      <c r="E61" s="8">
        <v>0</v>
      </c>
      <c r="F61" s="2">
        <f t="shared" si="5"/>
        <v>216950000</v>
      </c>
      <c r="G61" s="2">
        <v>380000000</v>
      </c>
      <c r="H61" s="92">
        <f t="shared" si="4"/>
        <v>34860000</v>
      </c>
      <c r="I61" s="153">
        <f t="shared" si="6"/>
        <v>28345497.114688575</v>
      </c>
      <c r="J61" s="264">
        <v>8.0000000000000002E-3</v>
      </c>
      <c r="K61" s="153">
        <f t="shared" si="7"/>
        <v>72096192.731975839</v>
      </c>
      <c r="L61" s="264">
        <v>1.7999999999999999E-2</v>
      </c>
      <c r="M61" s="290">
        <f t="shared" si="2"/>
        <v>100441689.84666441</v>
      </c>
      <c r="N61" s="286">
        <f t="shared" si="3"/>
        <v>298351689.84666443</v>
      </c>
    </row>
    <row r="62" spans="1:14" x14ac:dyDescent="0.3">
      <c r="A62" s="340"/>
      <c r="B62" s="256" t="s">
        <v>238</v>
      </c>
      <c r="C62" s="262">
        <v>100000</v>
      </c>
      <c r="D62" s="262">
        <v>400000</v>
      </c>
      <c r="E62" s="8">
        <v>0</v>
      </c>
      <c r="F62" s="2">
        <f t="shared" si="5"/>
        <v>216240000</v>
      </c>
      <c r="G62" s="2">
        <v>380000000</v>
      </c>
      <c r="H62" s="92">
        <f t="shared" si="4"/>
        <v>35280000</v>
      </c>
      <c r="I62" s="153">
        <f t="shared" si="6"/>
        <v>28672261.091606084</v>
      </c>
      <c r="J62" s="264">
        <v>8.0000000000000002E-3</v>
      </c>
      <c r="K62" s="153">
        <f t="shared" si="7"/>
        <v>73793924.201151401</v>
      </c>
      <c r="L62" s="264">
        <v>1.7999999999999999E-2</v>
      </c>
      <c r="M62" s="290">
        <f t="shared" si="2"/>
        <v>102466185.29275748</v>
      </c>
      <c r="N62" s="286">
        <f t="shared" si="3"/>
        <v>301506185.29275751</v>
      </c>
    </row>
    <row r="63" spans="1:14" x14ac:dyDescent="0.3">
      <c r="A63" s="340"/>
      <c r="B63" s="256" t="s">
        <v>239</v>
      </c>
      <c r="C63" s="262">
        <v>100000</v>
      </c>
      <c r="D63" s="262">
        <v>400000</v>
      </c>
      <c r="E63" s="8">
        <v>0</v>
      </c>
      <c r="F63" s="2">
        <f t="shared" si="5"/>
        <v>215530000</v>
      </c>
      <c r="G63" s="2">
        <v>380000000</v>
      </c>
      <c r="H63" s="92">
        <f t="shared" si="4"/>
        <v>35700000</v>
      </c>
      <c r="I63" s="153">
        <f t="shared" si="6"/>
        <v>29001639.180338934</v>
      </c>
      <c r="J63" s="264">
        <v>8.0000000000000002E-3</v>
      </c>
      <c r="K63" s="153">
        <f t="shared" si="7"/>
        <v>75522214.836772129</v>
      </c>
      <c r="L63" s="264">
        <v>1.7999999999999999E-2</v>
      </c>
      <c r="M63" s="290">
        <f t="shared" si="2"/>
        <v>104523854.01711106</v>
      </c>
      <c r="N63" s="286">
        <f t="shared" si="3"/>
        <v>304693854.01711106</v>
      </c>
    </row>
    <row r="64" spans="1:14" x14ac:dyDescent="0.3">
      <c r="A64" s="340"/>
      <c r="B64" s="256" t="s">
        <v>226</v>
      </c>
      <c r="C64" s="262">
        <v>100000</v>
      </c>
      <c r="D64" s="262">
        <v>400000</v>
      </c>
      <c r="E64" s="8">
        <v>0</v>
      </c>
      <c r="F64" s="2">
        <f t="shared" si="5"/>
        <v>214820000</v>
      </c>
      <c r="G64" s="2">
        <v>380000000</v>
      </c>
      <c r="H64" s="92">
        <f t="shared" si="4"/>
        <v>36120000</v>
      </c>
      <c r="I64" s="153">
        <f t="shared" si="6"/>
        <v>29333652.293781646</v>
      </c>
      <c r="J64" s="264">
        <v>8.0000000000000002E-3</v>
      </c>
      <c r="K64" s="153">
        <f t="shared" si="7"/>
        <v>77281614.703834027</v>
      </c>
      <c r="L64" s="264">
        <v>1.7999999999999999E-2</v>
      </c>
      <c r="M64" s="290">
        <f t="shared" si="2"/>
        <v>106615266.99761567</v>
      </c>
      <c r="N64" s="286">
        <f t="shared" si="3"/>
        <v>307915266.99761569</v>
      </c>
    </row>
    <row r="65" spans="1:14" x14ac:dyDescent="0.3">
      <c r="A65" s="340"/>
      <c r="B65" s="256" t="s">
        <v>228</v>
      </c>
      <c r="C65" s="262">
        <v>100000</v>
      </c>
      <c r="D65" s="262">
        <v>400000</v>
      </c>
      <c r="E65" s="8">
        <v>0</v>
      </c>
      <c r="F65" s="2">
        <f t="shared" si="5"/>
        <v>214110000</v>
      </c>
      <c r="G65" s="2">
        <v>380000000</v>
      </c>
      <c r="H65" s="92">
        <f t="shared" si="4"/>
        <v>36540000</v>
      </c>
      <c r="I65" s="153">
        <f t="shared" si="6"/>
        <v>29668321.5121319</v>
      </c>
      <c r="J65" s="264">
        <v>8.0000000000000002E-3</v>
      </c>
      <c r="K65" s="153">
        <f t="shared" si="7"/>
        <v>79072683.76850304</v>
      </c>
      <c r="L65" s="264">
        <v>1.7999999999999999E-2</v>
      </c>
      <c r="M65" s="290">
        <f t="shared" si="2"/>
        <v>108741005.28063494</v>
      </c>
      <c r="N65" s="286">
        <f t="shared" si="3"/>
        <v>311171005.28063494</v>
      </c>
    </row>
    <row r="66" spans="1:14" x14ac:dyDescent="0.3">
      <c r="A66" s="340"/>
      <c r="B66" s="256" t="s">
        <v>230</v>
      </c>
      <c r="C66" s="262">
        <v>100000</v>
      </c>
      <c r="D66" s="262">
        <v>400000</v>
      </c>
      <c r="E66" s="8">
        <v>0</v>
      </c>
      <c r="F66" s="2">
        <f t="shared" si="5"/>
        <v>213400000</v>
      </c>
      <c r="G66" s="2">
        <v>380000000</v>
      </c>
      <c r="H66" s="92">
        <f t="shared" si="4"/>
        <v>36960000</v>
      </c>
      <c r="I66" s="153">
        <f t="shared" si="6"/>
        <v>30005668.084228955</v>
      </c>
      <c r="J66" s="264">
        <v>8.0000000000000002E-3</v>
      </c>
      <c r="K66" s="153">
        <f t="shared" si="7"/>
        <v>80895992.076336101</v>
      </c>
      <c r="L66" s="264">
        <v>1.7999999999999999E-2</v>
      </c>
      <c r="M66" s="290">
        <f t="shared" si="2"/>
        <v>110901660.16056505</v>
      </c>
      <c r="N66" s="286">
        <f t="shared" si="3"/>
        <v>314461660.16056502</v>
      </c>
    </row>
    <row r="67" spans="1:14" x14ac:dyDescent="0.3">
      <c r="A67" s="340"/>
      <c r="B67" s="256" t="s">
        <v>231</v>
      </c>
      <c r="C67" s="262">
        <v>100000</v>
      </c>
      <c r="D67" s="262">
        <v>400000</v>
      </c>
      <c r="E67" s="8">
        <v>0</v>
      </c>
      <c r="F67" s="2">
        <f t="shared" si="5"/>
        <v>212690000</v>
      </c>
      <c r="G67" s="2">
        <v>380000000</v>
      </c>
      <c r="H67" s="92">
        <f t="shared" si="4"/>
        <v>37380000</v>
      </c>
      <c r="I67" s="153">
        <f t="shared" si="6"/>
        <v>30345713.428902786</v>
      </c>
      <c r="J67" s="264">
        <v>8.0000000000000002E-3</v>
      </c>
      <c r="K67" s="153">
        <f t="shared" si="7"/>
        <v>82752119.933710158</v>
      </c>
      <c r="L67" s="264">
        <v>1.7999999999999999E-2</v>
      </c>
      <c r="M67" s="290">
        <f t="shared" si="2"/>
        <v>113097833.36261295</v>
      </c>
      <c r="N67" s="286">
        <f t="shared" si="3"/>
        <v>317787833.36261296</v>
      </c>
    </row>
    <row r="68" spans="1:14" x14ac:dyDescent="0.3">
      <c r="A68" s="340"/>
      <c r="B68" s="256" t="s">
        <v>232</v>
      </c>
      <c r="C68" s="262">
        <v>100000</v>
      </c>
      <c r="D68" s="262">
        <v>400000</v>
      </c>
      <c r="E68" s="8">
        <v>0</v>
      </c>
      <c r="F68" s="2">
        <f t="shared" si="5"/>
        <v>211980000</v>
      </c>
      <c r="G68" s="2">
        <v>380000000</v>
      </c>
      <c r="H68" s="92">
        <f t="shared" si="4"/>
        <v>37800000</v>
      </c>
      <c r="I68" s="153">
        <f t="shared" si="6"/>
        <v>30688479.136334009</v>
      </c>
      <c r="J68" s="264">
        <v>8.0000000000000002E-3</v>
      </c>
      <c r="K68" s="153">
        <f t="shared" si="7"/>
        <v>84641658.092516944</v>
      </c>
      <c r="L68" s="264">
        <v>1.7999999999999999E-2</v>
      </c>
      <c r="M68" s="290">
        <f t="shared" si="2"/>
        <v>115330137.22885096</v>
      </c>
      <c r="N68" s="286">
        <f t="shared" si="3"/>
        <v>321150137.22885096</v>
      </c>
    </row>
    <row r="69" spans="1:14" x14ac:dyDescent="0.3">
      <c r="A69" s="340"/>
      <c r="B69" s="256" t="s">
        <v>233</v>
      </c>
      <c r="C69" s="262">
        <v>100000</v>
      </c>
      <c r="D69" s="262">
        <v>400000</v>
      </c>
      <c r="E69" s="8">
        <v>0</v>
      </c>
      <c r="F69" s="2">
        <f t="shared" si="5"/>
        <v>211270000</v>
      </c>
      <c r="G69" s="2">
        <v>380000000</v>
      </c>
      <c r="H69" s="92">
        <f t="shared" si="4"/>
        <v>38220000</v>
      </c>
      <c r="I69" s="153">
        <f t="shared" ref="I69:I100" si="8" xml:space="preserve"> (I68 * J69) + (I68 + C69)</f>
        <v>31033986.96942468</v>
      </c>
      <c r="J69" s="264">
        <v>8.0000000000000002E-3</v>
      </c>
      <c r="K69" s="153">
        <f t="shared" ref="K69:K100" si="9" xml:space="preserve">  K68 * L69 + D69 + K68</f>
        <v>86565207.93818225</v>
      </c>
      <c r="L69" s="264">
        <v>1.7999999999999999E-2</v>
      </c>
      <c r="M69" s="290">
        <f t="shared" si="2"/>
        <v>117599194.90760693</v>
      </c>
      <c r="N69" s="286">
        <f t="shared" si="3"/>
        <v>324549194.90760696</v>
      </c>
    </row>
    <row r="70" spans="1:14" s="281" customFormat="1" x14ac:dyDescent="0.3">
      <c r="A70" s="340"/>
      <c r="B70" s="278" t="s">
        <v>234</v>
      </c>
      <c r="C70" s="92">
        <f xml:space="preserve"> 100000 + 3000000</f>
        <v>3100000</v>
      </c>
      <c r="D70" s="92">
        <f xml:space="preserve"> 400000 - 3000000 -10000000</f>
        <v>-12600000</v>
      </c>
      <c r="E70" s="279">
        <v>0</v>
      </c>
      <c r="F70" s="131">
        <f xml:space="preserve"> F69 - 710000 - 15000000</f>
        <v>195560000</v>
      </c>
      <c r="G70" s="131">
        <v>380000000</v>
      </c>
      <c r="H70" s="92">
        <f t="shared" si="4"/>
        <v>38640000</v>
      </c>
      <c r="I70" s="153">
        <f t="shared" si="8"/>
        <v>34382258.865180075</v>
      </c>
      <c r="J70" s="280">
        <v>8.0000000000000002E-3</v>
      </c>
      <c r="K70" s="153">
        <f t="shared" si="9"/>
        <v>75523381.681069523</v>
      </c>
      <c r="L70" s="280">
        <v>1.7999999999999999E-2</v>
      </c>
      <c r="M70" s="292">
        <f t="shared" ref="M70:M130" si="10">I70 + K70</f>
        <v>109905640.5462496</v>
      </c>
      <c r="N70" s="286">
        <f t="shared" ref="N70:N130" si="11" xml:space="preserve"> M70 + H70 + G70 - F70 - E70</f>
        <v>332985640.54624963</v>
      </c>
    </row>
    <row r="71" spans="1:14" x14ac:dyDescent="0.3">
      <c r="A71" s="340">
        <v>2031</v>
      </c>
      <c r="B71" s="256" t="s">
        <v>235</v>
      </c>
      <c r="C71" s="262">
        <v>100000</v>
      </c>
      <c r="D71" s="262">
        <v>400000</v>
      </c>
      <c r="E71" s="8">
        <v>0</v>
      </c>
      <c r="F71" s="2">
        <f t="shared" si="5"/>
        <v>194850000</v>
      </c>
      <c r="G71" s="2">
        <v>380000000</v>
      </c>
      <c r="H71" s="92">
        <f t="shared" ref="H71:H130" si="12" xml:space="preserve"> H70 + 420000</f>
        <v>39060000</v>
      </c>
      <c r="I71" s="153">
        <f t="shared" si="8"/>
        <v>34757316.936101519</v>
      </c>
      <c r="J71" s="264">
        <v>8.0000000000000002E-3</v>
      </c>
      <c r="K71" s="153">
        <f t="shared" si="9"/>
        <v>77282802.551328778</v>
      </c>
      <c r="L71" s="264">
        <v>1.7999999999999999E-2</v>
      </c>
      <c r="M71" s="290">
        <f t="shared" si="10"/>
        <v>112040119.4874303</v>
      </c>
      <c r="N71" s="286">
        <f t="shared" si="11"/>
        <v>336250119.48743033</v>
      </c>
    </row>
    <row r="72" spans="1:14" x14ac:dyDescent="0.3">
      <c r="A72" s="340"/>
      <c r="B72" s="256" t="s">
        <v>236</v>
      </c>
      <c r="C72" s="262">
        <v>100000</v>
      </c>
      <c r="D72" s="262">
        <v>400000</v>
      </c>
      <c r="E72" s="8">
        <v>0</v>
      </c>
      <c r="F72" s="2">
        <f t="shared" si="5"/>
        <v>194140000</v>
      </c>
      <c r="G72" s="2">
        <v>380000000</v>
      </c>
      <c r="H72" s="92">
        <f t="shared" si="12"/>
        <v>39480000</v>
      </c>
      <c r="I72" s="153">
        <f t="shared" si="8"/>
        <v>35135375.471590333</v>
      </c>
      <c r="J72" s="264">
        <v>8.0000000000000002E-3</v>
      </c>
      <c r="K72" s="153">
        <f t="shared" si="9"/>
        <v>79073892.997252703</v>
      </c>
      <c r="L72" s="264">
        <v>1.7999999999999999E-2</v>
      </c>
      <c r="M72" s="290">
        <f t="shared" si="10"/>
        <v>114209268.46884304</v>
      </c>
      <c r="N72" s="286">
        <f t="shared" si="11"/>
        <v>339549268.46884304</v>
      </c>
    </row>
    <row r="73" spans="1:14" x14ac:dyDescent="0.3">
      <c r="A73" s="340"/>
      <c r="B73" s="256" t="s">
        <v>237</v>
      </c>
      <c r="C73" s="262">
        <v>100000</v>
      </c>
      <c r="D73" s="262">
        <v>400000</v>
      </c>
      <c r="E73" s="8">
        <v>0</v>
      </c>
      <c r="F73" s="2">
        <f t="shared" ref="F73:F129" si="13" xml:space="preserve"> F72 - 710000</f>
        <v>193430000</v>
      </c>
      <c r="G73" s="2">
        <v>380000000</v>
      </c>
      <c r="H73" s="92">
        <f t="shared" si="12"/>
        <v>39900000</v>
      </c>
      <c r="I73" s="153">
        <f t="shared" si="8"/>
        <v>35516458.475363053</v>
      </c>
      <c r="J73" s="264">
        <v>8.0000000000000002E-3</v>
      </c>
      <c r="K73" s="153">
        <f t="shared" si="9"/>
        <v>80897223.071203247</v>
      </c>
      <c r="L73" s="264">
        <v>1.7999999999999999E-2</v>
      </c>
      <c r="M73" s="290">
        <f t="shared" si="10"/>
        <v>116413681.54656631</v>
      </c>
      <c r="N73" s="286">
        <f t="shared" si="11"/>
        <v>342883681.54656631</v>
      </c>
    </row>
    <row r="74" spans="1:14" x14ac:dyDescent="0.3">
      <c r="A74" s="340"/>
      <c r="B74" s="256" t="s">
        <v>238</v>
      </c>
      <c r="C74" s="262">
        <v>100000</v>
      </c>
      <c r="D74" s="262">
        <v>400000</v>
      </c>
      <c r="E74" s="8">
        <v>0</v>
      </c>
      <c r="F74" s="2">
        <f t="shared" si="13"/>
        <v>192720000</v>
      </c>
      <c r="G74" s="2">
        <v>380000000</v>
      </c>
      <c r="H74" s="92">
        <f t="shared" si="12"/>
        <v>40320000</v>
      </c>
      <c r="I74" s="153">
        <f t="shared" si="8"/>
        <v>35900590.143165961</v>
      </c>
      <c r="J74" s="264">
        <v>8.0000000000000002E-3</v>
      </c>
      <c r="K74" s="153">
        <f t="shared" si="9"/>
        <v>82753373.086484909</v>
      </c>
      <c r="L74" s="264">
        <v>1.7999999999999999E-2</v>
      </c>
      <c r="M74" s="290">
        <f t="shared" si="10"/>
        <v>118653963.22965087</v>
      </c>
      <c r="N74" s="286">
        <f t="shared" si="11"/>
        <v>346253963.22965086</v>
      </c>
    </row>
    <row r="75" spans="1:14" x14ac:dyDescent="0.3">
      <c r="A75" s="340"/>
      <c r="B75" s="256" t="s">
        <v>239</v>
      </c>
      <c r="C75" s="262">
        <v>100000</v>
      </c>
      <c r="D75" s="262">
        <v>400000</v>
      </c>
      <c r="E75" s="8">
        <v>0</v>
      </c>
      <c r="F75" s="2">
        <f t="shared" si="13"/>
        <v>192010000</v>
      </c>
      <c r="G75" s="2">
        <v>380000000</v>
      </c>
      <c r="H75" s="92">
        <f t="shared" si="12"/>
        <v>40740000</v>
      </c>
      <c r="I75" s="153">
        <f t="shared" si="8"/>
        <v>36287794.864311285</v>
      </c>
      <c r="J75" s="264">
        <v>8.0000000000000002E-3</v>
      </c>
      <c r="K75" s="153">
        <f t="shared" si="9"/>
        <v>84642933.802041635</v>
      </c>
      <c r="L75" s="264">
        <v>1.7999999999999999E-2</v>
      </c>
      <c r="M75" s="290">
        <f t="shared" si="10"/>
        <v>120930728.66635293</v>
      </c>
      <c r="N75" s="286">
        <f t="shared" si="11"/>
        <v>349660728.66635299</v>
      </c>
    </row>
    <row r="76" spans="1:14" x14ac:dyDescent="0.3">
      <c r="A76" s="340"/>
      <c r="B76" s="256" t="s">
        <v>226</v>
      </c>
      <c r="C76" s="262">
        <v>100000</v>
      </c>
      <c r="D76" s="262">
        <v>400000</v>
      </c>
      <c r="E76" s="8">
        <v>0</v>
      </c>
      <c r="F76" s="2">
        <f t="shared" si="13"/>
        <v>191300000</v>
      </c>
      <c r="G76" s="2">
        <v>380000000</v>
      </c>
      <c r="H76" s="92">
        <f t="shared" si="12"/>
        <v>41160000</v>
      </c>
      <c r="I76" s="153">
        <f t="shared" si="8"/>
        <v>36678097.223225772</v>
      </c>
      <c r="J76" s="264">
        <v>8.0000000000000002E-3</v>
      </c>
      <c r="K76" s="153">
        <f t="shared" si="9"/>
        <v>86566506.610478386</v>
      </c>
      <c r="L76" s="264">
        <v>1.7999999999999999E-2</v>
      </c>
      <c r="M76" s="290">
        <f t="shared" si="10"/>
        <v>123244603.83370416</v>
      </c>
      <c r="N76" s="286">
        <f t="shared" si="11"/>
        <v>353104603.83370423</v>
      </c>
    </row>
    <row r="77" spans="1:14" x14ac:dyDescent="0.3">
      <c r="A77" s="340"/>
      <c r="B77" s="256" t="s">
        <v>228</v>
      </c>
      <c r="C77" s="262">
        <v>100000</v>
      </c>
      <c r="D77" s="262">
        <v>400000</v>
      </c>
      <c r="E77" s="8">
        <v>0</v>
      </c>
      <c r="F77" s="2">
        <f t="shared" si="13"/>
        <v>190590000</v>
      </c>
      <c r="G77" s="2">
        <v>380000000</v>
      </c>
      <c r="H77" s="92">
        <f t="shared" si="12"/>
        <v>41580000</v>
      </c>
      <c r="I77" s="153">
        <f t="shared" si="8"/>
        <v>37071522.00101158</v>
      </c>
      <c r="J77" s="264">
        <v>8.0000000000000002E-3</v>
      </c>
      <c r="K77" s="153">
        <f t="shared" si="9"/>
        <v>88524703.729467005</v>
      </c>
      <c r="L77" s="264">
        <v>1.7999999999999999E-2</v>
      </c>
      <c r="M77" s="290">
        <f t="shared" si="10"/>
        <v>125596225.73047858</v>
      </c>
      <c r="N77" s="286">
        <f t="shared" si="11"/>
        <v>356586225.73047853</v>
      </c>
    </row>
    <row r="78" spans="1:14" x14ac:dyDescent="0.3">
      <c r="A78" s="340"/>
      <c r="B78" s="256" t="s">
        <v>230</v>
      </c>
      <c r="C78" s="262">
        <v>100000</v>
      </c>
      <c r="D78" s="262">
        <v>400000</v>
      </c>
      <c r="E78" s="8">
        <v>0</v>
      </c>
      <c r="F78" s="2">
        <f t="shared" si="13"/>
        <v>189880000</v>
      </c>
      <c r="G78" s="2">
        <v>380000000</v>
      </c>
      <c r="H78" s="92">
        <f t="shared" si="12"/>
        <v>42000000</v>
      </c>
      <c r="I78" s="153">
        <f t="shared" si="8"/>
        <v>37468094.177019671</v>
      </c>
      <c r="J78" s="264">
        <v>8.0000000000000002E-3</v>
      </c>
      <c r="K78" s="153">
        <f t="shared" si="9"/>
        <v>90518148.396597415</v>
      </c>
      <c r="L78" s="264">
        <v>1.7999999999999999E-2</v>
      </c>
      <c r="M78" s="290">
        <f t="shared" si="10"/>
        <v>127986242.57361709</v>
      </c>
      <c r="N78" s="286">
        <f t="shared" si="11"/>
        <v>360106242.5736171</v>
      </c>
    </row>
    <row r="79" spans="1:14" x14ac:dyDescent="0.3">
      <c r="A79" s="340"/>
      <c r="B79" s="256" t="s">
        <v>231</v>
      </c>
      <c r="C79" s="262">
        <v>100000</v>
      </c>
      <c r="D79" s="262">
        <v>400000</v>
      </c>
      <c r="E79" s="8">
        <v>0</v>
      </c>
      <c r="F79" s="2">
        <f t="shared" si="13"/>
        <v>189170000</v>
      </c>
      <c r="G79" s="2">
        <v>380000000</v>
      </c>
      <c r="H79" s="92">
        <f t="shared" si="12"/>
        <v>42420000</v>
      </c>
      <c r="I79" s="153">
        <f t="shared" si="8"/>
        <v>37867838.930435829</v>
      </c>
      <c r="J79" s="264">
        <v>8.0000000000000002E-3</v>
      </c>
      <c r="K79" s="153">
        <f t="shared" si="9"/>
        <v>92547475.067736164</v>
      </c>
      <c r="L79" s="264">
        <v>1.7999999999999999E-2</v>
      </c>
      <c r="M79" s="290">
        <f t="shared" si="10"/>
        <v>130415313.99817199</v>
      </c>
      <c r="N79" s="286">
        <f t="shared" si="11"/>
        <v>363665313.99817204</v>
      </c>
    </row>
    <row r="80" spans="1:14" x14ac:dyDescent="0.3">
      <c r="A80" s="340"/>
      <c r="B80" s="256" t="s">
        <v>232</v>
      </c>
      <c r="C80" s="262">
        <v>100000</v>
      </c>
      <c r="D80" s="262">
        <v>400000</v>
      </c>
      <c r="E80" s="8">
        <v>0</v>
      </c>
      <c r="F80" s="2">
        <f t="shared" si="13"/>
        <v>188460000</v>
      </c>
      <c r="G80" s="2">
        <v>380000000</v>
      </c>
      <c r="H80" s="92">
        <f t="shared" si="12"/>
        <v>42840000</v>
      </c>
      <c r="I80" s="153">
        <f t="shared" si="8"/>
        <v>38270781.641879313</v>
      </c>
      <c r="J80" s="264">
        <v>8.0000000000000002E-3</v>
      </c>
      <c r="K80" s="153">
        <f t="shared" si="9"/>
        <v>94613329.618955418</v>
      </c>
      <c r="L80" s="264">
        <v>1.7999999999999999E-2</v>
      </c>
      <c r="M80" s="290">
        <f t="shared" si="10"/>
        <v>132884111.26083472</v>
      </c>
      <c r="N80" s="286">
        <f t="shared" si="11"/>
        <v>367264111.26083469</v>
      </c>
    </row>
    <row r="81" spans="1:14" x14ac:dyDescent="0.3">
      <c r="A81" s="340"/>
      <c r="B81" s="256" t="s">
        <v>233</v>
      </c>
      <c r="C81" s="262">
        <v>100000</v>
      </c>
      <c r="D81" s="262">
        <v>400000</v>
      </c>
      <c r="E81" s="8">
        <v>0</v>
      </c>
      <c r="F81" s="2">
        <f t="shared" si="13"/>
        <v>187750000</v>
      </c>
      <c r="G81" s="2">
        <v>380000000</v>
      </c>
      <c r="H81" s="92">
        <f t="shared" si="12"/>
        <v>43260000</v>
      </c>
      <c r="I81" s="153">
        <f t="shared" si="8"/>
        <v>38676947.895014346</v>
      </c>
      <c r="J81" s="264">
        <v>8.0000000000000002E-3</v>
      </c>
      <c r="K81" s="153">
        <f t="shared" si="9"/>
        <v>96716369.55209662</v>
      </c>
      <c r="L81" s="264">
        <v>1.7999999999999999E-2</v>
      </c>
      <c r="M81" s="290">
        <f t="shared" si="10"/>
        <v>135393317.44711095</v>
      </c>
      <c r="N81" s="286">
        <f t="shared" si="11"/>
        <v>370903317.44711089</v>
      </c>
    </row>
    <row r="82" spans="1:14" s="281" customFormat="1" x14ac:dyDescent="0.3">
      <c r="A82" s="340"/>
      <c r="B82" s="278" t="s">
        <v>234</v>
      </c>
      <c r="C82" s="92">
        <f xml:space="preserve"> 100000 + 3000000</f>
        <v>3100000</v>
      </c>
      <c r="D82" s="92">
        <f xml:space="preserve"> 400000 - 3000000 - 10000000</f>
        <v>-12600000</v>
      </c>
      <c r="E82" s="279">
        <v>0</v>
      </c>
      <c r="F82" s="131">
        <f xml:space="preserve"> F81 - 710000 - 15000000</f>
        <v>172040000</v>
      </c>
      <c r="G82" s="131">
        <v>380000000</v>
      </c>
      <c r="H82" s="92">
        <f t="shared" si="12"/>
        <v>43680000</v>
      </c>
      <c r="I82" s="153">
        <f t="shared" si="8"/>
        <v>42086363.478174463</v>
      </c>
      <c r="J82" s="280">
        <v>8.0000000000000002E-3</v>
      </c>
      <c r="K82" s="153">
        <f t="shared" si="9"/>
        <v>85857264.204034358</v>
      </c>
      <c r="L82" s="280">
        <v>1.7999999999999999E-2</v>
      </c>
      <c r="M82" s="292">
        <f t="shared" si="10"/>
        <v>127943627.68220882</v>
      </c>
      <c r="N82" s="286">
        <f t="shared" si="11"/>
        <v>379583627.68220878</v>
      </c>
    </row>
    <row r="83" spans="1:14" x14ac:dyDescent="0.3">
      <c r="A83" s="340">
        <v>2032</v>
      </c>
      <c r="B83" s="256" t="s">
        <v>235</v>
      </c>
      <c r="C83" s="262">
        <v>100000</v>
      </c>
      <c r="D83" s="262">
        <v>400000</v>
      </c>
      <c r="E83" s="8">
        <v>0</v>
      </c>
      <c r="F83" s="2">
        <f t="shared" si="13"/>
        <v>171330000</v>
      </c>
      <c r="G83" s="2">
        <v>380000000</v>
      </c>
      <c r="H83" s="92">
        <f t="shared" si="12"/>
        <v>44100000</v>
      </c>
      <c r="I83" s="153">
        <f t="shared" si="8"/>
        <v>42523054.385999858</v>
      </c>
      <c r="J83" s="264">
        <v>8.0000000000000002E-3</v>
      </c>
      <c r="K83" s="153">
        <f t="shared" si="9"/>
        <v>87802694.959706977</v>
      </c>
      <c r="L83" s="264">
        <v>1.7999999999999999E-2</v>
      </c>
      <c r="M83" s="290">
        <f t="shared" si="10"/>
        <v>130325749.34570684</v>
      </c>
      <c r="N83" s="286">
        <f t="shared" si="11"/>
        <v>383095749.34570682</v>
      </c>
    </row>
    <row r="84" spans="1:14" x14ac:dyDescent="0.3">
      <c r="A84" s="340"/>
      <c r="B84" s="256" t="s">
        <v>236</v>
      </c>
      <c r="C84" s="262">
        <v>100000</v>
      </c>
      <c r="D84" s="262">
        <v>400000</v>
      </c>
      <c r="E84" s="8">
        <v>0</v>
      </c>
      <c r="F84" s="2">
        <f t="shared" si="13"/>
        <v>170620000</v>
      </c>
      <c r="G84" s="2">
        <v>380000000</v>
      </c>
      <c r="H84" s="92">
        <f t="shared" si="12"/>
        <v>44520000</v>
      </c>
      <c r="I84" s="153">
        <f t="shared" si="8"/>
        <v>42963238.82108786</v>
      </c>
      <c r="J84" s="264">
        <v>8.0000000000000002E-3</v>
      </c>
      <c r="K84" s="153">
        <f t="shared" si="9"/>
        <v>89783143.468981698</v>
      </c>
      <c r="L84" s="264">
        <v>1.7999999999999999E-2</v>
      </c>
      <c r="M84" s="290">
        <f t="shared" si="10"/>
        <v>132746382.29006955</v>
      </c>
      <c r="N84" s="286">
        <f t="shared" si="11"/>
        <v>386646382.29006958</v>
      </c>
    </row>
    <row r="85" spans="1:14" x14ac:dyDescent="0.3">
      <c r="A85" s="340"/>
      <c r="B85" s="256" t="s">
        <v>237</v>
      </c>
      <c r="C85" s="262">
        <v>100000</v>
      </c>
      <c r="D85" s="262">
        <v>400000</v>
      </c>
      <c r="E85" s="8">
        <v>0</v>
      </c>
      <c r="F85" s="2">
        <f t="shared" si="13"/>
        <v>169910000</v>
      </c>
      <c r="G85" s="2">
        <v>380000000</v>
      </c>
      <c r="H85" s="92">
        <f t="shared" si="12"/>
        <v>44940000</v>
      </c>
      <c r="I85" s="153">
        <f t="shared" si="8"/>
        <v>43406944.731656559</v>
      </c>
      <c r="J85" s="264">
        <v>8.0000000000000002E-3</v>
      </c>
      <c r="K85" s="153">
        <f t="shared" si="9"/>
        <v>91799240.051423371</v>
      </c>
      <c r="L85" s="264">
        <v>1.7999999999999999E-2</v>
      </c>
      <c r="M85" s="290">
        <f t="shared" si="10"/>
        <v>135206184.78307992</v>
      </c>
      <c r="N85" s="286">
        <f t="shared" si="11"/>
        <v>390236184.78307986</v>
      </c>
    </row>
    <row r="86" spans="1:14" x14ac:dyDescent="0.3">
      <c r="A86" s="340"/>
      <c r="B86" s="256" t="s">
        <v>238</v>
      </c>
      <c r="C86" s="262">
        <v>100000</v>
      </c>
      <c r="D86" s="262">
        <v>400000</v>
      </c>
      <c r="E86" s="8">
        <v>0</v>
      </c>
      <c r="F86" s="2">
        <f t="shared" si="13"/>
        <v>169200000</v>
      </c>
      <c r="G86" s="2">
        <v>380000000</v>
      </c>
      <c r="H86" s="92">
        <f t="shared" si="12"/>
        <v>45360000</v>
      </c>
      <c r="I86" s="153">
        <f t="shared" si="8"/>
        <v>43854200.289509811</v>
      </c>
      <c r="J86" s="264">
        <v>8.0000000000000002E-3</v>
      </c>
      <c r="K86" s="153">
        <f t="shared" si="9"/>
        <v>93851626.372348994</v>
      </c>
      <c r="L86" s="264">
        <v>1.7999999999999999E-2</v>
      </c>
      <c r="M86" s="290">
        <f t="shared" si="10"/>
        <v>137705826.6618588</v>
      </c>
      <c r="N86" s="286">
        <f t="shared" si="11"/>
        <v>393865826.6618588</v>
      </c>
    </row>
    <row r="87" spans="1:14" x14ac:dyDescent="0.3">
      <c r="A87" s="340"/>
      <c r="B87" s="256" t="s">
        <v>239</v>
      </c>
      <c r="C87" s="262">
        <v>100000</v>
      </c>
      <c r="D87" s="262">
        <v>400000</v>
      </c>
      <c r="E87" s="8">
        <v>0</v>
      </c>
      <c r="F87" s="2">
        <f t="shared" si="13"/>
        <v>168490000</v>
      </c>
      <c r="G87" s="2">
        <v>380000000</v>
      </c>
      <c r="H87" s="92">
        <f t="shared" si="12"/>
        <v>45780000</v>
      </c>
      <c r="I87" s="153">
        <f t="shared" si="8"/>
        <v>44305033.891825892</v>
      </c>
      <c r="J87" s="264">
        <v>8.0000000000000002E-3</v>
      </c>
      <c r="K87" s="153">
        <f t="shared" si="9"/>
        <v>95940955.647051275</v>
      </c>
      <c r="L87" s="264">
        <v>1.7999999999999999E-2</v>
      </c>
      <c r="M87" s="290">
        <f t="shared" si="10"/>
        <v>140245989.53887716</v>
      </c>
      <c r="N87" s="286">
        <f t="shared" si="11"/>
        <v>397535989.53887713</v>
      </c>
    </row>
    <row r="88" spans="1:14" x14ac:dyDescent="0.3">
      <c r="A88" s="340"/>
      <c r="B88" s="256" t="s">
        <v>226</v>
      </c>
      <c r="C88" s="262">
        <v>100000</v>
      </c>
      <c r="D88" s="262">
        <v>400000</v>
      </c>
      <c r="E88" s="8">
        <v>0</v>
      </c>
      <c r="F88" s="2">
        <f t="shared" si="13"/>
        <v>167780000</v>
      </c>
      <c r="G88" s="2">
        <v>380000000</v>
      </c>
      <c r="H88" s="92">
        <f t="shared" si="12"/>
        <v>46200000</v>
      </c>
      <c r="I88" s="153">
        <f t="shared" si="8"/>
        <v>44759474.1629605</v>
      </c>
      <c r="J88" s="264">
        <v>8.0000000000000002E-3</v>
      </c>
      <c r="K88" s="153">
        <f t="shared" si="9"/>
        <v>98067892.848698199</v>
      </c>
      <c r="L88" s="264">
        <v>1.7999999999999999E-2</v>
      </c>
      <c r="M88" s="290">
        <f t="shared" si="10"/>
        <v>142827367.0116587</v>
      </c>
      <c r="N88" s="286">
        <f t="shared" si="11"/>
        <v>401247367.01165867</v>
      </c>
    </row>
    <row r="89" spans="1:14" x14ac:dyDescent="0.3">
      <c r="A89" s="340"/>
      <c r="B89" s="256" t="s">
        <v>228</v>
      </c>
      <c r="C89" s="262">
        <v>100000</v>
      </c>
      <c r="D89" s="262">
        <v>400000</v>
      </c>
      <c r="E89" s="8">
        <v>0</v>
      </c>
      <c r="F89" s="2">
        <f t="shared" si="13"/>
        <v>167070000</v>
      </c>
      <c r="G89" s="2">
        <v>380000000</v>
      </c>
      <c r="H89" s="92">
        <f t="shared" si="12"/>
        <v>46620000</v>
      </c>
      <c r="I89" s="153">
        <f t="shared" si="8"/>
        <v>45217549.956264183</v>
      </c>
      <c r="J89" s="264">
        <v>8.0000000000000002E-3</v>
      </c>
      <c r="K89" s="153">
        <f t="shared" si="9"/>
        <v>100233114.91997476</v>
      </c>
      <c r="L89" s="264">
        <v>1.7999999999999999E-2</v>
      </c>
      <c r="M89" s="290">
        <f t="shared" si="10"/>
        <v>145450664.87623894</v>
      </c>
      <c r="N89" s="286">
        <f t="shared" si="11"/>
        <v>405000664.87623894</v>
      </c>
    </row>
    <row r="90" spans="1:14" x14ac:dyDescent="0.3">
      <c r="A90" s="340"/>
      <c r="B90" s="256" t="s">
        <v>230</v>
      </c>
      <c r="C90" s="262">
        <v>100000</v>
      </c>
      <c r="D90" s="262">
        <v>400000</v>
      </c>
      <c r="E90" s="8">
        <v>0</v>
      </c>
      <c r="F90" s="2">
        <f t="shared" si="13"/>
        <v>166360000</v>
      </c>
      <c r="G90" s="2">
        <v>380000000</v>
      </c>
      <c r="H90" s="92">
        <f t="shared" si="12"/>
        <v>47040000</v>
      </c>
      <c r="I90" s="153">
        <f t="shared" si="8"/>
        <v>45679290.355914295</v>
      </c>
      <c r="J90" s="264">
        <v>8.0000000000000002E-3</v>
      </c>
      <c r="K90" s="153">
        <f t="shared" si="9"/>
        <v>102437310.9885343</v>
      </c>
      <c r="L90" s="264">
        <v>1.7999999999999999E-2</v>
      </c>
      <c r="M90" s="290">
        <f t="shared" si="10"/>
        <v>148116601.3444486</v>
      </c>
      <c r="N90" s="286">
        <f t="shared" si="11"/>
        <v>408796601.34444857</v>
      </c>
    </row>
    <row r="91" spans="1:14" x14ac:dyDescent="0.3">
      <c r="A91" s="340"/>
      <c r="B91" s="256" t="s">
        <v>231</v>
      </c>
      <c r="C91" s="262">
        <v>100000</v>
      </c>
      <c r="D91" s="262">
        <v>400000</v>
      </c>
      <c r="E91" s="8">
        <v>0</v>
      </c>
      <c r="F91" s="2">
        <f t="shared" si="13"/>
        <v>165650000</v>
      </c>
      <c r="G91" s="2">
        <v>380000000</v>
      </c>
      <c r="H91" s="92">
        <f t="shared" si="12"/>
        <v>47460000</v>
      </c>
      <c r="I91" s="153">
        <f t="shared" si="8"/>
        <v>46144724.678761609</v>
      </c>
      <c r="J91" s="264">
        <v>8.0000000000000002E-3</v>
      </c>
      <c r="K91" s="153">
        <f t="shared" si="9"/>
        <v>104681182.58632793</v>
      </c>
      <c r="L91" s="264">
        <v>1.7999999999999999E-2</v>
      </c>
      <c r="M91" s="290">
        <f t="shared" si="10"/>
        <v>150825907.26508954</v>
      </c>
      <c r="N91" s="286">
        <f t="shared" si="11"/>
        <v>412635907.26508951</v>
      </c>
    </row>
    <row r="92" spans="1:14" x14ac:dyDescent="0.3">
      <c r="A92" s="340"/>
      <c r="B92" s="256" t="s">
        <v>232</v>
      </c>
      <c r="C92" s="262">
        <v>100000</v>
      </c>
      <c r="D92" s="262">
        <v>400000</v>
      </c>
      <c r="E92" s="8">
        <v>0</v>
      </c>
      <c r="F92" s="2">
        <f t="shared" si="13"/>
        <v>164940000</v>
      </c>
      <c r="G92" s="2">
        <v>380000000</v>
      </c>
      <c r="H92" s="92">
        <f t="shared" si="12"/>
        <v>47880000</v>
      </c>
      <c r="I92" s="153">
        <f t="shared" si="8"/>
        <v>46613882.4761917</v>
      </c>
      <c r="J92" s="264">
        <v>8.0000000000000002E-3</v>
      </c>
      <c r="K92" s="153">
        <f t="shared" si="9"/>
        <v>106965443.87288183</v>
      </c>
      <c r="L92" s="264">
        <v>1.7999999999999999E-2</v>
      </c>
      <c r="M92" s="290">
        <f t="shared" si="10"/>
        <v>153579326.34907353</v>
      </c>
      <c r="N92" s="286">
        <f t="shared" si="11"/>
        <v>416519326.34907353</v>
      </c>
    </row>
    <row r="93" spans="1:14" x14ac:dyDescent="0.3">
      <c r="A93" s="340"/>
      <c r="B93" s="256" t="s">
        <v>233</v>
      </c>
      <c r="C93" s="262">
        <v>100000</v>
      </c>
      <c r="D93" s="262">
        <v>400000</v>
      </c>
      <c r="E93" s="8">
        <v>0</v>
      </c>
      <c r="F93" s="2">
        <f t="shared" si="13"/>
        <v>164230000</v>
      </c>
      <c r="G93" s="2">
        <v>380000000</v>
      </c>
      <c r="H93" s="92">
        <f t="shared" si="12"/>
        <v>48300000</v>
      </c>
      <c r="I93" s="153">
        <f t="shared" si="8"/>
        <v>47086793.536001235</v>
      </c>
      <c r="J93" s="264">
        <v>8.0000000000000002E-3</v>
      </c>
      <c r="K93" s="153">
        <f t="shared" si="9"/>
        <v>109290821.8625937</v>
      </c>
      <c r="L93" s="264">
        <v>1.7999999999999999E-2</v>
      </c>
      <c r="M93" s="290">
        <f t="shared" si="10"/>
        <v>156377615.39859492</v>
      </c>
      <c r="N93" s="286">
        <f t="shared" si="11"/>
        <v>420447615.39859486</v>
      </c>
    </row>
    <row r="94" spans="1:14" s="281" customFormat="1" x14ac:dyDescent="0.3">
      <c r="A94" s="340"/>
      <c r="B94" s="278" t="s">
        <v>234</v>
      </c>
      <c r="C94" s="92">
        <f xml:space="preserve"> 100000 + 3000000</f>
        <v>3100000</v>
      </c>
      <c r="D94" s="92">
        <f xml:space="preserve"> 400000 - 3000000 - 10000000</f>
        <v>-12600000</v>
      </c>
      <c r="E94" s="279">
        <v>0</v>
      </c>
      <c r="F94" s="131">
        <f xml:space="preserve"> F93 - 710000 - 15000000</f>
        <v>148520000</v>
      </c>
      <c r="G94" s="131">
        <v>380000000</v>
      </c>
      <c r="H94" s="92">
        <f t="shared" si="12"/>
        <v>48720000</v>
      </c>
      <c r="I94" s="153">
        <f t="shared" si="8"/>
        <v>50563487.884289242</v>
      </c>
      <c r="J94" s="280">
        <v>8.0000000000000002E-3</v>
      </c>
      <c r="K94" s="153">
        <f t="shared" si="9"/>
        <v>98658056.65612039</v>
      </c>
      <c r="L94" s="280">
        <v>1.7999999999999999E-2</v>
      </c>
      <c r="M94" s="292">
        <f t="shared" si="10"/>
        <v>149221544.54040962</v>
      </c>
      <c r="N94" s="286">
        <f t="shared" si="11"/>
        <v>429421544.54040956</v>
      </c>
    </row>
    <row r="95" spans="1:14" x14ac:dyDescent="0.3">
      <c r="A95" s="340">
        <v>2033</v>
      </c>
      <c r="B95" s="256" t="s">
        <v>235</v>
      </c>
      <c r="C95" s="262">
        <v>100000</v>
      </c>
      <c r="D95" s="262">
        <v>400000</v>
      </c>
      <c r="E95" s="8">
        <v>0</v>
      </c>
      <c r="F95" s="2">
        <f t="shared" si="13"/>
        <v>147810000</v>
      </c>
      <c r="G95" s="2">
        <v>380000000</v>
      </c>
      <c r="H95" s="92">
        <f t="shared" si="12"/>
        <v>49140000</v>
      </c>
      <c r="I95" s="153">
        <f t="shared" si="8"/>
        <v>51067995.787363559</v>
      </c>
      <c r="J95" s="264">
        <v>8.0000000000000002E-3</v>
      </c>
      <c r="K95" s="153">
        <f t="shared" si="9"/>
        <v>100833901.67593056</v>
      </c>
      <c r="L95" s="264">
        <v>1.7999999999999999E-2</v>
      </c>
      <c r="M95" s="290">
        <f t="shared" si="10"/>
        <v>151901897.46329412</v>
      </c>
      <c r="N95" s="286">
        <f t="shared" si="11"/>
        <v>433231897.46329415</v>
      </c>
    </row>
    <row r="96" spans="1:14" x14ac:dyDescent="0.3">
      <c r="A96" s="340"/>
      <c r="B96" s="256" t="s">
        <v>236</v>
      </c>
      <c r="C96" s="262">
        <v>100000</v>
      </c>
      <c r="D96" s="262">
        <v>400000</v>
      </c>
      <c r="E96" s="8">
        <v>0</v>
      </c>
      <c r="F96" s="2">
        <f t="shared" si="13"/>
        <v>147100000</v>
      </c>
      <c r="G96" s="2">
        <v>380000000</v>
      </c>
      <c r="H96" s="92">
        <f t="shared" si="12"/>
        <v>49560000</v>
      </c>
      <c r="I96" s="153">
        <f t="shared" si="8"/>
        <v>51576539.753662467</v>
      </c>
      <c r="J96" s="264">
        <v>8.0000000000000002E-3</v>
      </c>
      <c r="K96" s="153">
        <f t="shared" si="9"/>
        <v>103048911.90609731</v>
      </c>
      <c r="L96" s="264">
        <v>1.7999999999999999E-2</v>
      </c>
      <c r="M96" s="290">
        <f t="shared" si="10"/>
        <v>154625451.65975976</v>
      </c>
      <c r="N96" s="286">
        <f t="shared" si="11"/>
        <v>437085451.65975976</v>
      </c>
    </row>
    <row r="97" spans="1:14" x14ac:dyDescent="0.3">
      <c r="A97" s="340"/>
      <c r="B97" s="256" t="s">
        <v>237</v>
      </c>
      <c r="C97" s="262">
        <v>100000</v>
      </c>
      <c r="D97" s="262">
        <v>400000</v>
      </c>
      <c r="E97" s="8">
        <v>0</v>
      </c>
      <c r="F97" s="2">
        <f t="shared" si="13"/>
        <v>146390000</v>
      </c>
      <c r="G97" s="2">
        <v>380000000</v>
      </c>
      <c r="H97" s="92">
        <f t="shared" si="12"/>
        <v>49980000</v>
      </c>
      <c r="I97" s="153">
        <f t="shared" si="8"/>
        <v>52089152.071691766</v>
      </c>
      <c r="J97" s="264">
        <v>8.0000000000000002E-3</v>
      </c>
      <c r="K97" s="153">
        <f t="shared" si="9"/>
        <v>105303792.32040706</v>
      </c>
      <c r="L97" s="264">
        <v>1.7999999999999999E-2</v>
      </c>
      <c r="M97" s="290">
        <f t="shared" si="10"/>
        <v>157392944.39209884</v>
      </c>
      <c r="N97" s="286">
        <f t="shared" si="11"/>
        <v>440982944.3920989</v>
      </c>
    </row>
    <row r="98" spans="1:14" x14ac:dyDescent="0.3">
      <c r="A98" s="340"/>
      <c r="B98" s="256" t="s">
        <v>238</v>
      </c>
      <c r="C98" s="262">
        <v>100000</v>
      </c>
      <c r="D98" s="262">
        <v>400000</v>
      </c>
      <c r="E98" s="8">
        <v>0</v>
      </c>
      <c r="F98" s="2">
        <f t="shared" si="13"/>
        <v>145680000</v>
      </c>
      <c r="G98" s="2">
        <v>380000000</v>
      </c>
      <c r="H98" s="92">
        <f t="shared" si="12"/>
        <v>50400000</v>
      </c>
      <c r="I98" s="153">
        <f t="shared" si="8"/>
        <v>52605865.288265303</v>
      </c>
      <c r="J98" s="264">
        <v>8.0000000000000002E-3</v>
      </c>
      <c r="K98" s="153">
        <f t="shared" si="9"/>
        <v>107599260.58217439</v>
      </c>
      <c r="L98" s="264">
        <v>1.7999999999999999E-2</v>
      </c>
      <c r="M98" s="290">
        <f t="shared" si="10"/>
        <v>160205125.87043971</v>
      </c>
      <c r="N98" s="286">
        <f t="shared" si="11"/>
        <v>444925125.87043977</v>
      </c>
    </row>
    <row r="99" spans="1:14" x14ac:dyDescent="0.3">
      <c r="A99" s="340"/>
      <c r="B99" s="256" t="s">
        <v>239</v>
      </c>
      <c r="C99" s="262">
        <v>100000</v>
      </c>
      <c r="D99" s="262">
        <v>400000</v>
      </c>
      <c r="E99" s="8">
        <v>0</v>
      </c>
      <c r="F99" s="2">
        <f t="shared" si="13"/>
        <v>144970000</v>
      </c>
      <c r="G99" s="2">
        <v>380000000</v>
      </c>
      <c r="H99" s="92">
        <f t="shared" si="12"/>
        <v>50820000</v>
      </c>
      <c r="I99" s="153">
        <f t="shared" si="8"/>
        <v>53126712.210571423</v>
      </c>
      <c r="J99" s="264">
        <v>8.0000000000000002E-3</v>
      </c>
      <c r="K99" s="153">
        <f t="shared" si="9"/>
        <v>109936047.27265354</v>
      </c>
      <c r="L99" s="264">
        <v>1.7999999999999999E-2</v>
      </c>
      <c r="M99" s="290">
        <f t="shared" si="10"/>
        <v>163062759.48322496</v>
      </c>
      <c r="N99" s="286">
        <f t="shared" si="11"/>
        <v>448912759.48322499</v>
      </c>
    </row>
    <row r="100" spans="1:14" x14ac:dyDescent="0.3">
      <c r="A100" s="340"/>
      <c r="B100" s="256" t="s">
        <v>226</v>
      </c>
      <c r="C100" s="262">
        <v>100000</v>
      </c>
      <c r="D100" s="262">
        <v>400000</v>
      </c>
      <c r="E100" s="8">
        <v>0</v>
      </c>
      <c r="F100" s="2">
        <f t="shared" si="13"/>
        <v>144260000</v>
      </c>
      <c r="G100" s="2">
        <v>380000000</v>
      </c>
      <c r="H100" s="92">
        <f t="shared" si="12"/>
        <v>51240000</v>
      </c>
      <c r="I100" s="153">
        <f t="shared" si="8"/>
        <v>53651725.908255994</v>
      </c>
      <c r="J100" s="264">
        <v>8.0000000000000002E-3</v>
      </c>
      <c r="K100" s="153">
        <f t="shared" si="9"/>
        <v>112314896.12356129</v>
      </c>
      <c r="L100" s="264">
        <v>1.7999999999999999E-2</v>
      </c>
      <c r="M100" s="290">
        <f t="shared" si="10"/>
        <v>165966622.03181729</v>
      </c>
      <c r="N100" s="286">
        <f t="shared" si="11"/>
        <v>452946622.03181732</v>
      </c>
    </row>
    <row r="101" spans="1:14" x14ac:dyDescent="0.3">
      <c r="A101" s="340"/>
      <c r="B101" s="256" t="s">
        <v>228</v>
      </c>
      <c r="C101" s="262">
        <v>100000</v>
      </c>
      <c r="D101" s="262">
        <v>400000</v>
      </c>
      <c r="E101" s="8">
        <v>0</v>
      </c>
      <c r="F101" s="2">
        <f t="shared" si="13"/>
        <v>143550000</v>
      </c>
      <c r="G101" s="2">
        <v>380000000</v>
      </c>
      <c r="H101" s="92">
        <f t="shared" si="12"/>
        <v>51660000</v>
      </c>
      <c r="I101" s="153">
        <f t="shared" ref="I101:I130" si="14" xml:space="preserve"> (I100 * J101) + (I100 + C101)</f>
        <v>54180939.715522043</v>
      </c>
      <c r="J101" s="264">
        <v>8.0000000000000002E-3</v>
      </c>
      <c r="K101" s="153">
        <f t="shared" ref="K101:K132" si="15" xml:space="preserve">  K100 * L101 + D101 + K100</f>
        <v>114736564.2537854</v>
      </c>
      <c r="L101" s="264">
        <v>1.7999999999999999E-2</v>
      </c>
      <c r="M101" s="290">
        <f t="shared" si="10"/>
        <v>168917503.96930745</v>
      </c>
      <c r="N101" s="286">
        <f t="shared" si="11"/>
        <v>457027503.96930742</v>
      </c>
    </row>
    <row r="102" spans="1:14" x14ac:dyDescent="0.3">
      <c r="A102" s="340"/>
      <c r="B102" s="256" t="s">
        <v>230</v>
      </c>
      <c r="C102" s="262">
        <v>100000</v>
      </c>
      <c r="D102" s="262">
        <v>400000</v>
      </c>
      <c r="E102" s="8">
        <v>0</v>
      </c>
      <c r="F102" s="2">
        <f t="shared" si="13"/>
        <v>142840000</v>
      </c>
      <c r="G102" s="2">
        <v>380000000</v>
      </c>
      <c r="H102" s="92">
        <f t="shared" si="12"/>
        <v>52080000</v>
      </c>
      <c r="I102" s="153">
        <f t="shared" si="14"/>
        <v>54714387.233246222</v>
      </c>
      <c r="J102" s="264">
        <v>8.0000000000000002E-3</v>
      </c>
      <c r="K102" s="153">
        <f t="shared" si="15"/>
        <v>117201822.41035354</v>
      </c>
      <c r="L102" s="264">
        <v>1.7999999999999999E-2</v>
      </c>
      <c r="M102" s="290">
        <f t="shared" si="10"/>
        <v>171916209.64359975</v>
      </c>
      <c r="N102" s="286">
        <f t="shared" si="11"/>
        <v>461156209.64359975</v>
      </c>
    </row>
    <row r="103" spans="1:14" x14ac:dyDescent="0.3">
      <c r="A103" s="340"/>
      <c r="B103" s="256" t="s">
        <v>231</v>
      </c>
      <c r="C103" s="262">
        <v>100000</v>
      </c>
      <c r="D103" s="262">
        <v>400000</v>
      </c>
      <c r="E103" s="8">
        <v>0</v>
      </c>
      <c r="F103" s="2">
        <f t="shared" si="13"/>
        <v>142130000</v>
      </c>
      <c r="G103" s="2">
        <v>380000000</v>
      </c>
      <c r="H103" s="92">
        <f t="shared" si="12"/>
        <v>52500000</v>
      </c>
      <c r="I103" s="153">
        <f t="shared" si="14"/>
        <v>55252102.331112191</v>
      </c>
      <c r="J103" s="264">
        <v>8.0000000000000002E-3</v>
      </c>
      <c r="K103" s="153">
        <f t="shared" si="15"/>
        <v>119711455.2137399</v>
      </c>
      <c r="L103" s="264">
        <v>1.7999999999999999E-2</v>
      </c>
      <c r="M103" s="290">
        <f t="shared" si="10"/>
        <v>174963557.54485208</v>
      </c>
      <c r="N103" s="286">
        <f t="shared" si="11"/>
        <v>465333557.54485202</v>
      </c>
    </row>
    <row r="104" spans="1:14" x14ac:dyDescent="0.3">
      <c r="A104" s="340"/>
      <c r="B104" s="256" t="s">
        <v>232</v>
      </c>
      <c r="C104" s="262">
        <v>100000</v>
      </c>
      <c r="D104" s="262">
        <v>400000</v>
      </c>
      <c r="E104" s="8">
        <v>0</v>
      </c>
      <c r="F104" s="2">
        <f t="shared" si="13"/>
        <v>141420000</v>
      </c>
      <c r="G104" s="2">
        <v>380000000</v>
      </c>
      <c r="H104" s="92">
        <f t="shared" si="12"/>
        <v>52920000</v>
      </c>
      <c r="I104" s="153">
        <f t="shared" si="14"/>
        <v>55794119.149761088</v>
      </c>
      <c r="J104" s="264">
        <v>8.0000000000000002E-3</v>
      </c>
      <c r="K104" s="153">
        <f t="shared" si="15"/>
        <v>122266261.40758722</v>
      </c>
      <c r="L104" s="264">
        <v>1.7999999999999999E-2</v>
      </c>
      <c r="M104" s="290">
        <f t="shared" si="10"/>
        <v>178060380.55734831</v>
      </c>
      <c r="N104" s="286">
        <f t="shared" si="11"/>
        <v>469560380.55734825</v>
      </c>
    </row>
    <row r="105" spans="1:14" x14ac:dyDescent="0.3">
      <c r="A105" s="340"/>
      <c r="B105" s="256" t="s">
        <v>233</v>
      </c>
      <c r="C105" s="262">
        <v>100000</v>
      </c>
      <c r="D105" s="262">
        <v>400000</v>
      </c>
      <c r="E105" s="8">
        <v>0</v>
      </c>
      <c r="F105" s="2">
        <f t="shared" si="13"/>
        <v>140710000</v>
      </c>
      <c r="G105" s="2">
        <v>380000000</v>
      </c>
      <c r="H105" s="92">
        <f t="shared" si="12"/>
        <v>53340000</v>
      </c>
      <c r="I105" s="153">
        <f t="shared" si="14"/>
        <v>56340472.102959178</v>
      </c>
      <c r="J105" s="264">
        <v>8.0000000000000002E-3</v>
      </c>
      <c r="K105" s="153">
        <f t="shared" si="15"/>
        <v>124867054.11292379</v>
      </c>
      <c r="L105" s="264">
        <v>1.7999999999999999E-2</v>
      </c>
      <c r="M105" s="290">
        <f t="shared" si="10"/>
        <v>181207526.21588296</v>
      </c>
      <c r="N105" s="286">
        <f t="shared" si="11"/>
        <v>473837526.21588302</v>
      </c>
    </row>
    <row r="106" spans="1:14" s="281" customFormat="1" x14ac:dyDescent="0.3">
      <c r="A106" s="340"/>
      <c r="B106" s="278" t="s">
        <v>234</v>
      </c>
      <c r="C106" s="92">
        <f xml:space="preserve"> 100000 + 3000000</f>
        <v>3100000</v>
      </c>
      <c r="D106" s="92">
        <f xml:space="preserve"> 400000 - 3000000 - 10000000</f>
        <v>-12600000</v>
      </c>
      <c r="E106" s="279">
        <v>0</v>
      </c>
      <c r="F106" s="131">
        <f xml:space="preserve"> F105 - 710000 - 15000000</f>
        <v>125000000</v>
      </c>
      <c r="G106" s="131">
        <v>380000000</v>
      </c>
      <c r="H106" s="92">
        <f t="shared" si="12"/>
        <v>53760000</v>
      </c>
      <c r="I106" s="153">
        <f t="shared" si="14"/>
        <v>59891195.879782856</v>
      </c>
      <c r="J106" s="280">
        <v>8.0000000000000002E-3</v>
      </c>
      <c r="K106" s="153">
        <f t="shared" si="15"/>
        <v>114514661.08695641</v>
      </c>
      <c r="L106" s="280">
        <v>1.7999999999999999E-2</v>
      </c>
      <c r="M106" s="292">
        <f t="shared" si="10"/>
        <v>174405856.96673927</v>
      </c>
      <c r="N106" s="286">
        <f t="shared" si="11"/>
        <v>483165856.9667393</v>
      </c>
    </row>
    <row r="107" spans="1:14" x14ac:dyDescent="0.3">
      <c r="A107" s="340">
        <v>2034</v>
      </c>
      <c r="B107" s="256" t="s">
        <v>235</v>
      </c>
      <c r="C107" s="262">
        <v>100000</v>
      </c>
      <c r="D107" s="262">
        <v>400000</v>
      </c>
      <c r="E107" s="8">
        <v>0</v>
      </c>
      <c r="F107" s="2">
        <f t="shared" si="13"/>
        <v>124290000</v>
      </c>
      <c r="G107" s="2">
        <v>380000000</v>
      </c>
      <c r="H107" s="92">
        <f t="shared" si="12"/>
        <v>54180000</v>
      </c>
      <c r="I107" s="153">
        <f t="shared" si="14"/>
        <v>60470325.446821116</v>
      </c>
      <c r="J107" s="264">
        <v>8.0000000000000002E-3</v>
      </c>
      <c r="K107" s="153">
        <f t="shared" si="15"/>
        <v>116975924.98652163</v>
      </c>
      <c r="L107" s="264">
        <v>1.7999999999999999E-2</v>
      </c>
      <c r="M107" s="290">
        <f t="shared" si="10"/>
        <v>177446250.43334275</v>
      </c>
      <c r="N107" s="286">
        <f t="shared" si="11"/>
        <v>487336250.4333427</v>
      </c>
    </row>
    <row r="108" spans="1:14" x14ac:dyDescent="0.3">
      <c r="A108" s="340"/>
      <c r="B108" s="256" t="s">
        <v>236</v>
      </c>
      <c r="C108" s="262">
        <v>100000</v>
      </c>
      <c r="D108" s="262">
        <v>400000</v>
      </c>
      <c r="E108" s="8">
        <v>0</v>
      </c>
      <c r="F108" s="2">
        <f t="shared" si="13"/>
        <v>123580000</v>
      </c>
      <c r="G108" s="2">
        <v>380000000</v>
      </c>
      <c r="H108" s="92">
        <f t="shared" si="12"/>
        <v>54600000</v>
      </c>
      <c r="I108" s="153">
        <f t="shared" si="14"/>
        <v>61054088.050395682</v>
      </c>
      <c r="J108" s="264">
        <v>8.0000000000000002E-3</v>
      </c>
      <c r="K108" s="153">
        <f t="shared" si="15"/>
        <v>119481491.63627902</v>
      </c>
      <c r="L108" s="264">
        <v>1.7999999999999999E-2</v>
      </c>
      <c r="M108" s="290">
        <f t="shared" si="10"/>
        <v>180535579.68667471</v>
      </c>
      <c r="N108" s="286">
        <f t="shared" si="11"/>
        <v>491555579.68667471</v>
      </c>
    </row>
    <row r="109" spans="1:14" x14ac:dyDescent="0.3">
      <c r="A109" s="340"/>
      <c r="B109" s="256" t="s">
        <v>237</v>
      </c>
      <c r="C109" s="262">
        <v>100000</v>
      </c>
      <c r="D109" s="262">
        <v>400000</v>
      </c>
      <c r="E109" s="8">
        <v>0</v>
      </c>
      <c r="F109" s="2">
        <f t="shared" si="13"/>
        <v>122870000</v>
      </c>
      <c r="G109" s="2">
        <v>380000000</v>
      </c>
      <c r="H109" s="92">
        <f t="shared" si="12"/>
        <v>55020000</v>
      </c>
      <c r="I109" s="153">
        <f t="shared" si="14"/>
        <v>61642520.754798844</v>
      </c>
      <c r="J109" s="264">
        <v>8.0000000000000002E-3</v>
      </c>
      <c r="K109" s="153">
        <f t="shared" si="15"/>
        <v>122032158.48573203</v>
      </c>
      <c r="L109" s="264">
        <v>1.7999999999999999E-2</v>
      </c>
      <c r="M109" s="290">
        <f t="shared" si="10"/>
        <v>183674679.24053088</v>
      </c>
      <c r="N109" s="286">
        <f t="shared" si="11"/>
        <v>495824679.24053085</v>
      </c>
    </row>
    <row r="110" spans="1:14" x14ac:dyDescent="0.3">
      <c r="A110" s="340"/>
      <c r="B110" s="256" t="s">
        <v>238</v>
      </c>
      <c r="C110" s="262">
        <v>100000</v>
      </c>
      <c r="D110" s="262">
        <v>400000</v>
      </c>
      <c r="E110" s="8">
        <v>0</v>
      </c>
      <c r="F110" s="2">
        <f t="shared" si="13"/>
        <v>122160000</v>
      </c>
      <c r="G110" s="2">
        <v>380000000</v>
      </c>
      <c r="H110" s="92">
        <f t="shared" si="12"/>
        <v>55440000</v>
      </c>
      <c r="I110" s="153">
        <f t="shared" si="14"/>
        <v>62235660.920837238</v>
      </c>
      <c r="J110" s="264">
        <v>8.0000000000000002E-3</v>
      </c>
      <c r="K110" s="153">
        <f t="shared" si="15"/>
        <v>124628737.33847521</v>
      </c>
      <c r="L110" s="264">
        <v>1.7999999999999999E-2</v>
      </c>
      <c r="M110" s="290">
        <f t="shared" si="10"/>
        <v>186864398.25931245</v>
      </c>
      <c r="N110" s="286">
        <f t="shared" si="11"/>
        <v>500144398.25931239</v>
      </c>
    </row>
    <row r="111" spans="1:14" x14ac:dyDescent="0.3">
      <c r="A111" s="340"/>
      <c r="B111" s="256" t="s">
        <v>239</v>
      </c>
      <c r="C111" s="262">
        <v>100000</v>
      </c>
      <c r="D111" s="262">
        <v>400000</v>
      </c>
      <c r="E111" s="8">
        <v>0</v>
      </c>
      <c r="F111" s="2">
        <f t="shared" si="13"/>
        <v>121450000</v>
      </c>
      <c r="G111" s="2">
        <v>380000000</v>
      </c>
      <c r="H111" s="92">
        <f t="shared" si="12"/>
        <v>55860000</v>
      </c>
      <c r="I111" s="153">
        <f t="shared" si="14"/>
        <v>62833546.208203934</v>
      </c>
      <c r="J111" s="264">
        <v>8.0000000000000002E-3</v>
      </c>
      <c r="K111" s="153">
        <f t="shared" si="15"/>
        <v>127272054.61056776</v>
      </c>
      <c r="L111" s="264">
        <v>1.7999999999999999E-2</v>
      </c>
      <c r="M111" s="290">
        <f t="shared" si="10"/>
        <v>190105600.81877169</v>
      </c>
      <c r="N111" s="286">
        <f t="shared" si="11"/>
        <v>504515600.81877172</v>
      </c>
    </row>
    <row r="112" spans="1:14" x14ac:dyDescent="0.3">
      <c r="A112" s="340"/>
      <c r="B112" s="256" t="s">
        <v>226</v>
      </c>
      <c r="C112" s="262">
        <v>100000</v>
      </c>
      <c r="D112" s="262">
        <v>400000</v>
      </c>
      <c r="E112" s="8">
        <v>0</v>
      </c>
      <c r="F112" s="2">
        <f t="shared" si="13"/>
        <v>120740000</v>
      </c>
      <c r="G112" s="2">
        <v>380000000</v>
      </c>
      <c r="H112" s="92">
        <f t="shared" si="12"/>
        <v>56280000</v>
      </c>
      <c r="I112" s="153">
        <f t="shared" si="14"/>
        <v>63436214.577869564</v>
      </c>
      <c r="J112" s="264">
        <v>8.0000000000000002E-3</v>
      </c>
      <c r="K112" s="153">
        <f t="shared" si="15"/>
        <v>129962951.59355798</v>
      </c>
      <c r="L112" s="264">
        <v>1.7999999999999999E-2</v>
      </c>
      <c r="M112" s="290">
        <f t="shared" si="10"/>
        <v>193399166.17142755</v>
      </c>
      <c r="N112" s="286">
        <f t="shared" si="11"/>
        <v>508939166.17142749</v>
      </c>
    </row>
    <row r="113" spans="1:14" x14ac:dyDescent="0.3">
      <c r="A113" s="340"/>
      <c r="B113" s="256" t="s">
        <v>228</v>
      </c>
      <c r="C113" s="262">
        <v>100000</v>
      </c>
      <c r="D113" s="262">
        <v>400000</v>
      </c>
      <c r="E113" s="8">
        <v>0</v>
      </c>
      <c r="F113" s="2">
        <f t="shared" si="13"/>
        <v>120030000</v>
      </c>
      <c r="G113" s="2">
        <v>380000000</v>
      </c>
      <c r="H113" s="92">
        <f t="shared" si="12"/>
        <v>56700000</v>
      </c>
      <c r="I113" s="153">
        <f t="shared" si="14"/>
        <v>64043704.29449252</v>
      </c>
      <c r="J113" s="264">
        <v>8.0000000000000002E-3</v>
      </c>
      <c r="K113" s="153">
        <f t="shared" si="15"/>
        <v>132702284.72224203</v>
      </c>
      <c r="L113" s="264">
        <v>1.7999999999999999E-2</v>
      </c>
      <c r="M113" s="290">
        <f t="shared" si="10"/>
        <v>196745989.01673454</v>
      </c>
      <c r="N113" s="286">
        <f t="shared" si="11"/>
        <v>513415989.0167346</v>
      </c>
    </row>
    <row r="114" spans="1:14" x14ac:dyDescent="0.3">
      <c r="A114" s="340"/>
      <c r="B114" s="256" t="s">
        <v>230</v>
      </c>
      <c r="C114" s="262">
        <v>100000</v>
      </c>
      <c r="D114" s="262">
        <v>400000</v>
      </c>
      <c r="E114" s="8">
        <v>0</v>
      </c>
      <c r="F114" s="2">
        <f t="shared" si="13"/>
        <v>119320000</v>
      </c>
      <c r="G114" s="2">
        <v>380000000</v>
      </c>
      <c r="H114" s="92">
        <f t="shared" si="12"/>
        <v>57120000</v>
      </c>
      <c r="I114" s="153">
        <f t="shared" si="14"/>
        <v>64656053.92884846</v>
      </c>
      <c r="J114" s="264">
        <v>8.0000000000000002E-3</v>
      </c>
      <c r="K114" s="153">
        <f t="shared" si="15"/>
        <v>135490925.84724239</v>
      </c>
      <c r="L114" s="264">
        <v>1.7999999999999999E-2</v>
      </c>
      <c r="M114" s="290">
        <f t="shared" si="10"/>
        <v>200146979.77609086</v>
      </c>
      <c r="N114" s="286">
        <f t="shared" si="11"/>
        <v>517946979.77609086</v>
      </c>
    </row>
    <row r="115" spans="1:14" x14ac:dyDescent="0.3">
      <c r="A115" s="340"/>
      <c r="B115" s="256" t="s">
        <v>231</v>
      </c>
      <c r="C115" s="262">
        <v>100000</v>
      </c>
      <c r="D115" s="262">
        <v>400000</v>
      </c>
      <c r="E115" s="8">
        <v>0</v>
      </c>
      <c r="F115" s="2">
        <f t="shared" si="13"/>
        <v>118610000</v>
      </c>
      <c r="G115" s="2">
        <v>380000000</v>
      </c>
      <c r="H115" s="92">
        <f t="shared" si="12"/>
        <v>57540000</v>
      </c>
      <c r="I115" s="153">
        <f t="shared" si="14"/>
        <v>65273302.360279247</v>
      </c>
      <c r="J115" s="264">
        <v>8.0000000000000002E-3</v>
      </c>
      <c r="K115" s="153">
        <f t="shared" si="15"/>
        <v>138329762.51249275</v>
      </c>
      <c r="L115" s="264">
        <v>1.7999999999999999E-2</v>
      </c>
      <c r="M115" s="290">
        <f t="shared" si="10"/>
        <v>203603064.87277198</v>
      </c>
      <c r="N115" s="286">
        <f t="shared" si="11"/>
        <v>522533064.87277198</v>
      </c>
    </row>
    <row r="116" spans="1:14" x14ac:dyDescent="0.3">
      <c r="A116" s="340"/>
      <c r="B116" s="256" t="s">
        <v>232</v>
      </c>
      <c r="C116" s="262">
        <v>100000</v>
      </c>
      <c r="D116" s="262">
        <v>400000</v>
      </c>
      <c r="E116" s="8">
        <v>0</v>
      </c>
      <c r="F116" s="2">
        <f t="shared" si="13"/>
        <v>117900000</v>
      </c>
      <c r="G116" s="2">
        <v>380000000</v>
      </c>
      <c r="H116" s="92">
        <f t="shared" si="12"/>
        <v>57960000</v>
      </c>
      <c r="I116" s="153">
        <f t="shared" si="14"/>
        <v>65895488.779161483</v>
      </c>
      <c r="J116" s="264">
        <v>8.0000000000000002E-3</v>
      </c>
      <c r="K116" s="153">
        <f t="shared" si="15"/>
        <v>141219698.23771763</v>
      </c>
      <c r="L116" s="264">
        <v>1.7999999999999999E-2</v>
      </c>
      <c r="M116" s="290">
        <f t="shared" si="10"/>
        <v>207115187.01687911</v>
      </c>
      <c r="N116" s="286">
        <f t="shared" si="11"/>
        <v>527175187.01687908</v>
      </c>
    </row>
    <row r="117" spans="1:14" x14ac:dyDescent="0.3">
      <c r="A117" s="340"/>
      <c r="B117" s="256" t="s">
        <v>233</v>
      </c>
      <c r="C117" s="262">
        <v>100000</v>
      </c>
      <c r="D117" s="262">
        <v>400000</v>
      </c>
      <c r="E117" s="8">
        <v>0</v>
      </c>
      <c r="F117" s="2">
        <f t="shared" si="13"/>
        <v>117190000</v>
      </c>
      <c r="G117" s="2">
        <v>380000000</v>
      </c>
      <c r="H117" s="92">
        <f t="shared" si="12"/>
        <v>58380000</v>
      </c>
      <c r="I117" s="153">
        <f t="shared" si="14"/>
        <v>66522652.689394772</v>
      </c>
      <c r="J117" s="264">
        <v>8.0000000000000002E-3</v>
      </c>
      <c r="K117" s="153">
        <f t="shared" si="15"/>
        <v>144161652.80599654</v>
      </c>
      <c r="L117" s="264">
        <v>1.7999999999999999E-2</v>
      </c>
      <c r="M117" s="290">
        <f t="shared" si="10"/>
        <v>210684305.49539131</v>
      </c>
      <c r="N117" s="286">
        <f t="shared" si="11"/>
        <v>531874305.49539137</v>
      </c>
    </row>
    <row r="118" spans="1:14" s="281" customFormat="1" x14ac:dyDescent="0.3">
      <c r="A118" s="340"/>
      <c r="B118" s="278" t="s">
        <v>234</v>
      </c>
      <c r="C118" s="92">
        <f xml:space="preserve"> 100000 + 3000000</f>
        <v>3100000</v>
      </c>
      <c r="D118" s="92">
        <f xml:space="preserve"> 400000 - 3000000 - 10000000</f>
        <v>-12600000</v>
      </c>
      <c r="E118" s="279">
        <v>0</v>
      </c>
      <c r="F118" s="131">
        <f xml:space="preserve"> F117 - 710000 - 15000000</f>
        <v>101480000</v>
      </c>
      <c r="G118" s="131">
        <v>380000000</v>
      </c>
      <c r="H118" s="92">
        <f t="shared" si="12"/>
        <v>58800000</v>
      </c>
      <c r="I118" s="153">
        <f t="shared" si="14"/>
        <v>70154833.910909936</v>
      </c>
      <c r="J118" s="280">
        <v>8.0000000000000002E-3</v>
      </c>
      <c r="K118" s="153">
        <f t="shared" si="15"/>
        <v>134156562.55650447</v>
      </c>
      <c r="L118" s="280">
        <v>1.7999999999999999E-2</v>
      </c>
      <c r="M118" s="292">
        <f t="shared" si="10"/>
        <v>204311396.46741441</v>
      </c>
      <c r="N118" s="286">
        <f t="shared" si="11"/>
        <v>541631396.46741438</v>
      </c>
    </row>
    <row r="119" spans="1:14" x14ac:dyDescent="0.3">
      <c r="A119" s="340">
        <v>2035</v>
      </c>
      <c r="B119" s="256" t="s">
        <v>235</v>
      </c>
      <c r="C119" s="262">
        <v>100000</v>
      </c>
      <c r="D119" s="262">
        <v>400000</v>
      </c>
      <c r="E119" s="8">
        <v>0</v>
      </c>
      <c r="F119" s="2">
        <f t="shared" si="13"/>
        <v>100770000</v>
      </c>
      <c r="G119" s="2">
        <v>380000000</v>
      </c>
      <c r="H119" s="92">
        <f t="shared" si="12"/>
        <v>59220000</v>
      </c>
      <c r="I119" s="153">
        <f t="shared" si="14"/>
        <v>70816072.582197219</v>
      </c>
      <c r="J119" s="264">
        <v>8.0000000000000002E-3</v>
      </c>
      <c r="K119" s="153">
        <f t="shared" si="15"/>
        <v>136971380.68252155</v>
      </c>
      <c r="L119" s="264">
        <v>1.7999999999999999E-2</v>
      </c>
      <c r="M119" s="290">
        <f t="shared" si="10"/>
        <v>207787453.26471877</v>
      </c>
      <c r="N119" s="286">
        <f t="shared" si="11"/>
        <v>546237453.26471877</v>
      </c>
    </row>
    <row r="120" spans="1:14" x14ac:dyDescent="0.3">
      <c r="A120" s="340"/>
      <c r="B120" s="256" t="s">
        <v>236</v>
      </c>
      <c r="C120" s="262">
        <v>100000</v>
      </c>
      <c r="D120" s="262">
        <v>400000</v>
      </c>
      <c r="E120" s="8">
        <v>0</v>
      </c>
      <c r="F120" s="2">
        <f t="shared" si="13"/>
        <v>100060000</v>
      </c>
      <c r="G120" s="2">
        <v>380000000</v>
      </c>
      <c r="H120" s="92">
        <f t="shared" si="12"/>
        <v>59640000</v>
      </c>
      <c r="I120" s="153">
        <f t="shared" si="14"/>
        <v>71482601.162854791</v>
      </c>
      <c r="J120" s="264">
        <v>8.0000000000000002E-3</v>
      </c>
      <c r="K120" s="153">
        <f t="shared" si="15"/>
        <v>139836865.53480694</v>
      </c>
      <c r="L120" s="264">
        <v>1.7999999999999999E-2</v>
      </c>
      <c r="M120" s="290">
        <f t="shared" si="10"/>
        <v>211319466.69766173</v>
      </c>
      <c r="N120" s="286">
        <f t="shared" si="11"/>
        <v>550899466.69766176</v>
      </c>
    </row>
    <row r="121" spans="1:14" x14ac:dyDescent="0.3">
      <c r="A121" s="340"/>
      <c r="B121" s="256" t="s">
        <v>237</v>
      </c>
      <c r="C121" s="262">
        <v>100000</v>
      </c>
      <c r="D121" s="262">
        <v>400000</v>
      </c>
      <c r="E121" s="8">
        <v>0</v>
      </c>
      <c r="F121" s="2">
        <f t="shared" si="13"/>
        <v>99350000</v>
      </c>
      <c r="G121" s="2">
        <v>380000000</v>
      </c>
      <c r="H121" s="92">
        <f t="shared" si="12"/>
        <v>60060000</v>
      </c>
      <c r="I121" s="153">
        <f t="shared" si="14"/>
        <v>72154461.972157627</v>
      </c>
      <c r="J121" s="264">
        <v>8.0000000000000002E-3</v>
      </c>
      <c r="K121" s="153">
        <f t="shared" si="15"/>
        <v>142753929.11443347</v>
      </c>
      <c r="L121" s="264">
        <v>1.7999999999999999E-2</v>
      </c>
      <c r="M121" s="290">
        <f t="shared" si="10"/>
        <v>214908391.08659109</v>
      </c>
      <c r="N121" s="286">
        <f t="shared" si="11"/>
        <v>555618391.08659112</v>
      </c>
    </row>
    <row r="122" spans="1:14" x14ac:dyDescent="0.3">
      <c r="A122" s="340"/>
      <c r="B122" s="256" t="s">
        <v>238</v>
      </c>
      <c r="C122" s="262">
        <v>100000</v>
      </c>
      <c r="D122" s="262">
        <v>400000</v>
      </c>
      <c r="E122" s="8">
        <v>0</v>
      </c>
      <c r="F122" s="2">
        <f t="shared" si="13"/>
        <v>98640000</v>
      </c>
      <c r="G122" s="2">
        <v>380000000</v>
      </c>
      <c r="H122" s="92">
        <f t="shared" si="12"/>
        <v>60480000</v>
      </c>
      <c r="I122" s="153">
        <f t="shared" si="14"/>
        <v>72831697.667934895</v>
      </c>
      <c r="J122" s="264">
        <v>8.0000000000000002E-3</v>
      </c>
      <c r="K122" s="153">
        <f t="shared" si="15"/>
        <v>145723499.83849326</v>
      </c>
      <c r="L122" s="264">
        <v>1.7999999999999999E-2</v>
      </c>
      <c r="M122" s="290">
        <f t="shared" si="10"/>
        <v>218555197.50642815</v>
      </c>
      <c r="N122" s="286">
        <f t="shared" si="11"/>
        <v>560395197.50642812</v>
      </c>
    </row>
    <row r="123" spans="1:14" x14ac:dyDescent="0.3">
      <c r="A123" s="340"/>
      <c r="B123" s="256" t="s">
        <v>239</v>
      </c>
      <c r="C123" s="262">
        <v>100000</v>
      </c>
      <c r="D123" s="262">
        <v>400000</v>
      </c>
      <c r="E123" s="8">
        <v>0</v>
      </c>
      <c r="F123" s="2">
        <f t="shared" si="13"/>
        <v>97930000</v>
      </c>
      <c r="G123" s="2">
        <v>380000000</v>
      </c>
      <c r="H123" s="92">
        <f t="shared" si="12"/>
        <v>60900000</v>
      </c>
      <c r="I123" s="153">
        <f t="shared" si="14"/>
        <v>73514351.249278367</v>
      </c>
      <c r="J123" s="264">
        <v>8.0000000000000002E-3</v>
      </c>
      <c r="K123" s="153">
        <f t="shared" si="15"/>
        <v>148746522.83558613</v>
      </c>
      <c r="L123" s="264">
        <v>1.7999999999999999E-2</v>
      </c>
      <c r="M123" s="290">
        <f t="shared" si="10"/>
        <v>222260874.0848645</v>
      </c>
      <c r="N123" s="286">
        <f t="shared" si="11"/>
        <v>565230874.0848645</v>
      </c>
    </row>
    <row r="124" spans="1:14" x14ac:dyDescent="0.3">
      <c r="A124" s="340"/>
      <c r="B124" s="256" t="s">
        <v>226</v>
      </c>
      <c r="C124" s="262">
        <v>100000</v>
      </c>
      <c r="D124" s="262">
        <v>400000</v>
      </c>
      <c r="E124" s="8">
        <v>0</v>
      </c>
      <c r="F124" s="2">
        <f t="shared" si="13"/>
        <v>97220000</v>
      </c>
      <c r="G124" s="2">
        <v>380000000</v>
      </c>
      <c r="H124" s="92">
        <f t="shared" si="12"/>
        <v>61320000</v>
      </c>
      <c r="I124" s="153">
        <f t="shared" si="14"/>
        <v>74202466.059272587</v>
      </c>
      <c r="J124" s="264">
        <v>8.0000000000000002E-3</v>
      </c>
      <c r="K124" s="153">
        <f t="shared" si="15"/>
        <v>151823960.24662668</v>
      </c>
      <c r="L124" s="264">
        <v>1.7999999999999999E-2</v>
      </c>
      <c r="M124" s="290">
        <f t="shared" si="10"/>
        <v>226026426.30589926</v>
      </c>
      <c r="N124" s="286">
        <f t="shared" si="11"/>
        <v>570126426.30589926</v>
      </c>
    </row>
    <row r="125" spans="1:14" x14ac:dyDescent="0.3">
      <c r="A125" s="340"/>
      <c r="B125" s="256" t="s">
        <v>228</v>
      </c>
      <c r="C125" s="262">
        <v>100000</v>
      </c>
      <c r="D125" s="262">
        <v>400000</v>
      </c>
      <c r="E125" s="8">
        <v>0</v>
      </c>
      <c r="F125" s="2">
        <f t="shared" si="13"/>
        <v>96510000</v>
      </c>
      <c r="G125" s="2">
        <v>380000000</v>
      </c>
      <c r="H125" s="92">
        <f t="shared" si="12"/>
        <v>61740000</v>
      </c>
      <c r="I125" s="153">
        <f t="shared" si="14"/>
        <v>74896085.787746772</v>
      </c>
      <c r="J125" s="264">
        <v>8.0000000000000002E-3</v>
      </c>
      <c r="K125" s="153">
        <f t="shared" si="15"/>
        <v>154956791.53106594</v>
      </c>
      <c r="L125" s="264">
        <v>1.7999999999999999E-2</v>
      </c>
      <c r="M125" s="290">
        <f t="shared" si="10"/>
        <v>229852877.31881273</v>
      </c>
      <c r="N125" s="286">
        <f t="shared" si="11"/>
        <v>575082877.31881273</v>
      </c>
    </row>
    <row r="126" spans="1:14" x14ac:dyDescent="0.3">
      <c r="A126" s="340"/>
      <c r="B126" s="256" t="s">
        <v>230</v>
      </c>
      <c r="C126" s="262">
        <v>100000</v>
      </c>
      <c r="D126" s="262">
        <v>400000</v>
      </c>
      <c r="E126" s="8">
        <v>0</v>
      </c>
      <c r="F126" s="2">
        <f t="shared" si="13"/>
        <v>95800000</v>
      </c>
      <c r="G126" s="2">
        <v>380000000</v>
      </c>
      <c r="H126" s="92">
        <f t="shared" si="12"/>
        <v>62160000</v>
      </c>
      <c r="I126" s="153">
        <f t="shared" si="14"/>
        <v>75595254.474048749</v>
      </c>
      <c r="J126" s="264">
        <v>8.0000000000000002E-3</v>
      </c>
      <c r="K126" s="153">
        <f t="shared" si="15"/>
        <v>158146013.77862513</v>
      </c>
      <c r="L126" s="264">
        <v>1.7999999999999999E-2</v>
      </c>
      <c r="M126" s="290">
        <f t="shared" si="10"/>
        <v>233741268.25267386</v>
      </c>
      <c r="N126" s="286">
        <f t="shared" si="11"/>
        <v>580101268.25267386</v>
      </c>
    </row>
    <row r="127" spans="1:14" x14ac:dyDescent="0.3">
      <c r="A127" s="340"/>
      <c r="B127" s="256" t="s">
        <v>231</v>
      </c>
      <c r="C127" s="262">
        <v>100000</v>
      </c>
      <c r="D127" s="262">
        <v>400000</v>
      </c>
      <c r="E127" s="8">
        <v>0</v>
      </c>
      <c r="F127" s="2">
        <f t="shared" si="13"/>
        <v>95090000</v>
      </c>
      <c r="G127" s="2">
        <v>380000000</v>
      </c>
      <c r="H127" s="92">
        <f t="shared" si="12"/>
        <v>62580000</v>
      </c>
      <c r="I127" s="153">
        <f t="shared" si="14"/>
        <v>76300016.509841144</v>
      </c>
      <c r="J127" s="264">
        <v>8.0000000000000002E-3</v>
      </c>
      <c r="K127" s="153">
        <f t="shared" si="15"/>
        <v>161392642.02664039</v>
      </c>
      <c r="L127" s="264">
        <v>1.7999999999999999E-2</v>
      </c>
      <c r="M127" s="290">
        <f t="shared" si="10"/>
        <v>237692658.53648153</v>
      </c>
      <c r="N127" s="286">
        <f t="shared" si="11"/>
        <v>585182658.5364815</v>
      </c>
    </row>
    <row r="128" spans="1:14" x14ac:dyDescent="0.3">
      <c r="A128" s="340"/>
      <c r="B128" s="256" t="s">
        <v>232</v>
      </c>
      <c r="C128" s="262">
        <v>100000</v>
      </c>
      <c r="D128" s="262">
        <v>400000</v>
      </c>
      <c r="E128" s="8">
        <v>0</v>
      </c>
      <c r="F128" s="2">
        <f t="shared" si="13"/>
        <v>94380000</v>
      </c>
      <c r="G128" s="2">
        <v>380000000</v>
      </c>
      <c r="H128" s="92">
        <f t="shared" si="12"/>
        <v>63000000</v>
      </c>
      <c r="I128" s="153">
        <f t="shared" si="14"/>
        <v>77010416.641919866</v>
      </c>
      <c r="J128" s="264">
        <v>8.0000000000000002E-3</v>
      </c>
      <c r="K128" s="153">
        <f t="shared" si="15"/>
        <v>164697709.5831199</v>
      </c>
      <c r="L128" s="264">
        <v>1.7999999999999999E-2</v>
      </c>
      <c r="M128" s="290">
        <f t="shared" si="10"/>
        <v>241708126.22503978</v>
      </c>
      <c r="N128" s="286">
        <f t="shared" si="11"/>
        <v>590328126.22503972</v>
      </c>
    </row>
    <row r="129" spans="1:16" x14ac:dyDescent="0.3">
      <c r="A129" s="340"/>
      <c r="B129" s="256" t="s">
        <v>233</v>
      </c>
      <c r="C129" s="262">
        <v>100000</v>
      </c>
      <c r="D129" s="262">
        <v>400000</v>
      </c>
      <c r="E129" s="8">
        <v>0</v>
      </c>
      <c r="F129" s="2">
        <f t="shared" si="13"/>
        <v>93670000</v>
      </c>
      <c r="G129" s="2">
        <v>380000000</v>
      </c>
      <c r="H129" s="92">
        <f t="shared" si="12"/>
        <v>63420000</v>
      </c>
      <c r="I129" s="153">
        <f t="shared" si="14"/>
        <v>77726499.975055218</v>
      </c>
      <c r="J129" s="264">
        <v>8.0000000000000002E-3</v>
      </c>
      <c r="K129" s="153">
        <f t="shared" si="15"/>
        <v>168062268.35561606</v>
      </c>
      <c r="L129" s="264">
        <v>1.7999999999999999E-2</v>
      </c>
      <c r="M129" s="290">
        <f t="shared" si="10"/>
        <v>245788768.33067128</v>
      </c>
      <c r="N129" s="286">
        <f t="shared" si="11"/>
        <v>595538768.33067131</v>
      </c>
    </row>
    <row r="130" spans="1:16" s="301" customFormat="1" x14ac:dyDescent="0.3">
      <c r="A130" s="340"/>
      <c r="B130" s="295" t="s">
        <v>234</v>
      </c>
      <c r="C130" s="296">
        <f xml:space="preserve"> 100000 + 3000000</f>
        <v>3100000</v>
      </c>
      <c r="D130" s="296">
        <f xml:space="preserve"> 400000 - 3000000 - 10000000</f>
        <v>-12600000</v>
      </c>
      <c r="E130" s="297">
        <v>0</v>
      </c>
      <c r="F130" s="225">
        <f xml:space="preserve"> F129 - 710000 - 15000000</f>
        <v>77960000</v>
      </c>
      <c r="G130" s="225">
        <v>380000000</v>
      </c>
      <c r="H130" s="296">
        <f t="shared" si="12"/>
        <v>63840000</v>
      </c>
      <c r="I130" s="298">
        <f t="shared" si="14"/>
        <v>81448311.974855661</v>
      </c>
      <c r="J130" s="299">
        <v>8.0000000000000002E-3</v>
      </c>
      <c r="K130" s="298">
        <f t="shared" si="15"/>
        <v>158487389.18601716</v>
      </c>
      <c r="L130" s="299">
        <v>1.7999999999999999E-2</v>
      </c>
      <c r="M130" s="300">
        <f t="shared" si="10"/>
        <v>239935701.16087282</v>
      </c>
      <c r="N130" s="298">
        <f t="shared" si="11"/>
        <v>605815701.16087282</v>
      </c>
      <c r="P130" s="301" t="s">
        <v>249</v>
      </c>
    </row>
    <row r="131" spans="1:16" x14ac:dyDescent="0.3">
      <c r="A131" s="341" t="s">
        <v>252</v>
      </c>
      <c r="B131" s="256" t="s">
        <v>235</v>
      </c>
      <c r="C131" s="262">
        <v>0</v>
      </c>
      <c r="D131" s="262">
        <v>68000000</v>
      </c>
      <c r="E131" s="2">
        <v>0</v>
      </c>
      <c r="F131" s="2">
        <v>0</v>
      </c>
      <c r="G131" s="2">
        <v>380000000</v>
      </c>
      <c r="H131" s="262">
        <v>0</v>
      </c>
      <c r="I131" s="262">
        <v>0</v>
      </c>
      <c r="J131" s="264">
        <v>8.0000000000000002E-3</v>
      </c>
      <c r="K131" s="153">
        <f t="shared" si="15"/>
        <v>229340162.19136548</v>
      </c>
      <c r="L131" s="264">
        <v>1.7999999999999999E-2</v>
      </c>
      <c r="M131" s="290">
        <f t="shared" ref="M131:M142" si="16">I131 + K131</f>
        <v>229340162.19136548</v>
      </c>
      <c r="N131" s="286">
        <f t="shared" ref="N131:N142" si="17" xml:space="preserve"> M131 + H131 + G131 - F131 - E131</f>
        <v>609340162.19136548</v>
      </c>
      <c r="O131" s="302">
        <f xml:space="preserve"> H130 + I130</f>
        <v>145288311.97485566</v>
      </c>
      <c r="P131" s="303">
        <f xml:space="preserve"> O131 - F131</f>
        <v>145288311.97485566</v>
      </c>
    </row>
    <row r="132" spans="1:16" x14ac:dyDescent="0.3">
      <c r="A132" s="340"/>
      <c r="B132" s="256" t="s">
        <v>236</v>
      </c>
      <c r="C132" s="262">
        <v>0</v>
      </c>
      <c r="D132" s="262">
        <v>0</v>
      </c>
      <c r="E132" s="2">
        <v>0</v>
      </c>
      <c r="F132" s="2">
        <v>0</v>
      </c>
      <c r="G132" s="2">
        <v>380000000</v>
      </c>
      <c r="H132" s="262">
        <v>0</v>
      </c>
      <c r="I132" s="262">
        <v>0</v>
      </c>
      <c r="J132" s="264">
        <v>8.0000000000000002E-3</v>
      </c>
      <c r="K132" s="153">
        <f t="shared" si="15"/>
        <v>233468285.11081007</v>
      </c>
      <c r="L132" s="264">
        <v>1.7999999999999999E-2</v>
      </c>
      <c r="M132" s="290">
        <f t="shared" si="16"/>
        <v>233468285.11081007</v>
      </c>
      <c r="N132" s="286">
        <f t="shared" si="17"/>
        <v>613468285.11081004</v>
      </c>
    </row>
    <row r="133" spans="1:16" x14ac:dyDescent="0.3">
      <c r="A133" s="340"/>
      <c r="B133" s="256" t="s">
        <v>237</v>
      </c>
      <c r="C133" s="262">
        <v>0</v>
      </c>
      <c r="D133" s="262">
        <v>0</v>
      </c>
      <c r="E133" s="2">
        <v>0</v>
      </c>
      <c r="F133" s="2">
        <v>0</v>
      </c>
      <c r="G133" s="2">
        <v>380000000</v>
      </c>
      <c r="H133" s="262">
        <v>0</v>
      </c>
      <c r="I133" s="262">
        <v>0</v>
      </c>
      <c r="J133" s="264">
        <v>8.0000000000000002E-3</v>
      </c>
      <c r="K133" s="153">
        <f t="shared" ref="K133:K142" si="18" xml:space="preserve">  K132 * L133 + D133 + K132</f>
        <v>237670714.24280465</v>
      </c>
      <c r="L133" s="264">
        <v>1.7999999999999999E-2</v>
      </c>
      <c r="M133" s="290">
        <f t="shared" si="16"/>
        <v>237670714.24280465</v>
      </c>
      <c r="N133" s="286">
        <f t="shared" si="17"/>
        <v>617670714.24280465</v>
      </c>
    </row>
    <row r="134" spans="1:16" x14ac:dyDescent="0.3">
      <c r="A134" s="340"/>
      <c r="B134" s="256" t="s">
        <v>238</v>
      </c>
      <c r="C134" s="262">
        <v>0</v>
      </c>
      <c r="D134" s="262">
        <v>0</v>
      </c>
      <c r="E134" s="2">
        <v>0</v>
      </c>
      <c r="F134" s="2">
        <v>0</v>
      </c>
      <c r="G134" s="2">
        <v>380000000</v>
      </c>
      <c r="H134" s="262">
        <v>0</v>
      </c>
      <c r="I134" s="262">
        <v>0</v>
      </c>
      <c r="J134" s="264">
        <v>8.0000000000000002E-3</v>
      </c>
      <c r="K134" s="153">
        <f t="shared" si="18"/>
        <v>241948787.09917513</v>
      </c>
      <c r="L134" s="264">
        <v>1.7999999999999999E-2</v>
      </c>
      <c r="M134" s="290">
        <f t="shared" si="16"/>
        <v>241948787.09917513</v>
      </c>
      <c r="N134" s="286">
        <f t="shared" si="17"/>
        <v>621948787.0991751</v>
      </c>
    </row>
    <row r="135" spans="1:16" x14ac:dyDescent="0.3">
      <c r="A135" s="340"/>
      <c r="B135" s="256" t="s">
        <v>239</v>
      </c>
      <c r="C135" s="262">
        <v>0</v>
      </c>
      <c r="D135" s="262">
        <v>0</v>
      </c>
      <c r="E135" s="2">
        <v>0</v>
      </c>
      <c r="F135" s="2">
        <v>0</v>
      </c>
      <c r="G135" s="2">
        <v>380000000</v>
      </c>
      <c r="H135" s="262">
        <v>0</v>
      </c>
      <c r="I135" s="262">
        <v>0</v>
      </c>
      <c r="J135" s="264">
        <v>8.0000000000000002E-3</v>
      </c>
      <c r="K135" s="153">
        <f t="shared" si="18"/>
        <v>246303865.26696026</v>
      </c>
      <c r="L135" s="264">
        <v>1.7999999999999999E-2</v>
      </c>
      <c r="M135" s="290">
        <f t="shared" si="16"/>
        <v>246303865.26696026</v>
      </c>
      <c r="N135" s="286">
        <f t="shared" si="17"/>
        <v>626303865.26696026</v>
      </c>
    </row>
    <row r="136" spans="1:16" x14ac:dyDescent="0.3">
      <c r="A136" s="340"/>
      <c r="B136" s="256" t="s">
        <v>226</v>
      </c>
      <c r="C136" s="262">
        <v>0</v>
      </c>
      <c r="D136" s="262">
        <v>0</v>
      </c>
      <c r="E136" s="2">
        <v>0</v>
      </c>
      <c r="F136" s="2">
        <v>0</v>
      </c>
      <c r="G136" s="2">
        <v>380000000</v>
      </c>
      <c r="H136" s="262">
        <v>0</v>
      </c>
      <c r="I136" s="262">
        <v>0</v>
      </c>
      <c r="J136" s="264">
        <v>8.0000000000000002E-3</v>
      </c>
      <c r="K136" s="153">
        <f t="shared" si="18"/>
        <v>250737334.84176555</v>
      </c>
      <c r="L136" s="264">
        <v>1.7999999999999999E-2</v>
      </c>
      <c r="M136" s="290">
        <f t="shared" si="16"/>
        <v>250737334.84176555</v>
      </c>
      <c r="N136" s="286">
        <f t="shared" si="17"/>
        <v>630737334.84176552</v>
      </c>
    </row>
    <row r="137" spans="1:16" x14ac:dyDescent="0.3">
      <c r="A137" s="340"/>
      <c r="B137" s="256" t="s">
        <v>228</v>
      </c>
      <c r="C137" s="262">
        <v>0</v>
      </c>
      <c r="D137" s="262">
        <v>0</v>
      </c>
      <c r="E137" s="2">
        <v>0</v>
      </c>
      <c r="F137" s="2">
        <v>0</v>
      </c>
      <c r="G137" s="2">
        <v>380000000</v>
      </c>
      <c r="H137" s="262">
        <v>0</v>
      </c>
      <c r="I137" s="262">
        <v>0</v>
      </c>
      <c r="J137" s="264">
        <v>8.0000000000000002E-3</v>
      </c>
      <c r="K137" s="153">
        <f t="shared" si="18"/>
        <v>255250606.86891735</v>
      </c>
      <c r="L137" s="264">
        <v>1.7999999999999999E-2</v>
      </c>
      <c r="M137" s="290">
        <f t="shared" si="16"/>
        <v>255250606.86891735</v>
      </c>
      <c r="N137" s="286">
        <f t="shared" si="17"/>
        <v>635250606.86891735</v>
      </c>
    </row>
    <row r="138" spans="1:16" x14ac:dyDescent="0.3">
      <c r="A138" s="340"/>
      <c r="B138" s="256" t="s">
        <v>230</v>
      </c>
      <c r="C138" s="262">
        <v>0</v>
      </c>
      <c r="D138" s="262">
        <v>0</v>
      </c>
      <c r="E138" s="2">
        <v>0</v>
      </c>
      <c r="F138" s="2">
        <v>0</v>
      </c>
      <c r="G138" s="2">
        <v>380000000</v>
      </c>
      <c r="H138" s="262">
        <v>0</v>
      </c>
      <c r="I138" s="262">
        <v>0</v>
      </c>
      <c r="J138" s="264">
        <v>8.0000000000000002E-3</v>
      </c>
      <c r="K138" s="153">
        <f t="shared" si="18"/>
        <v>259845117.79255787</v>
      </c>
      <c r="L138" s="264">
        <v>1.7999999999999999E-2</v>
      </c>
      <c r="M138" s="290">
        <f t="shared" si="16"/>
        <v>259845117.79255787</v>
      </c>
      <c r="N138" s="286">
        <f t="shared" si="17"/>
        <v>639845117.79255784</v>
      </c>
    </row>
    <row r="139" spans="1:16" x14ac:dyDescent="0.3">
      <c r="A139" s="340"/>
      <c r="B139" s="256" t="s">
        <v>231</v>
      </c>
      <c r="C139" s="262">
        <v>0</v>
      </c>
      <c r="D139" s="262">
        <v>0</v>
      </c>
      <c r="E139" s="2">
        <v>0</v>
      </c>
      <c r="F139" s="2">
        <v>0</v>
      </c>
      <c r="G139" s="2">
        <v>380000000</v>
      </c>
      <c r="H139" s="262">
        <v>0</v>
      </c>
      <c r="I139" s="262">
        <v>0</v>
      </c>
      <c r="J139" s="264">
        <v>8.0000000000000002E-3</v>
      </c>
      <c r="K139" s="153">
        <f t="shared" si="18"/>
        <v>264522329.91282392</v>
      </c>
      <c r="L139" s="264">
        <v>1.7999999999999999E-2</v>
      </c>
      <c r="M139" s="290">
        <f t="shared" si="16"/>
        <v>264522329.91282392</v>
      </c>
      <c r="N139" s="286">
        <f t="shared" si="17"/>
        <v>644522329.91282392</v>
      </c>
    </row>
    <row r="140" spans="1:16" x14ac:dyDescent="0.3">
      <c r="A140" s="340"/>
      <c r="B140" s="256" t="s">
        <v>232</v>
      </c>
      <c r="C140" s="262">
        <v>0</v>
      </c>
      <c r="D140" s="262">
        <v>0</v>
      </c>
      <c r="E140" s="2">
        <v>0</v>
      </c>
      <c r="F140" s="2">
        <v>0</v>
      </c>
      <c r="G140" s="2">
        <v>380000000</v>
      </c>
      <c r="H140" s="262">
        <v>0</v>
      </c>
      <c r="I140" s="262">
        <v>0</v>
      </c>
      <c r="J140" s="264">
        <v>8.0000000000000002E-3</v>
      </c>
      <c r="K140" s="153">
        <f t="shared" si="18"/>
        <v>269283731.85125476</v>
      </c>
      <c r="L140" s="264">
        <v>1.7999999999999999E-2</v>
      </c>
      <c r="M140" s="290">
        <f t="shared" si="16"/>
        <v>269283731.85125476</v>
      </c>
      <c r="N140" s="286">
        <f t="shared" si="17"/>
        <v>649283731.8512547</v>
      </c>
    </row>
    <row r="141" spans="1:16" x14ac:dyDescent="0.3">
      <c r="A141" s="340"/>
      <c r="B141" s="256" t="s">
        <v>233</v>
      </c>
      <c r="C141" s="262">
        <v>0</v>
      </c>
      <c r="D141" s="262">
        <v>0</v>
      </c>
      <c r="E141" s="2">
        <v>0</v>
      </c>
      <c r="F141" s="2">
        <v>0</v>
      </c>
      <c r="G141" s="2">
        <v>380000000</v>
      </c>
      <c r="H141" s="262">
        <v>0</v>
      </c>
      <c r="I141" s="262">
        <v>0</v>
      </c>
      <c r="J141" s="264">
        <v>8.0000000000000002E-3</v>
      </c>
      <c r="K141" s="153">
        <f t="shared" si="18"/>
        <v>274130839.02457732</v>
      </c>
      <c r="L141" s="264">
        <v>1.7999999999999999E-2</v>
      </c>
      <c r="M141" s="290">
        <f t="shared" si="16"/>
        <v>274130839.02457732</v>
      </c>
      <c r="N141" s="286">
        <f t="shared" si="17"/>
        <v>654130839.02457738</v>
      </c>
    </row>
    <row r="142" spans="1:16" x14ac:dyDescent="0.3">
      <c r="A142" s="340"/>
      <c r="B142" s="278" t="s">
        <v>234</v>
      </c>
      <c r="C142" s="262">
        <v>0</v>
      </c>
      <c r="D142" s="262">
        <v>0</v>
      </c>
      <c r="E142" s="2">
        <v>0</v>
      </c>
      <c r="F142" s="2">
        <v>0</v>
      </c>
      <c r="G142" s="225">
        <v>380000000</v>
      </c>
      <c r="H142" s="262">
        <v>0</v>
      </c>
      <c r="I142" s="262">
        <v>0</v>
      </c>
      <c r="J142" s="299">
        <v>8.0000000000000002E-3</v>
      </c>
      <c r="K142" s="298">
        <f t="shared" si="18"/>
        <v>279065194.1270197</v>
      </c>
      <c r="L142" s="299">
        <v>1.7999999999999999E-2</v>
      </c>
      <c r="M142" s="300">
        <f t="shared" si="16"/>
        <v>279065194.1270197</v>
      </c>
      <c r="N142" s="298">
        <f t="shared" si="17"/>
        <v>659065194.12701964</v>
      </c>
    </row>
  </sheetData>
  <mergeCells count="18">
    <mergeCell ref="C2:D2"/>
    <mergeCell ref="A4:A10"/>
    <mergeCell ref="A11:A22"/>
    <mergeCell ref="A23:A34"/>
    <mergeCell ref="A35:A46"/>
    <mergeCell ref="A47:A58"/>
    <mergeCell ref="A131:A142"/>
    <mergeCell ref="A59:A70"/>
    <mergeCell ref="A71:A82"/>
    <mergeCell ref="A83:A94"/>
    <mergeCell ref="A95:A106"/>
    <mergeCell ref="A107:A118"/>
    <mergeCell ref="A119:A130"/>
    <mergeCell ref="E2:F2"/>
    <mergeCell ref="M2:M3"/>
    <mergeCell ref="G2:H2"/>
    <mergeCell ref="I2:L2"/>
    <mergeCell ref="N2:N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71"/>
  <sheetViews>
    <sheetView topLeftCell="A28" workbookViewId="0">
      <selection activeCell="E45" sqref="E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8" customWidth="1"/>
    <col min="5" max="5" width="12.625" style="19" bestFit="1" customWidth="1"/>
    <col min="6" max="6" width="11.25" style="76" customWidth="1"/>
    <col min="7" max="7" width="14.25" style="119" customWidth="1"/>
    <col min="8" max="8" width="12.625" style="91" bestFit="1" customWidth="1"/>
    <col min="9" max="9" width="13.75" style="91" bestFit="1" customWidth="1"/>
    <col min="10" max="10" width="13.625" style="91" bestFit="1" customWidth="1"/>
    <col min="11" max="11" width="15" style="123" bestFit="1" customWidth="1"/>
    <col min="12" max="12" width="11.375" style="95" bestFit="1" customWidth="1"/>
    <col min="13" max="13" width="13" style="105" bestFit="1" customWidth="1"/>
    <col min="14" max="14" width="16.75" style="104" bestFit="1" customWidth="1"/>
    <col min="15" max="15" width="9.25" style="78" bestFit="1" customWidth="1"/>
    <col min="16" max="16" width="14.375" style="157" bestFit="1" customWidth="1"/>
    <col min="17" max="17" width="13.625" style="1" bestFit="1" customWidth="1"/>
    <col min="18" max="18" width="15.25" style="1" bestFit="1" customWidth="1"/>
  </cols>
  <sheetData>
    <row r="1" spans="1:19" x14ac:dyDescent="0.3">
      <c r="A1" s="352"/>
      <c r="B1" s="352"/>
      <c r="C1" s="352"/>
      <c r="D1" s="391" t="s">
        <v>84</v>
      </c>
      <c r="E1" s="392"/>
      <c r="F1" s="392"/>
      <c r="G1" s="392"/>
      <c r="H1" s="333" t="s">
        <v>169</v>
      </c>
      <c r="I1" s="333"/>
      <c r="J1" s="393" t="s">
        <v>161</v>
      </c>
      <c r="K1" s="394"/>
      <c r="L1" s="395"/>
      <c r="M1" s="387" t="s">
        <v>162</v>
      </c>
      <c r="N1" s="388"/>
      <c r="O1" s="388"/>
      <c r="P1" s="389"/>
      <c r="Q1" s="384" t="s">
        <v>172</v>
      </c>
      <c r="R1" s="385" t="s">
        <v>173</v>
      </c>
    </row>
    <row r="2" spans="1:19" ht="33" x14ac:dyDescent="0.3">
      <c r="A2" s="352"/>
      <c r="B2" s="352"/>
      <c r="C2" s="352"/>
      <c r="D2" s="130" t="s">
        <v>159</v>
      </c>
      <c r="E2" s="125" t="s">
        <v>158</v>
      </c>
      <c r="F2" s="87" t="s">
        <v>163</v>
      </c>
      <c r="G2" s="114" t="s">
        <v>225</v>
      </c>
      <c r="H2" s="124" t="s">
        <v>170</v>
      </c>
      <c r="I2" s="124" t="s">
        <v>171</v>
      </c>
      <c r="J2" s="124" t="s">
        <v>168</v>
      </c>
      <c r="K2" s="120" t="s">
        <v>85</v>
      </c>
      <c r="L2" s="100" t="s">
        <v>11</v>
      </c>
      <c r="M2" s="106" t="s">
        <v>165</v>
      </c>
      <c r="N2" s="102" t="s">
        <v>86</v>
      </c>
      <c r="O2" s="88" t="s">
        <v>11</v>
      </c>
      <c r="P2" s="154" t="s">
        <v>166</v>
      </c>
      <c r="Q2" s="384"/>
      <c r="R2" s="385"/>
    </row>
    <row r="3" spans="1:19" s="17" customFormat="1" x14ac:dyDescent="0.3">
      <c r="A3" s="23" t="s">
        <v>12</v>
      </c>
      <c r="B3" s="23"/>
      <c r="C3" s="24"/>
      <c r="D3" s="77">
        <v>0</v>
      </c>
      <c r="E3" s="126"/>
      <c r="F3" s="89"/>
      <c r="G3" s="115"/>
      <c r="H3" s="89"/>
      <c r="I3" s="89"/>
      <c r="J3" s="89"/>
      <c r="K3" s="121">
        <v>800000</v>
      </c>
      <c r="L3" s="101"/>
      <c r="M3" s="37">
        <v>0</v>
      </c>
      <c r="N3" s="103">
        <v>0</v>
      </c>
      <c r="O3" s="24"/>
      <c r="P3" s="155">
        <v>0</v>
      </c>
      <c r="Q3" s="18"/>
      <c r="R3" s="18"/>
    </row>
    <row r="4" spans="1:19" s="21" customFormat="1" hidden="1" x14ac:dyDescent="0.3">
      <c r="A4" s="21">
        <v>1</v>
      </c>
      <c r="B4" s="390">
        <v>2022</v>
      </c>
      <c r="C4" s="98">
        <v>1</v>
      </c>
      <c r="D4" s="131">
        <v>2500000</v>
      </c>
      <c r="E4" s="127">
        <v>0</v>
      </c>
      <c r="F4" s="91"/>
      <c r="G4" s="116">
        <v>400000</v>
      </c>
      <c r="H4" s="91"/>
      <c r="I4" s="91"/>
      <c r="J4" s="91"/>
      <c r="K4" s="121">
        <f t="shared" ref="K4:K15" si="0" xml:space="preserve"> (K3 + G4) + ((K3 + G4) * O4 )</f>
        <v>1212000</v>
      </c>
      <c r="L4" s="101"/>
      <c r="M4" s="37"/>
      <c r="N4" s="103">
        <v>0</v>
      </c>
      <c r="O4" s="24">
        <v>0.01</v>
      </c>
      <c r="P4" s="156"/>
      <c r="S4" s="80"/>
    </row>
    <row r="5" spans="1:19" s="21" customFormat="1" hidden="1" x14ac:dyDescent="0.3">
      <c r="B5" s="390"/>
      <c r="C5" s="98">
        <v>2</v>
      </c>
      <c r="D5" s="131">
        <v>2500000</v>
      </c>
      <c r="E5" s="127">
        <v>0</v>
      </c>
      <c r="F5" s="91"/>
      <c r="G5" s="116">
        <v>400000</v>
      </c>
      <c r="H5" s="91"/>
      <c r="I5" s="91"/>
      <c r="J5" s="91"/>
      <c r="K5" s="121">
        <f t="shared" si="0"/>
        <v>1628120</v>
      </c>
      <c r="L5" s="101"/>
      <c r="M5" s="37"/>
      <c r="N5" s="103">
        <v>0</v>
      </c>
      <c r="O5" s="24">
        <v>0.01</v>
      </c>
      <c r="P5" s="156"/>
      <c r="S5" s="80"/>
    </row>
    <row r="6" spans="1:19" s="21" customFormat="1" hidden="1" x14ac:dyDescent="0.3">
      <c r="B6" s="390"/>
      <c r="C6" s="98">
        <v>3</v>
      </c>
      <c r="D6" s="131">
        <v>2500000</v>
      </c>
      <c r="E6" s="127">
        <v>0</v>
      </c>
      <c r="F6" s="91"/>
      <c r="G6" s="116">
        <v>400000</v>
      </c>
      <c r="H6" s="91"/>
      <c r="I6" s="91"/>
      <c r="J6" s="91"/>
      <c r="K6" s="121">
        <f t="shared" si="0"/>
        <v>2048401.2</v>
      </c>
      <c r="L6" s="101"/>
      <c r="M6" s="37"/>
      <c r="N6" s="103">
        <v>0</v>
      </c>
      <c r="O6" s="24">
        <v>0.01</v>
      </c>
      <c r="P6" s="156"/>
      <c r="S6" s="80"/>
    </row>
    <row r="7" spans="1:19" s="21" customFormat="1" hidden="1" x14ac:dyDescent="0.3">
      <c r="B7" s="390"/>
      <c r="C7" s="98">
        <v>4</v>
      </c>
      <c r="D7" s="131">
        <v>2500000</v>
      </c>
      <c r="E7" s="127">
        <v>0</v>
      </c>
      <c r="F7" s="91"/>
      <c r="G7" s="116">
        <v>400000</v>
      </c>
      <c r="H7" s="91"/>
      <c r="I7" s="91"/>
      <c r="J7" s="91"/>
      <c r="K7" s="121">
        <f t="shared" si="0"/>
        <v>2472885.2120000003</v>
      </c>
      <c r="L7" s="101"/>
      <c r="M7" s="37"/>
      <c r="N7" s="103">
        <v>0</v>
      </c>
      <c r="O7" s="24">
        <v>0.01</v>
      </c>
      <c r="P7" s="156"/>
      <c r="S7" s="80"/>
    </row>
    <row r="8" spans="1:19" s="21" customFormat="1" hidden="1" x14ac:dyDescent="0.3">
      <c r="B8" s="390"/>
      <c r="C8" s="98">
        <v>5</v>
      </c>
      <c r="D8" s="131">
        <v>2500000</v>
      </c>
      <c r="E8" s="127">
        <v>1000000</v>
      </c>
      <c r="F8" s="91"/>
      <c r="G8" s="116">
        <v>400000</v>
      </c>
      <c r="H8" s="91"/>
      <c r="I8" s="91"/>
      <c r="J8" s="91"/>
      <c r="K8" s="121">
        <f t="shared" si="0"/>
        <v>2901614.0641200002</v>
      </c>
      <c r="L8" s="101"/>
      <c r="M8" s="37"/>
      <c r="N8" s="103">
        <v>0</v>
      </c>
      <c r="O8" s="24">
        <v>0.01</v>
      </c>
      <c r="P8" s="156"/>
      <c r="S8" s="80"/>
    </row>
    <row r="9" spans="1:19" s="21" customFormat="1" hidden="1" x14ac:dyDescent="0.3">
      <c r="B9" s="390"/>
      <c r="C9" s="98">
        <v>6</v>
      </c>
      <c r="D9" s="131">
        <v>2500000</v>
      </c>
      <c r="E9" s="127">
        <v>0</v>
      </c>
      <c r="F9" s="91"/>
      <c r="G9" s="116">
        <v>400000</v>
      </c>
      <c r="H9" s="91"/>
      <c r="I9" s="91"/>
      <c r="J9" s="91"/>
      <c r="K9" s="121">
        <f t="shared" si="0"/>
        <v>3334630.2047612001</v>
      </c>
      <c r="L9" s="101"/>
      <c r="M9" s="37"/>
      <c r="N9" s="103">
        <v>0</v>
      </c>
      <c r="O9" s="24">
        <v>0.01</v>
      </c>
      <c r="P9" s="156"/>
      <c r="S9" s="80"/>
    </row>
    <row r="10" spans="1:19" s="21" customFormat="1" hidden="1" x14ac:dyDescent="0.3">
      <c r="B10" s="390"/>
      <c r="C10" s="98">
        <v>7</v>
      </c>
      <c r="D10" s="131">
        <v>2500000</v>
      </c>
      <c r="E10" s="127">
        <v>600000</v>
      </c>
      <c r="F10" s="91"/>
      <c r="G10" s="116">
        <v>400000</v>
      </c>
      <c r="H10" s="91"/>
      <c r="I10" s="91"/>
      <c r="J10" s="91"/>
      <c r="K10" s="121">
        <f t="shared" si="0"/>
        <v>3771976.5068088123</v>
      </c>
      <c r="L10" s="101"/>
      <c r="M10" s="37"/>
      <c r="N10" s="103">
        <v>0</v>
      </c>
      <c r="O10" s="24">
        <v>0.01</v>
      </c>
      <c r="P10" s="156"/>
      <c r="S10" s="80"/>
    </row>
    <row r="11" spans="1:19" s="21" customFormat="1" hidden="1" x14ac:dyDescent="0.3">
      <c r="B11" s="390"/>
      <c r="C11" s="98">
        <v>8</v>
      </c>
      <c r="D11" s="131">
        <v>2500000</v>
      </c>
      <c r="E11" s="127">
        <v>5056544</v>
      </c>
      <c r="F11" s="91"/>
      <c r="G11" s="116">
        <v>400000</v>
      </c>
      <c r="H11" s="91"/>
      <c r="I11" s="91"/>
      <c r="J11" s="91"/>
      <c r="K11" s="121">
        <f t="shared" si="0"/>
        <v>4213696.2718769005</v>
      </c>
      <c r="L11" s="101"/>
      <c r="M11" s="37"/>
      <c r="N11" s="103">
        <v>0</v>
      </c>
      <c r="O11" s="24">
        <v>0.01</v>
      </c>
      <c r="P11" s="156"/>
      <c r="S11" s="80"/>
    </row>
    <row r="12" spans="1:19" s="21" customFormat="1" hidden="1" x14ac:dyDescent="0.3">
      <c r="B12" s="390"/>
      <c r="C12" s="98">
        <v>9</v>
      </c>
      <c r="D12" s="131">
        <v>1800000</v>
      </c>
      <c r="E12" s="127">
        <v>1600000</v>
      </c>
      <c r="F12" s="91"/>
      <c r="G12" s="116">
        <v>400000</v>
      </c>
      <c r="H12" s="91"/>
      <c r="I12" s="91"/>
      <c r="J12" s="91"/>
      <c r="K12" s="121">
        <f t="shared" si="0"/>
        <v>4696742.8047706848</v>
      </c>
      <c r="L12" s="101"/>
      <c r="M12" s="37"/>
      <c r="N12" s="103">
        <v>0</v>
      </c>
      <c r="O12" s="24">
        <v>1.7999999999999999E-2</v>
      </c>
      <c r="P12" s="156"/>
      <c r="S12" s="80"/>
    </row>
    <row r="13" spans="1:19" s="21" customFormat="1" hidden="1" x14ac:dyDescent="0.3">
      <c r="B13" s="390"/>
      <c r="C13" s="98">
        <v>10</v>
      </c>
      <c r="D13" s="131">
        <v>4500000</v>
      </c>
      <c r="E13" s="127">
        <v>3700000</v>
      </c>
      <c r="F13" s="91"/>
      <c r="G13" s="116">
        <v>400000</v>
      </c>
      <c r="H13" s="91"/>
      <c r="I13" s="91"/>
      <c r="J13" s="91"/>
      <c r="K13" s="121">
        <f t="shared" si="0"/>
        <v>4638035.9523413228</v>
      </c>
      <c r="L13" s="101"/>
      <c r="M13" s="37"/>
      <c r="N13" s="103">
        <v>0</v>
      </c>
      <c r="O13" s="24">
        <v>-0.09</v>
      </c>
      <c r="P13" s="156"/>
      <c r="S13" s="80"/>
    </row>
    <row r="14" spans="1:19" s="22" customFormat="1" ht="15.75" hidden="1" customHeight="1" thickBot="1" x14ac:dyDescent="0.3">
      <c r="A14" s="21"/>
      <c r="B14" s="390"/>
      <c r="C14" s="98">
        <v>11</v>
      </c>
      <c r="D14" s="131">
        <v>3500000</v>
      </c>
      <c r="E14" s="127">
        <v>0</v>
      </c>
      <c r="F14" s="91"/>
      <c r="G14" s="116">
        <v>400000</v>
      </c>
      <c r="H14" s="91"/>
      <c r="I14" s="91"/>
      <c r="J14" s="91"/>
      <c r="K14" s="121">
        <f t="shared" si="0"/>
        <v>5128720.5994834667</v>
      </c>
      <c r="L14" s="101"/>
      <c r="M14" s="37"/>
      <c r="N14" s="103">
        <v>0</v>
      </c>
      <c r="O14" s="24">
        <v>1.7999999999999999E-2</v>
      </c>
      <c r="P14" s="156"/>
      <c r="Q14" s="21"/>
      <c r="R14" s="21"/>
      <c r="S14" s="81"/>
    </row>
    <row r="15" spans="1:19" s="20" customFormat="1" ht="17.25" hidden="1" thickBot="1" x14ac:dyDescent="0.35">
      <c r="A15" s="38"/>
      <c r="B15" s="390"/>
      <c r="C15" s="99">
        <v>12</v>
      </c>
      <c r="D15" s="131">
        <v>2500000</v>
      </c>
      <c r="E15" s="128">
        <v>1000000</v>
      </c>
      <c r="F15" s="92"/>
      <c r="G15" s="117">
        <v>400000</v>
      </c>
      <c r="H15" s="92"/>
      <c r="I15" s="92"/>
      <c r="J15" s="92"/>
      <c r="K15" s="103">
        <f t="shared" si="0"/>
        <v>5241227.1283103265</v>
      </c>
      <c r="L15" s="101"/>
      <c r="M15" s="37"/>
      <c r="N15" s="103">
        <v>0</v>
      </c>
      <c r="O15" s="107">
        <v>-5.1999999999999998E-2</v>
      </c>
      <c r="P15" s="156"/>
      <c r="Q15" s="38"/>
      <c r="R15" s="38"/>
      <c r="S15" s="36"/>
    </row>
    <row r="16" spans="1:19" s="33" customFormat="1" x14ac:dyDescent="0.3">
      <c r="A16" s="21">
        <v>2</v>
      </c>
      <c r="B16" s="383">
        <v>2023</v>
      </c>
      <c r="C16" s="98">
        <v>1</v>
      </c>
      <c r="D16" s="132">
        <v>2500000</v>
      </c>
      <c r="E16" s="127">
        <v>0</v>
      </c>
      <c r="F16" s="90"/>
      <c r="G16" s="118">
        <v>400000</v>
      </c>
      <c r="H16" s="90"/>
      <c r="I16" s="90"/>
      <c r="J16" s="90"/>
      <c r="K16" s="110">
        <f xml:space="preserve"> (K15 + 400000) + ((K15 + 400000) * O16 )</f>
        <v>5906364.8033409119</v>
      </c>
      <c r="L16" s="112"/>
      <c r="M16" s="109">
        <v>0</v>
      </c>
      <c r="N16" s="110">
        <v>0</v>
      </c>
      <c r="O16" s="111">
        <v>4.7E-2</v>
      </c>
      <c r="P16" s="156"/>
      <c r="Q16" s="21"/>
      <c r="R16" s="21"/>
      <c r="S16" s="82"/>
    </row>
    <row r="17" spans="1:19" s="21" customFormat="1" x14ac:dyDescent="0.3">
      <c r="B17" s="383"/>
      <c r="C17" s="98">
        <v>2</v>
      </c>
      <c r="D17" s="132">
        <v>2500000</v>
      </c>
      <c r="E17" s="127">
        <v>0</v>
      </c>
      <c r="F17" s="90"/>
      <c r="G17" s="118">
        <v>400000</v>
      </c>
      <c r="H17" s="90"/>
      <c r="I17" s="90"/>
      <c r="J17" s="90"/>
      <c r="K17" s="110">
        <f xml:space="preserve"> (K16 + 400000) + ((K16 + 400000) * O17 )</f>
        <v>6325283.8977509346</v>
      </c>
      <c r="L17" s="112"/>
      <c r="M17" s="109">
        <v>0</v>
      </c>
      <c r="N17" s="110">
        <v>0</v>
      </c>
      <c r="O17" s="111">
        <v>3.0000000000000001E-3</v>
      </c>
      <c r="P17" s="156"/>
      <c r="S17" s="80"/>
    </row>
    <row r="18" spans="1:19" s="21" customFormat="1" x14ac:dyDescent="0.3">
      <c r="B18" s="383"/>
      <c r="C18" s="98">
        <v>3</v>
      </c>
      <c r="D18" s="132">
        <v>2500000</v>
      </c>
      <c r="E18" s="127">
        <v>0</v>
      </c>
      <c r="F18" s="90"/>
      <c r="G18" s="118">
        <v>400000</v>
      </c>
      <c r="H18" s="90"/>
      <c r="I18" s="90"/>
      <c r="J18" s="90"/>
      <c r="K18" s="110">
        <f xml:space="preserve"> (K17 + 400000) + ((K17 + 400000) * O18 )</f>
        <v>6557151.8003071612</v>
      </c>
      <c r="L18" s="112"/>
      <c r="M18" s="109">
        <v>0</v>
      </c>
      <c r="N18" s="110">
        <v>7000000</v>
      </c>
      <c r="O18" s="111">
        <v>-2.5000000000000001E-2</v>
      </c>
      <c r="P18" s="156"/>
      <c r="S18" s="80"/>
    </row>
    <row r="19" spans="1:19" s="21" customFormat="1" x14ac:dyDescent="0.3">
      <c r="B19" s="383"/>
      <c r="C19" s="98">
        <v>4</v>
      </c>
      <c r="D19" s="132">
        <v>500000</v>
      </c>
      <c r="E19" s="127">
        <v>0</v>
      </c>
      <c r="F19" s="90"/>
      <c r="G19" s="118">
        <v>400000</v>
      </c>
      <c r="H19" s="90"/>
      <c r="I19" s="90"/>
      <c r="J19" s="90"/>
      <c r="K19" s="110">
        <f xml:space="preserve"> (K18 + 400000) + ((K18 + 400000) * O19 )</f>
        <v>6365793.8972810525</v>
      </c>
      <c r="L19" s="112"/>
      <c r="M19" s="109">
        <v>0</v>
      </c>
      <c r="N19" s="110">
        <f t="shared" ref="N19:N44" si="1" xml:space="preserve"> (N18 + D19 - E19 - M19) + ((N18 + D19 - E19 - M19) * O19)</f>
        <v>6862500</v>
      </c>
      <c r="O19" s="111">
        <v>-8.5000000000000006E-2</v>
      </c>
      <c r="P19" s="156"/>
      <c r="S19" s="80"/>
    </row>
    <row r="20" spans="1:19" s="21" customFormat="1" x14ac:dyDescent="0.3">
      <c r="B20" s="383"/>
      <c r="C20" s="98">
        <v>5</v>
      </c>
      <c r="D20" s="132">
        <v>100000</v>
      </c>
      <c r="E20" s="127">
        <v>0</v>
      </c>
      <c r="F20" s="90">
        <v>100000</v>
      </c>
      <c r="G20" s="118">
        <v>400000</v>
      </c>
      <c r="H20" s="90"/>
      <c r="I20" s="90"/>
      <c r="J20" s="90"/>
      <c r="K20" s="110">
        <f xml:space="preserve"> (K19 + G20 + F20) + ((K19 + G20 + F20) * L20 )</f>
        <v>7957455.1269487403</v>
      </c>
      <c r="L20" s="108">
        <v>0.159</v>
      </c>
      <c r="M20" s="109">
        <v>0</v>
      </c>
      <c r="N20" s="110">
        <f t="shared" si="1"/>
        <v>6266250</v>
      </c>
      <c r="O20" s="111">
        <v>-0.1</v>
      </c>
      <c r="P20" s="155">
        <f t="shared" ref="P20:P51" si="2" xml:space="preserve"> M20 + N20</f>
        <v>6266250</v>
      </c>
      <c r="S20" s="80"/>
    </row>
    <row r="21" spans="1:19" s="21" customFormat="1" x14ac:dyDescent="0.3">
      <c r="B21" s="383"/>
      <c r="C21" s="98">
        <v>6</v>
      </c>
      <c r="D21" s="132">
        <v>15000000</v>
      </c>
      <c r="E21" s="127">
        <v>0</v>
      </c>
      <c r="F21" s="90">
        <v>750000</v>
      </c>
      <c r="G21" s="118">
        <v>500000</v>
      </c>
      <c r="H21" s="90"/>
      <c r="I21" s="90"/>
      <c r="J21" s="90"/>
      <c r="K21" s="110">
        <f xml:space="preserve"> (K20 + G21 + F21) + ((K20 + G21 + F21) * L21 )</f>
        <v>9373189.319233818</v>
      </c>
      <c r="L21" s="108">
        <v>1.7999999999999999E-2</v>
      </c>
      <c r="M21" s="109">
        <v>50000</v>
      </c>
      <c r="N21" s="110">
        <f t="shared" si="1"/>
        <v>24610850</v>
      </c>
      <c r="O21" s="111">
        <v>0.16</v>
      </c>
      <c r="P21" s="155">
        <f t="shared" si="2"/>
        <v>24660850</v>
      </c>
      <c r="S21" s="80"/>
    </row>
    <row r="22" spans="1:19" s="21" customFormat="1" x14ac:dyDescent="0.3">
      <c r="B22" s="383"/>
      <c r="C22" s="98">
        <v>7</v>
      </c>
      <c r="D22" s="132">
        <v>700000</v>
      </c>
      <c r="E22" s="127">
        <v>0</v>
      </c>
      <c r="F22" s="90">
        <v>300000</v>
      </c>
      <c r="G22" s="118">
        <v>500000</v>
      </c>
      <c r="H22" s="90"/>
      <c r="I22" s="90"/>
      <c r="J22" s="90"/>
      <c r="K22" s="110">
        <f t="shared" ref="K22:K85" si="3" xml:space="preserve"> (K21 + G22 + F22) + ((K21 + G22 + F22) * L22 )</f>
        <v>10356306.726980027</v>
      </c>
      <c r="L22" s="108">
        <v>1.7999999999999999E-2</v>
      </c>
      <c r="M22" s="109">
        <v>100000</v>
      </c>
      <c r="N22" s="110">
        <f t="shared" si="1"/>
        <v>27227718</v>
      </c>
      <c r="O22" s="111">
        <v>0.08</v>
      </c>
      <c r="P22" s="155">
        <f t="shared" si="2"/>
        <v>27327718</v>
      </c>
      <c r="S22" s="80"/>
    </row>
    <row r="23" spans="1:19" s="21" customFormat="1" x14ac:dyDescent="0.3">
      <c r="B23" s="383"/>
      <c r="C23" s="98">
        <v>8</v>
      </c>
      <c r="D23" s="132">
        <v>1100000</v>
      </c>
      <c r="E23" s="127">
        <v>17450000</v>
      </c>
      <c r="F23" s="90">
        <v>300000</v>
      </c>
      <c r="G23" s="118">
        <v>100000</v>
      </c>
      <c r="H23" s="90"/>
      <c r="I23" s="90"/>
      <c r="J23" s="90"/>
      <c r="K23" s="110">
        <f t="shared" si="3"/>
        <v>10853113.487522848</v>
      </c>
      <c r="L23" s="108">
        <v>8.9999999999999993E-3</v>
      </c>
      <c r="M23" s="109">
        <v>50000</v>
      </c>
      <c r="N23" s="110">
        <f t="shared" si="1"/>
        <v>9095283.1199999992</v>
      </c>
      <c r="O23" s="111">
        <v>-0.16</v>
      </c>
      <c r="P23" s="155">
        <f t="shared" si="2"/>
        <v>9145283.1199999992</v>
      </c>
      <c r="S23" s="80"/>
    </row>
    <row r="24" spans="1:19" s="21" customFormat="1" x14ac:dyDescent="0.3">
      <c r="B24" s="383"/>
      <c r="C24" s="98">
        <v>9</v>
      </c>
      <c r="D24" s="132">
        <v>1100000</v>
      </c>
      <c r="E24" s="127">
        <v>0</v>
      </c>
      <c r="F24" s="90">
        <v>300000</v>
      </c>
      <c r="G24" s="118">
        <v>100000</v>
      </c>
      <c r="H24" s="90"/>
      <c r="I24" s="90"/>
      <c r="J24" s="90"/>
      <c r="K24" s="110">
        <f t="shared" si="3"/>
        <v>11050557.444747437</v>
      </c>
      <c r="L24" s="108">
        <v>-1.7999999999999999E-2</v>
      </c>
      <c r="M24" s="109">
        <v>50000</v>
      </c>
      <c r="N24" s="110">
        <f t="shared" si="1"/>
        <v>7507509.5088</v>
      </c>
      <c r="O24" s="111">
        <v>-0.26</v>
      </c>
      <c r="P24" s="155">
        <f t="shared" si="2"/>
        <v>7557509.5088</v>
      </c>
      <c r="S24" s="80"/>
    </row>
    <row r="25" spans="1:19" s="21" customFormat="1" x14ac:dyDescent="0.3">
      <c r="B25" s="383"/>
      <c r="C25" s="98">
        <v>10</v>
      </c>
      <c r="D25" s="132">
        <v>7100000</v>
      </c>
      <c r="E25" s="127">
        <v>0</v>
      </c>
      <c r="F25" s="90">
        <v>300000</v>
      </c>
      <c r="G25" s="118">
        <v>100000</v>
      </c>
      <c r="H25" s="90">
        <v>16000000</v>
      </c>
      <c r="I25" s="90">
        <v>70000000</v>
      </c>
      <c r="J25" s="90">
        <v>54000000</v>
      </c>
      <c r="K25" s="110">
        <f t="shared" si="3"/>
        <v>11656667.478752891</v>
      </c>
      <c r="L25" s="108">
        <v>1.7999999999999999E-2</v>
      </c>
      <c r="M25" s="109">
        <v>50000</v>
      </c>
      <c r="N25" s="110">
        <f t="shared" si="1"/>
        <v>9316806.0856320001</v>
      </c>
      <c r="O25" s="111">
        <v>-0.36</v>
      </c>
      <c r="P25" s="155">
        <f t="shared" si="2"/>
        <v>9366806.0856320001</v>
      </c>
      <c r="Q25" s="90">
        <f t="shared" ref="Q25:Q56" si="4" xml:space="preserve"> H25 + I25</f>
        <v>86000000</v>
      </c>
      <c r="R25" s="90" t="e">
        <f xml:space="preserve"> J25 +#REF!</f>
        <v>#REF!</v>
      </c>
      <c r="S25" s="80"/>
    </row>
    <row r="26" spans="1:19" s="22" customFormat="1" ht="17.25" thickBot="1" x14ac:dyDescent="0.35">
      <c r="A26" s="21"/>
      <c r="B26" s="383"/>
      <c r="C26" s="98">
        <v>11</v>
      </c>
      <c r="D26" s="132">
        <v>4000000</v>
      </c>
      <c r="E26" s="127">
        <v>0</v>
      </c>
      <c r="F26" s="90">
        <v>300000</v>
      </c>
      <c r="G26" s="118">
        <v>100000</v>
      </c>
      <c r="H26" s="90">
        <v>10600000</v>
      </c>
      <c r="I26" s="90">
        <v>70000000</v>
      </c>
      <c r="J26" s="90">
        <v>54000000</v>
      </c>
      <c r="K26" s="110">
        <f t="shared" si="3"/>
        <v>11839647.464135339</v>
      </c>
      <c r="L26" s="108">
        <v>-1.7999999999999999E-2</v>
      </c>
      <c r="M26" s="109">
        <v>50000</v>
      </c>
      <c r="N26" s="110">
        <f t="shared" si="1"/>
        <v>8623423.9556608014</v>
      </c>
      <c r="O26" s="111">
        <v>-0.35</v>
      </c>
      <c r="P26" s="155">
        <f t="shared" si="2"/>
        <v>8673423.9556608014</v>
      </c>
      <c r="Q26" s="90">
        <f t="shared" si="4"/>
        <v>80600000</v>
      </c>
      <c r="R26" s="90" t="e">
        <f xml:space="preserve"> J26 +#REF!</f>
        <v>#REF!</v>
      </c>
      <c r="S26" s="81"/>
    </row>
    <row r="27" spans="1:19" s="146" customFormat="1" ht="17.25" thickBot="1" x14ac:dyDescent="0.35">
      <c r="A27" s="21"/>
      <c r="B27" s="383"/>
      <c r="C27" s="98">
        <v>12</v>
      </c>
      <c r="D27" s="132">
        <v>1400000</v>
      </c>
      <c r="E27" s="127">
        <v>0</v>
      </c>
      <c r="F27" s="90">
        <v>0</v>
      </c>
      <c r="G27" s="118">
        <v>100000</v>
      </c>
      <c r="H27" s="90">
        <v>10600000</v>
      </c>
      <c r="I27" s="90">
        <v>70000000</v>
      </c>
      <c r="J27" s="90">
        <v>54000000</v>
      </c>
      <c r="K27" s="110">
        <f t="shared" si="3"/>
        <v>12154561.118489776</v>
      </c>
      <c r="L27" s="108">
        <v>1.7999999999999999E-2</v>
      </c>
      <c r="M27" s="109">
        <v>50000</v>
      </c>
      <c r="N27" s="110">
        <f t="shared" si="1"/>
        <v>8377676.122755073</v>
      </c>
      <c r="O27" s="111">
        <v>-0.16</v>
      </c>
      <c r="P27" s="155">
        <f t="shared" si="2"/>
        <v>8427676.122755073</v>
      </c>
      <c r="Q27" s="90">
        <f t="shared" si="4"/>
        <v>80600000</v>
      </c>
      <c r="R27" s="90" t="e">
        <f xml:space="preserve"> J27 +#REF!</f>
        <v>#REF!</v>
      </c>
      <c r="S27" s="145"/>
    </row>
    <row r="28" spans="1:19" s="33" customFormat="1" x14ac:dyDescent="0.3">
      <c r="A28" s="33">
        <v>3</v>
      </c>
      <c r="B28" s="386">
        <v>2024</v>
      </c>
      <c r="C28" s="149">
        <v>1</v>
      </c>
      <c r="D28" s="127">
        <v>0</v>
      </c>
      <c r="E28" s="127">
        <v>8340000</v>
      </c>
      <c r="F28" s="127">
        <v>300000</v>
      </c>
      <c r="G28" s="118">
        <v>100000</v>
      </c>
      <c r="H28" s="90">
        <v>10600000</v>
      </c>
      <c r="I28" s="90">
        <v>70000000</v>
      </c>
      <c r="J28" s="90">
        <v>54000000</v>
      </c>
      <c r="K28" s="150">
        <f t="shared" si="3"/>
        <v>12680106.729674673</v>
      </c>
      <c r="L28" s="151">
        <v>0.01</v>
      </c>
      <c r="M28" s="109">
        <v>0</v>
      </c>
      <c r="N28" s="110">
        <f t="shared" si="1"/>
        <v>29387.375748956947</v>
      </c>
      <c r="O28" s="111">
        <v>-0.22</v>
      </c>
      <c r="P28" s="155">
        <f t="shared" si="2"/>
        <v>29387.375748956947</v>
      </c>
      <c r="Q28" s="90">
        <f t="shared" si="4"/>
        <v>80600000</v>
      </c>
      <c r="R28" s="90" t="e">
        <f xml:space="preserve"> J28 +#REF!</f>
        <v>#REF!</v>
      </c>
      <c r="S28" s="82"/>
    </row>
    <row r="29" spans="1:19" s="21" customFormat="1" x14ac:dyDescent="0.3">
      <c r="B29" s="383"/>
      <c r="C29" s="98">
        <v>2</v>
      </c>
      <c r="D29" s="127">
        <v>0</v>
      </c>
      <c r="E29" s="127">
        <v>0</v>
      </c>
      <c r="F29" s="127">
        <v>0</v>
      </c>
      <c r="G29" s="118">
        <v>100000</v>
      </c>
      <c r="H29" s="90">
        <v>10600000</v>
      </c>
      <c r="I29" s="90">
        <v>70000000</v>
      </c>
      <c r="J29" s="90">
        <v>54000000</v>
      </c>
      <c r="K29" s="152">
        <f t="shared" si="3"/>
        <v>13010148.650808817</v>
      </c>
      <c r="L29" s="151">
        <v>1.7999999999999999E-2</v>
      </c>
      <c r="M29" s="109">
        <v>0</v>
      </c>
      <c r="N29" s="110">
        <f t="shared" si="1"/>
        <v>29916.348512438173</v>
      </c>
      <c r="O29" s="111">
        <v>1.7999999999999999E-2</v>
      </c>
      <c r="P29" s="155">
        <f t="shared" si="2"/>
        <v>29916.348512438173</v>
      </c>
      <c r="Q29" s="90">
        <f t="shared" si="4"/>
        <v>80600000</v>
      </c>
      <c r="R29" s="90" t="e">
        <f xml:space="preserve"> J29 +#REF!</f>
        <v>#REF!</v>
      </c>
      <c r="S29" s="80"/>
    </row>
    <row r="30" spans="1:19" s="21" customFormat="1" x14ac:dyDescent="0.3">
      <c r="B30" s="383"/>
      <c r="C30" s="98">
        <v>3</v>
      </c>
      <c r="D30" s="127">
        <v>350000</v>
      </c>
      <c r="E30" s="127">
        <v>0</v>
      </c>
      <c r="F30" s="127">
        <v>0</v>
      </c>
      <c r="G30" s="118">
        <v>100000</v>
      </c>
      <c r="H30" s="90">
        <v>10600000</v>
      </c>
      <c r="I30" s="90">
        <v>70000000</v>
      </c>
      <c r="J30" s="90">
        <v>54000000</v>
      </c>
      <c r="K30" s="152">
        <f t="shared" si="3"/>
        <v>13346131.326523375</v>
      </c>
      <c r="L30" s="151">
        <v>1.7999999999999999E-2</v>
      </c>
      <c r="M30" s="109">
        <v>0</v>
      </c>
      <c r="N30" s="110">
        <f t="shared" si="1"/>
        <v>386754.8427856621</v>
      </c>
      <c r="O30" s="111">
        <v>1.7999999999999999E-2</v>
      </c>
      <c r="P30" s="109">
        <f t="shared" si="2"/>
        <v>386754.8427856621</v>
      </c>
      <c r="Q30" s="90">
        <f t="shared" si="4"/>
        <v>80600000</v>
      </c>
      <c r="R30" s="90" t="e">
        <f xml:space="preserve"> J30 +#REF!</f>
        <v>#REF!</v>
      </c>
      <c r="S30" s="80"/>
    </row>
    <row r="31" spans="1:19" s="21" customFormat="1" x14ac:dyDescent="0.3">
      <c r="B31" s="383"/>
      <c r="C31" s="98">
        <v>4</v>
      </c>
      <c r="D31" s="127">
        <v>0</v>
      </c>
      <c r="E31" s="127">
        <v>0</v>
      </c>
      <c r="F31" s="127">
        <v>0</v>
      </c>
      <c r="G31" s="118">
        <v>100000</v>
      </c>
      <c r="H31" s="90">
        <v>5600000</v>
      </c>
      <c r="I31" s="90">
        <v>70000000</v>
      </c>
      <c r="J31" s="90">
        <v>54000000</v>
      </c>
      <c r="K31" s="152">
        <f t="shared" si="3"/>
        <v>13688161.690400796</v>
      </c>
      <c r="L31" s="151">
        <v>1.7999999999999999E-2</v>
      </c>
      <c r="M31" s="109">
        <v>0</v>
      </c>
      <c r="N31" s="110">
        <f t="shared" si="1"/>
        <v>421562.77863637172</v>
      </c>
      <c r="O31" s="111">
        <v>0.09</v>
      </c>
      <c r="P31" s="109">
        <f t="shared" si="2"/>
        <v>421562.77863637172</v>
      </c>
      <c r="Q31" s="90">
        <f t="shared" si="4"/>
        <v>75600000</v>
      </c>
      <c r="R31" s="90" t="e">
        <f xml:space="preserve"> J31 +#REF!</f>
        <v>#REF!</v>
      </c>
      <c r="S31" s="80"/>
    </row>
    <row r="32" spans="1:19" s="21" customFormat="1" x14ac:dyDescent="0.3">
      <c r="B32" s="383"/>
      <c r="C32" s="98">
        <v>5</v>
      </c>
      <c r="D32" s="127">
        <v>14000000</v>
      </c>
      <c r="E32" s="127">
        <v>420000</v>
      </c>
      <c r="F32" s="127">
        <v>0</v>
      </c>
      <c r="G32" s="118">
        <v>100000</v>
      </c>
      <c r="H32" s="90">
        <v>18700000</v>
      </c>
      <c r="I32" s="90">
        <v>70000000</v>
      </c>
      <c r="J32" s="90">
        <v>54000000</v>
      </c>
      <c r="K32" s="152">
        <f t="shared" si="3"/>
        <v>13788161.690400796</v>
      </c>
      <c r="L32" s="151">
        <v>0</v>
      </c>
      <c r="M32" s="109">
        <v>0</v>
      </c>
      <c r="N32" s="110">
        <f t="shared" si="1"/>
        <v>14841656.545354554</v>
      </c>
      <c r="O32" s="111">
        <v>0.06</v>
      </c>
      <c r="P32" s="109">
        <f t="shared" si="2"/>
        <v>14841656.545354554</v>
      </c>
      <c r="Q32" s="90">
        <f t="shared" si="4"/>
        <v>88700000</v>
      </c>
      <c r="R32" s="90" t="e">
        <f xml:space="preserve"> J32 +#REF!</f>
        <v>#REF!</v>
      </c>
      <c r="S32" s="80"/>
    </row>
    <row r="33" spans="1:20" s="134" customFormat="1" x14ac:dyDescent="0.3">
      <c r="B33" s="383"/>
      <c r="C33" s="174">
        <v>6</v>
      </c>
      <c r="D33" s="175">
        <v>0</v>
      </c>
      <c r="E33" s="175">
        <v>1500000</v>
      </c>
      <c r="F33" s="175">
        <v>300000</v>
      </c>
      <c r="G33" s="176">
        <v>300000</v>
      </c>
      <c r="H33" s="177">
        <f xml:space="preserve"> 18700000 - 1640000</f>
        <v>17060000</v>
      </c>
      <c r="I33" s="177">
        <v>70000000</v>
      </c>
      <c r="J33" s="177">
        <v>54000000</v>
      </c>
      <c r="K33" s="178">
        <f t="shared" si="3"/>
        <v>14244280.073496789</v>
      </c>
      <c r="L33" s="179">
        <v>-0.01</v>
      </c>
      <c r="M33" s="180">
        <v>0</v>
      </c>
      <c r="N33" s="181">
        <f t="shared" si="1"/>
        <v>12007490.890819099</v>
      </c>
      <c r="O33" s="182">
        <v>-0.1</v>
      </c>
      <c r="P33" s="180">
        <f t="shared" si="2"/>
        <v>12007490.890819099</v>
      </c>
      <c r="Q33" s="177">
        <f t="shared" si="4"/>
        <v>87060000</v>
      </c>
      <c r="R33" s="177" t="e">
        <f xml:space="preserve"> J33 +#REF!</f>
        <v>#REF!</v>
      </c>
      <c r="S33" s="183"/>
    </row>
    <row r="34" spans="1:20" s="134" customFormat="1" x14ac:dyDescent="0.3">
      <c r="B34" s="383"/>
      <c r="C34" s="174">
        <v>7</v>
      </c>
      <c r="D34" s="175">
        <v>0</v>
      </c>
      <c r="E34" s="175">
        <v>12000000</v>
      </c>
      <c r="F34" s="175">
        <v>300000</v>
      </c>
      <c r="G34" s="176">
        <v>300000</v>
      </c>
      <c r="H34" s="177">
        <f t="shared" ref="H34:H35" si="5" xml:space="preserve"> H33 - 1640000</f>
        <v>15420000</v>
      </c>
      <c r="I34" s="177">
        <v>70000000</v>
      </c>
      <c r="J34" s="177">
        <v>54000000</v>
      </c>
      <c r="K34" s="178">
        <f t="shared" si="3"/>
        <v>14725525.832908815</v>
      </c>
      <c r="L34" s="179">
        <v>-8.0000000000000002E-3</v>
      </c>
      <c r="M34" s="180">
        <v>0</v>
      </c>
      <c r="N34" s="181">
        <f t="shared" si="1"/>
        <v>7625.7268538425787</v>
      </c>
      <c r="O34" s="182">
        <v>1.7999999999999999E-2</v>
      </c>
      <c r="P34" s="180">
        <f t="shared" si="2"/>
        <v>7625.7268538425787</v>
      </c>
      <c r="Q34" s="177">
        <f t="shared" si="4"/>
        <v>85420000</v>
      </c>
      <c r="R34" s="177" t="e">
        <f xml:space="preserve"> J34 +#REF!</f>
        <v>#REF!</v>
      </c>
      <c r="S34" s="183"/>
    </row>
    <row r="35" spans="1:20" s="134" customFormat="1" x14ac:dyDescent="0.3">
      <c r="B35" s="383"/>
      <c r="C35" s="174">
        <v>8</v>
      </c>
      <c r="D35" s="175">
        <v>0</v>
      </c>
      <c r="E35" s="175">
        <v>0</v>
      </c>
      <c r="F35" s="175">
        <v>300000</v>
      </c>
      <c r="G35" s="176">
        <v>300000</v>
      </c>
      <c r="H35" s="177">
        <f t="shared" si="5"/>
        <v>13780000</v>
      </c>
      <c r="I35" s="177">
        <v>70000000</v>
      </c>
      <c r="J35" s="177">
        <v>54000000</v>
      </c>
      <c r="K35" s="178">
        <f t="shared" si="3"/>
        <v>15785291.607896078</v>
      </c>
      <c r="L35" s="179">
        <v>0.03</v>
      </c>
      <c r="M35" s="180">
        <v>0</v>
      </c>
      <c r="N35" s="181">
        <f t="shared" si="1"/>
        <v>7762.9899372117452</v>
      </c>
      <c r="O35" s="182">
        <v>1.7999999999999999E-2</v>
      </c>
      <c r="P35" s="180">
        <f t="shared" si="2"/>
        <v>7762.9899372117452</v>
      </c>
      <c r="Q35" s="177">
        <f t="shared" si="4"/>
        <v>83780000</v>
      </c>
      <c r="R35" s="177" t="e">
        <f xml:space="preserve"> J35 +#REF!</f>
        <v>#REF!</v>
      </c>
      <c r="S35" s="183"/>
    </row>
    <row r="36" spans="1:20" s="134" customFormat="1" x14ac:dyDescent="0.3">
      <c r="B36" s="383"/>
      <c r="C36" s="174">
        <v>9</v>
      </c>
      <c r="D36" s="175">
        <v>0</v>
      </c>
      <c r="E36" s="175">
        <v>0</v>
      </c>
      <c r="F36" s="175">
        <v>0</v>
      </c>
      <c r="G36" s="176">
        <v>0</v>
      </c>
      <c r="H36" s="177">
        <v>0</v>
      </c>
      <c r="I36" s="177">
        <v>70000000</v>
      </c>
      <c r="J36" s="177">
        <v>54000000</v>
      </c>
      <c r="K36" s="178">
        <f xml:space="preserve"> (K35 + G36 + F36) + ((K35 + G36 + F36) * L36 ) - 12500000</f>
        <v>3569426.8568382077</v>
      </c>
      <c r="L36" s="179">
        <v>1.7999999999999999E-2</v>
      </c>
      <c r="M36" s="180">
        <v>0</v>
      </c>
      <c r="N36" s="181">
        <f t="shared" si="1"/>
        <v>7902.7237560815565</v>
      </c>
      <c r="O36" s="182">
        <v>1.7999999999999999E-2</v>
      </c>
      <c r="P36" s="180">
        <f t="shared" si="2"/>
        <v>7902.7237560815565</v>
      </c>
      <c r="Q36" s="177">
        <f t="shared" si="4"/>
        <v>70000000</v>
      </c>
      <c r="R36" s="177" t="e">
        <f xml:space="preserve"> J36 +#REF!</f>
        <v>#REF!</v>
      </c>
      <c r="S36" s="183"/>
    </row>
    <row r="37" spans="1:20" s="134" customFormat="1" x14ac:dyDescent="0.3">
      <c r="B37" s="383"/>
      <c r="C37" s="174">
        <v>10</v>
      </c>
      <c r="D37" s="175">
        <v>0</v>
      </c>
      <c r="E37" s="175">
        <v>0</v>
      </c>
      <c r="F37" s="175">
        <v>0</v>
      </c>
      <c r="G37" s="176">
        <v>0</v>
      </c>
      <c r="H37" s="177">
        <v>0</v>
      </c>
      <c r="I37" s="177">
        <v>70000000</v>
      </c>
      <c r="J37" s="177">
        <v>54000000</v>
      </c>
      <c r="K37" s="178">
        <f t="shared" si="3"/>
        <v>3633676.5402612956</v>
      </c>
      <c r="L37" s="179">
        <v>1.7999999999999999E-2</v>
      </c>
      <c r="M37" s="180">
        <v>0</v>
      </c>
      <c r="N37" s="181">
        <f t="shared" si="1"/>
        <v>8044.9727836910242</v>
      </c>
      <c r="O37" s="182">
        <v>1.7999999999999999E-2</v>
      </c>
      <c r="P37" s="180">
        <f t="shared" si="2"/>
        <v>8044.9727836910242</v>
      </c>
      <c r="Q37" s="177">
        <f t="shared" si="4"/>
        <v>70000000</v>
      </c>
      <c r="R37" s="177" t="e">
        <f xml:space="preserve"> J37 +#REF!</f>
        <v>#REF!</v>
      </c>
      <c r="S37" s="183"/>
    </row>
    <row r="38" spans="1:20" s="187" customFormat="1" ht="17.25" thickBot="1" x14ac:dyDescent="0.35">
      <c r="B38" s="383"/>
      <c r="C38" s="188">
        <v>11</v>
      </c>
      <c r="D38" s="175">
        <v>5000000</v>
      </c>
      <c r="E38" s="175">
        <v>0</v>
      </c>
      <c r="F38" s="175">
        <v>0</v>
      </c>
      <c r="G38" s="176">
        <v>0</v>
      </c>
      <c r="H38" s="177">
        <v>0</v>
      </c>
      <c r="I38" s="177">
        <v>70000000</v>
      </c>
      <c r="J38" s="177">
        <v>54000000</v>
      </c>
      <c r="K38" s="178">
        <f t="shared" si="3"/>
        <v>3699082.7179859988</v>
      </c>
      <c r="L38" s="179">
        <v>1.7999999999999999E-2</v>
      </c>
      <c r="M38" s="180">
        <v>0</v>
      </c>
      <c r="N38" s="181">
        <f t="shared" si="1"/>
        <v>5098189.7822937975</v>
      </c>
      <c r="O38" s="189">
        <v>1.7999999999999999E-2</v>
      </c>
      <c r="P38" s="180">
        <f t="shared" si="2"/>
        <v>5098189.7822937975</v>
      </c>
      <c r="Q38" s="177">
        <f t="shared" si="4"/>
        <v>70000000</v>
      </c>
      <c r="R38" s="177" t="e">
        <f xml:space="preserve"> J38 +#REF!</f>
        <v>#REF!</v>
      </c>
      <c r="S38" s="190"/>
    </row>
    <row r="39" spans="1:20" s="231" customFormat="1" ht="17.25" thickBot="1" x14ac:dyDescent="0.35">
      <c r="A39" s="227"/>
      <c r="B39" s="383"/>
      <c r="C39" s="228">
        <v>12</v>
      </c>
      <c r="D39" s="175">
        <v>60000000</v>
      </c>
      <c r="E39" s="175">
        <v>6400000</v>
      </c>
      <c r="F39" s="175">
        <v>0</v>
      </c>
      <c r="G39" s="176">
        <v>0</v>
      </c>
      <c r="H39" s="177">
        <v>60000000</v>
      </c>
      <c r="I39" s="177">
        <v>70000000</v>
      </c>
      <c r="J39" s="177">
        <v>54000000</v>
      </c>
      <c r="K39" s="178">
        <f t="shared" si="3"/>
        <v>3765666.2069097469</v>
      </c>
      <c r="L39" s="179">
        <v>1.7999999999999999E-2</v>
      </c>
      <c r="M39" s="180">
        <v>0</v>
      </c>
      <c r="N39" s="181">
        <f t="shared" si="1"/>
        <v>60576531.855327196</v>
      </c>
      <c r="O39" s="229">
        <v>3.2000000000000001E-2</v>
      </c>
      <c r="P39" s="180">
        <f t="shared" si="2"/>
        <v>60576531.855327196</v>
      </c>
      <c r="Q39" s="177">
        <f t="shared" si="4"/>
        <v>130000000</v>
      </c>
      <c r="R39" s="177" t="e">
        <f xml:space="preserve"> J39 +#REF!</f>
        <v>#REF!</v>
      </c>
      <c r="S39" s="230" t="s">
        <v>185</v>
      </c>
      <c r="T39" s="231" t="s">
        <v>187</v>
      </c>
    </row>
    <row r="40" spans="1:20" s="148" customFormat="1" x14ac:dyDescent="0.3">
      <c r="A40" s="148">
        <v>4</v>
      </c>
      <c r="B40" s="383">
        <v>2025</v>
      </c>
      <c r="C40" s="232">
        <v>1</v>
      </c>
      <c r="D40" s="175">
        <v>0</v>
      </c>
      <c r="E40" s="175">
        <v>0</v>
      </c>
      <c r="F40" s="175">
        <v>0</v>
      </c>
      <c r="G40" s="176">
        <v>0</v>
      </c>
      <c r="H40" s="177">
        <v>60000000</v>
      </c>
      <c r="I40" s="177">
        <v>70000000</v>
      </c>
      <c r="J40" s="177">
        <v>54000000</v>
      </c>
      <c r="K40" s="178">
        <f t="shared" si="3"/>
        <v>3833448.1986341225</v>
      </c>
      <c r="L40" s="179">
        <v>1.7999999999999999E-2</v>
      </c>
      <c r="M40" s="180">
        <v>0</v>
      </c>
      <c r="N40" s="181">
        <f t="shared" si="1"/>
        <v>62393827.810987011</v>
      </c>
      <c r="O40" s="204">
        <v>0.03</v>
      </c>
      <c r="P40" s="180">
        <f t="shared" si="2"/>
        <v>62393827.810987011</v>
      </c>
      <c r="Q40" s="177">
        <f t="shared" si="4"/>
        <v>130000000</v>
      </c>
      <c r="R40" s="177" t="e">
        <f xml:space="preserve"> J40 +#REF!</f>
        <v>#REF!</v>
      </c>
      <c r="S40" s="233"/>
    </row>
    <row r="41" spans="1:20" s="134" customFormat="1" x14ac:dyDescent="0.3">
      <c r="B41" s="383"/>
      <c r="C41" s="174">
        <v>2</v>
      </c>
      <c r="D41" s="175">
        <v>0</v>
      </c>
      <c r="E41" s="175">
        <v>0</v>
      </c>
      <c r="F41" s="175">
        <v>0</v>
      </c>
      <c r="G41" s="176">
        <v>0</v>
      </c>
      <c r="H41" s="177">
        <v>60000000</v>
      </c>
      <c r="I41" s="177">
        <v>70000000</v>
      </c>
      <c r="J41" s="177">
        <v>54000000</v>
      </c>
      <c r="K41" s="178">
        <v>0</v>
      </c>
      <c r="L41" s="179">
        <v>1.7999999999999999E-2</v>
      </c>
      <c r="M41" s="180">
        <v>0</v>
      </c>
      <c r="N41" s="181">
        <f t="shared" si="1"/>
        <v>40555988.077141553</v>
      </c>
      <c r="O41" s="179">
        <v>-0.35</v>
      </c>
      <c r="P41" s="180">
        <f t="shared" si="2"/>
        <v>40555988.077141553</v>
      </c>
      <c r="Q41" s="177">
        <f t="shared" si="4"/>
        <v>130000000</v>
      </c>
      <c r="R41" s="177" t="e">
        <f xml:space="preserve"> J41 +#REF!</f>
        <v>#REF!</v>
      </c>
      <c r="S41" s="183"/>
    </row>
    <row r="42" spans="1:20" s="134" customFormat="1" x14ac:dyDescent="0.3">
      <c r="B42" s="383"/>
      <c r="C42" s="174">
        <v>3</v>
      </c>
      <c r="D42" s="175">
        <v>0</v>
      </c>
      <c r="E42" s="175">
        <v>0</v>
      </c>
      <c r="F42" s="175">
        <v>0</v>
      </c>
      <c r="G42" s="176">
        <v>0</v>
      </c>
      <c r="H42" s="177">
        <v>60000000</v>
      </c>
      <c r="I42" s="177">
        <v>70000000</v>
      </c>
      <c r="J42" s="177">
        <v>54000000</v>
      </c>
      <c r="K42" s="178">
        <v>0</v>
      </c>
      <c r="L42" s="179">
        <v>1.7999999999999999E-2</v>
      </c>
      <c r="M42" s="180">
        <v>0</v>
      </c>
      <c r="N42" s="181">
        <f t="shared" si="1"/>
        <v>20277994.038570777</v>
      </c>
      <c r="O42" s="204">
        <v>-0.5</v>
      </c>
      <c r="P42" s="180">
        <f t="shared" si="2"/>
        <v>20277994.038570777</v>
      </c>
      <c r="Q42" s="177">
        <f t="shared" si="4"/>
        <v>130000000</v>
      </c>
      <c r="R42" s="177" t="e">
        <f xml:space="preserve"> J42 +#REF!</f>
        <v>#REF!</v>
      </c>
      <c r="S42" s="183"/>
    </row>
    <row r="43" spans="1:20" s="134" customFormat="1" x14ac:dyDescent="0.3">
      <c r="B43" s="383"/>
      <c r="C43" s="174">
        <v>4</v>
      </c>
      <c r="D43" s="175">
        <v>20000000</v>
      </c>
      <c r="E43" s="175">
        <v>0</v>
      </c>
      <c r="F43" s="175">
        <v>0</v>
      </c>
      <c r="G43" s="176">
        <v>0</v>
      </c>
      <c r="H43" s="177">
        <v>60000000</v>
      </c>
      <c r="I43" s="177">
        <v>70000000</v>
      </c>
      <c r="J43" s="177">
        <v>54000000</v>
      </c>
      <c r="K43" s="178">
        <f t="shared" si="3"/>
        <v>0</v>
      </c>
      <c r="L43" s="179">
        <v>1.7999999999999999E-2</v>
      </c>
      <c r="M43" s="180">
        <v>0</v>
      </c>
      <c r="N43" s="181">
        <f t="shared" si="1"/>
        <v>41083553.91934219</v>
      </c>
      <c r="O43" s="204">
        <v>0.02</v>
      </c>
      <c r="P43" s="180">
        <f t="shared" si="2"/>
        <v>41083553.91934219</v>
      </c>
      <c r="Q43" s="177">
        <f t="shared" si="4"/>
        <v>130000000</v>
      </c>
      <c r="R43" s="177" t="e">
        <f xml:space="preserve"> J43 +#REF!</f>
        <v>#REF!</v>
      </c>
      <c r="S43" s="183"/>
    </row>
    <row r="44" spans="1:20" s="136" customFormat="1" x14ac:dyDescent="0.3">
      <c r="B44" s="383"/>
      <c r="C44" s="234">
        <v>5</v>
      </c>
      <c r="D44" s="235">
        <v>20000000</v>
      </c>
      <c r="E44" s="235">
        <v>0</v>
      </c>
      <c r="F44" s="235">
        <v>0</v>
      </c>
      <c r="G44" s="236">
        <v>0</v>
      </c>
      <c r="H44" s="237">
        <v>60000000</v>
      </c>
      <c r="I44" s="237">
        <v>70000000</v>
      </c>
      <c r="J44" s="237">
        <v>54000000</v>
      </c>
      <c r="K44" s="178">
        <f t="shared" si="3"/>
        <v>0</v>
      </c>
      <c r="L44" s="179">
        <v>1.7999999999999999E-2</v>
      </c>
      <c r="M44" s="180">
        <v>0</v>
      </c>
      <c r="N44" s="181">
        <f t="shared" si="1"/>
        <v>64137731.615309298</v>
      </c>
      <c r="O44" s="204">
        <v>0.05</v>
      </c>
      <c r="P44" s="180">
        <f t="shared" si="2"/>
        <v>64137731.615309298</v>
      </c>
      <c r="Q44" s="237">
        <f t="shared" si="4"/>
        <v>130000000</v>
      </c>
      <c r="R44" s="237" t="e">
        <f xml:space="preserve"> J44 +#REF!</f>
        <v>#REF!</v>
      </c>
      <c r="S44" s="238"/>
    </row>
    <row r="45" spans="1:20" s="18" customFormat="1" x14ac:dyDescent="0.3">
      <c r="B45" s="383"/>
      <c r="C45" s="27">
        <v>6</v>
      </c>
      <c r="D45" s="129">
        <v>0</v>
      </c>
      <c r="E45" s="129">
        <v>35000000</v>
      </c>
      <c r="F45" s="129">
        <v>0</v>
      </c>
      <c r="G45" s="116">
        <v>5000000</v>
      </c>
      <c r="H45" s="91">
        <v>60000000</v>
      </c>
      <c r="I45" s="91">
        <v>0</v>
      </c>
      <c r="J45" s="91">
        <v>15000000</v>
      </c>
      <c r="K45" s="122">
        <f t="shared" si="3"/>
        <v>4995000</v>
      </c>
      <c r="L45" s="94">
        <v>-1E-3</v>
      </c>
      <c r="M45" s="37">
        <v>6600000</v>
      </c>
      <c r="N45" s="103">
        <f xml:space="preserve"> (N44 + D45 - E45 ) + ((N44 + D45 - E45) * O45)</f>
        <v>30303240.879921671</v>
      </c>
      <c r="O45" s="79">
        <v>0.04</v>
      </c>
      <c r="P45" s="155">
        <f t="shared" si="2"/>
        <v>36903240.879921675</v>
      </c>
      <c r="Q45" s="93">
        <f t="shared" si="4"/>
        <v>60000000</v>
      </c>
      <c r="R45" s="93" t="e">
        <f xml:space="preserve"> J45 +#REF!</f>
        <v>#REF!</v>
      </c>
      <c r="S45" s="83"/>
    </row>
    <row r="46" spans="1:20" s="18" customFormat="1" x14ac:dyDescent="0.3">
      <c r="B46" s="383"/>
      <c r="C46" s="27">
        <v>7</v>
      </c>
      <c r="D46" s="129">
        <v>0</v>
      </c>
      <c r="E46" s="129">
        <v>0</v>
      </c>
      <c r="F46" s="129">
        <v>0</v>
      </c>
      <c r="G46" s="116">
        <v>0</v>
      </c>
      <c r="H46" s="91">
        <v>60000000</v>
      </c>
      <c r="I46" s="91">
        <v>0</v>
      </c>
      <c r="J46" s="91">
        <v>15000000</v>
      </c>
      <c r="K46" s="122">
        <f t="shared" si="3"/>
        <v>5084910</v>
      </c>
      <c r="L46" s="94">
        <v>1.7999999999999999E-2</v>
      </c>
      <c r="M46" s="37">
        <v>6600000</v>
      </c>
      <c r="N46" s="103">
        <f xml:space="preserve"> (N45 + D46 - E46) + ((N45 + D46 - E46 ) * O46)</f>
        <v>30909305.697520103</v>
      </c>
      <c r="O46" s="79">
        <v>0.02</v>
      </c>
      <c r="P46" s="155">
        <f t="shared" si="2"/>
        <v>37509305.697520107</v>
      </c>
      <c r="Q46" s="93">
        <f t="shared" si="4"/>
        <v>60000000</v>
      </c>
      <c r="R46" s="93" t="e">
        <f xml:space="preserve"> J46 +#REF!</f>
        <v>#REF!</v>
      </c>
      <c r="S46" s="83"/>
    </row>
    <row r="47" spans="1:20" s="212" customFormat="1" x14ac:dyDescent="0.3">
      <c r="A47" s="223" t="s">
        <v>211</v>
      </c>
      <c r="B47" s="383"/>
      <c r="C47" s="213">
        <v>8</v>
      </c>
      <c r="D47" s="129">
        <v>0</v>
      </c>
      <c r="E47" s="129">
        <v>0</v>
      </c>
      <c r="F47" s="214">
        <v>0</v>
      </c>
      <c r="G47" s="215">
        <v>0</v>
      </c>
      <c r="H47" s="216">
        <v>0</v>
      </c>
      <c r="I47" s="240">
        <v>256000000</v>
      </c>
      <c r="J47" s="216">
        <v>380000000</v>
      </c>
      <c r="K47" s="217">
        <f t="shared" si="3"/>
        <v>5176438.38</v>
      </c>
      <c r="L47" s="94">
        <v>1.7999999999999999E-2</v>
      </c>
      <c r="M47" s="37">
        <v>6600000</v>
      </c>
      <c r="N47" s="103">
        <f t="shared" ref="N47" si="6" xml:space="preserve"> (N46 + D47 - E47 ) + ((N46 + D47 - E47) * O47)</f>
        <v>31527491.811470505</v>
      </c>
      <c r="O47" s="219">
        <v>0.02</v>
      </c>
      <c r="P47" s="218">
        <f t="shared" si="2"/>
        <v>38127491.811470509</v>
      </c>
      <c r="Q47" s="216">
        <f t="shared" si="4"/>
        <v>256000000</v>
      </c>
      <c r="R47" s="216" t="e">
        <f xml:space="preserve"> J47 +#REF!</f>
        <v>#REF!</v>
      </c>
      <c r="S47" s="220"/>
    </row>
    <row r="48" spans="1:20" s="18" customFormat="1" x14ac:dyDescent="0.3">
      <c r="B48" s="383"/>
      <c r="C48" s="27">
        <v>9</v>
      </c>
      <c r="D48" s="129">
        <v>0</v>
      </c>
      <c r="E48" s="129">
        <v>0</v>
      </c>
      <c r="F48" s="129">
        <v>0</v>
      </c>
      <c r="G48" s="221">
        <v>0</v>
      </c>
      <c r="H48" s="93">
        <v>0</v>
      </c>
      <c r="I48" s="240">
        <f xml:space="preserve"> I47 - 700000</f>
        <v>255300000</v>
      </c>
      <c r="J48" s="93">
        <v>380000000</v>
      </c>
      <c r="K48" s="222">
        <f t="shared" si="3"/>
        <v>5269614.2708399994</v>
      </c>
      <c r="L48" s="94">
        <v>1.7999999999999999E-2</v>
      </c>
      <c r="M48" s="37">
        <v>6600000</v>
      </c>
      <c r="N48" s="103">
        <f t="shared" ref="N48" si="7" xml:space="preserve"> (N47 + D48 - E48) + ((N47 + D48 - E48 ) * O48)</f>
        <v>32158041.647699915</v>
      </c>
      <c r="O48" s="79">
        <v>0.02</v>
      </c>
      <c r="P48" s="37">
        <f t="shared" si="2"/>
        <v>38758041.647699915</v>
      </c>
      <c r="Q48" s="93">
        <f t="shared" si="4"/>
        <v>255300000</v>
      </c>
      <c r="R48" s="93" t="e">
        <f xml:space="preserve"> J48 +#REF!</f>
        <v>#REF!</v>
      </c>
      <c r="S48" s="83"/>
    </row>
    <row r="49" spans="1:19" s="18" customFormat="1" x14ac:dyDescent="0.3">
      <c r="B49" s="383"/>
      <c r="C49" s="27">
        <v>10</v>
      </c>
      <c r="D49" s="129">
        <v>0</v>
      </c>
      <c r="E49" s="129">
        <v>0</v>
      </c>
      <c r="F49" s="129">
        <v>0</v>
      </c>
      <c r="G49" s="221">
        <v>0</v>
      </c>
      <c r="H49" s="93">
        <v>0</v>
      </c>
      <c r="I49" s="240">
        <f xml:space="preserve"> I48 - 700000</f>
        <v>254600000</v>
      </c>
      <c r="J49" s="93">
        <v>380000000</v>
      </c>
      <c r="K49" s="222">
        <f t="shared" si="3"/>
        <v>5364467.3277151193</v>
      </c>
      <c r="L49" s="94">
        <v>1.7999999999999999E-2</v>
      </c>
      <c r="M49" s="37">
        <v>6600000</v>
      </c>
      <c r="N49" s="103">
        <f t="shared" ref="N49" si="8" xml:space="preserve"> (N48 + D49 - E49 ) + ((N48 + D49 - E49) * O49)</f>
        <v>32801202.480653912</v>
      </c>
      <c r="O49" s="79">
        <v>0.02</v>
      </c>
      <c r="P49" s="37">
        <f t="shared" si="2"/>
        <v>39401202.480653912</v>
      </c>
      <c r="Q49" s="93">
        <f t="shared" si="4"/>
        <v>254600000</v>
      </c>
      <c r="R49" s="93" t="e">
        <f xml:space="preserve"> J49 +#REF!</f>
        <v>#REF!</v>
      </c>
      <c r="S49" s="83"/>
    </row>
    <row r="50" spans="1:19" s="28" customFormat="1" ht="17.25" thickBot="1" x14ac:dyDescent="0.35">
      <c r="B50" s="383"/>
      <c r="C50" s="29">
        <v>11</v>
      </c>
      <c r="D50" s="129">
        <v>0</v>
      </c>
      <c r="E50" s="129">
        <v>0</v>
      </c>
      <c r="F50" s="129">
        <v>0</v>
      </c>
      <c r="G50" s="221">
        <v>0</v>
      </c>
      <c r="H50" s="93">
        <v>0</v>
      </c>
      <c r="I50" s="240">
        <f t="shared" ref="I50:I113" si="9" xml:space="preserve"> I49 - 700000</f>
        <v>253900000</v>
      </c>
      <c r="J50" s="93">
        <v>380000000</v>
      </c>
      <c r="K50" s="222">
        <f t="shared" si="3"/>
        <v>5461027.7396139912</v>
      </c>
      <c r="L50" s="94">
        <v>1.7999999999999999E-2</v>
      </c>
      <c r="M50" s="37">
        <v>6600000</v>
      </c>
      <c r="N50" s="103">
        <f t="shared" ref="N50" si="10" xml:space="preserve"> (N49 + D50 - E50) + ((N49 + D50 - E50 ) * O50)</f>
        <v>33457226.530266989</v>
      </c>
      <c r="O50" s="79">
        <v>0.02</v>
      </c>
      <c r="P50" s="37">
        <f t="shared" si="2"/>
        <v>40057226.530266985</v>
      </c>
      <c r="Q50" s="93">
        <f t="shared" si="4"/>
        <v>253900000</v>
      </c>
      <c r="R50" s="93" t="e">
        <f xml:space="preserve"> J50 +#REF!</f>
        <v>#REF!</v>
      </c>
      <c r="S50" s="84"/>
    </row>
    <row r="51" spans="1:19" s="251" customFormat="1" ht="17.25" thickBot="1" x14ac:dyDescent="0.35">
      <c r="A51" s="242"/>
      <c r="B51" s="383"/>
      <c r="C51" s="243">
        <v>12</v>
      </c>
      <c r="D51" s="244">
        <v>0</v>
      </c>
      <c r="E51" s="244">
        <v>0</v>
      </c>
      <c r="F51" s="244">
        <v>0</v>
      </c>
      <c r="G51" s="245">
        <v>0</v>
      </c>
      <c r="H51" s="246">
        <v>0</v>
      </c>
      <c r="I51" s="246">
        <f t="shared" si="9"/>
        <v>253200000</v>
      </c>
      <c r="J51" s="246">
        <v>380000000</v>
      </c>
      <c r="K51" s="247">
        <f t="shared" si="3"/>
        <v>5559326.238927043</v>
      </c>
      <c r="L51" s="94">
        <v>1.7999999999999999E-2</v>
      </c>
      <c r="M51" s="37">
        <v>6600000</v>
      </c>
      <c r="N51" s="103">
        <f t="shared" ref="N51" si="11" xml:space="preserve"> (N50 + D51 - E51 ) + ((N50 + D51 - E51) * O51)</f>
        <v>34126371.060872331</v>
      </c>
      <c r="O51" s="249">
        <v>0.02</v>
      </c>
      <c r="P51" s="248">
        <f t="shared" si="2"/>
        <v>40726371.060872331</v>
      </c>
      <c r="Q51" s="246">
        <f t="shared" si="4"/>
        <v>253200000</v>
      </c>
      <c r="R51" s="246" t="e">
        <f xml:space="preserve"> J51 +#REF!</f>
        <v>#REF!</v>
      </c>
      <c r="S51" s="250"/>
    </row>
    <row r="52" spans="1:19" s="25" customFormat="1" x14ac:dyDescent="0.3">
      <c r="A52" s="25">
        <v>4</v>
      </c>
      <c r="B52" s="383">
        <v>2026</v>
      </c>
      <c r="C52" s="26">
        <v>1</v>
      </c>
      <c r="D52" s="129">
        <v>500000</v>
      </c>
      <c r="E52" s="129">
        <v>0</v>
      </c>
      <c r="F52" s="129">
        <v>0</v>
      </c>
      <c r="G52" s="116">
        <v>0</v>
      </c>
      <c r="H52" s="93">
        <v>0</v>
      </c>
      <c r="I52" s="240">
        <f t="shared" si="9"/>
        <v>252500000</v>
      </c>
      <c r="J52" s="93">
        <v>380000000</v>
      </c>
      <c r="K52" s="122">
        <f t="shared" si="3"/>
        <v>5659394.1112277294</v>
      </c>
      <c r="L52" s="94">
        <v>1.7999999999999999E-2</v>
      </c>
      <c r="M52" s="37">
        <v>6600000</v>
      </c>
      <c r="N52" s="103">
        <f t="shared" ref="N52" si="12" xml:space="preserve"> (N51 + D52 - E52) + ((N51 + D52 - E52 ) * O52)</f>
        <v>35318898.48208978</v>
      </c>
      <c r="O52" s="79">
        <v>0.02</v>
      </c>
      <c r="P52" s="155">
        <f t="shared" ref="P52:P83" si="13" xml:space="preserve"> M52 + N52</f>
        <v>41918898.48208978</v>
      </c>
      <c r="Q52" s="93">
        <f t="shared" si="4"/>
        <v>252500000</v>
      </c>
      <c r="R52" s="93" t="e">
        <f xml:space="preserve"> J52 +#REF!</f>
        <v>#REF!</v>
      </c>
      <c r="S52" s="85"/>
    </row>
    <row r="53" spans="1:19" s="30" customFormat="1" x14ac:dyDescent="0.3">
      <c r="B53" s="383"/>
      <c r="C53" s="31">
        <v>2</v>
      </c>
      <c r="D53" s="129">
        <v>500000</v>
      </c>
      <c r="E53" s="129">
        <v>0</v>
      </c>
      <c r="F53" s="129">
        <v>0</v>
      </c>
      <c r="G53" s="116">
        <v>0</v>
      </c>
      <c r="H53" s="93">
        <v>0</v>
      </c>
      <c r="I53" s="240">
        <f t="shared" si="9"/>
        <v>251800000</v>
      </c>
      <c r="J53" s="93">
        <v>380000000</v>
      </c>
      <c r="K53" s="122">
        <f t="shared" si="3"/>
        <v>5761263.2052298281</v>
      </c>
      <c r="L53" s="94">
        <v>1.7999999999999999E-2</v>
      </c>
      <c r="M53" s="37">
        <v>6600000</v>
      </c>
      <c r="N53" s="103">
        <f t="shared" ref="N53" si="14" xml:space="preserve"> (N52 + D53 - E53 ) + ((N52 + D53 - E53) * O53)</f>
        <v>36535276.451731578</v>
      </c>
      <c r="O53" s="79">
        <v>0.02</v>
      </c>
      <c r="P53" s="155">
        <f t="shared" si="13"/>
        <v>43135276.451731578</v>
      </c>
      <c r="Q53" s="93">
        <f t="shared" si="4"/>
        <v>251800000</v>
      </c>
      <c r="R53" s="93" t="e">
        <f xml:space="preserve"> J53 +#REF!</f>
        <v>#REF!</v>
      </c>
      <c r="S53" s="86"/>
    </row>
    <row r="54" spans="1:19" s="18" customFormat="1" x14ac:dyDescent="0.3">
      <c r="B54" s="383"/>
      <c r="C54" s="27">
        <v>3</v>
      </c>
      <c r="D54" s="129">
        <v>500000</v>
      </c>
      <c r="E54" s="129">
        <v>0</v>
      </c>
      <c r="F54" s="129">
        <v>0</v>
      </c>
      <c r="G54" s="116">
        <v>0</v>
      </c>
      <c r="H54" s="93">
        <v>0</v>
      </c>
      <c r="I54" s="240">
        <f t="shared" si="9"/>
        <v>251100000</v>
      </c>
      <c r="J54" s="93">
        <v>380000000</v>
      </c>
      <c r="K54" s="122">
        <f t="shared" si="3"/>
        <v>5864965.9429239649</v>
      </c>
      <c r="L54" s="94">
        <v>1.7999999999999999E-2</v>
      </c>
      <c r="M54" s="37">
        <v>6600000</v>
      </c>
      <c r="N54" s="103">
        <f t="shared" ref="N54" si="15" xml:space="preserve"> (N53 + D54 - E54) + ((N53 + D54 - E54 ) * O54)</f>
        <v>37775981.980766207</v>
      </c>
      <c r="O54" s="79">
        <v>0.02</v>
      </c>
      <c r="P54" s="155">
        <f t="shared" si="13"/>
        <v>44375981.980766207</v>
      </c>
      <c r="Q54" s="93">
        <f t="shared" si="4"/>
        <v>251100000</v>
      </c>
      <c r="R54" s="93" t="e">
        <f xml:space="preserve"> J54 +#REF!</f>
        <v>#REF!</v>
      </c>
      <c r="S54" s="83"/>
    </row>
    <row r="55" spans="1:19" s="18" customFormat="1" x14ac:dyDescent="0.3">
      <c r="B55" s="383"/>
      <c r="C55" s="27">
        <v>4</v>
      </c>
      <c r="D55" s="129">
        <v>500000</v>
      </c>
      <c r="E55" s="129">
        <v>0</v>
      </c>
      <c r="F55" s="129">
        <v>0</v>
      </c>
      <c r="G55" s="116">
        <v>0</v>
      </c>
      <c r="H55" s="93">
        <v>0</v>
      </c>
      <c r="I55" s="240">
        <f t="shared" si="9"/>
        <v>250400000</v>
      </c>
      <c r="J55" s="93">
        <v>380000000</v>
      </c>
      <c r="K55" s="122">
        <f t="shared" si="3"/>
        <v>5970535.3298965963</v>
      </c>
      <c r="L55" s="94">
        <v>1.7999999999999999E-2</v>
      </c>
      <c r="M55" s="37">
        <v>6600000</v>
      </c>
      <c r="N55" s="103">
        <f t="shared" ref="N55" si="16" xml:space="preserve"> (N54 + D55 - E55 ) + ((N54 + D55 - E55) * O55)</f>
        <v>39041501.620381534</v>
      </c>
      <c r="O55" s="79">
        <v>0.02</v>
      </c>
      <c r="P55" s="155">
        <f t="shared" si="13"/>
        <v>45641501.620381534</v>
      </c>
      <c r="Q55" s="93">
        <f t="shared" si="4"/>
        <v>250400000</v>
      </c>
      <c r="R55" s="93" t="e">
        <f xml:space="preserve"> J55 +#REF!</f>
        <v>#REF!</v>
      </c>
      <c r="S55" s="83"/>
    </row>
    <row r="56" spans="1:19" s="18" customFormat="1" x14ac:dyDescent="0.3">
      <c r="B56" s="383"/>
      <c r="C56" s="27">
        <v>5</v>
      </c>
      <c r="D56" s="129">
        <v>500000</v>
      </c>
      <c r="E56" s="129">
        <v>0</v>
      </c>
      <c r="F56" s="129">
        <v>0</v>
      </c>
      <c r="G56" s="116">
        <v>0</v>
      </c>
      <c r="H56" s="93">
        <v>0</v>
      </c>
      <c r="I56" s="240">
        <f t="shared" si="9"/>
        <v>249700000</v>
      </c>
      <c r="J56" s="93">
        <v>380000000</v>
      </c>
      <c r="K56" s="122">
        <f t="shared" si="3"/>
        <v>6078004.965834735</v>
      </c>
      <c r="L56" s="94">
        <v>1.7999999999999999E-2</v>
      </c>
      <c r="M56" s="37">
        <v>6600000</v>
      </c>
      <c r="N56" s="103">
        <f t="shared" ref="N56" si="17" xml:space="preserve"> (N55 + D56 - E56) + ((N55 + D56 - E56 ) * O56)</f>
        <v>40332331.652789168</v>
      </c>
      <c r="O56" s="79">
        <v>0.02</v>
      </c>
      <c r="P56" s="155">
        <f t="shared" si="13"/>
        <v>46932331.652789168</v>
      </c>
      <c r="Q56" s="93">
        <f t="shared" si="4"/>
        <v>249700000</v>
      </c>
      <c r="R56" s="93" t="e">
        <f xml:space="preserve"> J56 +#REF!</f>
        <v>#REF!</v>
      </c>
      <c r="S56" s="83"/>
    </row>
    <row r="57" spans="1:19" s="18" customFormat="1" x14ac:dyDescent="0.3">
      <c r="B57" s="383"/>
      <c r="C57" s="27">
        <v>6</v>
      </c>
      <c r="D57" s="129">
        <v>500000</v>
      </c>
      <c r="E57" s="129">
        <v>0</v>
      </c>
      <c r="F57" s="129">
        <v>0</v>
      </c>
      <c r="G57" s="116">
        <v>0</v>
      </c>
      <c r="H57" s="93">
        <v>0</v>
      </c>
      <c r="I57" s="240">
        <f t="shared" si="9"/>
        <v>249000000</v>
      </c>
      <c r="J57" s="93">
        <v>380000000</v>
      </c>
      <c r="K57" s="122">
        <f t="shared" si="3"/>
        <v>6187409.0552197602</v>
      </c>
      <c r="L57" s="94">
        <v>1.7999999999999999E-2</v>
      </c>
      <c r="M57" s="37">
        <v>6600000</v>
      </c>
      <c r="N57" s="103">
        <f t="shared" ref="N57" si="18" xml:space="preserve"> (N56 + D57 - E57 ) + ((N56 + D57 - E57) * O57)</f>
        <v>41648978.285844952</v>
      </c>
      <c r="O57" s="79">
        <v>0.02</v>
      </c>
      <c r="P57" s="155">
        <f t="shared" si="13"/>
        <v>48248978.285844952</v>
      </c>
      <c r="Q57" s="93">
        <f t="shared" ref="Q57:Q88" si="19" xml:space="preserve"> H57 + I57</f>
        <v>249000000</v>
      </c>
      <c r="R57" s="93" t="e">
        <f xml:space="preserve"> J57 +#REF!</f>
        <v>#REF!</v>
      </c>
      <c r="S57" s="83"/>
    </row>
    <row r="58" spans="1:19" s="18" customFormat="1" x14ac:dyDescent="0.3">
      <c r="B58" s="383"/>
      <c r="C58" s="27">
        <v>7</v>
      </c>
      <c r="D58" s="129">
        <v>500000</v>
      </c>
      <c r="E58" s="129">
        <v>0</v>
      </c>
      <c r="F58" s="129">
        <v>0</v>
      </c>
      <c r="G58" s="116">
        <v>0</v>
      </c>
      <c r="H58" s="93">
        <v>0</v>
      </c>
      <c r="I58" s="240">
        <f t="shared" si="9"/>
        <v>248300000</v>
      </c>
      <c r="J58" s="93">
        <v>380000000</v>
      </c>
      <c r="K58" s="122">
        <f t="shared" si="3"/>
        <v>6298782.4182137158</v>
      </c>
      <c r="L58" s="94">
        <v>1.7999999999999999E-2</v>
      </c>
      <c r="M58" s="37">
        <v>6600000</v>
      </c>
      <c r="N58" s="103">
        <f t="shared" ref="N58" si="20" xml:space="preserve"> (N57 + D58 - E58) + ((N57 + D58 - E58 ) * O58)</f>
        <v>42991957.851561852</v>
      </c>
      <c r="O58" s="79">
        <v>0.02</v>
      </c>
      <c r="P58" s="155">
        <f t="shared" si="13"/>
        <v>49591957.851561852</v>
      </c>
      <c r="Q58" s="93">
        <f t="shared" si="19"/>
        <v>248300000</v>
      </c>
      <c r="R58" s="93" t="e">
        <f xml:space="preserve"> J58 +#REF!</f>
        <v>#REF!</v>
      </c>
      <c r="S58" s="83"/>
    </row>
    <row r="59" spans="1:19" s="18" customFormat="1" x14ac:dyDescent="0.3">
      <c r="B59" s="383"/>
      <c r="C59" s="27">
        <v>8</v>
      </c>
      <c r="D59" s="129">
        <v>500000</v>
      </c>
      <c r="E59" s="129">
        <v>0</v>
      </c>
      <c r="F59" s="129">
        <v>0</v>
      </c>
      <c r="G59" s="116">
        <v>0</v>
      </c>
      <c r="H59" s="93">
        <v>0</v>
      </c>
      <c r="I59" s="240">
        <f t="shared" si="9"/>
        <v>247600000</v>
      </c>
      <c r="J59" s="93">
        <v>380000000</v>
      </c>
      <c r="K59" s="122">
        <f t="shared" si="3"/>
        <v>6412160.501741563</v>
      </c>
      <c r="L59" s="94">
        <v>1.7999999999999999E-2</v>
      </c>
      <c r="M59" s="37">
        <v>6600000</v>
      </c>
      <c r="N59" s="103">
        <f t="shared" ref="N59" si="21" xml:space="preserve"> (N58 + D59 - E59 ) + ((N58 + D59 - E59) * O59)</f>
        <v>44361797.00859309</v>
      </c>
      <c r="O59" s="79">
        <v>0.02</v>
      </c>
      <c r="P59" s="155">
        <f t="shared" si="13"/>
        <v>50961797.00859309</v>
      </c>
      <c r="Q59" s="93">
        <f t="shared" si="19"/>
        <v>247600000</v>
      </c>
      <c r="R59" s="93" t="e">
        <f xml:space="preserve"> J59 +#REF!</f>
        <v>#REF!</v>
      </c>
      <c r="S59" s="83"/>
    </row>
    <row r="60" spans="1:19" s="18" customFormat="1" x14ac:dyDescent="0.3">
      <c r="B60" s="383"/>
      <c r="C60" s="27">
        <v>9</v>
      </c>
      <c r="D60" s="129">
        <v>500000</v>
      </c>
      <c r="E60" s="129">
        <v>0</v>
      </c>
      <c r="F60" s="129">
        <v>0</v>
      </c>
      <c r="G60" s="116">
        <v>0</v>
      </c>
      <c r="H60" s="93">
        <v>0</v>
      </c>
      <c r="I60" s="240">
        <f t="shared" si="9"/>
        <v>246900000</v>
      </c>
      <c r="J60" s="93">
        <v>380000000</v>
      </c>
      <c r="K60" s="122">
        <f t="shared" si="3"/>
        <v>6527579.3907729108</v>
      </c>
      <c r="L60" s="94">
        <v>1.7999999999999999E-2</v>
      </c>
      <c r="M60" s="37">
        <v>6600000</v>
      </c>
      <c r="N60" s="103">
        <f t="shared" ref="N60" si="22" xml:space="preserve"> (N59 + D60 - E60) + ((N59 + D60 - E60 ) * O60)</f>
        <v>45759032.94876495</v>
      </c>
      <c r="O60" s="79">
        <v>0.02</v>
      </c>
      <c r="P60" s="155">
        <f t="shared" si="13"/>
        <v>52359032.94876495</v>
      </c>
      <c r="Q60" s="93">
        <f t="shared" si="19"/>
        <v>246900000</v>
      </c>
      <c r="R60" s="93" t="e">
        <f xml:space="preserve"> J60 +#REF!</f>
        <v>#REF!</v>
      </c>
      <c r="S60" s="83"/>
    </row>
    <row r="61" spans="1:19" s="18" customFormat="1" x14ac:dyDescent="0.3">
      <c r="B61" s="383"/>
      <c r="C61" s="27">
        <v>10</v>
      </c>
      <c r="D61" s="129">
        <v>500000</v>
      </c>
      <c r="E61" s="129">
        <v>0</v>
      </c>
      <c r="F61" s="129">
        <v>0</v>
      </c>
      <c r="G61" s="116">
        <v>0</v>
      </c>
      <c r="H61" s="93">
        <v>0</v>
      </c>
      <c r="I61" s="240">
        <f t="shared" si="9"/>
        <v>246200000</v>
      </c>
      <c r="J61" s="93">
        <v>380000000</v>
      </c>
      <c r="K61" s="122">
        <f t="shared" si="3"/>
        <v>6645075.8198068235</v>
      </c>
      <c r="L61" s="94">
        <v>1.7999999999999999E-2</v>
      </c>
      <c r="M61" s="37">
        <v>6600000</v>
      </c>
      <c r="N61" s="103">
        <f t="shared" ref="N61" si="23" xml:space="preserve"> (N60 + D61 - E61 ) + ((N60 + D61 - E61) * O61)</f>
        <v>47184213.607740246</v>
      </c>
      <c r="O61" s="79">
        <v>0.02</v>
      </c>
      <c r="P61" s="155">
        <f t="shared" si="13"/>
        <v>53784213.607740246</v>
      </c>
      <c r="Q61" s="93">
        <f t="shared" si="19"/>
        <v>246200000</v>
      </c>
      <c r="R61" s="93" t="e">
        <f xml:space="preserve"> J61 +#REF!</f>
        <v>#REF!</v>
      </c>
      <c r="S61" s="83"/>
    </row>
    <row r="62" spans="1:19" s="28" customFormat="1" ht="17.25" thickBot="1" x14ac:dyDescent="0.35">
      <c r="B62" s="383"/>
      <c r="C62" s="29">
        <v>11</v>
      </c>
      <c r="D62" s="129">
        <v>500000</v>
      </c>
      <c r="E62" s="129">
        <v>0</v>
      </c>
      <c r="F62" s="129">
        <v>0</v>
      </c>
      <c r="G62" s="116">
        <v>0</v>
      </c>
      <c r="H62" s="93">
        <v>0</v>
      </c>
      <c r="I62" s="240">
        <f t="shared" si="9"/>
        <v>245500000</v>
      </c>
      <c r="J62" s="93">
        <v>380000000</v>
      </c>
      <c r="K62" s="122">
        <f t="shared" si="3"/>
        <v>6764687.1845633462</v>
      </c>
      <c r="L62" s="94">
        <v>1.7999999999999999E-2</v>
      </c>
      <c r="M62" s="37">
        <v>6600000</v>
      </c>
      <c r="N62" s="103">
        <f t="shared" ref="N62" si="24" xml:space="preserve"> (N61 + D62 - E62) + ((N61 + D62 - E62 ) * O62)</f>
        <v>48637897.879895054</v>
      </c>
      <c r="O62" s="79">
        <v>0.02</v>
      </c>
      <c r="P62" s="155">
        <f t="shared" si="13"/>
        <v>55237897.879895054</v>
      </c>
      <c r="Q62" s="93">
        <f t="shared" si="19"/>
        <v>245500000</v>
      </c>
      <c r="R62" s="93" t="e">
        <f xml:space="preserve"> J62 +#REF!</f>
        <v>#REF!</v>
      </c>
      <c r="S62" s="84"/>
    </row>
    <row r="63" spans="1:19" s="251" customFormat="1" ht="17.25" thickBot="1" x14ac:dyDescent="0.35">
      <c r="A63" s="242"/>
      <c r="B63" s="383"/>
      <c r="C63" s="243">
        <v>12</v>
      </c>
      <c r="D63" s="244">
        <v>500000</v>
      </c>
      <c r="E63" s="244">
        <v>0</v>
      </c>
      <c r="F63" s="244">
        <v>0</v>
      </c>
      <c r="G63" s="245">
        <v>0</v>
      </c>
      <c r="H63" s="246">
        <v>0</v>
      </c>
      <c r="I63" s="246">
        <f t="shared" si="9"/>
        <v>244800000</v>
      </c>
      <c r="J63" s="246">
        <v>380000000</v>
      </c>
      <c r="K63" s="247">
        <f t="shared" si="3"/>
        <v>6886451.553885486</v>
      </c>
      <c r="L63" s="94">
        <v>1.7999999999999999E-2</v>
      </c>
      <c r="M63" s="37">
        <v>6600000</v>
      </c>
      <c r="N63" s="103">
        <f t="shared" ref="N63" si="25" xml:space="preserve"> (N62 + D63 - E63 ) + ((N62 + D63 - E63) * O63)</f>
        <v>50120655.837492958</v>
      </c>
      <c r="O63" s="249">
        <v>0.02</v>
      </c>
      <c r="P63" s="248">
        <f t="shared" si="13"/>
        <v>56720655.837492958</v>
      </c>
      <c r="Q63" s="246">
        <f t="shared" si="19"/>
        <v>244800000</v>
      </c>
      <c r="R63" s="246" t="e">
        <f xml:space="preserve"> J63 +#REF!</f>
        <v>#REF!</v>
      </c>
      <c r="S63" s="250"/>
    </row>
    <row r="64" spans="1:19" s="25" customFormat="1" x14ac:dyDescent="0.3">
      <c r="A64" s="25">
        <v>6</v>
      </c>
      <c r="B64" s="383">
        <v>2027</v>
      </c>
      <c r="C64" s="26">
        <v>1</v>
      </c>
      <c r="D64" s="129">
        <v>500000</v>
      </c>
      <c r="E64" s="129">
        <v>0</v>
      </c>
      <c r="F64" s="129">
        <v>0</v>
      </c>
      <c r="G64" s="116">
        <v>0</v>
      </c>
      <c r="H64" s="93">
        <v>0</v>
      </c>
      <c r="I64" s="240">
        <f t="shared" si="9"/>
        <v>244100000</v>
      </c>
      <c r="J64" s="93">
        <v>380000000</v>
      </c>
      <c r="K64" s="122">
        <f t="shared" si="3"/>
        <v>7010407.6818554243</v>
      </c>
      <c r="L64" s="94">
        <v>1.7999999999999999E-2</v>
      </c>
      <c r="M64" s="37">
        <v>6600000</v>
      </c>
      <c r="N64" s="103">
        <f t="shared" ref="N64" si="26" xml:space="preserve"> (N63 + D64 - E64) + ((N63 + D64 - E64 ) * O64)</f>
        <v>51633068.954242818</v>
      </c>
      <c r="O64" s="79">
        <v>0.02</v>
      </c>
      <c r="P64" s="155">
        <f t="shared" si="13"/>
        <v>58233068.954242818</v>
      </c>
      <c r="Q64" s="93">
        <f t="shared" si="19"/>
        <v>244100000</v>
      </c>
      <c r="R64" s="93" t="e">
        <f xml:space="preserve"> J64 +#REF!</f>
        <v>#REF!</v>
      </c>
      <c r="S64" s="85"/>
    </row>
    <row r="65" spans="1:19" s="18" customFormat="1" x14ac:dyDescent="0.3">
      <c r="B65" s="383"/>
      <c r="C65" s="27">
        <v>2</v>
      </c>
      <c r="D65" s="129">
        <v>500000</v>
      </c>
      <c r="E65" s="129">
        <v>0</v>
      </c>
      <c r="F65" s="129">
        <v>0</v>
      </c>
      <c r="G65" s="116">
        <v>0</v>
      </c>
      <c r="H65" s="93">
        <v>0</v>
      </c>
      <c r="I65" s="240">
        <f t="shared" si="9"/>
        <v>243400000</v>
      </c>
      <c r="J65" s="93">
        <v>380000000</v>
      </c>
      <c r="K65" s="122">
        <f t="shared" si="3"/>
        <v>7136595.020128822</v>
      </c>
      <c r="L65" s="94">
        <v>1.7999999999999999E-2</v>
      </c>
      <c r="M65" s="37">
        <v>6600000</v>
      </c>
      <c r="N65" s="103">
        <f t="shared" ref="N65" si="27" xml:space="preserve"> (N64 + D65 - E65 ) + ((N64 + D65 - E65) * O65)</f>
        <v>53175730.333327673</v>
      </c>
      <c r="O65" s="79">
        <v>0.02</v>
      </c>
      <c r="P65" s="155">
        <f t="shared" si="13"/>
        <v>59775730.333327673</v>
      </c>
      <c r="Q65" s="93">
        <f t="shared" si="19"/>
        <v>243400000</v>
      </c>
      <c r="R65" s="93" t="e">
        <f xml:space="preserve"> J65 +#REF!</f>
        <v>#REF!</v>
      </c>
      <c r="S65" s="83"/>
    </row>
    <row r="66" spans="1:19" s="18" customFormat="1" x14ac:dyDescent="0.3">
      <c r="B66" s="383"/>
      <c r="C66" s="27">
        <v>3</v>
      </c>
      <c r="D66" s="129">
        <v>500000</v>
      </c>
      <c r="E66" s="129">
        <v>0</v>
      </c>
      <c r="F66" s="129">
        <v>0</v>
      </c>
      <c r="G66" s="116">
        <v>0</v>
      </c>
      <c r="H66" s="93">
        <v>0</v>
      </c>
      <c r="I66" s="240">
        <f t="shared" si="9"/>
        <v>242700000</v>
      </c>
      <c r="J66" s="93">
        <v>380000000</v>
      </c>
      <c r="K66" s="122">
        <f t="shared" si="3"/>
        <v>7265053.7304911409</v>
      </c>
      <c r="L66" s="94">
        <v>1.7999999999999999E-2</v>
      </c>
      <c r="M66" s="37">
        <v>6600000</v>
      </c>
      <c r="N66" s="103">
        <f t="shared" ref="N66" si="28" xml:space="preserve"> (N65 + D66 - E66) + ((N65 + D66 - E66 ) * O66)</f>
        <v>54749244.939994223</v>
      </c>
      <c r="O66" s="79">
        <v>0.02</v>
      </c>
      <c r="P66" s="155">
        <f t="shared" si="13"/>
        <v>61349244.939994223</v>
      </c>
      <c r="Q66" s="93">
        <f t="shared" si="19"/>
        <v>242700000</v>
      </c>
      <c r="R66" s="93" t="e">
        <f xml:space="preserve"> J66 +#REF!</f>
        <v>#REF!</v>
      </c>
      <c r="S66" s="83"/>
    </row>
    <row r="67" spans="1:19" s="18" customFormat="1" x14ac:dyDescent="0.3">
      <c r="B67" s="383"/>
      <c r="C67" s="27">
        <v>4</v>
      </c>
      <c r="D67" s="129">
        <v>500000</v>
      </c>
      <c r="E67" s="129">
        <v>0</v>
      </c>
      <c r="F67" s="129">
        <v>0</v>
      </c>
      <c r="G67" s="116">
        <v>0</v>
      </c>
      <c r="H67" s="93">
        <v>0</v>
      </c>
      <c r="I67" s="240">
        <f t="shared" si="9"/>
        <v>242000000</v>
      </c>
      <c r="J67" s="93">
        <v>380000000</v>
      </c>
      <c r="K67" s="122">
        <f t="shared" si="3"/>
        <v>7395824.6976399813</v>
      </c>
      <c r="L67" s="94">
        <v>1.7999999999999999E-2</v>
      </c>
      <c r="M67" s="37">
        <v>6600000</v>
      </c>
      <c r="N67" s="103">
        <f t="shared" ref="N67" si="29" xml:space="preserve"> (N66 + D67 - E67 ) + ((N66 + D67 - E67) * O67)</f>
        <v>56354229.838794105</v>
      </c>
      <c r="O67" s="79">
        <v>0.02</v>
      </c>
      <c r="P67" s="155">
        <f t="shared" si="13"/>
        <v>62954229.838794105</v>
      </c>
      <c r="Q67" s="93">
        <f t="shared" si="19"/>
        <v>242000000</v>
      </c>
      <c r="R67" s="93" t="e">
        <f xml:space="preserve"> J67 +#REF!</f>
        <v>#REF!</v>
      </c>
      <c r="S67" s="83"/>
    </row>
    <row r="68" spans="1:19" s="18" customFormat="1" x14ac:dyDescent="0.3">
      <c r="B68" s="383"/>
      <c r="C68" s="27">
        <v>5</v>
      </c>
      <c r="D68" s="129">
        <v>500000</v>
      </c>
      <c r="E68" s="129">
        <v>0</v>
      </c>
      <c r="F68" s="129">
        <v>0</v>
      </c>
      <c r="G68" s="116">
        <v>0</v>
      </c>
      <c r="H68" s="93">
        <v>0</v>
      </c>
      <c r="I68" s="240">
        <f t="shared" si="9"/>
        <v>241300000</v>
      </c>
      <c r="J68" s="93">
        <v>380000000</v>
      </c>
      <c r="K68" s="122">
        <f t="shared" si="3"/>
        <v>7528949.5421975013</v>
      </c>
      <c r="L68" s="94">
        <v>1.7999999999999999E-2</v>
      </c>
      <c r="M68" s="37">
        <v>6600000</v>
      </c>
      <c r="N68" s="103">
        <f t="shared" ref="N68" si="30" xml:space="preserve"> (N67 + D68 - E68) + ((N67 + D68 - E68 ) * O68)</f>
        <v>57991314.435569987</v>
      </c>
      <c r="O68" s="79">
        <v>0.02</v>
      </c>
      <c r="P68" s="155">
        <f t="shared" si="13"/>
        <v>64591314.435569987</v>
      </c>
      <c r="Q68" s="93">
        <f t="shared" si="19"/>
        <v>241300000</v>
      </c>
      <c r="R68" s="93" t="e">
        <f xml:space="preserve"> J68 +#REF!</f>
        <v>#REF!</v>
      </c>
      <c r="S68" s="83"/>
    </row>
    <row r="69" spans="1:19" s="18" customFormat="1" x14ac:dyDescent="0.3">
      <c r="B69" s="383"/>
      <c r="C69" s="27">
        <v>6</v>
      </c>
      <c r="D69" s="129">
        <v>500000</v>
      </c>
      <c r="E69" s="129">
        <v>0</v>
      </c>
      <c r="F69" s="129">
        <v>0</v>
      </c>
      <c r="G69" s="116">
        <v>0</v>
      </c>
      <c r="H69" s="93">
        <v>0</v>
      </c>
      <c r="I69" s="240">
        <f t="shared" si="9"/>
        <v>240600000</v>
      </c>
      <c r="J69" s="93">
        <v>380000000</v>
      </c>
      <c r="K69" s="122">
        <f t="shared" si="3"/>
        <v>7664470.6339570563</v>
      </c>
      <c r="L69" s="94">
        <v>1.7999999999999999E-2</v>
      </c>
      <c r="M69" s="37">
        <v>6600000</v>
      </c>
      <c r="N69" s="103">
        <f t="shared" ref="N69" si="31" xml:space="preserve"> (N68 + D69 - E69 ) + ((N68 + D69 - E69) * O69)</f>
        <v>59661140.724281386</v>
      </c>
      <c r="O69" s="79">
        <v>0.02</v>
      </c>
      <c r="P69" s="155">
        <f t="shared" si="13"/>
        <v>66261140.724281386</v>
      </c>
      <c r="Q69" s="93">
        <f t="shared" si="19"/>
        <v>240600000</v>
      </c>
      <c r="R69" s="93" t="e">
        <f xml:space="preserve"> J69 +#REF!</f>
        <v>#REF!</v>
      </c>
      <c r="S69" s="83"/>
    </row>
    <row r="70" spans="1:19" s="18" customFormat="1" x14ac:dyDescent="0.3">
      <c r="B70" s="383"/>
      <c r="C70" s="27">
        <v>7</v>
      </c>
      <c r="D70" s="129">
        <v>500000</v>
      </c>
      <c r="E70" s="129">
        <v>0</v>
      </c>
      <c r="F70" s="129">
        <v>0</v>
      </c>
      <c r="G70" s="116">
        <v>0</v>
      </c>
      <c r="H70" s="93">
        <v>0</v>
      </c>
      <c r="I70" s="240">
        <f t="shared" si="9"/>
        <v>239900000</v>
      </c>
      <c r="J70" s="93">
        <v>380000000</v>
      </c>
      <c r="K70" s="122">
        <f t="shared" si="3"/>
        <v>7802431.1053682836</v>
      </c>
      <c r="L70" s="94">
        <v>1.7999999999999999E-2</v>
      </c>
      <c r="M70" s="37">
        <v>6600000</v>
      </c>
      <c r="N70" s="103">
        <f t="shared" ref="N70" si="32" xml:space="preserve"> (N69 + D70 - E70) + ((N69 + D70 - E70 ) * O70)</f>
        <v>61364363.53876701</v>
      </c>
      <c r="O70" s="79">
        <v>0.02</v>
      </c>
      <c r="P70" s="155">
        <f t="shared" si="13"/>
        <v>67964363.53876701</v>
      </c>
      <c r="Q70" s="93">
        <f t="shared" si="19"/>
        <v>239900000</v>
      </c>
      <c r="R70" s="93" t="e">
        <f xml:space="preserve"> J70 +#REF!</f>
        <v>#REF!</v>
      </c>
      <c r="S70" s="83"/>
    </row>
    <row r="71" spans="1:19" s="18" customFormat="1" x14ac:dyDescent="0.3">
      <c r="B71" s="383"/>
      <c r="C71" s="27">
        <v>8</v>
      </c>
      <c r="D71" s="129">
        <v>500000</v>
      </c>
      <c r="E71" s="129">
        <v>0</v>
      </c>
      <c r="F71" s="129">
        <v>0</v>
      </c>
      <c r="G71" s="116">
        <v>0</v>
      </c>
      <c r="H71" s="93">
        <v>0</v>
      </c>
      <c r="I71" s="240">
        <f t="shared" si="9"/>
        <v>239200000</v>
      </c>
      <c r="J71" s="93">
        <v>380000000</v>
      </c>
      <c r="K71" s="122">
        <f t="shared" si="3"/>
        <v>7942874.8652649131</v>
      </c>
      <c r="L71" s="94">
        <v>1.7999999999999999E-2</v>
      </c>
      <c r="M71" s="37">
        <v>6600000</v>
      </c>
      <c r="N71" s="103">
        <f t="shared" ref="N71" si="33" xml:space="preserve"> (N70 + D71 - E71 ) + ((N70 + D71 - E71) * O71)</f>
        <v>63101650.80954235</v>
      </c>
      <c r="O71" s="79">
        <v>0.02</v>
      </c>
      <c r="P71" s="155">
        <f t="shared" si="13"/>
        <v>69701650.809542358</v>
      </c>
      <c r="Q71" s="93">
        <f t="shared" si="19"/>
        <v>239200000</v>
      </c>
      <c r="R71" s="93" t="e">
        <f xml:space="preserve"> J71 +#REF!</f>
        <v>#REF!</v>
      </c>
      <c r="S71" s="83"/>
    </row>
    <row r="72" spans="1:19" s="18" customFormat="1" x14ac:dyDescent="0.3">
      <c r="B72" s="383"/>
      <c r="C72" s="27">
        <v>9</v>
      </c>
      <c r="D72" s="129">
        <v>500000</v>
      </c>
      <c r="E72" s="129">
        <v>0</v>
      </c>
      <c r="F72" s="129">
        <v>0</v>
      </c>
      <c r="G72" s="116">
        <v>0</v>
      </c>
      <c r="H72" s="93">
        <v>0</v>
      </c>
      <c r="I72" s="240">
        <f t="shared" si="9"/>
        <v>238500000</v>
      </c>
      <c r="J72" s="93">
        <v>380000000</v>
      </c>
      <c r="K72" s="122">
        <f t="shared" si="3"/>
        <v>8085846.6128396811</v>
      </c>
      <c r="L72" s="94">
        <v>1.7999999999999999E-2</v>
      </c>
      <c r="M72" s="37">
        <v>6600000</v>
      </c>
      <c r="N72" s="103">
        <f t="shared" ref="N72" si="34" xml:space="preserve"> (N71 + D72 - E72) + ((N71 + D72 - E72 ) * O72)</f>
        <v>64873683.8257332</v>
      </c>
      <c r="O72" s="79">
        <v>0.02</v>
      </c>
      <c r="P72" s="155">
        <f t="shared" si="13"/>
        <v>71473683.8257332</v>
      </c>
      <c r="Q72" s="93">
        <f t="shared" si="19"/>
        <v>238500000</v>
      </c>
      <c r="R72" s="93" t="e">
        <f xml:space="preserve"> J72 +#REF!</f>
        <v>#REF!</v>
      </c>
      <c r="S72" s="83"/>
    </row>
    <row r="73" spans="1:19" s="18" customFormat="1" x14ac:dyDescent="0.3">
      <c r="B73" s="383"/>
      <c r="C73" s="27">
        <v>10</v>
      </c>
      <c r="D73" s="129">
        <v>500000</v>
      </c>
      <c r="E73" s="129">
        <v>0</v>
      </c>
      <c r="F73" s="129">
        <v>0</v>
      </c>
      <c r="G73" s="221">
        <v>0</v>
      </c>
      <c r="H73" s="93">
        <v>0</v>
      </c>
      <c r="I73" s="93">
        <f t="shared" si="9"/>
        <v>237800000</v>
      </c>
      <c r="J73" s="93">
        <v>380000000</v>
      </c>
      <c r="K73" s="222">
        <f t="shared" si="3"/>
        <v>8231391.8518707957</v>
      </c>
      <c r="L73" s="94">
        <v>1.7999999999999999E-2</v>
      </c>
      <c r="M73" s="37">
        <v>6600000</v>
      </c>
      <c r="N73" s="103">
        <f t="shared" ref="N73" si="35" xml:space="preserve"> (N72 + D73 - E73 ) + ((N72 + D73 - E73) * O73)</f>
        <v>66681157.502247863</v>
      </c>
      <c r="O73" s="79">
        <v>0.02</v>
      </c>
      <c r="P73" s="37">
        <f t="shared" si="13"/>
        <v>73281157.50224787</v>
      </c>
      <c r="Q73" s="93">
        <f t="shared" si="19"/>
        <v>237800000</v>
      </c>
      <c r="R73" s="93" t="e">
        <f xml:space="preserve"> J73 +#REF!</f>
        <v>#REF!</v>
      </c>
      <c r="S73" s="83"/>
    </row>
    <row r="74" spans="1:19" s="28" customFormat="1" ht="17.25" thickBot="1" x14ac:dyDescent="0.35">
      <c r="B74" s="383"/>
      <c r="C74" s="29">
        <v>11</v>
      </c>
      <c r="D74" s="129">
        <v>500000</v>
      </c>
      <c r="E74" s="129">
        <v>0</v>
      </c>
      <c r="F74" s="129">
        <v>0</v>
      </c>
      <c r="G74" s="116">
        <v>0</v>
      </c>
      <c r="H74" s="93">
        <v>0</v>
      </c>
      <c r="I74" s="240">
        <f t="shared" si="9"/>
        <v>237100000</v>
      </c>
      <c r="J74" s="93">
        <v>380000000</v>
      </c>
      <c r="K74" s="122">
        <f t="shared" si="3"/>
        <v>8379556.9052044703</v>
      </c>
      <c r="L74" s="94">
        <v>1.7999999999999999E-2</v>
      </c>
      <c r="M74" s="37">
        <v>6600000</v>
      </c>
      <c r="N74" s="103">
        <f t="shared" ref="N74" si="36" xml:space="preserve"> (N73 + D74 - E74) + ((N73 + D74 - E74 ) * O74)</f>
        <v>68524780.652292833</v>
      </c>
      <c r="O74" s="79">
        <v>0.02</v>
      </c>
      <c r="P74" s="155">
        <f t="shared" si="13"/>
        <v>75124780.652292833</v>
      </c>
      <c r="Q74" s="93">
        <f t="shared" si="19"/>
        <v>237100000</v>
      </c>
      <c r="R74" s="93" t="e">
        <f xml:space="preserve"> J74 +#REF!</f>
        <v>#REF!</v>
      </c>
      <c r="S74" s="84"/>
    </row>
    <row r="75" spans="1:19" s="251" customFormat="1" ht="17.25" thickBot="1" x14ac:dyDescent="0.35">
      <c r="A75" s="242"/>
      <c r="B75" s="383"/>
      <c r="C75" s="243">
        <v>12</v>
      </c>
      <c r="D75" s="244">
        <v>500000</v>
      </c>
      <c r="E75" s="244">
        <v>10000000</v>
      </c>
      <c r="F75" s="244">
        <v>0</v>
      </c>
      <c r="G75" s="245">
        <v>0</v>
      </c>
      <c r="H75" s="246">
        <v>0</v>
      </c>
      <c r="I75" s="246">
        <f t="shared" si="9"/>
        <v>236400000</v>
      </c>
      <c r="J75" s="246">
        <v>380000000</v>
      </c>
      <c r="K75" s="247">
        <f t="shared" si="3"/>
        <v>8530388.9294981509</v>
      </c>
      <c r="L75" s="94">
        <v>1.7999999999999999E-2</v>
      </c>
      <c r="M75" s="37">
        <v>6600000</v>
      </c>
      <c r="N75" s="103">
        <f t="shared" ref="N75" si="37" xml:space="preserve"> (N74 + D75 - E75 ) + ((N74 + D75 - E75) * O75)</f>
        <v>60205276.265338689</v>
      </c>
      <c r="O75" s="249">
        <v>0.02</v>
      </c>
      <c r="P75" s="248">
        <f t="shared" si="13"/>
        <v>66805276.265338689</v>
      </c>
      <c r="Q75" s="246">
        <f t="shared" si="19"/>
        <v>236400000</v>
      </c>
      <c r="R75" s="246" t="e">
        <f xml:space="preserve"> J75 +#REF!</f>
        <v>#REF!</v>
      </c>
      <c r="S75" s="250"/>
    </row>
    <row r="76" spans="1:19" s="25" customFormat="1" x14ac:dyDescent="0.3">
      <c r="A76" s="25">
        <v>7</v>
      </c>
      <c r="B76" s="383">
        <v>2028</v>
      </c>
      <c r="C76" s="26">
        <v>1</v>
      </c>
      <c r="D76" s="129">
        <v>500000</v>
      </c>
      <c r="E76" s="129">
        <v>0</v>
      </c>
      <c r="F76" s="129">
        <v>0</v>
      </c>
      <c r="G76" s="116">
        <v>0</v>
      </c>
      <c r="H76" s="93">
        <v>0</v>
      </c>
      <c r="I76" s="240">
        <f t="shared" si="9"/>
        <v>235700000</v>
      </c>
      <c r="J76" s="93">
        <v>380000000</v>
      </c>
      <c r="K76" s="122">
        <f t="shared" si="3"/>
        <v>8683935.9302291181</v>
      </c>
      <c r="L76" s="94">
        <v>1.7999999999999999E-2</v>
      </c>
      <c r="M76" s="37">
        <v>6600000</v>
      </c>
      <c r="N76" s="103">
        <f t="shared" ref="N76" si="38" xml:space="preserve"> (N75 + D76 - E76) + ((N75 + D76 - E76 ) * O76)</f>
        <v>61919381.790645465</v>
      </c>
      <c r="O76" s="79">
        <v>0.02</v>
      </c>
      <c r="P76" s="155">
        <f t="shared" si="13"/>
        <v>68519381.790645465</v>
      </c>
      <c r="Q76" s="93">
        <f t="shared" si="19"/>
        <v>235700000</v>
      </c>
      <c r="R76" s="93" t="e">
        <f xml:space="preserve"> J76 +#REF!</f>
        <v>#REF!</v>
      </c>
      <c r="S76" s="85"/>
    </row>
    <row r="77" spans="1:19" s="18" customFormat="1" x14ac:dyDescent="0.3">
      <c r="B77" s="383"/>
      <c r="C77" s="27">
        <v>2</v>
      </c>
      <c r="D77" s="129">
        <v>500000</v>
      </c>
      <c r="E77" s="129">
        <v>0</v>
      </c>
      <c r="F77" s="129">
        <v>0</v>
      </c>
      <c r="G77" s="116">
        <v>0</v>
      </c>
      <c r="H77" s="93">
        <v>0</v>
      </c>
      <c r="I77" s="240">
        <f t="shared" si="9"/>
        <v>235000000</v>
      </c>
      <c r="J77" s="93">
        <v>380000000</v>
      </c>
      <c r="K77" s="122">
        <f t="shared" si="3"/>
        <v>8840246.7769732419</v>
      </c>
      <c r="L77" s="94">
        <v>1.7999999999999999E-2</v>
      </c>
      <c r="M77" s="37">
        <v>6600000</v>
      </c>
      <c r="N77" s="103">
        <f t="shared" ref="N77" si="39" xml:space="preserve"> (N76 + D77 - E77 ) + ((N76 + D77 - E77) * O77)</f>
        <v>63667769.426458374</v>
      </c>
      <c r="O77" s="79">
        <v>0.02</v>
      </c>
      <c r="P77" s="155">
        <f t="shared" si="13"/>
        <v>70267769.426458374</v>
      </c>
      <c r="Q77" s="93">
        <f t="shared" si="19"/>
        <v>235000000</v>
      </c>
      <c r="R77" s="93" t="e">
        <f xml:space="preserve"> J77 +#REF!</f>
        <v>#REF!</v>
      </c>
      <c r="S77" s="83"/>
    </row>
    <row r="78" spans="1:19" s="18" customFormat="1" x14ac:dyDescent="0.3">
      <c r="B78" s="383"/>
      <c r="C78" s="27">
        <v>3</v>
      </c>
      <c r="D78" s="129">
        <v>500000</v>
      </c>
      <c r="E78" s="129">
        <v>0</v>
      </c>
      <c r="F78" s="129">
        <v>0</v>
      </c>
      <c r="G78" s="116">
        <v>0</v>
      </c>
      <c r="H78" s="93">
        <v>0</v>
      </c>
      <c r="I78" s="240">
        <f t="shared" si="9"/>
        <v>234300000</v>
      </c>
      <c r="J78" s="93">
        <v>380000000</v>
      </c>
      <c r="K78" s="122">
        <f t="shared" si="3"/>
        <v>8999371.2189587597</v>
      </c>
      <c r="L78" s="94">
        <v>1.7999999999999999E-2</v>
      </c>
      <c r="M78" s="37">
        <v>6600000</v>
      </c>
      <c r="N78" s="103">
        <f t="shared" ref="N78" si="40" xml:space="preserve"> (N77 + D78 - E78) + ((N77 + D78 - E78 ) * O78)</f>
        <v>65451124.81498754</v>
      </c>
      <c r="O78" s="79">
        <v>0.02</v>
      </c>
      <c r="P78" s="155">
        <f t="shared" si="13"/>
        <v>72051124.81498754</v>
      </c>
      <c r="Q78" s="93">
        <f t="shared" si="19"/>
        <v>234300000</v>
      </c>
      <c r="R78" s="93" t="e">
        <f xml:space="preserve"> J78 +#REF!</f>
        <v>#REF!</v>
      </c>
      <c r="S78" s="83"/>
    </row>
    <row r="79" spans="1:19" s="18" customFormat="1" x14ac:dyDescent="0.3">
      <c r="B79" s="383"/>
      <c r="C79" s="27">
        <v>4</v>
      </c>
      <c r="D79" s="129">
        <v>500000</v>
      </c>
      <c r="E79" s="129">
        <v>0</v>
      </c>
      <c r="F79" s="129">
        <v>0</v>
      </c>
      <c r="G79" s="116">
        <v>0</v>
      </c>
      <c r="H79" s="93">
        <v>0</v>
      </c>
      <c r="I79" s="240">
        <f t="shared" si="9"/>
        <v>233600000</v>
      </c>
      <c r="J79" s="93">
        <v>380000000</v>
      </c>
      <c r="K79" s="122">
        <f t="shared" si="3"/>
        <v>9161359.9009000175</v>
      </c>
      <c r="L79" s="94">
        <v>1.7999999999999999E-2</v>
      </c>
      <c r="M79" s="37">
        <v>6600000</v>
      </c>
      <c r="N79" s="103">
        <f t="shared" ref="N79" si="41" xml:space="preserve"> (N78 + D79 - E79 ) + ((N78 + D79 - E79) * O79)</f>
        <v>67270147.311287284</v>
      </c>
      <c r="O79" s="79">
        <v>0.02</v>
      </c>
      <c r="P79" s="155">
        <f t="shared" si="13"/>
        <v>73870147.311287284</v>
      </c>
      <c r="Q79" s="93">
        <f t="shared" si="19"/>
        <v>233600000</v>
      </c>
      <c r="R79" s="93" t="e">
        <f xml:space="preserve"> J79 +#REF!</f>
        <v>#REF!</v>
      </c>
      <c r="S79" s="83"/>
    </row>
    <row r="80" spans="1:19" s="18" customFormat="1" x14ac:dyDescent="0.3">
      <c r="B80" s="383"/>
      <c r="C80" s="27">
        <v>5</v>
      </c>
      <c r="D80" s="129">
        <v>500000</v>
      </c>
      <c r="E80" s="129">
        <v>0</v>
      </c>
      <c r="F80" s="129">
        <v>0</v>
      </c>
      <c r="G80" s="116">
        <v>0</v>
      </c>
      <c r="H80" s="93">
        <v>0</v>
      </c>
      <c r="I80" s="240">
        <f t="shared" si="9"/>
        <v>232900000</v>
      </c>
      <c r="J80" s="93">
        <v>380000000</v>
      </c>
      <c r="K80" s="122">
        <f t="shared" si="3"/>
        <v>9326264.3791162185</v>
      </c>
      <c r="L80" s="94">
        <v>1.7999999999999999E-2</v>
      </c>
      <c r="M80" s="37">
        <v>6600000</v>
      </c>
      <c r="N80" s="103">
        <f t="shared" ref="N80" si="42" xml:space="preserve"> (N79 + D80 - E80) + ((N79 + D80 - E80 ) * O80)</f>
        <v>69125550.257513031</v>
      </c>
      <c r="O80" s="79">
        <v>0.02</v>
      </c>
      <c r="P80" s="155">
        <f t="shared" si="13"/>
        <v>75725550.257513031</v>
      </c>
      <c r="Q80" s="93">
        <f t="shared" si="19"/>
        <v>232900000</v>
      </c>
      <c r="R80" s="93" t="e">
        <f xml:space="preserve"> J80 +#REF!</f>
        <v>#REF!</v>
      </c>
      <c r="S80" s="83"/>
    </row>
    <row r="81" spans="1:19" s="18" customFormat="1" x14ac:dyDescent="0.3">
      <c r="B81" s="383"/>
      <c r="C81" s="27">
        <v>6</v>
      </c>
      <c r="D81" s="129">
        <v>500000</v>
      </c>
      <c r="E81" s="129">
        <v>0</v>
      </c>
      <c r="F81" s="129">
        <v>0</v>
      </c>
      <c r="G81" s="116">
        <v>0</v>
      </c>
      <c r="H81" s="93">
        <v>0</v>
      </c>
      <c r="I81" s="240">
        <f t="shared" si="9"/>
        <v>232200000</v>
      </c>
      <c r="J81" s="93">
        <v>380000000</v>
      </c>
      <c r="K81" s="122">
        <f t="shared" si="3"/>
        <v>9494137.1379403099</v>
      </c>
      <c r="L81" s="94">
        <v>1.7999999999999999E-2</v>
      </c>
      <c r="M81" s="37">
        <v>6600000</v>
      </c>
      <c r="N81" s="103">
        <f t="shared" ref="N81" si="43" xml:space="preserve"> (N80 + D81 - E81 ) + ((N80 + D81 - E81) * O81)</f>
        <v>71018061.26266329</v>
      </c>
      <c r="O81" s="79">
        <v>0.02</v>
      </c>
      <c r="P81" s="155">
        <f t="shared" si="13"/>
        <v>77618061.26266329</v>
      </c>
      <c r="Q81" s="93">
        <f t="shared" si="19"/>
        <v>232200000</v>
      </c>
      <c r="R81" s="93" t="e">
        <f xml:space="preserve"> J81 +#REF!</f>
        <v>#REF!</v>
      </c>
      <c r="S81" s="83"/>
    </row>
    <row r="82" spans="1:19" s="18" customFormat="1" x14ac:dyDescent="0.3">
      <c r="B82" s="383"/>
      <c r="C82" s="27">
        <v>7</v>
      </c>
      <c r="D82" s="129">
        <v>500000</v>
      </c>
      <c r="E82" s="129">
        <v>0</v>
      </c>
      <c r="F82" s="129">
        <v>0</v>
      </c>
      <c r="G82" s="116">
        <v>0</v>
      </c>
      <c r="H82" s="93">
        <v>0</v>
      </c>
      <c r="I82" s="240">
        <f t="shared" si="9"/>
        <v>231500000</v>
      </c>
      <c r="J82" s="93">
        <v>380000000</v>
      </c>
      <c r="K82" s="122">
        <f t="shared" si="3"/>
        <v>9665031.6064232364</v>
      </c>
      <c r="L82" s="94">
        <v>1.7999999999999999E-2</v>
      </c>
      <c r="M82" s="37">
        <v>6600000</v>
      </c>
      <c r="N82" s="103">
        <f t="shared" ref="N82" si="44" xml:space="preserve"> (N81 + D82 - E82) + ((N81 + D82 - E82 ) * O82)</f>
        <v>72948422.487916559</v>
      </c>
      <c r="O82" s="79">
        <v>0.02</v>
      </c>
      <c r="P82" s="155">
        <f t="shared" si="13"/>
        <v>79548422.487916559</v>
      </c>
      <c r="Q82" s="93">
        <f t="shared" si="19"/>
        <v>231500000</v>
      </c>
      <c r="R82" s="93" t="e">
        <f xml:space="preserve"> J82 +#REF!</f>
        <v>#REF!</v>
      </c>
      <c r="S82" s="83"/>
    </row>
    <row r="83" spans="1:19" s="18" customFormat="1" x14ac:dyDescent="0.3">
      <c r="B83" s="383"/>
      <c r="C83" s="27">
        <v>8</v>
      </c>
      <c r="D83" s="129">
        <v>500000</v>
      </c>
      <c r="E83" s="129">
        <v>0</v>
      </c>
      <c r="F83" s="129">
        <v>0</v>
      </c>
      <c r="G83" s="116">
        <v>0</v>
      </c>
      <c r="H83" s="93">
        <v>0</v>
      </c>
      <c r="I83" s="240">
        <f t="shared" si="9"/>
        <v>230800000</v>
      </c>
      <c r="J83" s="93">
        <v>380000000</v>
      </c>
      <c r="K83" s="122">
        <f t="shared" si="3"/>
        <v>9839002.175338855</v>
      </c>
      <c r="L83" s="94">
        <v>1.7999999999999999E-2</v>
      </c>
      <c r="M83" s="37">
        <v>6600000</v>
      </c>
      <c r="N83" s="103">
        <f t="shared" ref="N83" si="45" xml:space="preserve"> (N82 + D83 - E83 ) + ((N82 + D83 - E83) * O83)</f>
        <v>74917390.937674895</v>
      </c>
      <c r="O83" s="79">
        <v>0.02</v>
      </c>
      <c r="P83" s="155">
        <f t="shared" si="13"/>
        <v>81517390.937674895</v>
      </c>
      <c r="Q83" s="93">
        <f t="shared" si="19"/>
        <v>230800000</v>
      </c>
      <c r="R83" s="93" t="e">
        <f xml:space="preserve"> J83 +#REF!</f>
        <v>#REF!</v>
      </c>
      <c r="S83" s="83"/>
    </row>
    <row r="84" spans="1:19" s="18" customFormat="1" x14ac:dyDescent="0.3">
      <c r="B84" s="383"/>
      <c r="C84" s="27">
        <v>9</v>
      </c>
      <c r="D84" s="129">
        <v>500000</v>
      </c>
      <c r="E84" s="129">
        <v>0</v>
      </c>
      <c r="F84" s="129">
        <v>0</v>
      </c>
      <c r="G84" s="116">
        <v>0</v>
      </c>
      <c r="H84" s="93">
        <v>0</v>
      </c>
      <c r="I84" s="240">
        <f t="shared" si="9"/>
        <v>230100000</v>
      </c>
      <c r="J84" s="93">
        <v>380000000</v>
      </c>
      <c r="K84" s="122">
        <f t="shared" si="3"/>
        <v>10016104.214494955</v>
      </c>
      <c r="L84" s="94">
        <v>1.7999999999999999E-2</v>
      </c>
      <c r="M84" s="37">
        <v>6600000</v>
      </c>
      <c r="N84" s="103">
        <f t="shared" ref="N84" si="46" xml:space="preserve"> (N83 + D84 - E84) + ((N83 + D84 - E84 ) * O84)</f>
        <v>76925738.756428391</v>
      </c>
      <c r="O84" s="79">
        <v>0.02</v>
      </c>
      <c r="P84" s="155">
        <f t="shared" ref="P84:P115" si="47" xml:space="preserve"> M84 + N84</f>
        <v>83525738.756428391</v>
      </c>
      <c r="Q84" s="93">
        <f t="shared" si="19"/>
        <v>230100000</v>
      </c>
      <c r="R84" s="93" t="e">
        <f xml:space="preserve"> J84 +#REF!</f>
        <v>#REF!</v>
      </c>
      <c r="S84" s="83"/>
    </row>
    <row r="85" spans="1:19" s="18" customFormat="1" x14ac:dyDescent="0.3">
      <c r="B85" s="383"/>
      <c r="C85" s="27">
        <v>10</v>
      </c>
      <c r="D85" s="129">
        <v>500000</v>
      </c>
      <c r="E85" s="129">
        <v>0</v>
      </c>
      <c r="F85" s="129">
        <v>0</v>
      </c>
      <c r="G85" s="116">
        <v>0</v>
      </c>
      <c r="H85" s="93">
        <v>0</v>
      </c>
      <c r="I85" s="240">
        <f t="shared" si="9"/>
        <v>229400000</v>
      </c>
      <c r="J85" s="93">
        <v>380000000</v>
      </c>
      <c r="K85" s="122">
        <f t="shared" si="3"/>
        <v>10196394.090355864</v>
      </c>
      <c r="L85" s="94">
        <v>1.7999999999999999E-2</v>
      </c>
      <c r="M85" s="37">
        <v>6600000</v>
      </c>
      <c r="N85" s="103">
        <f t="shared" ref="N85" si="48" xml:space="preserve"> (N84 + D85 - E85 ) + ((N84 + D85 - E85) * O85)</f>
        <v>78974253.531556964</v>
      </c>
      <c r="O85" s="79">
        <v>0.02</v>
      </c>
      <c r="P85" s="155">
        <f t="shared" si="47"/>
        <v>85574253.531556964</v>
      </c>
      <c r="Q85" s="93">
        <f t="shared" si="19"/>
        <v>229400000</v>
      </c>
      <c r="R85" s="93" t="e">
        <f xml:space="preserve"> J85 +#REF!</f>
        <v>#REF!</v>
      </c>
      <c r="S85" s="83"/>
    </row>
    <row r="86" spans="1:19" s="18" customFormat="1" ht="17.25" thickBot="1" x14ac:dyDescent="0.35">
      <c r="B86" s="383"/>
      <c r="C86" s="29">
        <v>11</v>
      </c>
      <c r="D86" s="129">
        <v>500000</v>
      </c>
      <c r="E86" s="129">
        <v>0</v>
      </c>
      <c r="F86" s="129">
        <v>0</v>
      </c>
      <c r="G86" s="116">
        <v>0</v>
      </c>
      <c r="H86" s="93">
        <v>0</v>
      </c>
      <c r="I86" s="240">
        <f t="shared" si="9"/>
        <v>228700000</v>
      </c>
      <c r="J86" s="93">
        <v>380000000</v>
      </c>
      <c r="K86" s="122">
        <f t="shared" ref="K86:K147" si="49" xml:space="preserve"> (K85 + G86 + F86) + ((K85 + G86 + F86) * L86 )</f>
        <v>10379929.18398227</v>
      </c>
      <c r="L86" s="94">
        <v>1.7999999999999999E-2</v>
      </c>
      <c r="M86" s="37">
        <v>6600000</v>
      </c>
      <c r="N86" s="103">
        <f t="shared" ref="N86" si="50" xml:space="preserve"> (N85 + D86 - E86) + ((N85 + D86 - E86 ) * O86)</f>
        <v>81063738.60218811</v>
      </c>
      <c r="O86" s="79">
        <v>0.02</v>
      </c>
      <c r="P86" s="155">
        <f t="shared" si="47"/>
        <v>87663738.60218811</v>
      </c>
      <c r="Q86" s="93">
        <f t="shared" si="19"/>
        <v>228700000</v>
      </c>
      <c r="R86" s="93" t="e">
        <f xml:space="preserve"> J86 +#REF!</f>
        <v>#REF!</v>
      </c>
      <c r="S86" s="83"/>
    </row>
    <row r="87" spans="1:19" s="184" customFormat="1" ht="17.25" thickBot="1" x14ac:dyDescent="0.35">
      <c r="B87" s="383"/>
      <c r="C87" s="243">
        <v>12</v>
      </c>
      <c r="D87" s="244">
        <v>500000</v>
      </c>
      <c r="E87" s="244">
        <v>0</v>
      </c>
      <c r="F87" s="244">
        <v>0</v>
      </c>
      <c r="G87" s="245">
        <v>0</v>
      </c>
      <c r="H87" s="246">
        <v>0</v>
      </c>
      <c r="I87" s="246">
        <f t="shared" si="9"/>
        <v>228000000</v>
      </c>
      <c r="J87" s="246">
        <v>380000000</v>
      </c>
      <c r="K87" s="247">
        <f t="shared" si="49"/>
        <v>10566767.909293951</v>
      </c>
      <c r="L87" s="94">
        <v>1.7999999999999999E-2</v>
      </c>
      <c r="M87" s="37">
        <v>6600000</v>
      </c>
      <c r="N87" s="103">
        <f t="shared" ref="N87" si="51" xml:space="preserve"> (N86 + D87 - E87 ) + ((N86 + D87 - E87) * O87)</f>
        <v>83195013.374231875</v>
      </c>
      <c r="O87" s="249">
        <v>0.02</v>
      </c>
      <c r="P87" s="248">
        <f t="shared" si="47"/>
        <v>89795013.374231875</v>
      </c>
      <c r="Q87" s="246">
        <f t="shared" si="19"/>
        <v>228000000</v>
      </c>
      <c r="R87" s="246" t="e">
        <f xml:space="preserve"> J87 +#REF!</f>
        <v>#REF!</v>
      </c>
      <c r="S87" s="252"/>
    </row>
    <row r="88" spans="1:19" s="18" customFormat="1" x14ac:dyDescent="0.3">
      <c r="A88" s="18">
        <v>8</v>
      </c>
      <c r="B88" s="383">
        <v>2029</v>
      </c>
      <c r="C88" s="26">
        <v>1</v>
      </c>
      <c r="D88" s="129">
        <v>500000</v>
      </c>
      <c r="E88" s="129">
        <v>0</v>
      </c>
      <c r="F88" s="129">
        <v>0</v>
      </c>
      <c r="G88" s="116">
        <v>0</v>
      </c>
      <c r="H88" s="93">
        <v>0</v>
      </c>
      <c r="I88" s="240">
        <f t="shared" si="9"/>
        <v>227300000</v>
      </c>
      <c r="J88" s="93">
        <v>380000000</v>
      </c>
      <c r="K88" s="122">
        <f t="shared" si="49"/>
        <v>10756969.731661243</v>
      </c>
      <c r="L88" s="94">
        <v>1.7999999999999999E-2</v>
      </c>
      <c r="M88" s="37">
        <v>6600000</v>
      </c>
      <c r="N88" s="103">
        <f t="shared" ref="N88" si="52" xml:space="preserve"> (N87 + D88 - E88) + ((N87 + D88 - E88 ) * O88)</f>
        <v>85368913.64171651</v>
      </c>
      <c r="O88" s="79">
        <v>0.02</v>
      </c>
      <c r="P88" s="155">
        <f t="shared" si="47"/>
        <v>91968913.64171651</v>
      </c>
      <c r="Q88" s="93">
        <f t="shared" si="19"/>
        <v>227300000</v>
      </c>
      <c r="R88" s="93" t="e">
        <f xml:space="preserve"> J88 +#REF!</f>
        <v>#REF!</v>
      </c>
      <c r="S88" s="83"/>
    </row>
    <row r="89" spans="1:19" s="18" customFormat="1" x14ac:dyDescent="0.3">
      <c r="B89" s="383"/>
      <c r="C89" s="27">
        <v>2</v>
      </c>
      <c r="D89" s="129">
        <v>500000</v>
      </c>
      <c r="E89" s="129">
        <v>0</v>
      </c>
      <c r="F89" s="129">
        <v>0</v>
      </c>
      <c r="G89" s="116">
        <v>0</v>
      </c>
      <c r="H89" s="93">
        <v>0</v>
      </c>
      <c r="I89" s="240">
        <f t="shared" si="9"/>
        <v>226600000</v>
      </c>
      <c r="J89" s="93">
        <v>380000000</v>
      </c>
      <c r="K89" s="122">
        <f t="shared" si="49"/>
        <v>10950595.186831146</v>
      </c>
      <c r="L89" s="94">
        <v>1.7999999999999999E-2</v>
      </c>
      <c r="M89" s="37">
        <v>6600000</v>
      </c>
      <c r="N89" s="103">
        <f t="shared" ref="N89" si="53" xml:space="preserve"> (N88 + D89 - E89 ) + ((N88 + D89 - E89) * O89)</f>
        <v>87586291.914550841</v>
      </c>
      <c r="O89" s="79">
        <v>0.02</v>
      </c>
      <c r="P89" s="155">
        <f t="shared" si="47"/>
        <v>94186291.914550841</v>
      </c>
      <c r="Q89" s="93">
        <f t="shared" ref="Q89:Q120" si="54" xml:space="preserve"> H89 + I89</f>
        <v>226600000</v>
      </c>
      <c r="R89" s="93" t="e">
        <f xml:space="preserve"> J89 +#REF!</f>
        <v>#REF!</v>
      </c>
      <c r="S89" s="83"/>
    </row>
    <row r="90" spans="1:19" s="18" customFormat="1" x14ac:dyDescent="0.3">
      <c r="B90" s="383"/>
      <c r="C90" s="27">
        <v>3</v>
      </c>
      <c r="D90" s="129">
        <v>500000</v>
      </c>
      <c r="E90" s="129">
        <v>0</v>
      </c>
      <c r="F90" s="129">
        <v>0</v>
      </c>
      <c r="G90" s="116">
        <v>0</v>
      </c>
      <c r="H90" s="93">
        <v>0</v>
      </c>
      <c r="I90" s="240">
        <f t="shared" si="9"/>
        <v>225900000</v>
      </c>
      <c r="J90" s="93">
        <v>380000000</v>
      </c>
      <c r="K90" s="122">
        <f t="shared" si="49"/>
        <v>11147705.900194107</v>
      </c>
      <c r="L90" s="94">
        <v>1.7999999999999999E-2</v>
      </c>
      <c r="M90" s="37">
        <v>6600000</v>
      </c>
      <c r="N90" s="103">
        <f t="shared" ref="N90" si="55" xml:space="preserve"> (N89 + D90 - E90) + ((N89 + D90 - E90 ) * O90)</f>
        <v>89848017.75284186</v>
      </c>
      <c r="O90" s="79">
        <v>0.02</v>
      </c>
      <c r="P90" s="155">
        <f t="shared" si="47"/>
        <v>96448017.75284186</v>
      </c>
      <c r="Q90" s="93">
        <f t="shared" si="54"/>
        <v>225900000</v>
      </c>
      <c r="R90" s="93" t="e">
        <f xml:space="preserve"> J90 +#REF!</f>
        <v>#REF!</v>
      </c>
      <c r="S90" s="83"/>
    </row>
    <row r="91" spans="1:19" s="18" customFormat="1" x14ac:dyDescent="0.3">
      <c r="B91" s="383"/>
      <c r="C91" s="27">
        <v>4</v>
      </c>
      <c r="D91" s="129">
        <v>500000</v>
      </c>
      <c r="E91" s="129">
        <v>0</v>
      </c>
      <c r="F91" s="129">
        <v>0</v>
      </c>
      <c r="G91" s="116">
        <v>0</v>
      </c>
      <c r="H91" s="93">
        <v>0</v>
      </c>
      <c r="I91" s="240">
        <f t="shared" si="9"/>
        <v>225200000</v>
      </c>
      <c r="J91" s="93">
        <v>380000000</v>
      </c>
      <c r="K91" s="122">
        <f t="shared" si="49"/>
        <v>11348364.606397601</v>
      </c>
      <c r="L91" s="94">
        <v>1.7999999999999999E-2</v>
      </c>
      <c r="M91" s="37">
        <v>6600000</v>
      </c>
      <c r="N91" s="103">
        <f t="shared" ref="N91" si="56" xml:space="preserve"> (N90 + D91 - E91 ) + ((N90 + D91 - E91) * O91)</f>
        <v>92154978.107898697</v>
      </c>
      <c r="O91" s="79">
        <v>0.02</v>
      </c>
      <c r="P91" s="155">
        <f t="shared" si="47"/>
        <v>98754978.107898697</v>
      </c>
      <c r="Q91" s="93">
        <f t="shared" si="54"/>
        <v>225200000</v>
      </c>
      <c r="R91" s="93" t="e">
        <f xml:space="preserve"> J91 +#REF!</f>
        <v>#REF!</v>
      </c>
      <c r="S91" s="83"/>
    </row>
    <row r="92" spans="1:19" s="18" customFormat="1" x14ac:dyDescent="0.3">
      <c r="B92" s="383"/>
      <c r="C92" s="27">
        <v>5</v>
      </c>
      <c r="D92" s="129">
        <v>500000</v>
      </c>
      <c r="E92" s="129">
        <v>0</v>
      </c>
      <c r="F92" s="129">
        <v>0</v>
      </c>
      <c r="G92" s="116">
        <v>0</v>
      </c>
      <c r="H92" s="93">
        <v>0</v>
      </c>
      <c r="I92" s="240">
        <f t="shared" si="9"/>
        <v>224500000</v>
      </c>
      <c r="J92" s="93">
        <v>380000000</v>
      </c>
      <c r="K92" s="122">
        <f t="shared" si="49"/>
        <v>11552635.169312758</v>
      </c>
      <c r="L92" s="94">
        <v>1.7999999999999999E-2</v>
      </c>
      <c r="M92" s="37">
        <v>6600000</v>
      </c>
      <c r="N92" s="103">
        <f t="shared" ref="N92" si="57" xml:space="preserve"> (N91 + D92 - E92) + ((N91 + D92 - E92 ) * O92)</f>
        <v>94508077.670056671</v>
      </c>
      <c r="O92" s="79">
        <v>0.02</v>
      </c>
      <c r="P92" s="155">
        <f t="shared" si="47"/>
        <v>101108077.67005667</v>
      </c>
      <c r="Q92" s="93">
        <f t="shared" si="54"/>
        <v>224500000</v>
      </c>
      <c r="R92" s="93" t="e">
        <f xml:space="preserve"> J92 +#REF!</f>
        <v>#REF!</v>
      </c>
      <c r="S92" s="83"/>
    </row>
    <row r="93" spans="1:19" s="18" customFormat="1" x14ac:dyDescent="0.3">
      <c r="B93" s="383"/>
      <c r="C93" s="27">
        <v>6</v>
      </c>
      <c r="D93" s="129">
        <v>500000</v>
      </c>
      <c r="E93" s="129">
        <v>0</v>
      </c>
      <c r="F93" s="129">
        <v>0</v>
      </c>
      <c r="G93" s="116">
        <v>0</v>
      </c>
      <c r="H93" s="93">
        <v>0</v>
      </c>
      <c r="I93" s="240">
        <f t="shared" si="9"/>
        <v>223800000</v>
      </c>
      <c r="J93" s="93">
        <v>380000000</v>
      </c>
      <c r="K93" s="122">
        <f t="shared" si="49"/>
        <v>11760582.602360388</v>
      </c>
      <c r="L93" s="94">
        <v>1.7999999999999999E-2</v>
      </c>
      <c r="M93" s="37">
        <v>6600000</v>
      </c>
      <c r="N93" s="103">
        <f t="shared" ref="N93" si="58" xml:space="preserve"> (N92 + D93 - E93 ) + ((N92 + D93 - E93) * O93)</f>
        <v>96908239.223457798</v>
      </c>
      <c r="O93" s="79">
        <v>0.02</v>
      </c>
      <c r="P93" s="155">
        <f t="shared" si="47"/>
        <v>103508239.2234578</v>
      </c>
      <c r="Q93" s="93">
        <f t="shared" si="54"/>
        <v>223800000</v>
      </c>
      <c r="R93" s="93" t="e">
        <f xml:space="preserve"> J93 +#REF!</f>
        <v>#REF!</v>
      </c>
      <c r="S93" s="83"/>
    </row>
    <row r="94" spans="1:19" s="18" customFormat="1" x14ac:dyDescent="0.3">
      <c r="B94" s="383"/>
      <c r="C94" s="27">
        <v>7</v>
      </c>
      <c r="D94" s="129">
        <v>500000</v>
      </c>
      <c r="E94" s="129">
        <v>0</v>
      </c>
      <c r="F94" s="129">
        <v>0</v>
      </c>
      <c r="G94" s="116">
        <v>0</v>
      </c>
      <c r="H94" s="93">
        <v>0</v>
      </c>
      <c r="I94" s="240">
        <f t="shared" si="9"/>
        <v>223100000</v>
      </c>
      <c r="J94" s="93">
        <v>380000000</v>
      </c>
      <c r="K94" s="122">
        <f t="shared" si="49"/>
        <v>11972273.089202875</v>
      </c>
      <c r="L94" s="94">
        <v>1.7999999999999999E-2</v>
      </c>
      <c r="M94" s="37">
        <v>6600000</v>
      </c>
      <c r="N94" s="103">
        <f t="shared" ref="N94" si="59" xml:space="preserve"> (N93 + D94 - E94) + ((N93 + D94 - E94 ) * O94)</f>
        <v>99356404.007926956</v>
      </c>
      <c r="O94" s="79">
        <v>0.02</v>
      </c>
      <c r="P94" s="155">
        <f t="shared" si="47"/>
        <v>105956404.00792696</v>
      </c>
      <c r="Q94" s="93">
        <f t="shared" si="54"/>
        <v>223100000</v>
      </c>
      <c r="R94" s="93" t="e">
        <f xml:space="preserve"> J94 +#REF!</f>
        <v>#REF!</v>
      </c>
      <c r="S94" s="83"/>
    </row>
    <row r="95" spans="1:19" s="18" customFormat="1" x14ac:dyDescent="0.3">
      <c r="B95" s="383"/>
      <c r="C95" s="27">
        <v>8</v>
      </c>
      <c r="D95" s="129">
        <v>500000</v>
      </c>
      <c r="E95" s="129">
        <v>0</v>
      </c>
      <c r="F95" s="129">
        <v>0</v>
      </c>
      <c r="G95" s="116">
        <v>0</v>
      </c>
      <c r="H95" s="93">
        <v>0</v>
      </c>
      <c r="I95" s="240">
        <f t="shared" si="9"/>
        <v>222400000</v>
      </c>
      <c r="J95" s="93">
        <v>380000000</v>
      </c>
      <c r="K95" s="122">
        <f t="shared" si="49"/>
        <v>12187774.004808526</v>
      </c>
      <c r="L95" s="94">
        <v>1.7999999999999999E-2</v>
      </c>
      <c r="M95" s="37">
        <v>6600000</v>
      </c>
      <c r="N95" s="103">
        <f t="shared" ref="N95" si="60" xml:space="preserve"> (N94 + D95 - E95 ) + ((N94 + D95 - E95) * O95)</f>
        <v>101853532.0880855</v>
      </c>
      <c r="O95" s="79">
        <v>0.02</v>
      </c>
      <c r="P95" s="155">
        <f t="shared" si="47"/>
        <v>108453532.0880855</v>
      </c>
      <c r="Q95" s="93">
        <f t="shared" si="54"/>
        <v>222400000</v>
      </c>
      <c r="R95" s="93" t="e">
        <f xml:space="preserve"> J95 +#REF!</f>
        <v>#REF!</v>
      </c>
      <c r="S95" s="83"/>
    </row>
    <row r="96" spans="1:19" s="18" customFormat="1" x14ac:dyDescent="0.3">
      <c r="B96" s="383"/>
      <c r="C96" s="27">
        <v>9</v>
      </c>
      <c r="D96" s="129">
        <v>500000</v>
      </c>
      <c r="E96" s="129">
        <v>0</v>
      </c>
      <c r="F96" s="129">
        <v>0</v>
      </c>
      <c r="G96" s="116">
        <v>0</v>
      </c>
      <c r="H96" s="93">
        <v>0</v>
      </c>
      <c r="I96" s="240">
        <f t="shared" si="9"/>
        <v>221700000</v>
      </c>
      <c r="J96" s="93">
        <v>380000000</v>
      </c>
      <c r="K96" s="122">
        <f t="shared" si="49"/>
        <v>12407153.93689508</v>
      </c>
      <c r="L96" s="94">
        <v>1.7999999999999999E-2</v>
      </c>
      <c r="M96" s="37">
        <v>6600000</v>
      </c>
      <c r="N96" s="103">
        <f t="shared" ref="N96" si="61" xml:space="preserve"> (N95 + D96 - E96) + ((N95 + D96 - E96 ) * O96)</f>
        <v>104400602.72984721</v>
      </c>
      <c r="O96" s="79">
        <v>0.02</v>
      </c>
      <c r="P96" s="155">
        <f t="shared" si="47"/>
        <v>111000602.72984721</v>
      </c>
      <c r="Q96" s="93">
        <f t="shared" si="54"/>
        <v>221700000</v>
      </c>
      <c r="R96" s="93" t="e">
        <f xml:space="preserve"> J96 +#REF!</f>
        <v>#REF!</v>
      </c>
      <c r="S96" s="83"/>
    </row>
    <row r="97" spans="1:19" s="18" customFormat="1" x14ac:dyDescent="0.3">
      <c r="B97" s="383"/>
      <c r="C97" s="27">
        <v>10</v>
      </c>
      <c r="D97" s="129">
        <v>500000</v>
      </c>
      <c r="E97" s="129">
        <v>0</v>
      </c>
      <c r="F97" s="129">
        <v>0</v>
      </c>
      <c r="G97" s="116">
        <v>0</v>
      </c>
      <c r="H97" s="93">
        <v>0</v>
      </c>
      <c r="I97" s="240">
        <f t="shared" si="9"/>
        <v>221000000</v>
      </c>
      <c r="J97" s="93">
        <v>380000000</v>
      </c>
      <c r="K97" s="122">
        <f t="shared" si="49"/>
        <v>12630482.707759192</v>
      </c>
      <c r="L97" s="94">
        <v>1.7999999999999999E-2</v>
      </c>
      <c r="M97" s="37">
        <v>6600000</v>
      </c>
      <c r="N97" s="103">
        <f t="shared" ref="N97" si="62" xml:space="preserve"> (N96 + D97 - E97 ) + ((N96 + D97 - E97) * O97)</f>
        <v>106998614.78444415</v>
      </c>
      <c r="O97" s="79">
        <v>0.02</v>
      </c>
      <c r="P97" s="155">
        <f t="shared" si="47"/>
        <v>113598614.78444415</v>
      </c>
      <c r="Q97" s="93">
        <f t="shared" si="54"/>
        <v>221000000</v>
      </c>
      <c r="R97" s="93" t="e">
        <f xml:space="preserve"> J97 +#REF!</f>
        <v>#REF!</v>
      </c>
      <c r="S97" s="83"/>
    </row>
    <row r="98" spans="1:19" s="18" customFormat="1" ht="17.25" thickBot="1" x14ac:dyDescent="0.35">
      <c r="B98" s="383"/>
      <c r="C98" s="29">
        <v>11</v>
      </c>
      <c r="D98" s="129">
        <v>500000</v>
      </c>
      <c r="E98" s="129">
        <v>0</v>
      </c>
      <c r="F98" s="129">
        <v>0</v>
      </c>
      <c r="G98" s="116">
        <v>0</v>
      </c>
      <c r="H98" s="93">
        <v>0</v>
      </c>
      <c r="I98" s="240">
        <f t="shared" si="9"/>
        <v>220300000</v>
      </c>
      <c r="J98" s="93">
        <v>380000000</v>
      </c>
      <c r="K98" s="122">
        <f t="shared" si="49"/>
        <v>12857831.396498857</v>
      </c>
      <c r="L98" s="94">
        <v>1.7999999999999999E-2</v>
      </c>
      <c r="M98" s="37">
        <v>6600000</v>
      </c>
      <c r="N98" s="103">
        <f t="shared" ref="N98" si="63" xml:space="preserve"> (N97 + D98 - E98) + ((N97 + D98 - E98 ) * O98)</f>
        <v>109648587.08013304</v>
      </c>
      <c r="O98" s="79">
        <v>0.02</v>
      </c>
      <c r="P98" s="155">
        <f t="shared" si="47"/>
        <v>116248587.08013304</v>
      </c>
      <c r="Q98" s="93">
        <f t="shared" si="54"/>
        <v>220300000</v>
      </c>
      <c r="R98" s="93" t="e">
        <f xml:space="preserve"> J98 +#REF!</f>
        <v>#REF!</v>
      </c>
      <c r="S98" s="83"/>
    </row>
    <row r="99" spans="1:19" s="184" customFormat="1" ht="17.25" thickBot="1" x14ac:dyDescent="0.35">
      <c r="B99" s="383"/>
      <c r="C99" s="243">
        <v>12</v>
      </c>
      <c r="D99" s="244">
        <v>500000</v>
      </c>
      <c r="E99" s="244">
        <v>10000000</v>
      </c>
      <c r="F99" s="244">
        <v>0</v>
      </c>
      <c r="G99" s="245">
        <v>0</v>
      </c>
      <c r="H99" s="246">
        <v>0</v>
      </c>
      <c r="I99" s="246">
        <f xml:space="preserve"> I98 - 700000 - 25000000</f>
        <v>194600000</v>
      </c>
      <c r="J99" s="246">
        <v>380000000</v>
      </c>
      <c r="K99" s="247">
        <f t="shared" si="49"/>
        <v>13089272.361635836</v>
      </c>
      <c r="L99" s="94">
        <v>1.7999999999999999E-2</v>
      </c>
      <c r="M99" s="37">
        <v>6600000</v>
      </c>
      <c r="N99" s="103">
        <f t="shared" ref="N99" si="64" xml:space="preserve"> (N98 + D99 - E99 ) + ((N98 + D99 - E99) * O99)</f>
        <v>102151558.8217357</v>
      </c>
      <c r="O99" s="249">
        <v>0.02</v>
      </c>
      <c r="P99" s="248">
        <f t="shared" si="47"/>
        <v>108751558.8217357</v>
      </c>
      <c r="Q99" s="246">
        <f t="shared" si="54"/>
        <v>194600000</v>
      </c>
      <c r="R99" s="246" t="e">
        <f xml:space="preserve"> J99 +#REF!</f>
        <v>#REF!</v>
      </c>
      <c r="S99" s="252"/>
    </row>
    <row r="100" spans="1:19" s="18" customFormat="1" x14ac:dyDescent="0.3">
      <c r="A100" s="18">
        <v>9</v>
      </c>
      <c r="B100" s="383">
        <v>2030</v>
      </c>
      <c r="C100" s="26">
        <v>1</v>
      </c>
      <c r="D100" s="129">
        <v>500000</v>
      </c>
      <c r="E100" s="129">
        <v>0</v>
      </c>
      <c r="F100" s="129">
        <v>0</v>
      </c>
      <c r="G100" s="116">
        <v>0</v>
      </c>
      <c r="H100" s="93">
        <v>0</v>
      </c>
      <c r="I100" s="240">
        <f t="shared" si="9"/>
        <v>193900000</v>
      </c>
      <c r="J100" s="93">
        <v>380000000</v>
      </c>
      <c r="K100" s="122">
        <f t="shared" si="49"/>
        <v>13324879.264145281</v>
      </c>
      <c r="L100" s="94">
        <v>1.7999999999999999E-2</v>
      </c>
      <c r="M100" s="37">
        <v>6600000</v>
      </c>
      <c r="N100" s="103">
        <f t="shared" ref="N100" si="65" xml:space="preserve"> (N99 + D100 - E100) + ((N99 + D100 - E100 ) * O100)</f>
        <v>104704589.99817041</v>
      </c>
      <c r="O100" s="79">
        <v>0.02</v>
      </c>
      <c r="P100" s="155">
        <f t="shared" si="47"/>
        <v>111304589.99817041</v>
      </c>
      <c r="Q100" s="93">
        <f t="shared" si="54"/>
        <v>193900000</v>
      </c>
      <c r="R100" s="93" t="e">
        <f xml:space="preserve"> J100 +#REF!</f>
        <v>#REF!</v>
      </c>
      <c r="S100" s="83"/>
    </row>
    <row r="101" spans="1:19" s="18" customFormat="1" x14ac:dyDescent="0.3">
      <c r="B101" s="383"/>
      <c r="C101" s="27">
        <v>2</v>
      </c>
      <c r="D101" s="129">
        <v>500000</v>
      </c>
      <c r="E101" s="129">
        <v>0</v>
      </c>
      <c r="F101" s="129">
        <v>0</v>
      </c>
      <c r="G101" s="116">
        <v>0</v>
      </c>
      <c r="H101" s="93">
        <v>0</v>
      </c>
      <c r="I101" s="240">
        <f t="shared" si="9"/>
        <v>193200000</v>
      </c>
      <c r="J101" s="93">
        <v>380000000</v>
      </c>
      <c r="K101" s="122">
        <f t="shared" si="49"/>
        <v>13564727.090899896</v>
      </c>
      <c r="L101" s="94">
        <v>1.7999999999999999E-2</v>
      </c>
      <c r="M101" s="37">
        <v>6600000</v>
      </c>
      <c r="N101" s="103">
        <f t="shared" ref="N101" si="66" xml:space="preserve"> (N100 + D101 - E101 ) + ((N100 + D101 - E101) * O101)</f>
        <v>107308681.79813382</v>
      </c>
      <c r="O101" s="79">
        <v>0.02</v>
      </c>
      <c r="P101" s="155">
        <f t="shared" si="47"/>
        <v>113908681.79813382</v>
      </c>
      <c r="Q101" s="93">
        <f t="shared" si="54"/>
        <v>193200000</v>
      </c>
      <c r="R101" s="93" t="e">
        <f xml:space="preserve"> J101 +#REF!</f>
        <v>#REF!</v>
      </c>
      <c r="S101" s="83"/>
    </row>
    <row r="102" spans="1:19" s="18" customFormat="1" x14ac:dyDescent="0.3">
      <c r="B102" s="383"/>
      <c r="C102" s="27">
        <v>3</v>
      </c>
      <c r="D102" s="129">
        <v>500000</v>
      </c>
      <c r="E102" s="129">
        <v>0</v>
      </c>
      <c r="F102" s="129">
        <v>0</v>
      </c>
      <c r="G102" s="116">
        <v>0</v>
      </c>
      <c r="H102" s="93">
        <v>0</v>
      </c>
      <c r="I102" s="240">
        <f t="shared" si="9"/>
        <v>192500000</v>
      </c>
      <c r="J102" s="93">
        <v>380000000</v>
      </c>
      <c r="K102" s="122">
        <f t="shared" si="49"/>
        <v>13808892.178536095</v>
      </c>
      <c r="L102" s="94">
        <v>1.7999999999999999E-2</v>
      </c>
      <c r="M102" s="37">
        <v>6600000</v>
      </c>
      <c r="N102" s="103">
        <f t="shared" ref="N102" si="67" xml:space="preserve"> (N101 + D102 - E102) + ((N101 + D102 - E102 ) * O102)</f>
        <v>109964855.4340965</v>
      </c>
      <c r="O102" s="79">
        <v>0.02</v>
      </c>
      <c r="P102" s="155">
        <f t="shared" si="47"/>
        <v>116564855.4340965</v>
      </c>
      <c r="Q102" s="93">
        <f t="shared" si="54"/>
        <v>192500000</v>
      </c>
      <c r="R102" s="93" t="e">
        <f xml:space="preserve"> J102 +#REF!</f>
        <v>#REF!</v>
      </c>
      <c r="S102" s="83"/>
    </row>
    <row r="103" spans="1:19" s="18" customFormat="1" x14ac:dyDescent="0.3">
      <c r="B103" s="383"/>
      <c r="C103" s="27">
        <v>4</v>
      </c>
      <c r="D103" s="129">
        <v>500000</v>
      </c>
      <c r="E103" s="129">
        <v>0</v>
      </c>
      <c r="F103" s="129">
        <v>0</v>
      </c>
      <c r="G103" s="116">
        <v>0</v>
      </c>
      <c r="H103" s="93">
        <v>0</v>
      </c>
      <c r="I103" s="240">
        <f t="shared" si="9"/>
        <v>191800000</v>
      </c>
      <c r="J103" s="93">
        <v>380000000</v>
      </c>
      <c r="K103" s="122">
        <f t="shared" si="49"/>
        <v>14057452.237749744</v>
      </c>
      <c r="L103" s="94">
        <v>1.7999999999999999E-2</v>
      </c>
      <c r="M103" s="37">
        <v>6600000</v>
      </c>
      <c r="N103" s="103">
        <f t="shared" ref="N103" si="68" xml:space="preserve"> (N102 + D103 - E103 ) + ((N102 + D103 - E103) * O103)</f>
        <v>112674152.54277843</v>
      </c>
      <c r="O103" s="79">
        <v>0.02</v>
      </c>
      <c r="P103" s="155">
        <f t="shared" si="47"/>
        <v>119274152.54277843</v>
      </c>
      <c r="Q103" s="93">
        <f t="shared" si="54"/>
        <v>191800000</v>
      </c>
      <c r="R103" s="93" t="e">
        <f xml:space="preserve"> J103 +#REF!</f>
        <v>#REF!</v>
      </c>
      <c r="S103" s="83"/>
    </row>
    <row r="104" spans="1:19" s="18" customFormat="1" x14ac:dyDescent="0.3">
      <c r="B104" s="383"/>
      <c r="C104" s="27">
        <v>5</v>
      </c>
      <c r="D104" s="129">
        <v>500000</v>
      </c>
      <c r="E104" s="129">
        <v>0</v>
      </c>
      <c r="F104" s="129">
        <v>0</v>
      </c>
      <c r="G104" s="116">
        <v>0</v>
      </c>
      <c r="H104" s="93">
        <v>0</v>
      </c>
      <c r="I104" s="240">
        <f t="shared" si="9"/>
        <v>191100000</v>
      </c>
      <c r="J104" s="93">
        <v>380000000</v>
      </c>
      <c r="K104" s="122">
        <f t="shared" si="49"/>
        <v>14310486.37802924</v>
      </c>
      <c r="L104" s="94">
        <v>1.7999999999999999E-2</v>
      </c>
      <c r="M104" s="37">
        <v>6600000</v>
      </c>
      <c r="N104" s="103">
        <f t="shared" ref="N104" si="69" xml:space="preserve"> (N103 + D104 - E104) + ((N103 + D104 - E104 ) * O104)</f>
        <v>115437635.59363399</v>
      </c>
      <c r="O104" s="79">
        <v>0.02</v>
      </c>
      <c r="P104" s="155">
        <f t="shared" si="47"/>
        <v>122037635.59363399</v>
      </c>
      <c r="Q104" s="93">
        <f t="shared" si="54"/>
        <v>191100000</v>
      </c>
      <c r="R104" s="93" t="e">
        <f xml:space="preserve"> J104 +#REF!</f>
        <v>#REF!</v>
      </c>
      <c r="S104" s="83"/>
    </row>
    <row r="105" spans="1:19" s="18" customFormat="1" x14ac:dyDescent="0.3">
      <c r="B105" s="383"/>
      <c r="C105" s="27">
        <v>6</v>
      </c>
      <c r="D105" s="129">
        <v>500000</v>
      </c>
      <c r="E105" s="129">
        <v>0</v>
      </c>
      <c r="F105" s="129">
        <v>0</v>
      </c>
      <c r="G105" s="116">
        <v>0</v>
      </c>
      <c r="H105" s="93">
        <v>0</v>
      </c>
      <c r="I105" s="240">
        <f t="shared" si="9"/>
        <v>190400000</v>
      </c>
      <c r="J105" s="93">
        <v>380000000</v>
      </c>
      <c r="K105" s="122">
        <f t="shared" si="49"/>
        <v>14568075.132833766</v>
      </c>
      <c r="L105" s="94">
        <v>1.7999999999999999E-2</v>
      </c>
      <c r="M105" s="37">
        <v>6600000</v>
      </c>
      <c r="N105" s="103">
        <f t="shared" ref="N105" si="70" xml:space="preserve"> (N104 + D105 - E105 ) + ((N104 + D105 - E105) * O105)</f>
        <v>118256388.30550668</v>
      </c>
      <c r="O105" s="79">
        <v>0.02</v>
      </c>
      <c r="P105" s="155">
        <f t="shared" si="47"/>
        <v>124856388.30550668</v>
      </c>
      <c r="Q105" s="93">
        <f t="shared" si="54"/>
        <v>190400000</v>
      </c>
      <c r="R105" s="93" t="e">
        <f xml:space="preserve"> J105 +#REF!</f>
        <v>#REF!</v>
      </c>
      <c r="S105" s="83"/>
    </row>
    <row r="106" spans="1:19" s="18" customFormat="1" x14ac:dyDescent="0.3">
      <c r="B106" s="383"/>
      <c r="C106" s="27">
        <v>7</v>
      </c>
      <c r="D106" s="129">
        <v>500000</v>
      </c>
      <c r="E106" s="129">
        <v>0</v>
      </c>
      <c r="F106" s="129">
        <v>0</v>
      </c>
      <c r="G106" s="116">
        <v>0</v>
      </c>
      <c r="H106" s="93">
        <v>0</v>
      </c>
      <c r="I106" s="240">
        <f t="shared" si="9"/>
        <v>189700000</v>
      </c>
      <c r="J106" s="93">
        <v>380000000</v>
      </c>
      <c r="K106" s="122">
        <f t="shared" si="49"/>
        <v>14830300.485224774</v>
      </c>
      <c r="L106" s="94">
        <v>1.7999999999999999E-2</v>
      </c>
      <c r="M106" s="37">
        <v>6600000</v>
      </c>
      <c r="N106" s="103">
        <f t="shared" ref="N106" si="71" xml:space="preserve"> (N105 + D106 - E106) + ((N105 + D106 - E106 ) * O106)</f>
        <v>121131516.07161681</v>
      </c>
      <c r="O106" s="79">
        <v>0.02</v>
      </c>
      <c r="P106" s="155">
        <f t="shared" si="47"/>
        <v>127731516.07161681</v>
      </c>
      <c r="Q106" s="93">
        <f t="shared" si="54"/>
        <v>189700000</v>
      </c>
      <c r="R106" s="93" t="e">
        <f xml:space="preserve"> J106 +#REF!</f>
        <v>#REF!</v>
      </c>
      <c r="S106" s="83"/>
    </row>
    <row r="107" spans="1:19" s="18" customFormat="1" x14ac:dyDescent="0.3">
      <c r="B107" s="383"/>
      <c r="C107" s="27">
        <v>8</v>
      </c>
      <c r="D107" s="129">
        <v>500000</v>
      </c>
      <c r="E107" s="129">
        <v>0</v>
      </c>
      <c r="F107" s="129">
        <v>0</v>
      </c>
      <c r="G107" s="116">
        <v>0</v>
      </c>
      <c r="H107" s="93">
        <v>0</v>
      </c>
      <c r="I107" s="240">
        <f t="shared" si="9"/>
        <v>189000000</v>
      </c>
      <c r="J107" s="93">
        <v>380000000</v>
      </c>
      <c r="K107" s="122">
        <f t="shared" si="49"/>
        <v>15097245.89395882</v>
      </c>
      <c r="L107" s="94">
        <v>1.7999999999999999E-2</v>
      </c>
      <c r="M107" s="37">
        <v>6600000</v>
      </c>
      <c r="N107" s="103">
        <f t="shared" ref="N107" si="72" xml:space="preserve"> (N106 + D107 - E107 ) + ((N106 + D107 - E107) * O107)</f>
        <v>124064146.39304915</v>
      </c>
      <c r="O107" s="79">
        <v>0.02</v>
      </c>
      <c r="P107" s="155">
        <f t="shared" si="47"/>
        <v>130664146.39304915</v>
      </c>
      <c r="Q107" s="93">
        <f t="shared" si="54"/>
        <v>189000000</v>
      </c>
      <c r="R107" s="93" t="e">
        <f xml:space="preserve"> J107 +#REF!</f>
        <v>#REF!</v>
      </c>
      <c r="S107" s="83"/>
    </row>
    <row r="108" spans="1:19" s="18" customFormat="1" x14ac:dyDescent="0.3">
      <c r="B108" s="383"/>
      <c r="C108" s="27">
        <v>9</v>
      </c>
      <c r="D108" s="129">
        <v>500000</v>
      </c>
      <c r="E108" s="129">
        <v>0</v>
      </c>
      <c r="F108" s="129">
        <v>0</v>
      </c>
      <c r="G108" s="116">
        <v>0</v>
      </c>
      <c r="H108" s="93">
        <v>0</v>
      </c>
      <c r="I108" s="240">
        <f t="shared" si="9"/>
        <v>188300000</v>
      </c>
      <c r="J108" s="93">
        <v>380000000</v>
      </c>
      <c r="K108" s="122">
        <f t="shared" si="49"/>
        <v>15368996.320050079</v>
      </c>
      <c r="L108" s="94">
        <v>1.7999999999999999E-2</v>
      </c>
      <c r="M108" s="37">
        <v>6600000</v>
      </c>
      <c r="N108" s="103">
        <f t="shared" ref="N108" si="73" xml:space="preserve"> (N107 + D108 - E108) + ((N107 + D108 - E108 ) * O108)</f>
        <v>127055429.32091014</v>
      </c>
      <c r="O108" s="79">
        <v>0.02</v>
      </c>
      <c r="P108" s="155">
        <f t="shared" si="47"/>
        <v>133655429.32091014</v>
      </c>
      <c r="Q108" s="93">
        <f t="shared" si="54"/>
        <v>188300000</v>
      </c>
      <c r="R108" s="93" t="e">
        <f xml:space="preserve"> J108 +#REF!</f>
        <v>#REF!</v>
      </c>
      <c r="S108" s="83"/>
    </row>
    <row r="109" spans="1:19" s="18" customFormat="1" x14ac:dyDescent="0.3">
      <c r="B109" s="383"/>
      <c r="C109" s="27">
        <v>10</v>
      </c>
      <c r="D109" s="129">
        <v>500000</v>
      </c>
      <c r="E109" s="129">
        <v>0</v>
      </c>
      <c r="F109" s="129">
        <v>0</v>
      </c>
      <c r="G109" s="116">
        <v>0</v>
      </c>
      <c r="H109" s="93">
        <v>0</v>
      </c>
      <c r="I109" s="240">
        <f t="shared" si="9"/>
        <v>187600000</v>
      </c>
      <c r="J109" s="93">
        <v>380000000</v>
      </c>
      <c r="K109" s="122">
        <f t="shared" si="49"/>
        <v>15645638.253810981</v>
      </c>
      <c r="L109" s="94">
        <v>1.7999999999999999E-2</v>
      </c>
      <c r="M109" s="37">
        <v>6600000</v>
      </c>
      <c r="N109" s="103">
        <f t="shared" ref="N109" si="74" xml:space="preserve"> (N108 + D109 - E109 ) + ((N108 + D109 - E109) * O109)</f>
        <v>130106537.90732834</v>
      </c>
      <c r="O109" s="79">
        <v>0.02</v>
      </c>
      <c r="P109" s="155">
        <f t="shared" si="47"/>
        <v>136706537.90732834</v>
      </c>
      <c r="Q109" s="93">
        <f t="shared" si="54"/>
        <v>187600000</v>
      </c>
      <c r="R109" s="93" t="e">
        <f xml:space="preserve"> J109 +#REF!</f>
        <v>#REF!</v>
      </c>
      <c r="S109" s="83"/>
    </row>
    <row r="110" spans="1:19" s="18" customFormat="1" ht="17.25" thickBot="1" x14ac:dyDescent="0.35">
      <c r="B110" s="383"/>
      <c r="C110" s="29">
        <v>11</v>
      </c>
      <c r="D110" s="129">
        <v>500000</v>
      </c>
      <c r="E110" s="129">
        <v>0</v>
      </c>
      <c r="F110" s="129">
        <v>0</v>
      </c>
      <c r="G110" s="116">
        <v>0</v>
      </c>
      <c r="H110" s="93">
        <v>0</v>
      </c>
      <c r="I110" s="240">
        <f t="shared" si="9"/>
        <v>186900000</v>
      </c>
      <c r="J110" s="93">
        <v>380000000</v>
      </c>
      <c r="K110" s="122">
        <f t="shared" si="49"/>
        <v>15927259.74237958</v>
      </c>
      <c r="L110" s="94">
        <v>1.7999999999999999E-2</v>
      </c>
      <c r="M110" s="37">
        <v>6600000</v>
      </c>
      <c r="N110" s="103">
        <f t="shared" ref="N110" si="75" xml:space="preserve"> (N109 + D110 - E110) + ((N109 + D110 - E110 ) * O110)</f>
        <v>133218668.66547491</v>
      </c>
      <c r="O110" s="79">
        <v>0.02</v>
      </c>
      <c r="P110" s="155">
        <f t="shared" si="47"/>
        <v>139818668.66547489</v>
      </c>
      <c r="Q110" s="93">
        <f t="shared" si="54"/>
        <v>186900000</v>
      </c>
      <c r="R110" s="93" t="e">
        <f xml:space="preserve"> J110 +#REF!</f>
        <v>#REF!</v>
      </c>
      <c r="S110" s="83"/>
    </row>
    <row r="111" spans="1:19" s="184" customFormat="1" ht="17.25" thickBot="1" x14ac:dyDescent="0.35">
      <c r="B111" s="383"/>
      <c r="C111" s="243">
        <v>12</v>
      </c>
      <c r="D111" s="244">
        <v>500000</v>
      </c>
      <c r="E111" s="244">
        <v>0</v>
      </c>
      <c r="F111" s="244">
        <v>0</v>
      </c>
      <c r="G111" s="245">
        <v>0</v>
      </c>
      <c r="H111" s="246">
        <v>0</v>
      </c>
      <c r="I111" s="246">
        <f t="shared" si="9"/>
        <v>186200000</v>
      </c>
      <c r="J111" s="246">
        <v>380000000</v>
      </c>
      <c r="K111" s="247">
        <f t="shared" si="49"/>
        <v>16213950.417742413</v>
      </c>
      <c r="L111" s="94">
        <v>1.7999999999999999E-2</v>
      </c>
      <c r="M111" s="37">
        <v>6600000</v>
      </c>
      <c r="N111" s="103">
        <f t="shared" ref="N111" si="76" xml:space="preserve"> (N110 + D111 - E111 ) + ((N110 + D111 - E111) * O111)</f>
        <v>136393042.03878441</v>
      </c>
      <c r="O111" s="249">
        <v>0.02</v>
      </c>
      <c r="P111" s="248">
        <f t="shared" si="47"/>
        <v>142993042.03878441</v>
      </c>
      <c r="Q111" s="246">
        <f t="shared" si="54"/>
        <v>186200000</v>
      </c>
      <c r="R111" s="246" t="e">
        <f xml:space="preserve"> J111 +#REF!</f>
        <v>#REF!</v>
      </c>
      <c r="S111" s="252"/>
    </row>
    <row r="112" spans="1:19" s="18" customFormat="1" x14ac:dyDescent="0.3">
      <c r="A112" s="18">
        <v>10</v>
      </c>
      <c r="B112" s="383">
        <v>2031</v>
      </c>
      <c r="C112" s="26">
        <v>1</v>
      </c>
      <c r="D112" s="129">
        <v>500000</v>
      </c>
      <c r="E112" s="129">
        <v>0</v>
      </c>
      <c r="F112" s="129">
        <v>0</v>
      </c>
      <c r="G112" s="116">
        <v>0</v>
      </c>
      <c r="H112" s="93">
        <v>0</v>
      </c>
      <c r="I112" s="240">
        <f t="shared" si="9"/>
        <v>185500000</v>
      </c>
      <c r="J112" s="93">
        <v>380000000</v>
      </c>
      <c r="K112" s="122">
        <f t="shared" si="49"/>
        <v>16505801.525261777</v>
      </c>
      <c r="L112" s="94">
        <v>1.7999999999999999E-2</v>
      </c>
      <c r="M112" s="37">
        <v>6600000</v>
      </c>
      <c r="N112" s="103">
        <f t="shared" ref="N112" si="77" xml:space="preserve"> (N111 + D112 - E112) + ((N111 + D112 - E112 ) * O112)</f>
        <v>139630902.87956011</v>
      </c>
      <c r="O112" s="79">
        <v>0.02</v>
      </c>
      <c r="P112" s="155">
        <f t="shared" si="47"/>
        <v>146230902.87956011</v>
      </c>
      <c r="Q112" s="93">
        <f t="shared" si="54"/>
        <v>185500000</v>
      </c>
      <c r="R112" s="93" t="e">
        <f xml:space="preserve"> J112 +#REF!</f>
        <v>#REF!</v>
      </c>
      <c r="S112" s="83"/>
    </row>
    <row r="113" spans="1:19" s="18" customFormat="1" x14ac:dyDescent="0.3">
      <c r="B113" s="383"/>
      <c r="C113" s="27">
        <v>2</v>
      </c>
      <c r="D113" s="129">
        <v>500000</v>
      </c>
      <c r="E113" s="129">
        <v>0</v>
      </c>
      <c r="F113" s="129">
        <v>0</v>
      </c>
      <c r="G113" s="116">
        <v>0</v>
      </c>
      <c r="H113" s="93">
        <v>0</v>
      </c>
      <c r="I113" s="240">
        <f t="shared" si="9"/>
        <v>184800000</v>
      </c>
      <c r="J113" s="93">
        <v>380000000</v>
      </c>
      <c r="K113" s="122">
        <f t="shared" si="49"/>
        <v>16802905.952716488</v>
      </c>
      <c r="L113" s="94">
        <v>1.7999999999999999E-2</v>
      </c>
      <c r="M113" s="37">
        <v>6600000</v>
      </c>
      <c r="N113" s="103">
        <f t="shared" ref="N113" si="78" xml:space="preserve"> (N112 + D113 - E113 ) + ((N112 + D113 - E113) * O113)</f>
        <v>142933520.93715131</v>
      </c>
      <c r="O113" s="79">
        <v>0.02</v>
      </c>
      <c r="P113" s="155">
        <f t="shared" si="47"/>
        <v>149533520.93715131</v>
      </c>
      <c r="Q113" s="93">
        <f t="shared" si="54"/>
        <v>184800000</v>
      </c>
      <c r="R113" s="93" t="e">
        <f xml:space="preserve"> J113 +#REF!</f>
        <v>#REF!</v>
      </c>
      <c r="S113" s="83"/>
    </row>
    <row r="114" spans="1:19" s="18" customFormat="1" x14ac:dyDescent="0.3">
      <c r="B114" s="383"/>
      <c r="C114" s="27">
        <v>3</v>
      </c>
      <c r="D114" s="129">
        <v>500000</v>
      </c>
      <c r="E114" s="129">
        <v>0</v>
      </c>
      <c r="F114" s="129">
        <v>0</v>
      </c>
      <c r="G114" s="116">
        <v>0</v>
      </c>
      <c r="H114" s="93">
        <v>0</v>
      </c>
      <c r="I114" s="240">
        <f t="shared" ref="I114:I158" si="79" xml:space="preserve"> I113 - 700000</f>
        <v>184100000</v>
      </c>
      <c r="J114" s="93">
        <v>380000000</v>
      </c>
      <c r="K114" s="122">
        <f t="shared" si="49"/>
        <v>17105358.259865385</v>
      </c>
      <c r="L114" s="94">
        <v>1.7999999999999999E-2</v>
      </c>
      <c r="M114" s="37">
        <v>6600000</v>
      </c>
      <c r="N114" s="103">
        <f t="shared" ref="N114" si="80" xml:space="preserve"> (N113 + D114 - E114) + ((N113 + D114 - E114 ) * O114)</f>
        <v>146302191.35589433</v>
      </c>
      <c r="O114" s="79">
        <v>0.02</v>
      </c>
      <c r="P114" s="155">
        <f t="shared" si="47"/>
        <v>152902191.35589433</v>
      </c>
      <c r="Q114" s="93">
        <f t="shared" si="54"/>
        <v>184100000</v>
      </c>
      <c r="R114" s="93" t="e">
        <f xml:space="preserve"> J114 +#REF!</f>
        <v>#REF!</v>
      </c>
      <c r="S114" s="83"/>
    </row>
    <row r="115" spans="1:19" s="18" customFormat="1" x14ac:dyDescent="0.3">
      <c r="B115" s="383"/>
      <c r="C115" s="27">
        <v>4</v>
      </c>
      <c r="D115" s="129">
        <v>500000</v>
      </c>
      <c r="E115" s="129">
        <v>0</v>
      </c>
      <c r="F115" s="129">
        <v>0</v>
      </c>
      <c r="G115" s="116">
        <v>0</v>
      </c>
      <c r="H115" s="93">
        <v>0</v>
      </c>
      <c r="I115" s="240">
        <f t="shared" si="79"/>
        <v>183400000</v>
      </c>
      <c r="J115" s="93">
        <v>380000000</v>
      </c>
      <c r="K115" s="122">
        <f t="shared" si="49"/>
        <v>17413254.708542962</v>
      </c>
      <c r="L115" s="94">
        <v>1.7999999999999999E-2</v>
      </c>
      <c r="M115" s="37">
        <v>6600000</v>
      </c>
      <c r="N115" s="103">
        <f t="shared" ref="N115" si="81" xml:space="preserve"> (N114 + D115 - E115 ) + ((N114 + D115 - E115) * O115)</f>
        <v>149738235.18301222</v>
      </c>
      <c r="O115" s="79">
        <v>0.02</v>
      </c>
      <c r="P115" s="155">
        <f t="shared" si="47"/>
        <v>156338235.18301222</v>
      </c>
      <c r="Q115" s="93">
        <f t="shared" si="54"/>
        <v>183400000</v>
      </c>
      <c r="R115" s="93" t="e">
        <f xml:space="preserve"> J115 +#REF!</f>
        <v>#REF!</v>
      </c>
      <c r="S115" s="83"/>
    </row>
    <row r="116" spans="1:19" s="18" customFormat="1" x14ac:dyDescent="0.3">
      <c r="B116" s="383"/>
      <c r="C116" s="27">
        <v>5</v>
      </c>
      <c r="D116" s="129">
        <v>500000</v>
      </c>
      <c r="E116" s="129">
        <v>0</v>
      </c>
      <c r="F116" s="129">
        <v>0</v>
      </c>
      <c r="G116" s="116">
        <v>0</v>
      </c>
      <c r="H116" s="93">
        <v>0</v>
      </c>
      <c r="I116" s="240">
        <f t="shared" si="79"/>
        <v>182700000</v>
      </c>
      <c r="J116" s="93">
        <v>380000000</v>
      </c>
      <c r="K116" s="122">
        <f t="shared" si="49"/>
        <v>17726693.293296736</v>
      </c>
      <c r="L116" s="94">
        <v>1.7999999999999999E-2</v>
      </c>
      <c r="M116" s="37">
        <v>6600000</v>
      </c>
      <c r="N116" s="103">
        <f t="shared" ref="N116" si="82" xml:space="preserve"> (N115 + D116 - E116) + ((N115 + D116 - E116 ) * O116)</f>
        <v>153242999.88667247</v>
      </c>
      <c r="O116" s="79">
        <v>0.02</v>
      </c>
      <c r="P116" s="155">
        <f t="shared" ref="P116:P147" si="83" xml:space="preserve"> M116 + N116</f>
        <v>159842999.88667247</v>
      </c>
      <c r="Q116" s="93">
        <f t="shared" si="54"/>
        <v>182700000</v>
      </c>
      <c r="R116" s="93" t="e">
        <f xml:space="preserve"> J116 +#REF!</f>
        <v>#REF!</v>
      </c>
      <c r="S116" s="83"/>
    </row>
    <row r="117" spans="1:19" s="18" customFormat="1" x14ac:dyDescent="0.3">
      <c r="B117" s="383"/>
      <c r="C117" s="27">
        <v>6</v>
      </c>
      <c r="D117" s="129">
        <v>500000</v>
      </c>
      <c r="E117" s="129">
        <v>0</v>
      </c>
      <c r="F117" s="129">
        <v>0</v>
      </c>
      <c r="G117" s="116">
        <v>0</v>
      </c>
      <c r="H117" s="93">
        <v>0</v>
      </c>
      <c r="I117" s="240">
        <f t="shared" si="79"/>
        <v>182000000</v>
      </c>
      <c r="J117" s="93">
        <v>380000000</v>
      </c>
      <c r="K117" s="122">
        <f t="shared" si="49"/>
        <v>18045773.772576079</v>
      </c>
      <c r="L117" s="94">
        <v>1.7999999999999999E-2</v>
      </c>
      <c r="M117" s="37">
        <v>6600000</v>
      </c>
      <c r="N117" s="103">
        <f t="shared" ref="N117" si="84" xml:space="preserve"> (N116 + D117 - E117 ) + ((N116 + D117 - E117) * O117)</f>
        <v>156817859.88440591</v>
      </c>
      <c r="O117" s="79">
        <v>0.02</v>
      </c>
      <c r="P117" s="155">
        <f t="shared" si="83"/>
        <v>163417859.88440591</v>
      </c>
      <c r="Q117" s="93">
        <f t="shared" si="54"/>
        <v>182000000</v>
      </c>
      <c r="R117" s="93" t="e">
        <f xml:space="preserve"> J117 +#REF!</f>
        <v>#REF!</v>
      </c>
      <c r="S117" s="83"/>
    </row>
    <row r="118" spans="1:19" s="18" customFormat="1" x14ac:dyDescent="0.3">
      <c r="B118" s="383"/>
      <c r="C118" s="27">
        <v>7</v>
      </c>
      <c r="D118" s="129">
        <v>500000</v>
      </c>
      <c r="E118" s="129">
        <v>0</v>
      </c>
      <c r="F118" s="129">
        <v>0</v>
      </c>
      <c r="G118" s="116">
        <v>0</v>
      </c>
      <c r="H118" s="93">
        <v>0</v>
      </c>
      <c r="I118" s="240">
        <f t="shared" si="79"/>
        <v>181300000</v>
      </c>
      <c r="J118" s="93">
        <v>380000000</v>
      </c>
      <c r="K118" s="122">
        <f t="shared" si="49"/>
        <v>18370597.700482447</v>
      </c>
      <c r="L118" s="94">
        <v>1.7999999999999999E-2</v>
      </c>
      <c r="M118" s="37">
        <v>6600000</v>
      </c>
      <c r="N118" s="103">
        <f t="shared" ref="N118" si="85" xml:space="preserve"> (N117 + D118 - E118) + ((N117 + D118 - E118 ) * O118)</f>
        <v>160464217.08209404</v>
      </c>
      <c r="O118" s="79">
        <v>0.02</v>
      </c>
      <c r="P118" s="155">
        <f t="shared" si="83"/>
        <v>167064217.08209404</v>
      </c>
      <c r="Q118" s="93">
        <f t="shared" si="54"/>
        <v>181300000</v>
      </c>
      <c r="R118" s="93" t="e">
        <f xml:space="preserve"> J118 +#REF!</f>
        <v>#REF!</v>
      </c>
      <c r="S118" s="83"/>
    </row>
    <row r="119" spans="1:19" s="18" customFormat="1" x14ac:dyDescent="0.3">
      <c r="B119" s="383"/>
      <c r="C119" s="27">
        <v>8</v>
      </c>
      <c r="D119" s="129">
        <v>500000</v>
      </c>
      <c r="E119" s="129">
        <v>0</v>
      </c>
      <c r="F119" s="129">
        <v>0</v>
      </c>
      <c r="G119" s="116">
        <v>0</v>
      </c>
      <c r="H119" s="93">
        <v>0</v>
      </c>
      <c r="I119" s="240">
        <f t="shared" si="79"/>
        <v>180600000</v>
      </c>
      <c r="J119" s="93">
        <v>380000000</v>
      </c>
      <c r="K119" s="122">
        <f t="shared" si="49"/>
        <v>18701268.459091131</v>
      </c>
      <c r="L119" s="94">
        <v>1.7999999999999999E-2</v>
      </c>
      <c r="M119" s="37">
        <v>6600000</v>
      </c>
      <c r="N119" s="103">
        <f t="shared" ref="N119" si="86" xml:space="preserve"> (N118 + D119 - E119 ) + ((N118 + D119 - E119) * O119)</f>
        <v>164183501.42373592</v>
      </c>
      <c r="O119" s="79">
        <v>0.02</v>
      </c>
      <c r="P119" s="155">
        <f t="shared" si="83"/>
        <v>170783501.42373592</v>
      </c>
      <c r="Q119" s="93">
        <f t="shared" si="54"/>
        <v>180600000</v>
      </c>
      <c r="R119" s="93" t="e">
        <f xml:space="preserve"> J119 +#REF!</f>
        <v>#REF!</v>
      </c>
      <c r="S119" s="83"/>
    </row>
    <row r="120" spans="1:19" s="18" customFormat="1" x14ac:dyDescent="0.3">
      <c r="B120" s="383"/>
      <c r="C120" s="27">
        <v>9</v>
      </c>
      <c r="D120" s="129">
        <v>500000</v>
      </c>
      <c r="E120" s="129">
        <v>0</v>
      </c>
      <c r="F120" s="129">
        <v>0</v>
      </c>
      <c r="G120" s="116">
        <v>0</v>
      </c>
      <c r="H120" s="93">
        <v>0</v>
      </c>
      <c r="I120" s="240">
        <f t="shared" si="79"/>
        <v>179900000</v>
      </c>
      <c r="J120" s="93">
        <v>380000000</v>
      </c>
      <c r="K120" s="122">
        <f t="shared" si="49"/>
        <v>19037891.291354772</v>
      </c>
      <c r="L120" s="94">
        <v>1.7999999999999999E-2</v>
      </c>
      <c r="M120" s="37">
        <v>6600000</v>
      </c>
      <c r="N120" s="103">
        <f t="shared" ref="N120" si="87" xml:space="preserve"> (N119 + D120 - E120) + ((N119 + D120 - E120 ) * O120)</f>
        <v>167977171.45221063</v>
      </c>
      <c r="O120" s="79">
        <v>0.02</v>
      </c>
      <c r="P120" s="155">
        <f t="shared" si="83"/>
        <v>174577171.45221063</v>
      </c>
      <c r="Q120" s="93">
        <f t="shared" si="54"/>
        <v>179900000</v>
      </c>
      <c r="R120" s="93" t="e">
        <f xml:space="preserve"> J120 +#REF!</f>
        <v>#REF!</v>
      </c>
      <c r="S120" s="83"/>
    </row>
    <row r="121" spans="1:19" s="18" customFormat="1" x14ac:dyDescent="0.3">
      <c r="B121" s="383"/>
      <c r="C121" s="27">
        <v>10</v>
      </c>
      <c r="D121" s="129">
        <v>500000</v>
      </c>
      <c r="E121" s="129">
        <v>0</v>
      </c>
      <c r="F121" s="129">
        <v>0</v>
      </c>
      <c r="G121" s="116">
        <v>0</v>
      </c>
      <c r="H121" s="93">
        <v>0</v>
      </c>
      <c r="I121" s="240">
        <f t="shared" si="79"/>
        <v>179200000</v>
      </c>
      <c r="J121" s="93">
        <v>380000000</v>
      </c>
      <c r="K121" s="122">
        <f t="shared" si="49"/>
        <v>19380573.334599156</v>
      </c>
      <c r="L121" s="94">
        <v>1.7999999999999999E-2</v>
      </c>
      <c r="M121" s="37">
        <v>6600000</v>
      </c>
      <c r="N121" s="103">
        <f t="shared" ref="N121" si="88" xml:space="preserve"> (N120 + D121 - E121 ) + ((N120 + D121 - E121) * O121)</f>
        <v>171846714.88125485</v>
      </c>
      <c r="O121" s="79">
        <v>0.02</v>
      </c>
      <c r="P121" s="155">
        <f t="shared" si="83"/>
        <v>178446714.88125485</v>
      </c>
      <c r="Q121" s="93">
        <f t="shared" ref="Q121:Q152" si="89" xml:space="preserve"> H121 + I121</f>
        <v>179200000</v>
      </c>
      <c r="R121" s="93" t="e">
        <f xml:space="preserve"> J121 +#REF!</f>
        <v>#REF!</v>
      </c>
      <c r="S121" s="83"/>
    </row>
    <row r="122" spans="1:19" s="18" customFormat="1" ht="17.25" thickBot="1" x14ac:dyDescent="0.35">
      <c r="B122" s="383"/>
      <c r="C122" s="29">
        <v>11</v>
      </c>
      <c r="D122" s="129">
        <v>500000</v>
      </c>
      <c r="E122" s="129">
        <v>0</v>
      </c>
      <c r="F122" s="129">
        <v>0</v>
      </c>
      <c r="G122" s="116">
        <v>0</v>
      </c>
      <c r="H122" s="93">
        <v>0</v>
      </c>
      <c r="I122" s="240">
        <f t="shared" si="79"/>
        <v>178500000</v>
      </c>
      <c r="J122" s="93">
        <v>380000000</v>
      </c>
      <c r="K122" s="122">
        <f t="shared" si="49"/>
        <v>19729423.65462194</v>
      </c>
      <c r="L122" s="94">
        <v>1.7999999999999999E-2</v>
      </c>
      <c r="M122" s="37">
        <v>6600000</v>
      </c>
      <c r="N122" s="103">
        <f t="shared" ref="N122" si="90" xml:space="preserve"> (N121 + D122 - E122) + ((N121 + D122 - E122 ) * O122)</f>
        <v>175793649.17887995</v>
      </c>
      <c r="O122" s="79">
        <v>0.02</v>
      </c>
      <c r="P122" s="155">
        <f t="shared" si="83"/>
        <v>182393649.17887995</v>
      </c>
      <c r="Q122" s="93">
        <f t="shared" si="89"/>
        <v>178500000</v>
      </c>
      <c r="R122" s="93" t="e">
        <f xml:space="preserve"> J122 +#REF!</f>
        <v>#REF!</v>
      </c>
      <c r="S122" s="83"/>
    </row>
    <row r="123" spans="1:19" s="184" customFormat="1" ht="17.25" thickBot="1" x14ac:dyDescent="0.35">
      <c r="B123" s="383"/>
      <c r="C123" s="243">
        <v>12</v>
      </c>
      <c r="D123" s="244">
        <v>500000</v>
      </c>
      <c r="E123" s="244">
        <v>30000000</v>
      </c>
      <c r="F123" s="244">
        <v>0</v>
      </c>
      <c r="G123" s="245">
        <v>0</v>
      </c>
      <c r="H123" s="246">
        <v>0</v>
      </c>
      <c r="I123" s="246">
        <f xml:space="preserve"> I122 - 700000 - 40000000</f>
        <v>137800000</v>
      </c>
      <c r="J123" s="246">
        <v>380000000</v>
      </c>
      <c r="K123" s="247">
        <f t="shared" si="49"/>
        <v>20084553.280405134</v>
      </c>
      <c r="L123" s="94">
        <v>1.7999999999999999E-2</v>
      </c>
      <c r="M123" s="37">
        <v>6600000</v>
      </c>
      <c r="N123" s="103">
        <f t="shared" ref="N123" si="91" xml:space="preserve"> (N122 + D123 - E123 ) + ((N122 + D123 - E123) * O123)</f>
        <v>149219522.16245756</v>
      </c>
      <c r="O123" s="249">
        <v>0.02</v>
      </c>
      <c r="P123" s="248">
        <f t="shared" si="83"/>
        <v>155819522.16245756</v>
      </c>
      <c r="Q123" s="246">
        <f t="shared" si="89"/>
        <v>137800000</v>
      </c>
      <c r="R123" s="246" t="e">
        <f xml:space="preserve"> J123 +#REF!</f>
        <v>#REF!</v>
      </c>
      <c r="S123" s="252"/>
    </row>
    <row r="124" spans="1:19" s="18" customFormat="1" x14ac:dyDescent="0.3">
      <c r="A124" s="18">
        <v>11</v>
      </c>
      <c r="B124" s="383">
        <v>2032</v>
      </c>
      <c r="C124" s="26">
        <v>1</v>
      </c>
      <c r="D124" s="129">
        <v>500000</v>
      </c>
      <c r="E124" s="129">
        <v>0</v>
      </c>
      <c r="F124" s="129">
        <v>0</v>
      </c>
      <c r="G124" s="116">
        <v>0</v>
      </c>
      <c r="H124" s="93">
        <v>0</v>
      </c>
      <c r="I124" s="240">
        <f t="shared" si="79"/>
        <v>137100000</v>
      </c>
      <c r="J124" s="93">
        <v>380000000</v>
      </c>
      <c r="K124" s="122">
        <f t="shared" si="49"/>
        <v>20446075.239452425</v>
      </c>
      <c r="L124" s="94">
        <v>1.7999999999999999E-2</v>
      </c>
      <c r="M124" s="37">
        <v>6600000</v>
      </c>
      <c r="N124" s="103">
        <f t="shared" ref="N124" si="92" xml:space="preserve"> (N123 + D124 - E124) + ((N123 + D124 - E124 ) * O124)</f>
        <v>152713912.60570669</v>
      </c>
      <c r="O124" s="79">
        <v>0.02</v>
      </c>
      <c r="P124" s="155">
        <f t="shared" si="83"/>
        <v>159313912.60570669</v>
      </c>
      <c r="Q124" s="93">
        <f t="shared" si="89"/>
        <v>137100000</v>
      </c>
      <c r="R124" s="93" t="e">
        <f xml:space="preserve"> J124 +#REF!</f>
        <v>#REF!</v>
      </c>
      <c r="S124" s="83"/>
    </row>
    <row r="125" spans="1:19" s="18" customFormat="1" x14ac:dyDescent="0.3">
      <c r="B125" s="383"/>
      <c r="C125" s="27">
        <v>2</v>
      </c>
      <c r="D125" s="129">
        <v>500000</v>
      </c>
      <c r="E125" s="129">
        <v>0</v>
      </c>
      <c r="F125" s="129">
        <v>0</v>
      </c>
      <c r="G125" s="116">
        <v>0</v>
      </c>
      <c r="H125" s="93">
        <v>0</v>
      </c>
      <c r="I125" s="240">
        <f t="shared" si="79"/>
        <v>136400000</v>
      </c>
      <c r="J125" s="93">
        <v>380000000</v>
      </c>
      <c r="K125" s="122">
        <f t="shared" si="49"/>
        <v>20814104.593762569</v>
      </c>
      <c r="L125" s="94">
        <v>1.7999999999999999E-2</v>
      </c>
      <c r="M125" s="37">
        <v>6600000</v>
      </c>
      <c r="N125" s="103">
        <f t="shared" ref="N125" si="93" xml:space="preserve"> (N124 + D125 - E125 ) + ((N124 + D125 - E125) * O125)</f>
        <v>156278190.85782084</v>
      </c>
      <c r="O125" s="79">
        <v>0.02</v>
      </c>
      <c r="P125" s="155">
        <f t="shared" si="83"/>
        <v>162878190.85782084</v>
      </c>
      <c r="Q125" s="93">
        <f t="shared" si="89"/>
        <v>136400000</v>
      </c>
      <c r="R125" s="93" t="e">
        <f xml:space="preserve"> J125 +#REF!</f>
        <v>#REF!</v>
      </c>
      <c r="S125" s="83"/>
    </row>
    <row r="126" spans="1:19" s="18" customFormat="1" x14ac:dyDescent="0.3">
      <c r="B126" s="383"/>
      <c r="C126" s="27">
        <v>3</v>
      </c>
      <c r="D126" s="129">
        <v>500000</v>
      </c>
      <c r="E126" s="129">
        <v>0</v>
      </c>
      <c r="F126" s="129">
        <v>0</v>
      </c>
      <c r="G126" s="116">
        <v>0</v>
      </c>
      <c r="H126" s="93">
        <v>0</v>
      </c>
      <c r="I126" s="240">
        <f t="shared" si="79"/>
        <v>135700000</v>
      </c>
      <c r="J126" s="93">
        <v>380000000</v>
      </c>
      <c r="K126" s="122">
        <f t="shared" si="49"/>
        <v>21188758.476450294</v>
      </c>
      <c r="L126" s="94">
        <v>1.7999999999999999E-2</v>
      </c>
      <c r="M126" s="37">
        <v>6600000</v>
      </c>
      <c r="N126" s="103">
        <f t="shared" ref="N126" si="94" xml:space="preserve"> (N125 + D126 - E126) + ((N125 + D126 - E126 ) * O126)</f>
        <v>159913754.67497724</v>
      </c>
      <c r="O126" s="79">
        <v>0.02</v>
      </c>
      <c r="P126" s="155">
        <f t="shared" si="83"/>
        <v>166513754.67497724</v>
      </c>
      <c r="Q126" s="93">
        <f t="shared" si="89"/>
        <v>135700000</v>
      </c>
      <c r="R126" s="93" t="e">
        <f xml:space="preserve"> J126 +#REF!</f>
        <v>#REF!</v>
      </c>
      <c r="S126" s="83"/>
    </row>
    <row r="127" spans="1:19" s="18" customFormat="1" x14ac:dyDescent="0.3">
      <c r="B127" s="383"/>
      <c r="C127" s="27">
        <v>4</v>
      </c>
      <c r="D127" s="129">
        <v>500000</v>
      </c>
      <c r="E127" s="129">
        <v>0</v>
      </c>
      <c r="F127" s="129">
        <v>0</v>
      </c>
      <c r="G127" s="116">
        <v>0</v>
      </c>
      <c r="H127" s="93">
        <v>0</v>
      </c>
      <c r="I127" s="240">
        <f t="shared" si="79"/>
        <v>135000000</v>
      </c>
      <c r="J127" s="93">
        <v>380000000</v>
      </c>
      <c r="K127" s="122">
        <f t="shared" si="49"/>
        <v>21570156.129026398</v>
      </c>
      <c r="L127" s="94">
        <v>1.7999999999999999E-2</v>
      </c>
      <c r="M127" s="37">
        <v>6600000</v>
      </c>
      <c r="N127" s="103">
        <f t="shared" ref="N127" si="95" xml:space="preserve"> (N126 + D127 - E127 ) + ((N126 + D127 - E127) * O127)</f>
        <v>163622029.76847678</v>
      </c>
      <c r="O127" s="79">
        <v>0.02</v>
      </c>
      <c r="P127" s="155">
        <f t="shared" si="83"/>
        <v>170222029.76847678</v>
      </c>
      <c r="Q127" s="93">
        <f t="shared" si="89"/>
        <v>135000000</v>
      </c>
      <c r="R127" s="93" t="e">
        <f xml:space="preserve"> J127 +#REF!</f>
        <v>#REF!</v>
      </c>
      <c r="S127" s="83"/>
    </row>
    <row r="128" spans="1:19" s="18" customFormat="1" x14ac:dyDescent="0.3">
      <c r="B128" s="383"/>
      <c r="C128" s="27">
        <v>5</v>
      </c>
      <c r="D128" s="129">
        <v>500000</v>
      </c>
      <c r="E128" s="129">
        <v>0</v>
      </c>
      <c r="F128" s="129">
        <v>0</v>
      </c>
      <c r="G128" s="116">
        <v>0</v>
      </c>
      <c r="H128" s="93">
        <v>0</v>
      </c>
      <c r="I128" s="240">
        <f t="shared" si="79"/>
        <v>134300000</v>
      </c>
      <c r="J128" s="93">
        <v>380000000</v>
      </c>
      <c r="K128" s="122">
        <f t="shared" si="49"/>
        <v>21958418.939348873</v>
      </c>
      <c r="L128" s="94">
        <v>1.7999999999999999E-2</v>
      </c>
      <c r="M128" s="37">
        <v>6600000</v>
      </c>
      <c r="N128" s="103">
        <f t="shared" ref="N128" si="96" xml:space="preserve"> (N127 + D128 - E128) + ((N127 + D128 - E128 ) * O128)</f>
        <v>167404470.36384633</v>
      </c>
      <c r="O128" s="79">
        <v>0.02</v>
      </c>
      <c r="P128" s="155">
        <f t="shared" si="83"/>
        <v>174004470.36384633</v>
      </c>
      <c r="Q128" s="93">
        <f t="shared" si="89"/>
        <v>134300000</v>
      </c>
      <c r="R128" s="93" t="e">
        <f xml:space="preserve"> J128 +#REF!</f>
        <v>#REF!</v>
      </c>
      <c r="S128" s="83"/>
    </row>
    <row r="129" spans="1:19" s="18" customFormat="1" x14ac:dyDescent="0.3">
      <c r="B129" s="383"/>
      <c r="C129" s="27">
        <v>6</v>
      </c>
      <c r="D129" s="129">
        <v>500000</v>
      </c>
      <c r="E129" s="129">
        <v>0</v>
      </c>
      <c r="F129" s="129">
        <v>0</v>
      </c>
      <c r="G129" s="116">
        <v>0</v>
      </c>
      <c r="H129" s="93">
        <v>0</v>
      </c>
      <c r="I129" s="240">
        <f t="shared" si="79"/>
        <v>133600000</v>
      </c>
      <c r="J129" s="93">
        <v>380000000</v>
      </c>
      <c r="K129" s="122">
        <f t="shared" si="49"/>
        <v>22353670.480257154</v>
      </c>
      <c r="L129" s="94">
        <v>1.7999999999999999E-2</v>
      </c>
      <c r="M129" s="37">
        <v>6600000</v>
      </c>
      <c r="N129" s="103">
        <f t="shared" ref="N129" si="97" xml:space="preserve"> (N128 + D129 - E129 ) + ((N128 + D129 - E129) * O129)</f>
        <v>171262559.77112326</v>
      </c>
      <c r="O129" s="79">
        <v>0.02</v>
      </c>
      <c r="P129" s="155">
        <f t="shared" si="83"/>
        <v>177862559.77112326</v>
      </c>
      <c r="Q129" s="93">
        <f t="shared" si="89"/>
        <v>133600000</v>
      </c>
      <c r="R129" s="93" t="e">
        <f xml:space="preserve"> J129 +#REF!</f>
        <v>#REF!</v>
      </c>
      <c r="S129" s="83"/>
    </row>
    <row r="130" spans="1:19" s="18" customFormat="1" x14ac:dyDescent="0.3">
      <c r="B130" s="383"/>
      <c r="C130" s="27">
        <v>7</v>
      </c>
      <c r="D130" s="129">
        <v>500000</v>
      </c>
      <c r="E130" s="129">
        <v>0</v>
      </c>
      <c r="F130" s="129">
        <v>0</v>
      </c>
      <c r="G130" s="116">
        <v>0</v>
      </c>
      <c r="H130" s="93">
        <v>0</v>
      </c>
      <c r="I130" s="240">
        <f t="shared" si="79"/>
        <v>132900000</v>
      </c>
      <c r="J130" s="93">
        <v>380000000</v>
      </c>
      <c r="K130" s="122">
        <f t="shared" si="49"/>
        <v>22756036.548901781</v>
      </c>
      <c r="L130" s="94">
        <v>1.7999999999999999E-2</v>
      </c>
      <c r="M130" s="37">
        <v>6600000</v>
      </c>
      <c r="N130" s="103">
        <f t="shared" ref="N130" si="98" xml:space="preserve"> (N129 + D130 - E130) + ((N129 + D130 - E130 ) * O130)</f>
        <v>175197810.96654573</v>
      </c>
      <c r="O130" s="79">
        <v>0.02</v>
      </c>
      <c r="P130" s="155">
        <f t="shared" si="83"/>
        <v>181797810.96654573</v>
      </c>
      <c r="Q130" s="93">
        <f t="shared" si="89"/>
        <v>132900000</v>
      </c>
      <c r="R130" s="93" t="e">
        <f xml:space="preserve"> J130 +#REF!</f>
        <v>#REF!</v>
      </c>
      <c r="S130" s="83"/>
    </row>
    <row r="131" spans="1:19" s="18" customFormat="1" x14ac:dyDescent="0.3">
      <c r="B131" s="383"/>
      <c r="C131" s="27">
        <v>8</v>
      </c>
      <c r="D131" s="129">
        <v>500000</v>
      </c>
      <c r="E131" s="129">
        <v>0</v>
      </c>
      <c r="F131" s="129">
        <v>0</v>
      </c>
      <c r="G131" s="116">
        <v>0</v>
      </c>
      <c r="H131" s="93">
        <v>0</v>
      </c>
      <c r="I131" s="240">
        <f t="shared" si="79"/>
        <v>132200000</v>
      </c>
      <c r="J131" s="93">
        <v>380000000</v>
      </c>
      <c r="K131" s="122">
        <f t="shared" si="49"/>
        <v>23165645.206782013</v>
      </c>
      <c r="L131" s="94">
        <v>1.7999999999999999E-2</v>
      </c>
      <c r="M131" s="37">
        <v>6600000</v>
      </c>
      <c r="N131" s="103">
        <f t="shared" ref="N131" si="99" xml:space="preserve"> (N130 + D131 - E131 ) + ((N130 + D131 - E131) * O131)</f>
        <v>179211767.18587664</v>
      </c>
      <c r="O131" s="79">
        <v>0.02</v>
      </c>
      <c r="P131" s="155">
        <f t="shared" si="83"/>
        <v>185811767.18587664</v>
      </c>
      <c r="Q131" s="93">
        <f t="shared" si="89"/>
        <v>132200000</v>
      </c>
      <c r="R131" s="93" t="e">
        <f xml:space="preserve"> J131 +#REF!</f>
        <v>#REF!</v>
      </c>
      <c r="S131" s="83"/>
    </row>
    <row r="132" spans="1:19" s="18" customFormat="1" x14ac:dyDescent="0.3">
      <c r="B132" s="383"/>
      <c r="C132" s="27">
        <v>9</v>
      </c>
      <c r="D132" s="129">
        <v>500000</v>
      </c>
      <c r="E132" s="129">
        <v>0</v>
      </c>
      <c r="F132" s="129">
        <v>0</v>
      </c>
      <c r="G132" s="116">
        <v>0</v>
      </c>
      <c r="H132" s="93">
        <v>0</v>
      </c>
      <c r="I132" s="240">
        <f t="shared" si="79"/>
        <v>131500000</v>
      </c>
      <c r="J132" s="93">
        <v>380000000</v>
      </c>
      <c r="K132" s="122">
        <f t="shared" si="49"/>
        <v>23582626.820504088</v>
      </c>
      <c r="L132" s="94">
        <v>1.7999999999999999E-2</v>
      </c>
      <c r="M132" s="37">
        <v>6600000</v>
      </c>
      <c r="N132" s="103">
        <f t="shared" ref="N132" si="100" xml:space="preserve"> (N131 + D132 - E132) + ((N131 + D132 - E132 ) * O132)</f>
        <v>183306002.52959418</v>
      </c>
      <c r="O132" s="79">
        <v>0.02</v>
      </c>
      <c r="P132" s="155">
        <f t="shared" si="83"/>
        <v>189906002.52959418</v>
      </c>
      <c r="Q132" s="93">
        <f t="shared" si="89"/>
        <v>131500000</v>
      </c>
      <c r="R132" s="93" t="e">
        <f xml:space="preserve"> J132 +#REF!</f>
        <v>#REF!</v>
      </c>
      <c r="S132" s="83"/>
    </row>
    <row r="133" spans="1:19" s="18" customFormat="1" x14ac:dyDescent="0.3">
      <c r="B133" s="383"/>
      <c r="C133" s="27">
        <v>10</v>
      </c>
      <c r="D133" s="129">
        <v>500000</v>
      </c>
      <c r="E133" s="129">
        <v>0</v>
      </c>
      <c r="F133" s="129">
        <v>0</v>
      </c>
      <c r="G133" s="116">
        <v>0</v>
      </c>
      <c r="H133" s="93">
        <v>0</v>
      </c>
      <c r="I133" s="240">
        <f t="shared" si="79"/>
        <v>130800000</v>
      </c>
      <c r="J133" s="93">
        <v>380000000</v>
      </c>
      <c r="K133" s="122">
        <f t="shared" si="49"/>
        <v>24007114.103273161</v>
      </c>
      <c r="L133" s="94">
        <v>1.7999999999999999E-2</v>
      </c>
      <c r="M133" s="37">
        <v>6600000</v>
      </c>
      <c r="N133" s="103">
        <f t="shared" ref="N133" si="101" xml:space="preserve"> (N132 + D133 - E133 ) + ((N132 + D133 - E133) * O133)</f>
        <v>187482122.58018607</v>
      </c>
      <c r="O133" s="79">
        <v>0.02</v>
      </c>
      <c r="P133" s="155">
        <f t="shared" si="83"/>
        <v>194082122.58018607</v>
      </c>
      <c r="Q133" s="93">
        <f t="shared" si="89"/>
        <v>130800000</v>
      </c>
      <c r="R133" s="93" t="e">
        <f xml:space="preserve"> J133 +#REF!</f>
        <v>#REF!</v>
      </c>
      <c r="S133" s="83"/>
    </row>
    <row r="134" spans="1:19" s="18" customFormat="1" ht="18" customHeight="1" thickBot="1" x14ac:dyDescent="0.35">
      <c r="B134" s="383"/>
      <c r="C134" s="29">
        <v>11</v>
      </c>
      <c r="D134" s="129">
        <v>500000</v>
      </c>
      <c r="E134" s="129">
        <v>0</v>
      </c>
      <c r="F134" s="129">
        <v>0</v>
      </c>
      <c r="G134" s="116">
        <v>0</v>
      </c>
      <c r="H134" s="93">
        <v>0</v>
      </c>
      <c r="I134" s="240">
        <f t="shared" si="79"/>
        <v>130100000</v>
      </c>
      <c r="J134" s="93">
        <v>380000000</v>
      </c>
      <c r="K134" s="122">
        <f t="shared" si="49"/>
        <v>24439242.157132078</v>
      </c>
      <c r="L134" s="94">
        <v>1.7999999999999999E-2</v>
      </c>
      <c r="M134" s="37">
        <v>6600000</v>
      </c>
      <c r="N134" s="103">
        <f t="shared" ref="N134" si="102" xml:space="preserve"> (N133 + D134 - E134) + ((N133 + D134 - E134 ) * O134)</f>
        <v>191741765.03178978</v>
      </c>
      <c r="O134" s="79">
        <v>0.02</v>
      </c>
      <c r="P134" s="155">
        <f t="shared" si="83"/>
        <v>198341765.03178978</v>
      </c>
      <c r="Q134" s="93">
        <f t="shared" si="89"/>
        <v>130100000</v>
      </c>
      <c r="R134" s="93" t="e">
        <f xml:space="preserve"> J134 +#REF!</f>
        <v>#REF!</v>
      </c>
      <c r="S134" s="83"/>
    </row>
    <row r="135" spans="1:19" s="184" customFormat="1" ht="17.25" thickBot="1" x14ac:dyDescent="0.35">
      <c r="B135" s="383"/>
      <c r="C135" s="243">
        <v>12</v>
      </c>
      <c r="D135" s="244">
        <v>500000</v>
      </c>
      <c r="E135" s="244">
        <v>30000000</v>
      </c>
      <c r="F135" s="244">
        <v>0</v>
      </c>
      <c r="G135" s="245">
        <v>0</v>
      </c>
      <c r="H135" s="246">
        <v>0</v>
      </c>
      <c r="I135" s="246">
        <f xml:space="preserve"> I134 - 700000 - 40000000</f>
        <v>89400000</v>
      </c>
      <c r="J135" s="246">
        <v>380000000</v>
      </c>
      <c r="K135" s="247">
        <f t="shared" si="49"/>
        <v>24879148.515960455</v>
      </c>
      <c r="L135" s="94">
        <v>1.7999999999999999E-2</v>
      </c>
      <c r="M135" s="37">
        <v>6600000</v>
      </c>
      <c r="N135" s="103">
        <f t="shared" ref="N135" si="103" xml:space="preserve"> (N134 + D135 - E135 ) + ((N134 + D135 - E135) * O135)</f>
        <v>165486600.33242556</v>
      </c>
      <c r="O135" s="249">
        <v>0.02</v>
      </c>
      <c r="P135" s="248">
        <f t="shared" si="83"/>
        <v>172086600.33242556</v>
      </c>
      <c r="Q135" s="246">
        <f t="shared" si="89"/>
        <v>89400000</v>
      </c>
      <c r="R135" s="246" t="e">
        <f xml:space="preserve"> J135 +#REF!</f>
        <v>#REF!</v>
      </c>
      <c r="S135" s="252"/>
    </row>
    <row r="136" spans="1:19" s="35" customFormat="1" x14ac:dyDescent="0.3">
      <c r="A136" s="30">
        <v>12</v>
      </c>
      <c r="B136" s="383">
        <v>2033</v>
      </c>
      <c r="C136" s="34">
        <v>1</v>
      </c>
      <c r="D136" s="129">
        <v>500000</v>
      </c>
      <c r="E136" s="129">
        <v>0</v>
      </c>
      <c r="F136" s="129">
        <v>0</v>
      </c>
      <c r="G136" s="116">
        <v>0</v>
      </c>
      <c r="H136" s="93">
        <v>0</v>
      </c>
      <c r="I136" s="240">
        <f t="shared" si="79"/>
        <v>88700000</v>
      </c>
      <c r="J136" s="93">
        <v>380000000</v>
      </c>
      <c r="K136" s="122">
        <f t="shared" si="49"/>
        <v>25326973.189247742</v>
      </c>
      <c r="L136" s="94">
        <v>1.7999999999999999E-2</v>
      </c>
      <c r="M136" s="37">
        <v>6600000</v>
      </c>
      <c r="N136" s="103">
        <f t="shared" ref="N136" si="104" xml:space="preserve"> (N135 + D136 - E136) + ((N135 + D136 - E136 ) * O136)</f>
        <v>169306332.33907408</v>
      </c>
      <c r="O136" s="79">
        <v>0.02</v>
      </c>
      <c r="P136" s="155">
        <f t="shared" si="83"/>
        <v>175906332.33907408</v>
      </c>
      <c r="Q136" s="93">
        <f t="shared" si="89"/>
        <v>88700000</v>
      </c>
      <c r="R136" s="93" t="e">
        <f xml:space="preserve"> J136 +#REF!</f>
        <v>#REF!</v>
      </c>
    </row>
    <row r="137" spans="1:19" x14ac:dyDescent="0.3">
      <c r="A137" s="18"/>
      <c r="B137" s="383"/>
      <c r="C137" s="27">
        <v>2</v>
      </c>
      <c r="D137" s="129">
        <v>500000</v>
      </c>
      <c r="E137" s="129">
        <v>0</v>
      </c>
      <c r="F137" s="129">
        <v>0</v>
      </c>
      <c r="G137" s="116">
        <v>0</v>
      </c>
      <c r="H137" s="93">
        <v>0</v>
      </c>
      <c r="I137" s="240">
        <f t="shared" si="79"/>
        <v>88000000</v>
      </c>
      <c r="J137" s="93">
        <v>380000000</v>
      </c>
      <c r="K137" s="122">
        <f t="shared" si="49"/>
        <v>25782858.706654202</v>
      </c>
      <c r="L137" s="94">
        <v>1.7999999999999999E-2</v>
      </c>
      <c r="M137" s="37">
        <v>6600000</v>
      </c>
      <c r="N137" s="103">
        <f t="shared" ref="N137" si="105" xml:space="preserve"> (N136 + D137 - E137 ) + ((N136 + D137 - E137) * O137)</f>
        <v>173202458.98585555</v>
      </c>
      <c r="O137" s="79">
        <v>0.02</v>
      </c>
      <c r="P137" s="155">
        <f t="shared" si="83"/>
        <v>179802458.98585555</v>
      </c>
      <c r="Q137" s="93">
        <f t="shared" si="89"/>
        <v>88000000</v>
      </c>
      <c r="R137" s="93" t="e">
        <f xml:space="preserve"> J137 +#REF!</f>
        <v>#REF!</v>
      </c>
    </row>
    <row r="138" spans="1:19" x14ac:dyDescent="0.3">
      <c r="A138" s="18"/>
      <c r="B138" s="383"/>
      <c r="C138" s="27">
        <v>3</v>
      </c>
      <c r="D138" s="129">
        <v>500000</v>
      </c>
      <c r="E138" s="129">
        <v>0</v>
      </c>
      <c r="F138" s="129">
        <v>0</v>
      </c>
      <c r="G138" s="116">
        <v>0</v>
      </c>
      <c r="H138" s="93">
        <v>0</v>
      </c>
      <c r="I138" s="240">
        <f t="shared" si="79"/>
        <v>87300000</v>
      </c>
      <c r="J138" s="93">
        <v>380000000</v>
      </c>
      <c r="K138" s="122">
        <f t="shared" si="49"/>
        <v>26246950.163373977</v>
      </c>
      <c r="L138" s="94">
        <v>1.7999999999999999E-2</v>
      </c>
      <c r="M138" s="37">
        <v>6600000</v>
      </c>
      <c r="N138" s="103">
        <f t="shared" ref="N138" si="106" xml:space="preserve"> (N137 + D138 - E138) + ((N137 + D138 - E138 ) * O138)</f>
        <v>177176508.16557267</v>
      </c>
      <c r="O138" s="79">
        <v>0.02</v>
      </c>
      <c r="P138" s="155">
        <f t="shared" si="83"/>
        <v>183776508.16557267</v>
      </c>
      <c r="Q138" s="93">
        <f t="shared" si="89"/>
        <v>87300000</v>
      </c>
      <c r="R138" s="93" t="e">
        <f xml:space="preserve"> J138 +#REF!</f>
        <v>#REF!</v>
      </c>
    </row>
    <row r="139" spans="1:19" x14ac:dyDescent="0.3">
      <c r="A139" s="18"/>
      <c r="B139" s="383"/>
      <c r="C139" s="27">
        <v>4</v>
      </c>
      <c r="D139" s="129">
        <v>500000</v>
      </c>
      <c r="E139" s="129">
        <v>0</v>
      </c>
      <c r="F139" s="129">
        <v>0</v>
      </c>
      <c r="G139" s="116">
        <v>0</v>
      </c>
      <c r="H139" s="93">
        <v>0</v>
      </c>
      <c r="I139" s="240">
        <f t="shared" si="79"/>
        <v>86600000</v>
      </c>
      <c r="J139" s="93">
        <v>380000000</v>
      </c>
      <c r="K139" s="122">
        <f t="shared" si="49"/>
        <v>26719395.266314708</v>
      </c>
      <c r="L139" s="94">
        <v>1.7999999999999999E-2</v>
      </c>
      <c r="M139" s="37">
        <v>6600000</v>
      </c>
      <c r="N139" s="103">
        <f t="shared" ref="N139" si="107" xml:space="preserve"> (N138 + D139 - E139 ) + ((N138 + D139 - E139) * O139)</f>
        <v>181230038.32888412</v>
      </c>
      <c r="O139" s="79">
        <v>0.02</v>
      </c>
      <c r="P139" s="155">
        <f t="shared" si="83"/>
        <v>187830038.32888412</v>
      </c>
      <c r="Q139" s="93">
        <f t="shared" si="89"/>
        <v>86600000</v>
      </c>
      <c r="R139" s="93" t="e">
        <f xml:space="preserve"> J139 +#REF!</f>
        <v>#REF!</v>
      </c>
    </row>
    <row r="140" spans="1:19" x14ac:dyDescent="0.3">
      <c r="A140" s="18"/>
      <c r="B140" s="383"/>
      <c r="C140" s="27">
        <v>5</v>
      </c>
      <c r="D140" s="129">
        <v>500000</v>
      </c>
      <c r="E140" s="129">
        <v>0</v>
      </c>
      <c r="F140" s="129">
        <v>0</v>
      </c>
      <c r="G140" s="116">
        <v>0</v>
      </c>
      <c r="H140" s="93">
        <v>0</v>
      </c>
      <c r="I140" s="240">
        <f t="shared" si="79"/>
        <v>85900000</v>
      </c>
      <c r="J140" s="93">
        <v>380000000</v>
      </c>
      <c r="K140" s="122">
        <f t="shared" si="49"/>
        <v>27200344.381108373</v>
      </c>
      <c r="L140" s="94">
        <v>1.7999999999999999E-2</v>
      </c>
      <c r="M140" s="37">
        <v>6600000</v>
      </c>
      <c r="N140" s="103">
        <f t="shared" ref="N140" si="108" xml:space="preserve"> (N139 + D140 - E140) + ((N139 + D140 - E140 ) * O140)</f>
        <v>185364639.09546182</v>
      </c>
      <c r="O140" s="79">
        <v>0.02</v>
      </c>
      <c r="P140" s="155">
        <f t="shared" si="83"/>
        <v>191964639.09546182</v>
      </c>
      <c r="Q140" s="93">
        <f t="shared" si="89"/>
        <v>85900000</v>
      </c>
      <c r="R140" s="93" t="e">
        <f xml:space="preserve"> J140 +#REF!</f>
        <v>#REF!</v>
      </c>
    </row>
    <row r="141" spans="1:19" x14ac:dyDescent="0.3">
      <c r="A141" s="18"/>
      <c r="B141" s="383"/>
      <c r="C141" s="27">
        <v>6</v>
      </c>
      <c r="D141" s="129">
        <v>500000</v>
      </c>
      <c r="E141" s="129">
        <v>0</v>
      </c>
      <c r="F141" s="129">
        <v>0</v>
      </c>
      <c r="G141" s="116">
        <v>0</v>
      </c>
      <c r="H141" s="93">
        <v>0</v>
      </c>
      <c r="I141" s="240">
        <f t="shared" si="79"/>
        <v>85200000</v>
      </c>
      <c r="J141" s="93">
        <v>380000000</v>
      </c>
      <c r="K141" s="122">
        <f t="shared" si="49"/>
        <v>27689950.579968326</v>
      </c>
      <c r="L141" s="94">
        <v>1.7999999999999999E-2</v>
      </c>
      <c r="M141" s="37">
        <v>6600000</v>
      </c>
      <c r="N141" s="103">
        <f t="shared" ref="N141" si="109" xml:space="preserve"> (N140 + D141 - E141 ) + ((N140 + D141 - E141) * O141)</f>
        <v>189581931.87737104</v>
      </c>
      <c r="O141" s="79">
        <v>0.02</v>
      </c>
      <c r="P141" s="155">
        <f t="shared" si="83"/>
        <v>196181931.87737104</v>
      </c>
      <c r="Q141" s="93">
        <f t="shared" si="89"/>
        <v>85200000</v>
      </c>
      <c r="R141" s="93" t="e">
        <f xml:space="preserve"> J141 +#REF!</f>
        <v>#REF!</v>
      </c>
    </row>
    <row r="142" spans="1:19" x14ac:dyDescent="0.3">
      <c r="A142" s="18"/>
      <c r="B142" s="383"/>
      <c r="C142" s="27">
        <v>7</v>
      </c>
      <c r="D142" s="129">
        <v>500000</v>
      </c>
      <c r="E142" s="129">
        <v>0</v>
      </c>
      <c r="F142" s="129">
        <v>0</v>
      </c>
      <c r="G142" s="116">
        <v>0</v>
      </c>
      <c r="H142" s="93">
        <v>0</v>
      </c>
      <c r="I142" s="240">
        <f t="shared" si="79"/>
        <v>84500000</v>
      </c>
      <c r="J142" s="93">
        <v>380000000</v>
      </c>
      <c r="K142" s="122">
        <f t="shared" si="49"/>
        <v>28188369.690407757</v>
      </c>
      <c r="L142" s="94">
        <v>1.7999999999999999E-2</v>
      </c>
      <c r="M142" s="37">
        <v>6600000</v>
      </c>
      <c r="N142" s="103">
        <f t="shared" ref="N142" si="110" xml:space="preserve"> (N141 + D142 - E142) + ((N141 + D142 - E142 ) * O142)</f>
        <v>193883570.51491848</v>
      </c>
      <c r="O142" s="79">
        <v>0.02</v>
      </c>
      <c r="P142" s="155">
        <f t="shared" si="83"/>
        <v>200483570.51491848</v>
      </c>
      <c r="Q142" s="93">
        <f t="shared" si="89"/>
        <v>84500000</v>
      </c>
      <c r="R142" s="93" t="e">
        <f xml:space="preserve"> J142 +#REF!</f>
        <v>#REF!</v>
      </c>
    </row>
    <row r="143" spans="1:19" x14ac:dyDescent="0.3">
      <c r="A143" s="18"/>
      <c r="B143" s="383"/>
      <c r="C143" s="27">
        <v>8</v>
      </c>
      <c r="D143" s="129">
        <v>500000</v>
      </c>
      <c r="E143" s="129">
        <v>0</v>
      </c>
      <c r="F143" s="129">
        <v>0</v>
      </c>
      <c r="G143" s="116">
        <v>0</v>
      </c>
      <c r="H143" s="93">
        <v>0</v>
      </c>
      <c r="I143" s="240">
        <f t="shared" si="79"/>
        <v>83800000</v>
      </c>
      <c r="J143" s="93">
        <v>380000000</v>
      </c>
      <c r="K143" s="122">
        <f t="shared" si="49"/>
        <v>28695760.344835095</v>
      </c>
      <c r="L143" s="94">
        <v>1.7999999999999999E-2</v>
      </c>
      <c r="M143" s="37">
        <v>6600000</v>
      </c>
      <c r="N143" s="103">
        <f t="shared" ref="N143" si="111" xml:space="preserve"> (N142 + D143 - E143 ) + ((N142 + D143 - E143) * O143)</f>
        <v>198271241.92521685</v>
      </c>
      <c r="O143" s="79">
        <v>0.02</v>
      </c>
      <c r="P143" s="155">
        <f t="shared" si="83"/>
        <v>204871241.92521685</v>
      </c>
      <c r="Q143" s="93">
        <f t="shared" si="89"/>
        <v>83800000</v>
      </c>
      <c r="R143" s="93" t="e">
        <f xml:space="preserve"> J143 +#REF!</f>
        <v>#REF!</v>
      </c>
    </row>
    <row r="144" spans="1:19" x14ac:dyDescent="0.3">
      <c r="A144" s="18"/>
      <c r="B144" s="383"/>
      <c r="C144" s="27">
        <v>9</v>
      </c>
      <c r="D144" s="129">
        <v>500000</v>
      </c>
      <c r="E144" s="129">
        <v>0</v>
      </c>
      <c r="F144" s="129">
        <v>0</v>
      </c>
      <c r="G144" s="116">
        <v>0</v>
      </c>
      <c r="H144" s="93">
        <v>0</v>
      </c>
      <c r="I144" s="240">
        <f t="shared" si="79"/>
        <v>83100000</v>
      </c>
      <c r="J144" s="93">
        <v>380000000</v>
      </c>
      <c r="K144" s="122">
        <f t="shared" si="49"/>
        <v>29212284.031042125</v>
      </c>
      <c r="L144" s="94">
        <v>1.7999999999999999E-2</v>
      </c>
      <c r="M144" s="37">
        <v>6600000</v>
      </c>
      <c r="N144" s="103">
        <f t="shared" ref="N144" si="112" xml:space="preserve"> (N143 + D144 - E144) + ((N143 + D144 - E144 ) * O144)</f>
        <v>202746666.7637212</v>
      </c>
      <c r="O144" s="79">
        <v>0.02</v>
      </c>
      <c r="P144" s="155">
        <f t="shared" si="83"/>
        <v>209346666.7637212</v>
      </c>
      <c r="Q144" s="93">
        <f t="shared" si="89"/>
        <v>83100000</v>
      </c>
      <c r="R144" s="93" t="e">
        <f xml:space="preserve"> J144 +#REF!</f>
        <v>#REF!</v>
      </c>
    </row>
    <row r="145" spans="1:18" x14ac:dyDescent="0.3">
      <c r="A145" s="18"/>
      <c r="B145" s="383"/>
      <c r="C145" s="27">
        <v>10</v>
      </c>
      <c r="D145" s="129">
        <v>500000</v>
      </c>
      <c r="E145" s="129">
        <v>0</v>
      </c>
      <c r="F145" s="129">
        <v>0</v>
      </c>
      <c r="G145" s="116">
        <v>0</v>
      </c>
      <c r="H145" s="93">
        <v>0</v>
      </c>
      <c r="I145" s="240">
        <f t="shared" si="79"/>
        <v>82400000</v>
      </c>
      <c r="J145" s="93">
        <v>380000000</v>
      </c>
      <c r="K145" s="122">
        <f t="shared" si="49"/>
        <v>29738105.143600885</v>
      </c>
      <c r="L145" s="94">
        <v>1.7999999999999999E-2</v>
      </c>
      <c r="M145" s="37">
        <v>6600000</v>
      </c>
      <c r="N145" s="103">
        <f t="shared" ref="N145" si="113" xml:space="preserve"> (N144 + D145 - E145 ) + ((N144 + D145 - E145) * O145)</f>
        <v>207311600.09899563</v>
      </c>
      <c r="O145" s="79">
        <v>0.02</v>
      </c>
      <c r="P145" s="155">
        <f t="shared" si="83"/>
        <v>213911600.09899563</v>
      </c>
      <c r="Q145" s="93">
        <f t="shared" si="89"/>
        <v>82400000</v>
      </c>
      <c r="R145" s="93" t="e">
        <f xml:space="preserve"> J145 +#REF!</f>
        <v>#REF!</v>
      </c>
    </row>
    <row r="146" spans="1:18" ht="17.25" thickBot="1" x14ac:dyDescent="0.35">
      <c r="A146" s="18"/>
      <c r="B146" s="383"/>
      <c r="C146" s="29">
        <v>11</v>
      </c>
      <c r="D146" s="129">
        <v>500000</v>
      </c>
      <c r="E146" s="129">
        <v>0</v>
      </c>
      <c r="F146" s="129">
        <v>0</v>
      </c>
      <c r="G146" s="116">
        <v>0</v>
      </c>
      <c r="H146" s="93">
        <v>0</v>
      </c>
      <c r="I146" s="240">
        <f t="shared" si="79"/>
        <v>81700000</v>
      </c>
      <c r="J146" s="93">
        <v>380000000</v>
      </c>
      <c r="K146" s="122">
        <f t="shared" si="49"/>
        <v>30273391.0361857</v>
      </c>
      <c r="L146" s="94">
        <v>1.7999999999999999E-2</v>
      </c>
      <c r="M146" s="37">
        <v>6600000</v>
      </c>
      <c r="N146" s="103">
        <f t="shared" ref="N146" si="114" xml:space="preserve"> (N145 + D146 - E146) + ((N145 + D146 - E146 ) * O146)</f>
        <v>211967832.10097554</v>
      </c>
      <c r="O146" s="79">
        <v>0.02</v>
      </c>
      <c r="P146" s="155">
        <f t="shared" si="83"/>
        <v>218567832.10097554</v>
      </c>
      <c r="Q146" s="93">
        <f t="shared" si="89"/>
        <v>81700000</v>
      </c>
      <c r="R146" s="93" t="e">
        <f xml:space="preserve"> J146 +#REF!</f>
        <v>#REF!</v>
      </c>
    </row>
    <row r="147" spans="1:18" s="253" customFormat="1" ht="17.25" thickBot="1" x14ac:dyDescent="0.35">
      <c r="A147" s="184"/>
      <c r="B147" s="383"/>
      <c r="C147" s="243">
        <v>12</v>
      </c>
      <c r="D147" s="244">
        <v>500000</v>
      </c>
      <c r="E147" s="244">
        <v>30000000</v>
      </c>
      <c r="F147" s="244">
        <v>0</v>
      </c>
      <c r="G147" s="245">
        <v>0</v>
      </c>
      <c r="H147" s="246">
        <v>0</v>
      </c>
      <c r="I147" s="246">
        <f xml:space="preserve"> I146 - 700000 - 40000000</f>
        <v>41000000</v>
      </c>
      <c r="J147" s="246">
        <v>380000000</v>
      </c>
      <c r="K147" s="247">
        <f t="shared" si="49"/>
        <v>30818312.074837044</v>
      </c>
      <c r="L147" s="94">
        <v>1.7999999999999999E-2</v>
      </c>
      <c r="M147" s="37">
        <v>6600000</v>
      </c>
      <c r="N147" s="103">
        <f t="shared" ref="N147" si="115" xml:space="preserve"> (N146 + D147 - E147 ) + ((N146 + D147 - E147) * O147)</f>
        <v>186117188.74299505</v>
      </c>
      <c r="O147" s="249">
        <v>0.02</v>
      </c>
      <c r="P147" s="248">
        <f t="shared" si="83"/>
        <v>192717188.74299505</v>
      </c>
      <c r="Q147" s="246">
        <f t="shared" si="89"/>
        <v>41000000</v>
      </c>
      <c r="R147" s="246" t="e">
        <f xml:space="preserve"> J147 +#REF!</f>
        <v>#REF!</v>
      </c>
    </row>
    <row r="148" spans="1:18" x14ac:dyDescent="0.3">
      <c r="A148" s="30">
        <v>13</v>
      </c>
      <c r="B148" s="383">
        <v>2034</v>
      </c>
      <c r="C148" s="34">
        <v>1</v>
      </c>
      <c r="D148" s="129">
        <v>500000</v>
      </c>
      <c r="E148" s="129">
        <v>0</v>
      </c>
      <c r="F148" s="129">
        <v>0</v>
      </c>
      <c r="G148" s="116">
        <v>0</v>
      </c>
      <c r="H148" s="93">
        <v>0</v>
      </c>
      <c r="I148" s="240">
        <f t="shared" si="79"/>
        <v>40300000</v>
      </c>
      <c r="J148" s="93">
        <v>380000000</v>
      </c>
      <c r="K148" s="122">
        <f t="shared" ref="K148:K159" si="116" xml:space="preserve"> (K147 + G148 + F148) + ((K147 + G148 + F148) * L148 )</f>
        <v>31373041.692184109</v>
      </c>
      <c r="L148" s="94">
        <v>1.7999999999999999E-2</v>
      </c>
      <c r="M148" s="37">
        <v>6600000</v>
      </c>
      <c r="N148" s="103">
        <f t="shared" ref="N148" si="117" xml:space="preserve"> (N147 + D148 - E148) + ((N147 + D148 - E148 ) * O148)</f>
        <v>190349532.51785496</v>
      </c>
      <c r="O148" s="79">
        <v>0.02</v>
      </c>
      <c r="P148" s="155">
        <f t="shared" ref="P148:P171" si="118" xml:space="preserve"> M148 + N148</f>
        <v>196949532.51785496</v>
      </c>
      <c r="Q148" s="93">
        <f t="shared" si="89"/>
        <v>40300000</v>
      </c>
      <c r="R148" s="93" t="e">
        <f xml:space="preserve"> J148 +#REF!</f>
        <v>#REF!</v>
      </c>
    </row>
    <row r="149" spans="1:18" x14ac:dyDescent="0.3">
      <c r="A149" s="18"/>
      <c r="B149" s="383"/>
      <c r="C149" s="27">
        <v>2</v>
      </c>
      <c r="D149" s="129">
        <v>500000</v>
      </c>
      <c r="E149" s="129">
        <v>0</v>
      </c>
      <c r="F149" s="129">
        <v>0</v>
      </c>
      <c r="G149" s="116">
        <v>0</v>
      </c>
      <c r="H149" s="93">
        <v>0</v>
      </c>
      <c r="I149" s="240">
        <f t="shared" si="79"/>
        <v>39600000</v>
      </c>
      <c r="J149" s="93">
        <v>380000000</v>
      </c>
      <c r="K149" s="122">
        <f t="shared" si="116"/>
        <v>31937756.442643423</v>
      </c>
      <c r="L149" s="94">
        <v>1.7999999999999999E-2</v>
      </c>
      <c r="M149" s="37">
        <v>6600000</v>
      </c>
      <c r="N149" s="103">
        <f t="shared" ref="N149" si="119" xml:space="preserve"> (N148 + D149 - E149 ) + ((N148 + D149 - E149) * O149)</f>
        <v>194666523.16821206</v>
      </c>
      <c r="O149" s="79">
        <v>0.02</v>
      </c>
      <c r="P149" s="155">
        <f t="shared" si="118"/>
        <v>201266523.16821206</v>
      </c>
      <c r="Q149" s="93">
        <f t="shared" si="89"/>
        <v>39600000</v>
      </c>
      <c r="R149" s="93" t="e">
        <f xml:space="preserve"> J149 +#REF!</f>
        <v>#REF!</v>
      </c>
    </row>
    <row r="150" spans="1:18" x14ac:dyDescent="0.3">
      <c r="A150" s="18"/>
      <c r="B150" s="383"/>
      <c r="C150" s="27">
        <v>3</v>
      </c>
      <c r="D150" s="129">
        <v>500000</v>
      </c>
      <c r="E150" s="129">
        <v>0</v>
      </c>
      <c r="F150" s="129">
        <v>0</v>
      </c>
      <c r="G150" s="116">
        <v>0</v>
      </c>
      <c r="H150" s="93">
        <v>0</v>
      </c>
      <c r="I150" s="240">
        <f t="shared" si="79"/>
        <v>38900000</v>
      </c>
      <c r="J150" s="93">
        <v>380000000</v>
      </c>
      <c r="K150" s="122">
        <f t="shared" si="116"/>
        <v>32512636.058611006</v>
      </c>
      <c r="L150" s="94">
        <v>1.7999999999999999E-2</v>
      </c>
      <c r="M150" s="37">
        <v>6600000</v>
      </c>
      <c r="N150" s="103">
        <f t="shared" ref="N150" si="120" xml:space="preserve"> (N149 + D150 - E150) + ((N149 + D150 - E150 ) * O150)</f>
        <v>199069853.6315763</v>
      </c>
      <c r="O150" s="79">
        <v>0.02</v>
      </c>
      <c r="P150" s="155">
        <f t="shared" si="118"/>
        <v>205669853.6315763</v>
      </c>
      <c r="Q150" s="93">
        <f t="shared" si="89"/>
        <v>38900000</v>
      </c>
      <c r="R150" s="93" t="e">
        <f xml:space="preserve"> J150 +#REF!</f>
        <v>#REF!</v>
      </c>
    </row>
    <row r="151" spans="1:18" x14ac:dyDescent="0.3">
      <c r="A151" s="18"/>
      <c r="B151" s="383"/>
      <c r="C151" s="27">
        <v>4</v>
      </c>
      <c r="D151" s="129">
        <v>500000</v>
      </c>
      <c r="E151" s="129">
        <v>0</v>
      </c>
      <c r="F151" s="129">
        <v>0</v>
      </c>
      <c r="G151" s="116">
        <v>0</v>
      </c>
      <c r="H151" s="93">
        <v>0</v>
      </c>
      <c r="I151" s="240">
        <f t="shared" si="79"/>
        <v>38200000</v>
      </c>
      <c r="J151" s="93">
        <v>380000000</v>
      </c>
      <c r="K151" s="122">
        <f t="shared" si="116"/>
        <v>33097863.507666003</v>
      </c>
      <c r="L151" s="94">
        <v>1.7999999999999999E-2</v>
      </c>
      <c r="M151" s="37">
        <v>6600000</v>
      </c>
      <c r="N151" s="103">
        <f t="shared" ref="N151" si="121" xml:space="preserve"> (N150 + D151 - E151 ) + ((N150 + D151 - E151) * O151)</f>
        <v>203561250.70420784</v>
      </c>
      <c r="O151" s="79">
        <v>0.02</v>
      </c>
      <c r="P151" s="155">
        <f t="shared" si="118"/>
        <v>210161250.70420784</v>
      </c>
      <c r="Q151" s="93">
        <f t="shared" si="89"/>
        <v>38200000</v>
      </c>
      <c r="R151" s="93" t="e">
        <f xml:space="preserve"> J151 +#REF!</f>
        <v>#REF!</v>
      </c>
    </row>
    <row r="152" spans="1:18" x14ac:dyDescent="0.3">
      <c r="A152" s="18"/>
      <c r="B152" s="383"/>
      <c r="C152" s="27">
        <v>5</v>
      </c>
      <c r="D152" s="129">
        <v>500000</v>
      </c>
      <c r="E152" s="129">
        <v>0</v>
      </c>
      <c r="F152" s="129">
        <v>0</v>
      </c>
      <c r="G152" s="116">
        <v>0</v>
      </c>
      <c r="H152" s="93">
        <v>0</v>
      </c>
      <c r="I152" s="240">
        <f t="shared" si="79"/>
        <v>37500000</v>
      </c>
      <c r="J152" s="93">
        <v>380000000</v>
      </c>
      <c r="K152" s="122">
        <f t="shared" si="116"/>
        <v>33693625.050803989</v>
      </c>
      <c r="L152" s="94">
        <v>1.7999999999999999E-2</v>
      </c>
      <c r="M152" s="37">
        <v>6600000</v>
      </c>
      <c r="N152" s="103">
        <f t="shared" ref="N152" si="122" xml:space="preserve"> (N151 + D152 - E152) + ((N151 + D152 - E152 ) * O152)</f>
        <v>208142475.718292</v>
      </c>
      <c r="O152" s="79">
        <v>0.02</v>
      </c>
      <c r="P152" s="155">
        <f t="shared" si="118"/>
        <v>214742475.718292</v>
      </c>
      <c r="Q152" s="93">
        <f t="shared" si="89"/>
        <v>37500000</v>
      </c>
      <c r="R152" s="93" t="e">
        <f xml:space="preserve"> J152 +#REF!</f>
        <v>#REF!</v>
      </c>
    </row>
    <row r="153" spans="1:18" x14ac:dyDescent="0.3">
      <c r="A153" s="18"/>
      <c r="B153" s="383"/>
      <c r="C153" s="27">
        <v>6</v>
      </c>
      <c r="D153" s="129">
        <v>500000</v>
      </c>
      <c r="E153" s="129">
        <v>0</v>
      </c>
      <c r="F153" s="129">
        <v>0</v>
      </c>
      <c r="G153" s="116">
        <v>0</v>
      </c>
      <c r="H153" s="93">
        <v>0</v>
      </c>
      <c r="I153" s="240">
        <f t="shared" si="79"/>
        <v>36800000</v>
      </c>
      <c r="J153" s="93">
        <v>380000000</v>
      </c>
      <c r="K153" s="122">
        <f t="shared" si="116"/>
        <v>34300110.301718459</v>
      </c>
      <c r="L153" s="94">
        <v>1.7999999999999999E-2</v>
      </c>
      <c r="M153" s="37">
        <v>6600000</v>
      </c>
      <c r="N153" s="103">
        <f t="shared" ref="N153" si="123" xml:space="preserve"> (N152 + D153 - E153 ) + ((N152 + D153 - E153) * O153)</f>
        <v>212815325.23265785</v>
      </c>
      <c r="O153" s="79">
        <v>0.02</v>
      </c>
      <c r="P153" s="155">
        <f t="shared" si="118"/>
        <v>219415325.23265785</v>
      </c>
      <c r="Q153" s="93">
        <f t="shared" ref="Q153:Q171" si="124" xml:space="preserve"> H153 + I153</f>
        <v>36800000</v>
      </c>
      <c r="R153" s="93" t="e">
        <f xml:space="preserve"> J153 +#REF!</f>
        <v>#REF!</v>
      </c>
    </row>
    <row r="154" spans="1:18" x14ac:dyDescent="0.3">
      <c r="A154" s="18"/>
      <c r="B154" s="383"/>
      <c r="C154" s="27">
        <v>7</v>
      </c>
      <c r="D154" s="129">
        <v>500000</v>
      </c>
      <c r="E154" s="129">
        <v>0</v>
      </c>
      <c r="F154" s="129">
        <v>0</v>
      </c>
      <c r="G154" s="116">
        <v>0</v>
      </c>
      <c r="H154" s="93">
        <v>0</v>
      </c>
      <c r="I154" s="240">
        <f t="shared" si="79"/>
        <v>36100000</v>
      </c>
      <c r="J154" s="93">
        <v>380000000</v>
      </c>
      <c r="K154" s="122">
        <f t="shared" si="116"/>
        <v>34917512.287149392</v>
      </c>
      <c r="L154" s="94">
        <v>1.7999999999999999E-2</v>
      </c>
      <c r="M154" s="37">
        <v>6600000</v>
      </c>
      <c r="N154" s="103">
        <f t="shared" ref="N154" si="125" xml:space="preserve"> (N153 + D154 - E154) + ((N153 + D154 - E154 ) * O154)</f>
        <v>217581631.73731101</v>
      </c>
      <c r="O154" s="79">
        <v>0.02</v>
      </c>
      <c r="P154" s="155">
        <f t="shared" si="118"/>
        <v>224181631.73731101</v>
      </c>
      <c r="Q154" s="93">
        <f t="shared" si="124"/>
        <v>36100000</v>
      </c>
      <c r="R154" s="93" t="e">
        <f xml:space="preserve"> J154 +#REF!</f>
        <v>#REF!</v>
      </c>
    </row>
    <row r="155" spans="1:18" x14ac:dyDescent="0.3">
      <c r="A155" s="18"/>
      <c r="B155" s="383"/>
      <c r="C155" s="27">
        <v>8</v>
      </c>
      <c r="D155" s="129">
        <v>500000</v>
      </c>
      <c r="E155" s="129">
        <v>0</v>
      </c>
      <c r="F155" s="129">
        <v>0</v>
      </c>
      <c r="G155" s="116">
        <v>0</v>
      </c>
      <c r="H155" s="93">
        <v>0</v>
      </c>
      <c r="I155" s="240">
        <f t="shared" si="79"/>
        <v>35400000</v>
      </c>
      <c r="J155" s="93">
        <v>380000000</v>
      </c>
      <c r="K155" s="122">
        <f t="shared" si="116"/>
        <v>35546027.508318081</v>
      </c>
      <c r="L155" s="94">
        <v>1.7999999999999999E-2</v>
      </c>
      <c r="M155" s="37">
        <v>6600000</v>
      </c>
      <c r="N155" s="103">
        <f t="shared" ref="N155" si="126" xml:space="preserve"> (N154 + D155 - E155 ) + ((N154 + D155 - E155) * O155)</f>
        <v>222443264.37205723</v>
      </c>
      <c r="O155" s="79">
        <v>0.02</v>
      </c>
      <c r="P155" s="155">
        <f t="shared" si="118"/>
        <v>229043264.37205723</v>
      </c>
      <c r="Q155" s="93">
        <f t="shared" si="124"/>
        <v>35400000</v>
      </c>
      <c r="R155" s="93" t="e">
        <f xml:space="preserve"> J155 +#REF!</f>
        <v>#REF!</v>
      </c>
    </row>
    <row r="156" spans="1:18" x14ac:dyDescent="0.3">
      <c r="A156" s="18"/>
      <c r="B156" s="383"/>
      <c r="C156" s="27">
        <v>9</v>
      </c>
      <c r="D156" s="129">
        <v>500000</v>
      </c>
      <c r="E156" s="129">
        <v>0</v>
      </c>
      <c r="F156" s="129">
        <v>0</v>
      </c>
      <c r="G156" s="116">
        <v>0</v>
      </c>
      <c r="H156" s="93">
        <v>0</v>
      </c>
      <c r="I156" s="240">
        <f t="shared" si="79"/>
        <v>34700000</v>
      </c>
      <c r="J156" s="93">
        <v>380000000</v>
      </c>
      <c r="K156" s="122">
        <f t="shared" si="116"/>
        <v>36185856.003467806</v>
      </c>
      <c r="L156" s="94">
        <v>1.7999999999999999E-2</v>
      </c>
      <c r="M156" s="37">
        <v>6600000</v>
      </c>
      <c r="N156" s="103">
        <f t="shared" ref="N156" si="127" xml:space="preserve"> (N155 + D156 - E156) + ((N155 + D156 - E156 ) * O156)</f>
        <v>227402129.65949836</v>
      </c>
      <c r="O156" s="79">
        <v>0.02</v>
      </c>
      <c r="P156" s="155">
        <f t="shared" si="118"/>
        <v>234002129.65949836</v>
      </c>
      <c r="Q156" s="93">
        <f t="shared" si="124"/>
        <v>34700000</v>
      </c>
      <c r="R156" s="93" t="e">
        <f xml:space="preserve"> J156 +#REF!</f>
        <v>#REF!</v>
      </c>
    </row>
    <row r="157" spans="1:18" x14ac:dyDescent="0.3">
      <c r="A157" s="18"/>
      <c r="B157" s="383"/>
      <c r="C157" s="27">
        <v>10</v>
      </c>
      <c r="D157" s="129">
        <v>500000</v>
      </c>
      <c r="E157" s="129">
        <v>0</v>
      </c>
      <c r="F157" s="129">
        <v>0</v>
      </c>
      <c r="G157" s="116">
        <v>0</v>
      </c>
      <c r="H157" s="93">
        <v>0</v>
      </c>
      <c r="I157" s="240">
        <f t="shared" si="79"/>
        <v>34000000</v>
      </c>
      <c r="J157" s="93">
        <v>380000000</v>
      </c>
      <c r="K157" s="122">
        <f t="shared" si="116"/>
        <v>36837201.411530226</v>
      </c>
      <c r="L157" s="94">
        <v>1.7999999999999999E-2</v>
      </c>
      <c r="M157" s="37">
        <v>6600000</v>
      </c>
      <c r="N157" s="103">
        <f t="shared" ref="N157" si="128" xml:space="preserve"> (N156 + D157 - E157 ) + ((N156 + D157 - E157) * O157)</f>
        <v>232460172.25268832</v>
      </c>
      <c r="O157" s="79">
        <v>0.02</v>
      </c>
      <c r="P157" s="155">
        <f t="shared" si="118"/>
        <v>239060172.25268832</v>
      </c>
      <c r="Q157" s="93">
        <f t="shared" si="124"/>
        <v>34000000</v>
      </c>
      <c r="R157" s="93" t="e">
        <f xml:space="preserve"> J157 +#REF!</f>
        <v>#REF!</v>
      </c>
    </row>
    <row r="158" spans="1:18" ht="17.25" thickBot="1" x14ac:dyDescent="0.35">
      <c r="A158" s="18"/>
      <c r="B158" s="383"/>
      <c r="C158" s="29">
        <v>11</v>
      </c>
      <c r="D158" s="129">
        <v>500000</v>
      </c>
      <c r="E158" s="129">
        <v>0</v>
      </c>
      <c r="F158" s="129">
        <v>0</v>
      </c>
      <c r="G158" s="116">
        <v>0</v>
      </c>
      <c r="H158" s="93">
        <v>0</v>
      </c>
      <c r="I158" s="240">
        <f t="shared" si="79"/>
        <v>33300000</v>
      </c>
      <c r="J158" s="93">
        <v>380000000</v>
      </c>
      <c r="K158" s="122">
        <f t="shared" si="116"/>
        <v>37500271.036937773</v>
      </c>
      <c r="L158" s="94">
        <v>1.7999999999999999E-2</v>
      </c>
      <c r="M158" s="37">
        <v>6600000</v>
      </c>
      <c r="N158" s="103">
        <f t="shared" ref="N158" si="129" xml:space="preserve"> (N157 + D158 - E158) + ((N157 + D158 - E158 ) * O158)</f>
        <v>237619375.69774207</v>
      </c>
      <c r="O158" s="79">
        <v>0.02</v>
      </c>
      <c r="P158" s="155">
        <f t="shared" si="118"/>
        <v>244219375.69774207</v>
      </c>
      <c r="Q158" s="93">
        <f t="shared" si="124"/>
        <v>33300000</v>
      </c>
      <c r="R158" s="93" t="e">
        <f xml:space="preserve"> J158 +#REF!</f>
        <v>#REF!</v>
      </c>
    </row>
    <row r="159" spans="1:18" s="253" customFormat="1" ht="17.25" thickBot="1" x14ac:dyDescent="0.35">
      <c r="A159" s="184"/>
      <c r="B159" s="383"/>
      <c r="C159" s="243">
        <v>12</v>
      </c>
      <c r="D159" s="244">
        <v>500000</v>
      </c>
      <c r="E159" s="244">
        <v>32600000</v>
      </c>
      <c r="F159" s="244">
        <v>0</v>
      </c>
      <c r="G159" s="245">
        <v>0</v>
      </c>
      <c r="H159" s="246">
        <v>0</v>
      </c>
      <c r="I159" s="246">
        <f xml:space="preserve"> I158 - 700000 -32600000</f>
        <v>0</v>
      </c>
      <c r="J159" s="246">
        <v>380000000</v>
      </c>
      <c r="K159" s="247">
        <f t="shared" si="116"/>
        <v>38175275.915602654</v>
      </c>
      <c r="L159" s="94">
        <v>1.7999999999999999E-2</v>
      </c>
      <c r="M159" s="37">
        <v>6600000</v>
      </c>
      <c r="N159" s="103">
        <f t="shared" ref="N159" si="130" xml:space="preserve"> (N158 + D159 - E159 ) + ((N158 + D159 - E159) * O159)</f>
        <v>209629763.21169692</v>
      </c>
      <c r="O159" s="249">
        <v>0.02</v>
      </c>
      <c r="P159" s="248">
        <f t="shared" si="118"/>
        <v>216229763.21169692</v>
      </c>
      <c r="Q159" s="246">
        <f t="shared" si="124"/>
        <v>0</v>
      </c>
      <c r="R159" s="246" t="e">
        <f xml:space="preserve"> J159 +#REF!</f>
        <v>#REF!</v>
      </c>
    </row>
    <row r="160" spans="1:18" x14ac:dyDescent="0.3">
      <c r="A160" s="30">
        <v>13</v>
      </c>
      <c r="B160" s="383">
        <v>2035</v>
      </c>
      <c r="C160" s="34">
        <v>1</v>
      </c>
      <c r="D160" s="129">
        <v>500000</v>
      </c>
      <c r="E160" s="129">
        <v>0</v>
      </c>
      <c r="F160" s="129">
        <v>0</v>
      </c>
      <c r="G160" s="116">
        <v>0</v>
      </c>
      <c r="H160" s="93">
        <v>0</v>
      </c>
      <c r="I160" s="240">
        <v>0</v>
      </c>
      <c r="J160" s="93">
        <v>380000000</v>
      </c>
      <c r="K160" s="122">
        <f t="shared" ref="K160:K171" si="131" xml:space="preserve"> (K159 + G160 + F160) + ((K159 + G160 + F160) * L160 )</f>
        <v>38862430.882083505</v>
      </c>
      <c r="L160" s="94">
        <v>1.7999999999999999E-2</v>
      </c>
      <c r="M160" s="37">
        <v>6600000</v>
      </c>
      <c r="N160" s="103">
        <f t="shared" ref="N160" si="132" xml:space="preserve"> (N159 + D160 - E160) + ((N159 + D160 - E160 ) * O160)</f>
        <v>214332358.47593087</v>
      </c>
      <c r="O160" s="79">
        <v>0.02</v>
      </c>
      <c r="P160" s="155">
        <f t="shared" si="118"/>
        <v>220932358.47593087</v>
      </c>
      <c r="Q160" s="93">
        <f t="shared" si="124"/>
        <v>0</v>
      </c>
      <c r="R160" s="93" t="e">
        <f xml:space="preserve"> J160 +#REF!</f>
        <v>#REF!</v>
      </c>
    </row>
    <row r="161" spans="1:18" x14ac:dyDescent="0.3">
      <c r="A161" s="18"/>
      <c r="B161" s="383"/>
      <c r="C161" s="27">
        <v>2</v>
      </c>
      <c r="D161" s="129">
        <v>500000</v>
      </c>
      <c r="E161" s="129">
        <v>0</v>
      </c>
      <c r="F161" s="129">
        <v>0</v>
      </c>
      <c r="G161" s="116">
        <v>0</v>
      </c>
      <c r="H161" s="93">
        <v>0</v>
      </c>
      <c r="I161" s="240">
        <v>0</v>
      </c>
      <c r="J161" s="93">
        <v>380000000</v>
      </c>
      <c r="K161" s="122">
        <f t="shared" si="131"/>
        <v>39561954.637961008</v>
      </c>
      <c r="L161" s="94">
        <v>1.7999999999999999E-2</v>
      </c>
      <c r="M161" s="37">
        <v>6600000</v>
      </c>
      <c r="N161" s="103">
        <f t="shared" ref="N161" si="133" xml:space="preserve"> (N160 + D161 - E161 ) + ((N160 + D161 - E161) * O161)</f>
        <v>219129005.64544949</v>
      </c>
      <c r="O161" s="79">
        <v>0.02</v>
      </c>
      <c r="P161" s="155">
        <f t="shared" si="118"/>
        <v>225729005.64544949</v>
      </c>
      <c r="Q161" s="93">
        <f t="shared" si="124"/>
        <v>0</v>
      </c>
      <c r="R161" s="93" t="e">
        <f xml:space="preserve"> J161 +#REF!</f>
        <v>#REF!</v>
      </c>
    </row>
    <row r="162" spans="1:18" x14ac:dyDescent="0.3">
      <c r="A162" s="18"/>
      <c r="B162" s="383"/>
      <c r="C162" s="27">
        <v>3</v>
      </c>
      <c r="D162" s="129">
        <v>500000</v>
      </c>
      <c r="E162" s="129">
        <v>0</v>
      </c>
      <c r="F162" s="129">
        <v>0</v>
      </c>
      <c r="G162" s="116">
        <v>0</v>
      </c>
      <c r="H162" s="93">
        <v>0</v>
      </c>
      <c r="I162" s="240">
        <v>0</v>
      </c>
      <c r="J162" s="93">
        <v>380000000</v>
      </c>
      <c r="K162" s="122">
        <f t="shared" si="131"/>
        <v>40274069.821444303</v>
      </c>
      <c r="L162" s="94">
        <v>1.7999999999999999E-2</v>
      </c>
      <c r="M162" s="37">
        <v>6600000</v>
      </c>
      <c r="N162" s="103">
        <f t="shared" ref="N162" si="134" xml:space="preserve"> (N161 + D162 - E162) + ((N161 + D162 - E162 ) * O162)</f>
        <v>224021585.75835848</v>
      </c>
      <c r="O162" s="79">
        <v>0.02</v>
      </c>
      <c r="P162" s="155">
        <f t="shared" si="118"/>
        <v>230621585.75835848</v>
      </c>
      <c r="Q162" s="93">
        <f t="shared" si="124"/>
        <v>0</v>
      </c>
      <c r="R162" s="93" t="e">
        <f xml:space="preserve"> J162 +#REF!</f>
        <v>#REF!</v>
      </c>
    </row>
    <row r="163" spans="1:18" x14ac:dyDescent="0.3">
      <c r="A163" s="18"/>
      <c r="B163" s="383"/>
      <c r="C163" s="27">
        <v>4</v>
      </c>
      <c r="D163" s="129">
        <v>500000</v>
      </c>
      <c r="E163" s="129">
        <v>0</v>
      </c>
      <c r="F163" s="129">
        <v>0</v>
      </c>
      <c r="G163" s="116">
        <v>0</v>
      </c>
      <c r="H163" s="93">
        <v>0</v>
      </c>
      <c r="I163" s="240">
        <v>0</v>
      </c>
      <c r="J163" s="93">
        <v>380000000</v>
      </c>
      <c r="K163" s="122">
        <f t="shared" si="131"/>
        <v>40999003.078230299</v>
      </c>
      <c r="L163" s="94">
        <v>1.7999999999999999E-2</v>
      </c>
      <c r="M163" s="37">
        <v>6600000</v>
      </c>
      <c r="N163" s="103">
        <f t="shared" ref="N163" si="135" xml:space="preserve"> (N162 + D163 - E163 ) + ((N162 + D163 - E163) * O163)</f>
        <v>229012017.47352564</v>
      </c>
      <c r="O163" s="79">
        <v>0.02</v>
      </c>
      <c r="P163" s="155">
        <f t="shared" si="118"/>
        <v>235612017.47352564</v>
      </c>
      <c r="Q163" s="93">
        <f t="shared" si="124"/>
        <v>0</v>
      </c>
      <c r="R163" s="93" t="e">
        <f xml:space="preserve"> J163 +#REF!</f>
        <v>#REF!</v>
      </c>
    </row>
    <row r="164" spans="1:18" x14ac:dyDescent="0.3">
      <c r="A164" s="18"/>
      <c r="B164" s="383"/>
      <c r="C164" s="27">
        <v>5</v>
      </c>
      <c r="D164" s="129">
        <v>500000</v>
      </c>
      <c r="E164" s="129">
        <v>0</v>
      </c>
      <c r="F164" s="129">
        <v>0</v>
      </c>
      <c r="G164" s="116">
        <v>0</v>
      </c>
      <c r="H164" s="93">
        <v>0</v>
      </c>
      <c r="I164" s="240">
        <v>0</v>
      </c>
      <c r="J164" s="93">
        <v>380000000</v>
      </c>
      <c r="K164" s="122">
        <f t="shared" si="131"/>
        <v>41736985.133638442</v>
      </c>
      <c r="L164" s="94">
        <v>1.7999999999999999E-2</v>
      </c>
      <c r="M164" s="37">
        <v>6600000</v>
      </c>
      <c r="N164" s="103">
        <f t="shared" ref="N164" si="136" xml:space="preserve"> (N163 + D164 - E164) + ((N163 + D164 - E164 ) * O164)</f>
        <v>234102257.82299617</v>
      </c>
      <c r="O164" s="79">
        <v>0.02</v>
      </c>
      <c r="P164" s="155">
        <f t="shared" si="118"/>
        <v>240702257.82299617</v>
      </c>
      <c r="Q164" s="93">
        <f t="shared" si="124"/>
        <v>0</v>
      </c>
      <c r="R164" s="93" t="e">
        <f xml:space="preserve"> J164 +#REF!</f>
        <v>#REF!</v>
      </c>
    </row>
    <row r="165" spans="1:18" x14ac:dyDescent="0.3">
      <c r="A165" s="18"/>
      <c r="B165" s="383"/>
      <c r="C165" s="27">
        <v>6</v>
      </c>
      <c r="D165" s="129">
        <v>500000</v>
      </c>
      <c r="E165" s="129">
        <v>0</v>
      </c>
      <c r="F165" s="129">
        <v>0</v>
      </c>
      <c r="G165" s="116">
        <v>0</v>
      </c>
      <c r="H165" s="93">
        <v>0</v>
      </c>
      <c r="I165" s="240">
        <v>0</v>
      </c>
      <c r="J165" s="93">
        <v>380000000</v>
      </c>
      <c r="K165" s="122">
        <f t="shared" si="131"/>
        <v>42488250.866043933</v>
      </c>
      <c r="L165" s="94">
        <v>1.7999999999999999E-2</v>
      </c>
      <c r="M165" s="37">
        <v>6600000</v>
      </c>
      <c r="N165" s="103">
        <f t="shared" ref="N165" si="137" xml:space="preserve"> (N164 + D165 - E165 ) + ((N164 + D165 - E165) * O165)</f>
        <v>239294302.9794561</v>
      </c>
      <c r="O165" s="79">
        <v>0.02</v>
      </c>
      <c r="P165" s="155">
        <f t="shared" si="118"/>
        <v>245894302.9794561</v>
      </c>
      <c r="Q165" s="93">
        <f t="shared" si="124"/>
        <v>0</v>
      </c>
      <c r="R165" s="93" t="e">
        <f xml:space="preserve"> J165 +#REF!</f>
        <v>#REF!</v>
      </c>
    </row>
    <row r="166" spans="1:18" x14ac:dyDescent="0.3">
      <c r="A166" s="18"/>
      <c r="B166" s="383"/>
      <c r="C166" s="27">
        <v>7</v>
      </c>
      <c r="D166" s="129">
        <v>500000</v>
      </c>
      <c r="E166" s="129">
        <v>0</v>
      </c>
      <c r="F166" s="129">
        <v>0</v>
      </c>
      <c r="G166" s="116">
        <v>0</v>
      </c>
      <c r="H166" s="93">
        <v>0</v>
      </c>
      <c r="I166" s="240">
        <v>0</v>
      </c>
      <c r="J166" s="93">
        <v>380000000</v>
      </c>
      <c r="K166" s="122">
        <f t="shared" si="131"/>
        <v>43253039.381632723</v>
      </c>
      <c r="L166" s="94">
        <v>1.7999999999999999E-2</v>
      </c>
      <c r="M166" s="37">
        <v>6600000</v>
      </c>
      <c r="N166" s="103">
        <f t="shared" ref="N166" si="138" xml:space="preserve"> (N165 + D166 - E166) + ((N165 + D166 - E166 ) * O166)</f>
        <v>244590189.03904521</v>
      </c>
      <c r="O166" s="79">
        <v>0.02</v>
      </c>
      <c r="P166" s="155">
        <f t="shared" si="118"/>
        <v>251190189.03904521</v>
      </c>
      <c r="Q166" s="93">
        <f t="shared" si="124"/>
        <v>0</v>
      </c>
      <c r="R166" s="93" t="e">
        <f xml:space="preserve"> J166 +#REF!</f>
        <v>#REF!</v>
      </c>
    </row>
    <row r="167" spans="1:18" x14ac:dyDescent="0.3">
      <c r="A167" s="18"/>
      <c r="B167" s="383"/>
      <c r="C167" s="27">
        <v>8</v>
      </c>
      <c r="D167" s="129">
        <v>500000</v>
      </c>
      <c r="E167" s="129">
        <v>0</v>
      </c>
      <c r="F167" s="129">
        <v>0</v>
      </c>
      <c r="G167" s="116">
        <v>0</v>
      </c>
      <c r="H167" s="93">
        <v>0</v>
      </c>
      <c r="I167" s="240">
        <v>0</v>
      </c>
      <c r="J167" s="93">
        <v>380000000</v>
      </c>
      <c r="K167" s="122">
        <f t="shared" si="131"/>
        <v>44031594.090502113</v>
      </c>
      <c r="L167" s="94">
        <v>1.7999999999999999E-2</v>
      </c>
      <c r="M167" s="37">
        <v>6600000</v>
      </c>
      <c r="N167" s="103">
        <f t="shared" ref="N167" si="139" xml:space="preserve"> (N166 + D167 - E167 ) + ((N166 + D167 - E167) * O167)</f>
        <v>249991992.81982613</v>
      </c>
      <c r="O167" s="79">
        <v>0.02</v>
      </c>
      <c r="P167" s="155">
        <f t="shared" si="118"/>
        <v>256591992.81982613</v>
      </c>
      <c r="Q167" s="93">
        <f t="shared" si="124"/>
        <v>0</v>
      </c>
      <c r="R167" s="93" t="e">
        <f xml:space="preserve"> J167 +#REF!</f>
        <v>#REF!</v>
      </c>
    </row>
    <row r="168" spans="1:18" x14ac:dyDescent="0.3">
      <c r="A168" s="18"/>
      <c r="B168" s="383"/>
      <c r="C168" s="27">
        <v>9</v>
      </c>
      <c r="D168" s="129">
        <v>500000</v>
      </c>
      <c r="E168" s="129">
        <v>0</v>
      </c>
      <c r="F168" s="129">
        <v>0</v>
      </c>
      <c r="G168" s="116">
        <v>0</v>
      </c>
      <c r="H168" s="93">
        <v>0</v>
      </c>
      <c r="I168" s="240">
        <v>0</v>
      </c>
      <c r="J168" s="93">
        <v>380000000</v>
      </c>
      <c r="K168" s="122">
        <f t="shared" si="131"/>
        <v>44824162.784131154</v>
      </c>
      <c r="L168" s="94">
        <v>1.7999999999999999E-2</v>
      </c>
      <c r="M168" s="37">
        <v>6600000</v>
      </c>
      <c r="N168" s="103">
        <f t="shared" ref="N168" si="140" xml:space="preserve"> (N167 + D168 - E168) + ((N167 + D168 - E168 ) * O168)</f>
        <v>255501832.67622265</v>
      </c>
      <c r="O168" s="79">
        <v>0.02</v>
      </c>
      <c r="P168" s="155">
        <f t="shared" si="118"/>
        <v>262101832.67622265</v>
      </c>
      <c r="Q168" s="93">
        <f t="shared" si="124"/>
        <v>0</v>
      </c>
      <c r="R168" s="93" t="e">
        <f xml:space="preserve"> J168 +#REF!</f>
        <v>#REF!</v>
      </c>
    </row>
    <row r="169" spans="1:18" x14ac:dyDescent="0.3">
      <c r="A169" s="18"/>
      <c r="B169" s="383"/>
      <c r="C169" s="27">
        <v>10</v>
      </c>
      <c r="D169" s="129">
        <v>500000</v>
      </c>
      <c r="E169" s="129">
        <v>0</v>
      </c>
      <c r="F169" s="129">
        <v>0</v>
      </c>
      <c r="G169" s="116">
        <v>0</v>
      </c>
      <c r="H169" s="93">
        <v>0</v>
      </c>
      <c r="I169" s="240">
        <v>0</v>
      </c>
      <c r="J169" s="93">
        <v>380000000</v>
      </c>
      <c r="K169" s="122">
        <f t="shared" si="131"/>
        <v>45630997.714245513</v>
      </c>
      <c r="L169" s="94">
        <v>1.7999999999999999E-2</v>
      </c>
      <c r="M169" s="37">
        <v>6600000</v>
      </c>
      <c r="N169" s="103">
        <f t="shared" ref="N169" si="141" xml:space="preserve"> (N168 + D169 - E169 ) + ((N168 + D169 - E169) * O169)</f>
        <v>261121869.32974711</v>
      </c>
      <c r="O169" s="79">
        <v>0.02</v>
      </c>
      <c r="P169" s="155">
        <f t="shared" si="118"/>
        <v>267721869.32974711</v>
      </c>
      <c r="Q169" s="93">
        <f t="shared" si="124"/>
        <v>0</v>
      </c>
      <c r="R169" s="93" t="e">
        <f xml:space="preserve"> J169 +#REF!</f>
        <v>#REF!</v>
      </c>
    </row>
    <row r="170" spans="1:18" ht="17.25" thickBot="1" x14ac:dyDescent="0.35">
      <c r="A170" s="18"/>
      <c r="B170" s="383"/>
      <c r="C170" s="29">
        <v>11</v>
      </c>
      <c r="D170" s="129">
        <v>500000</v>
      </c>
      <c r="E170" s="129">
        <v>0</v>
      </c>
      <c r="F170" s="129">
        <v>0</v>
      </c>
      <c r="G170" s="116">
        <v>0</v>
      </c>
      <c r="H170" s="93">
        <v>0</v>
      </c>
      <c r="I170" s="240">
        <v>0</v>
      </c>
      <c r="J170" s="93">
        <v>380000000</v>
      </c>
      <c r="K170" s="122">
        <f t="shared" si="131"/>
        <v>46452355.673101932</v>
      </c>
      <c r="L170" s="94">
        <v>1.7999999999999999E-2</v>
      </c>
      <c r="M170" s="37">
        <v>6600000</v>
      </c>
      <c r="N170" s="103">
        <f t="shared" ref="N170" si="142" xml:space="preserve"> (N169 + D170 - E170) + ((N169 + D170 - E170 ) * O170)</f>
        <v>266854306.71634206</v>
      </c>
      <c r="O170" s="79">
        <v>0.02</v>
      </c>
      <c r="P170" s="155">
        <f t="shared" si="118"/>
        <v>273454306.71634209</v>
      </c>
      <c r="Q170" s="93">
        <f t="shared" si="124"/>
        <v>0</v>
      </c>
      <c r="R170" s="93" t="e">
        <f xml:space="preserve"> J170 +#REF!</f>
        <v>#REF!</v>
      </c>
    </row>
    <row r="171" spans="1:18" s="253" customFormat="1" ht="17.25" thickBot="1" x14ac:dyDescent="0.35">
      <c r="A171" s="184"/>
      <c r="B171" s="383"/>
      <c r="C171" s="243">
        <v>12</v>
      </c>
      <c r="D171" s="244">
        <v>500000</v>
      </c>
      <c r="E171" s="244"/>
      <c r="F171" s="244">
        <v>0</v>
      </c>
      <c r="G171" s="245">
        <v>0</v>
      </c>
      <c r="H171" s="246">
        <v>0</v>
      </c>
      <c r="I171" s="246">
        <v>0</v>
      </c>
      <c r="J171" s="246">
        <v>380000000</v>
      </c>
      <c r="K171" s="247">
        <f t="shared" si="131"/>
        <v>47288498.075217769</v>
      </c>
      <c r="L171" s="94">
        <v>1.7999999999999999E-2</v>
      </c>
      <c r="M171" s="37">
        <v>6600000</v>
      </c>
      <c r="N171" s="103">
        <f t="shared" ref="N171" si="143" xml:space="preserve"> (N170 + D171 - E171 ) + ((N170 + D171 - E171) * O171)</f>
        <v>272701392.85066891</v>
      </c>
      <c r="O171" s="249">
        <v>0.02</v>
      </c>
      <c r="P171" s="248">
        <f t="shared" si="118"/>
        <v>279301392.85066891</v>
      </c>
      <c r="Q171" s="246">
        <f t="shared" si="124"/>
        <v>0</v>
      </c>
      <c r="R171" s="246" t="e">
        <f xml:space="preserve"> J171 +#REF!</f>
        <v>#REF!</v>
      </c>
    </row>
  </sheetData>
  <mergeCells count="21">
    <mergeCell ref="B148:B159"/>
    <mergeCell ref="B160:B171"/>
    <mergeCell ref="Q1:Q2"/>
    <mergeCell ref="R1:R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58"/>
  <sheetViews>
    <sheetView topLeftCell="I19" zoomScale="110" zoomScaleNormal="110" workbookViewId="0">
      <selection activeCell="D34" sqref="D3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5" bestFit="1" customWidth="1"/>
    <col min="7" max="7" width="18.875" style="1" bestFit="1" customWidth="1"/>
    <col min="8" max="8" width="11.75" style="1" bestFit="1" customWidth="1"/>
    <col min="9" max="9" width="11.375" style="1" bestFit="1" customWidth="1"/>
    <col min="10" max="10" width="10.625" style="1" bestFit="1" customWidth="1"/>
    <col min="11" max="11" width="14.75" style="1" customWidth="1"/>
    <col min="12" max="12" width="10.75" style="1" bestFit="1" customWidth="1"/>
    <col min="13" max="13" width="7" style="1" customWidth="1"/>
    <col min="14" max="14" width="11.5" style="1" bestFit="1" customWidth="1"/>
    <col min="15" max="15" width="10.75" style="1" bestFit="1" customWidth="1"/>
    <col min="16" max="16" width="16.75" style="1" customWidth="1"/>
    <col min="17" max="17" width="12.875" style="18" bestFit="1" customWidth="1"/>
    <col min="18" max="18" width="12.625" style="18" customWidth="1"/>
    <col min="19" max="19" width="12.875" style="1" bestFit="1" customWidth="1"/>
    <col min="20" max="20" width="13.125" style="1" bestFit="1" customWidth="1"/>
    <col min="21" max="21" width="12.875" style="1" bestFit="1" customWidth="1"/>
    <col min="22" max="22" width="9.75" style="1" customWidth="1"/>
    <col min="23" max="23" width="9.375" style="1" bestFit="1" customWidth="1"/>
    <col min="24" max="24" width="9" style="1"/>
    <col min="25" max="25" width="12.875" style="1" bestFit="1" customWidth="1"/>
    <col min="26" max="16384" width="9" style="1"/>
  </cols>
  <sheetData>
    <row r="2" spans="1:22" s="106" customFormat="1" x14ac:dyDescent="0.3">
      <c r="C2" s="106" t="s">
        <v>174</v>
      </c>
      <c r="D2" s="106" t="s">
        <v>206</v>
      </c>
      <c r="E2" s="106" t="s">
        <v>0</v>
      </c>
      <c r="F2" s="106" t="s">
        <v>1</v>
      </c>
      <c r="G2" s="106" t="s">
        <v>160</v>
      </c>
      <c r="H2" s="106" t="s">
        <v>2</v>
      </c>
      <c r="I2" s="106" t="s">
        <v>176</v>
      </c>
      <c r="J2" s="106" t="s">
        <v>3</v>
      </c>
      <c r="K2" s="106" t="s">
        <v>177</v>
      </c>
      <c r="L2" s="106" t="s">
        <v>4</v>
      </c>
      <c r="M2" s="106" t="s">
        <v>5</v>
      </c>
      <c r="N2" s="106" t="s">
        <v>8</v>
      </c>
      <c r="O2" s="106" t="s">
        <v>6</v>
      </c>
      <c r="P2" s="106" t="s">
        <v>178</v>
      </c>
      <c r="Q2" s="106" t="s">
        <v>179</v>
      </c>
      <c r="R2" s="106" t="s">
        <v>182</v>
      </c>
      <c r="S2" s="106" t="s">
        <v>190</v>
      </c>
      <c r="T2" s="106" t="s">
        <v>9</v>
      </c>
      <c r="U2" s="106" t="s">
        <v>7</v>
      </c>
      <c r="V2" s="106" t="s">
        <v>181</v>
      </c>
    </row>
    <row r="3" spans="1:22" s="134" customFormat="1" x14ac:dyDescent="0.3">
      <c r="A3" s="345">
        <v>2023</v>
      </c>
      <c r="B3" s="134" t="s">
        <v>72</v>
      </c>
      <c r="C3" s="135">
        <v>8340000</v>
      </c>
      <c r="D3" s="135">
        <v>0</v>
      </c>
      <c r="E3" s="135">
        <v>0</v>
      </c>
      <c r="F3" s="135">
        <v>2500000</v>
      </c>
      <c r="G3" s="135"/>
      <c r="H3" s="132">
        <v>300000</v>
      </c>
      <c r="I3" s="132">
        <v>100000</v>
      </c>
      <c r="J3" s="132">
        <v>450000</v>
      </c>
      <c r="K3" s="132">
        <v>100000</v>
      </c>
      <c r="L3" s="132">
        <v>170000</v>
      </c>
      <c r="M3" s="132">
        <v>0</v>
      </c>
      <c r="N3" s="132">
        <v>100000</v>
      </c>
      <c r="O3" s="132">
        <v>0</v>
      </c>
      <c r="P3" s="132">
        <v>3300000</v>
      </c>
      <c r="Q3" s="132">
        <v>0</v>
      </c>
      <c r="R3" s="132"/>
      <c r="S3" s="132">
        <v>1300000</v>
      </c>
      <c r="T3" s="132">
        <f t="shared" ref="T3:T34" si="0">SUM(E3:S3)</f>
        <v>8320000</v>
      </c>
      <c r="U3" s="132">
        <f xml:space="preserve"> C3 - T3</f>
        <v>20000</v>
      </c>
      <c r="V3" s="168"/>
    </row>
    <row r="4" spans="1:22" s="134" customFormat="1" x14ac:dyDescent="0.3">
      <c r="A4" s="345"/>
      <c r="B4" s="134" t="s">
        <v>73</v>
      </c>
      <c r="C4" s="135"/>
      <c r="D4" s="135">
        <v>0</v>
      </c>
      <c r="E4" s="135">
        <v>0</v>
      </c>
      <c r="F4" s="135">
        <v>2500000</v>
      </c>
      <c r="G4" s="135"/>
      <c r="H4" s="132">
        <v>300000</v>
      </c>
      <c r="I4" s="132">
        <v>100000</v>
      </c>
      <c r="J4" s="132">
        <v>450000</v>
      </c>
      <c r="K4" s="132">
        <v>100000</v>
      </c>
      <c r="L4" s="132">
        <v>170000</v>
      </c>
      <c r="M4" s="132">
        <v>0</v>
      </c>
      <c r="N4" s="132">
        <v>100000</v>
      </c>
      <c r="O4" s="132">
        <v>0</v>
      </c>
      <c r="P4" s="132">
        <v>3500000</v>
      </c>
      <c r="Q4" s="132">
        <v>0</v>
      </c>
      <c r="R4" s="132"/>
      <c r="S4" s="132">
        <v>0</v>
      </c>
      <c r="T4" s="132">
        <f t="shared" si="0"/>
        <v>7220000</v>
      </c>
      <c r="U4" s="21"/>
      <c r="V4" s="168"/>
    </row>
    <row r="5" spans="1:22" s="136" customFormat="1" x14ac:dyDescent="0.3">
      <c r="A5" s="345"/>
      <c r="B5" s="136" t="s">
        <v>74</v>
      </c>
      <c r="C5" s="137"/>
      <c r="D5" s="135">
        <v>0</v>
      </c>
      <c r="E5" s="137">
        <v>650000</v>
      </c>
      <c r="F5" s="137">
        <v>2500000</v>
      </c>
      <c r="G5" s="137"/>
      <c r="H5" s="162">
        <v>300000</v>
      </c>
      <c r="I5" s="162">
        <v>100000</v>
      </c>
      <c r="J5" s="162">
        <v>450000</v>
      </c>
      <c r="K5" s="162">
        <v>100000</v>
      </c>
      <c r="L5" s="162">
        <v>170000</v>
      </c>
      <c r="M5" s="162">
        <v>0</v>
      </c>
      <c r="N5" s="162">
        <v>100000</v>
      </c>
      <c r="O5" s="162">
        <v>0</v>
      </c>
      <c r="P5" s="162">
        <v>2500000</v>
      </c>
      <c r="Q5" s="162">
        <v>0</v>
      </c>
      <c r="R5" s="162"/>
      <c r="S5" s="162">
        <v>0</v>
      </c>
      <c r="T5" s="162">
        <f t="shared" si="0"/>
        <v>6870000</v>
      </c>
      <c r="U5" s="163"/>
      <c r="V5" s="169"/>
    </row>
    <row r="6" spans="1:22" s="134" customFormat="1" x14ac:dyDescent="0.3">
      <c r="A6" s="345"/>
      <c r="B6" s="134" t="s">
        <v>75</v>
      </c>
      <c r="C6" s="135"/>
      <c r="D6" s="135">
        <v>0</v>
      </c>
      <c r="E6" s="135">
        <v>1885000</v>
      </c>
      <c r="F6" s="135">
        <v>500000</v>
      </c>
      <c r="G6" s="135"/>
      <c r="H6" s="132">
        <v>500000</v>
      </c>
      <c r="I6" s="132">
        <v>100000</v>
      </c>
      <c r="J6" s="132">
        <v>450000</v>
      </c>
      <c r="K6" s="132">
        <v>100000</v>
      </c>
      <c r="L6" s="132">
        <v>170000</v>
      </c>
      <c r="M6" s="132">
        <v>0</v>
      </c>
      <c r="N6" s="132">
        <v>100000</v>
      </c>
      <c r="O6" s="132">
        <v>0</v>
      </c>
      <c r="P6" s="132">
        <v>2550000</v>
      </c>
      <c r="Q6" s="132">
        <v>0</v>
      </c>
      <c r="R6" s="132"/>
      <c r="S6" s="132">
        <v>0</v>
      </c>
      <c r="T6" s="132">
        <f t="shared" si="0"/>
        <v>6355000</v>
      </c>
      <c r="U6" s="21"/>
      <c r="V6" s="168"/>
    </row>
    <row r="7" spans="1:22" s="134" customFormat="1" x14ac:dyDescent="0.3">
      <c r="A7" s="345"/>
      <c r="B7" s="134" t="s">
        <v>76</v>
      </c>
      <c r="C7" s="135"/>
      <c r="D7" s="135">
        <v>0</v>
      </c>
      <c r="E7" s="135">
        <v>1000000</v>
      </c>
      <c r="F7" s="135">
        <v>100000</v>
      </c>
      <c r="G7" s="135">
        <v>420000</v>
      </c>
      <c r="H7" s="132">
        <v>500000</v>
      </c>
      <c r="I7" s="132">
        <v>100000</v>
      </c>
      <c r="J7" s="132">
        <v>630000</v>
      </c>
      <c r="K7" s="132">
        <v>100000</v>
      </c>
      <c r="L7" s="132">
        <v>170000</v>
      </c>
      <c r="M7" s="132">
        <v>0</v>
      </c>
      <c r="N7" s="132">
        <v>100000</v>
      </c>
      <c r="O7" s="132">
        <v>0</v>
      </c>
      <c r="P7" s="132">
        <v>2800000</v>
      </c>
      <c r="Q7" s="132">
        <v>0</v>
      </c>
      <c r="R7" s="132"/>
      <c r="S7" s="132">
        <v>400000</v>
      </c>
      <c r="T7" s="132">
        <f t="shared" si="0"/>
        <v>6320000</v>
      </c>
      <c r="U7" s="21"/>
      <c r="V7" s="168"/>
    </row>
    <row r="8" spans="1:22" s="134" customFormat="1" x14ac:dyDescent="0.3">
      <c r="A8" s="345"/>
      <c r="B8" s="134" t="s">
        <v>77</v>
      </c>
      <c r="C8" s="135"/>
      <c r="D8" s="135">
        <v>0</v>
      </c>
      <c r="E8" s="135">
        <v>1000000</v>
      </c>
      <c r="F8" s="135">
        <v>1000000</v>
      </c>
      <c r="G8" s="135">
        <v>420000</v>
      </c>
      <c r="H8" s="132">
        <v>500000</v>
      </c>
      <c r="I8" s="132">
        <v>100000</v>
      </c>
      <c r="J8" s="132">
        <v>630000</v>
      </c>
      <c r="K8" s="132">
        <v>100000</v>
      </c>
      <c r="L8" s="132">
        <v>170000</v>
      </c>
      <c r="M8" s="132">
        <v>0</v>
      </c>
      <c r="N8" s="132">
        <v>100000</v>
      </c>
      <c r="O8" s="132">
        <v>0</v>
      </c>
      <c r="P8" s="132">
        <v>2900000</v>
      </c>
      <c r="Q8" s="132">
        <v>0</v>
      </c>
      <c r="R8" s="132"/>
      <c r="S8" s="132">
        <v>0</v>
      </c>
      <c r="T8" s="132">
        <f t="shared" si="0"/>
        <v>6920000</v>
      </c>
      <c r="U8" s="21"/>
      <c r="V8" s="168"/>
    </row>
    <row r="9" spans="1:22" s="134" customFormat="1" x14ac:dyDescent="0.3">
      <c r="A9" s="345"/>
      <c r="B9" s="134" t="s">
        <v>78</v>
      </c>
      <c r="C9" s="135"/>
      <c r="D9" s="135">
        <v>0</v>
      </c>
      <c r="E9" s="135">
        <v>1000000</v>
      </c>
      <c r="F9" s="135">
        <v>1000000</v>
      </c>
      <c r="G9" s="135">
        <v>420000</v>
      </c>
      <c r="H9" s="132">
        <v>500000</v>
      </c>
      <c r="I9" s="132">
        <v>100000</v>
      </c>
      <c r="J9" s="132">
        <v>630000</v>
      </c>
      <c r="K9" s="132">
        <v>100000</v>
      </c>
      <c r="L9" s="132">
        <v>170000</v>
      </c>
      <c r="M9" s="132">
        <v>0</v>
      </c>
      <c r="N9" s="132">
        <v>100000</v>
      </c>
      <c r="O9" s="132">
        <v>0</v>
      </c>
      <c r="P9" s="132">
        <v>2000000</v>
      </c>
      <c r="Q9" s="132">
        <v>0</v>
      </c>
      <c r="R9" s="132"/>
      <c r="S9" s="132">
        <v>0</v>
      </c>
      <c r="T9" s="132">
        <f t="shared" si="0"/>
        <v>6020000</v>
      </c>
      <c r="U9" s="21"/>
      <c r="V9" s="168"/>
    </row>
    <row r="10" spans="1:22" s="134" customFormat="1" x14ac:dyDescent="0.3">
      <c r="A10" s="345"/>
      <c r="B10" s="134" t="s">
        <v>79</v>
      </c>
      <c r="C10" s="135"/>
      <c r="D10" s="135">
        <v>0</v>
      </c>
      <c r="E10" s="135">
        <v>1000000</v>
      </c>
      <c r="F10" s="135">
        <v>1000000</v>
      </c>
      <c r="G10" s="135">
        <v>420000</v>
      </c>
      <c r="H10" s="132">
        <v>500000</v>
      </c>
      <c r="I10" s="132">
        <v>100000</v>
      </c>
      <c r="J10" s="132">
        <v>630000</v>
      </c>
      <c r="K10" s="132">
        <v>100000</v>
      </c>
      <c r="L10" s="132">
        <v>170000</v>
      </c>
      <c r="M10" s="132">
        <v>0</v>
      </c>
      <c r="N10" s="132">
        <v>100000</v>
      </c>
      <c r="O10" s="132">
        <v>0</v>
      </c>
      <c r="P10" s="132">
        <v>2000000</v>
      </c>
      <c r="Q10" s="132">
        <v>0</v>
      </c>
      <c r="R10" s="132"/>
      <c r="S10" s="132">
        <v>0</v>
      </c>
      <c r="T10" s="132">
        <f t="shared" si="0"/>
        <v>6020000</v>
      </c>
      <c r="U10" s="21"/>
      <c r="V10" s="168"/>
    </row>
    <row r="11" spans="1:22" s="134" customFormat="1" x14ac:dyDescent="0.3">
      <c r="A11" s="345"/>
      <c r="B11" s="134" t="s">
        <v>80</v>
      </c>
      <c r="C11" s="135"/>
      <c r="D11" s="135">
        <v>0</v>
      </c>
      <c r="E11" s="135">
        <v>1000000</v>
      </c>
      <c r="F11" s="135">
        <v>1000000</v>
      </c>
      <c r="G11" s="135">
        <v>420000</v>
      </c>
      <c r="H11" s="132">
        <v>400000</v>
      </c>
      <c r="I11" s="132">
        <v>100000</v>
      </c>
      <c r="J11" s="132">
        <v>630000</v>
      </c>
      <c r="K11" s="132">
        <v>100000</v>
      </c>
      <c r="L11" s="132">
        <v>150000</v>
      </c>
      <c r="M11" s="132">
        <v>0</v>
      </c>
      <c r="N11" s="132">
        <v>100000</v>
      </c>
      <c r="O11" s="132">
        <v>0</v>
      </c>
      <c r="P11" s="132">
        <v>3000000</v>
      </c>
      <c r="Q11" s="132">
        <v>0</v>
      </c>
      <c r="R11" s="132"/>
      <c r="S11" s="132">
        <v>3580000</v>
      </c>
      <c r="T11" s="132">
        <f t="shared" si="0"/>
        <v>10480000</v>
      </c>
      <c r="U11" s="21"/>
      <c r="V11" s="168"/>
    </row>
    <row r="12" spans="1:22" s="134" customFormat="1" x14ac:dyDescent="0.3">
      <c r="A12" s="345"/>
      <c r="B12" s="134" t="s">
        <v>81</v>
      </c>
      <c r="C12" s="135"/>
      <c r="D12" s="135">
        <v>0</v>
      </c>
      <c r="E12" s="135">
        <v>0</v>
      </c>
      <c r="F12" s="135">
        <v>7000000</v>
      </c>
      <c r="G12" s="135">
        <v>420000</v>
      </c>
      <c r="H12" s="132">
        <v>400000</v>
      </c>
      <c r="I12" s="132">
        <v>100000</v>
      </c>
      <c r="J12" s="132">
        <v>630000</v>
      </c>
      <c r="K12" s="132">
        <v>100000</v>
      </c>
      <c r="L12" s="132">
        <v>1000000</v>
      </c>
      <c r="M12" s="132">
        <v>0</v>
      </c>
      <c r="N12" s="132">
        <v>100000</v>
      </c>
      <c r="O12" s="132">
        <v>0</v>
      </c>
      <c r="P12" s="132">
        <v>3000000</v>
      </c>
      <c r="Q12" s="132">
        <v>0</v>
      </c>
      <c r="R12" s="132"/>
      <c r="S12" s="132">
        <v>580000</v>
      </c>
      <c r="T12" s="132">
        <f t="shared" si="0"/>
        <v>13330000</v>
      </c>
      <c r="U12" s="132">
        <v>11500000</v>
      </c>
      <c r="V12" s="168"/>
    </row>
    <row r="13" spans="1:22" s="134" customFormat="1" x14ac:dyDescent="0.3">
      <c r="A13" s="345"/>
      <c r="B13" s="134" t="s">
        <v>82</v>
      </c>
      <c r="C13" s="135">
        <f xml:space="preserve"> U12 + 7150000</f>
        <v>18650000</v>
      </c>
      <c r="D13" s="135">
        <v>0</v>
      </c>
      <c r="E13" s="135">
        <v>0</v>
      </c>
      <c r="F13" s="135">
        <v>4000000</v>
      </c>
      <c r="G13" s="135">
        <v>420000</v>
      </c>
      <c r="H13" s="132">
        <v>200000</v>
      </c>
      <c r="I13" s="132">
        <v>100000</v>
      </c>
      <c r="J13" s="132">
        <v>630000</v>
      </c>
      <c r="K13" s="132">
        <v>100000</v>
      </c>
      <c r="L13" s="132">
        <v>1000000</v>
      </c>
      <c r="M13" s="132">
        <v>0</v>
      </c>
      <c r="N13" s="132">
        <v>100000</v>
      </c>
      <c r="O13" s="132">
        <v>750000</v>
      </c>
      <c r="P13" s="132">
        <v>3000000</v>
      </c>
      <c r="Q13" s="162">
        <v>0</v>
      </c>
      <c r="R13" s="162"/>
      <c r="S13" s="132">
        <f xml:space="preserve"> 580000 + 5400000 +700000</f>
        <v>6680000</v>
      </c>
      <c r="T13" s="132">
        <f t="shared" si="0"/>
        <v>16980000</v>
      </c>
      <c r="U13" s="132">
        <f xml:space="preserve"> C13 - T13</f>
        <v>1670000</v>
      </c>
      <c r="V13" s="168"/>
    </row>
    <row r="14" spans="1:22" s="147" customFormat="1" ht="17.25" thickBot="1" x14ac:dyDescent="0.35">
      <c r="A14" s="345"/>
      <c r="B14" s="164" t="s">
        <v>83</v>
      </c>
      <c r="C14" s="165">
        <f xml:space="preserve"> U13 + 7150000</f>
        <v>8820000</v>
      </c>
      <c r="D14" s="135">
        <v>0</v>
      </c>
      <c r="E14" s="165">
        <v>0</v>
      </c>
      <c r="F14" s="165">
        <v>1400000</v>
      </c>
      <c r="G14" s="165">
        <v>420000</v>
      </c>
      <c r="H14" s="166">
        <v>200000</v>
      </c>
      <c r="I14" s="166">
        <v>100000</v>
      </c>
      <c r="J14" s="166">
        <v>630000</v>
      </c>
      <c r="K14" s="166">
        <v>100000</v>
      </c>
      <c r="L14" s="166">
        <v>600000</v>
      </c>
      <c r="M14" s="166">
        <v>0</v>
      </c>
      <c r="N14" s="166">
        <v>100000</v>
      </c>
      <c r="O14" s="166">
        <v>300000</v>
      </c>
      <c r="P14" s="166">
        <v>3000000</v>
      </c>
      <c r="Q14" s="162">
        <v>0</v>
      </c>
      <c r="R14" s="162"/>
      <c r="S14" s="166">
        <v>1580000</v>
      </c>
      <c r="T14" s="166">
        <f t="shared" si="0"/>
        <v>8430000</v>
      </c>
      <c r="U14" s="166">
        <f xml:space="preserve"> C14 - T14 +1000000</f>
        <v>1390000</v>
      </c>
      <c r="V14" s="170"/>
    </row>
    <row r="15" spans="1:22" s="148" customFormat="1" x14ac:dyDescent="0.3">
      <c r="A15" s="345">
        <v>2024</v>
      </c>
      <c r="B15" s="134" t="s">
        <v>72</v>
      </c>
      <c r="C15" s="135">
        <f xml:space="preserve"> U14 + 7150000 +340000</f>
        <v>8880000</v>
      </c>
      <c r="D15" s="135">
        <v>0</v>
      </c>
      <c r="E15" s="135">
        <v>0</v>
      </c>
      <c r="F15" s="135">
        <v>0</v>
      </c>
      <c r="G15" s="135">
        <v>420000</v>
      </c>
      <c r="H15" s="132">
        <v>200000</v>
      </c>
      <c r="I15" s="132">
        <v>100000</v>
      </c>
      <c r="J15" s="132">
        <v>630000</v>
      </c>
      <c r="K15" s="132">
        <v>100000</v>
      </c>
      <c r="L15" s="132">
        <v>230000</v>
      </c>
      <c r="M15" s="132">
        <v>0</v>
      </c>
      <c r="N15" s="132">
        <v>100000</v>
      </c>
      <c r="O15" s="132">
        <v>1500000</v>
      </c>
      <c r="P15" s="132">
        <v>3100000</v>
      </c>
      <c r="Q15" s="132">
        <v>0</v>
      </c>
      <c r="R15" s="132"/>
      <c r="S15" s="132">
        <v>890000</v>
      </c>
      <c r="T15" s="132">
        <f t="shared" si="0"/>
        <v>7270000</v>
      </c>
      <c r="U15" s="132">
        <f t="shared" ref="U15:U25" si="1" xml:space="preserve"> C15 - T15</f>
        <v>1610000</v>
      </c>
      <c r="V15" s="171"/>
    </row>
    <row r="16" spans="1:22" s="134" customFormat="1" x14ac:dyDescent="0.3">
      <c r="A16" s="345"/>
      <c r="B16" s="134" t="s">
        <v>73</v>
      </c>
      <c r="C16" s="135">
        <f xml:space="preserve"> U15 + 7370000 + 1800000 + 1500000</f>
        <v>12280000</v>
      </c>
      <c r="D16" s="135">
        <v>0</v>
      </c>
      <c r="E16" s="135">
        <v>0</v>
      </c>
      <c r="F16" s="135">
        <v>0</v>
      </c>
      <c r="G16" s="135">
        <v>420000</v>
      </c>
      <c r="H16" s="132">
        <v>200000</v>
      </c>
      <c r="I16" s="132">
        <v>100000</v>
      </c>
      <c r="J16" s="132">
        <v>630000</v>
      </c>
      <c r="K16" s="132">
        <v>100000</v>
      </c>
      <c r="L16" s="132">
        <v>150000</v>
      </c>
      <c r="M16" s="132">
        <v>0</v>
      </c>
      <c r="N16" s="132">
        <v>100000</v>
      </c>
      <c r="O16" s="132">
        <v>2000000</v>
      </c>
      <c r="P16" s="132">
        <v>3000000</v>
      </c>
      <c r="Q16" s="132">
        <v>0</v>
      </c>
      <c r="R16" s="132"/>
      <c r="S16" s="132">
        <v>0</v>
      </c>
      <c r="T16" s="132">
        <f t="shared" si="0"/>
        <v>6700000</v>
      </c>
      <c r="U16" s="132">
        <f t="shared" si="1"/>
        <v>5580000</v>
      </c>
      <c r="V16" s="168"/>
    </row>
    <row r="17" spans="1:25" s="134" customFormat="1" x14ac:dyDescent="0.3">
      <c r="A17" s="345"/>
      <c r="B17" s="134" t="s">
        <v>74</v>
      </c>
      <c r="C17" s="135">
        <f xml:space="preserve"> U16 + 7370000</f>
        <v>12950000</v>
      </c>
      <c r="D17" s="135">
        <v>0</v>
      </c>
      <c r="E17" s="135">
        <v>0</v>
      </c>
      <c r="F17" s="135">
        <v>350000</v>
      </c>
      <c r="G17" s="135">
        <v>420000</v>
      </c>
      <c r="H17" s="132">
        <v>200000</v>
      </c>
      <c r="I17" s="132">
        <v>100000</v>
      </c>
      <c r="J17" s="132">
        <v>630000</v>
      </c>
      <c r="K17" s="132">
        <v>100000</v>
      </c>
      <c r="L17" s="132">
        <v>190000</v>
      </c>
      <c r="M17" s="132">
        <v>0</v>
      </c>
      <c r="N17" s="132">
        <v>100000</v>
      </c>
      <c r="O17" s="132">
        <v>0</v>
      </c>
      <c r="P17" s="132">
        <v>2000000</v>
      </c>
      <c r="Q17" s="132">
        <v>0</v>
      </c>
      <c r="R17" s="132"/>
      <c r="S17" s="132">
        <f xml:space="preserve"> 5000000</f>
        <v>5000000</v>
      </c>
      <c r="T17" s="132">
        <f t="shared" si="0"/>
        <v>9090000</v>
      </c>
      <c r="U17" s="132">
        <f t="shared" si="1"/>
        <v>3860000</v>
      </c>
      <c r="V17" s="168"/>
    </row>
    <row r="18" spans="1:25" s="134" customFormat="1" ht="17.25" customHeight="1" x14ac:dyDescent="0.3">
      <c r="A18" s="345"/>
      <c r="B18" s="134" t="s">
        <v>75</v>
      </c>
      <c r="C18" s="135">
        <f xml:space="preserve"> U17 + 7370000</f>
        <v>11230000</v>
      </c>
      <c r="D18" s="135">
        <v>0</v>
      </c>
      <c r="E18" s="135">
        <v>0</v>
      </c>
      <c r="F18" s="135">
        <v>0</v>
      </c>
      <c r="G18" s="135">
        <v>420000</v>
      </c>
      <c r="H18" s="132">
        <v>200000</v>
      </c>
      <c r="I18" s="132">
        <v>100000</v>
      </c>
      <c r="J18" s="132">
        <v>630000</v>
      </c>
      <c r="K18" s="132">
        <v>100000</v>
      </c>
      <c r="L18" s="132">
        <v>190000</v>
      </c>
      <c r="M18" s="132">
        <v>0</v>
      </c>
      <c r="N18" s="132">
        <v>100000</v>
      </c>
      <c r="O18" s="132">
        <v>400000</v>
      </c>
      <c r="P18" s="132">
        <v>4500000</v>
      </c>
      <c r="Q18" s="132">
        <v>0</v>
      </c>
      <c r="R18" s="132"/>
      <c r="S18" s="132">
        <v>1500000</v>
      </c>
      <c r="T18" s="132">
        <f t="shared" si="0"/>
        <v>8140000</v>
      </c>
      <c r="U18" s="132">
        <f t="shared" si="1"/>
        <v>3090000</v>
      </c>
      <c r="V18" s="168"/>
    </row>
    <row r="19" spans="1:25" s="134" customFormat="1" x14ac:dyDescent="0.3">
      <c r="A19" s="345"/>
      <c r="B19" s="134" t="s">
        <v>76</v>
      </c>
      <c r="C19" s="135">
        <f xml:space="preserve"> U18 + 7370000 +18700000</f>
        <v>29160000</v>
      </c>
      <c r="D19" s="135">
        <v>0</v>
      </c>
      <c r="E19" s="135">
        <v>1900000</v>
      </c>
      <c r="F19" s="135">
        <v>14000000</v>
      </c>
      <c r="G19" s="135">
        <v>420000</v>
      </c>
      <c r="H19" s="135">
        <v>200000</v>
      </c>
      <c r="I19" s="135">
        <v>100000</v>
      </c>
      <c r="J19" s="135">
        <v>630000</v>
      </c>
      <c r="K19" s="135">
        <v>100000</v>
      </c>
      <c r="L19" s="135">
        <v>190000</v>
      </c>
      <c r="M19" s="135">
        <v>0</v>
      </c>
      <c r="N19" s="135">
        <v>100000</v>
      </c>
      <c r="O19" s="135">
        <v>0</v>
      </c>
      <c r="P19" s="135">
        <v>3100000</v>
      </c>
      <c r="Q19" s="135">
        <v>400000</v>
      </c>
      <c r="R19" s="135"/>
      <c r="S19" s="135">
        <v>5800000</v>
      </c>
      <c r="T19" s="135">
        <f t="shared" si="0"/>
        <v>26940000</v>
      </c>
      <c r="U19" s="135">
        <f t="shared" si="1"/>
        <v>2220000</v>
      </c>
      <c r="V19" s="173"/>
    </row>
    <row r="20" spans="1:25" s="134" customFormat="1" ht="15.75" customHeight="1" x14ac:dyDescent="0.3">
      <c r="A20" s="345"/>
      <c r="B20" s="134" t="s">
        <v>77</v>
      </c>
      <c r="C20" s="135">
        <f xml:space="preserve"> U19 + 7370000 +1000000 + 900000 + 12000000</f>
        <v>23490000</v>
      </c>
      <c r="D20" s="135">
        <v>0</v>
      </c>
      <c r="E20" s="135">
        <v>0</v>
      </c>
      <c r="F20" s="135">
        <v>0</v>
      </c>
      <c r="G20" s="135">
        <v>420000</v>
      </c>
      <c r="H20" s="135">
        <v>200000</v>
      </c>
      <c r="I20" s="135">
        <v>100000</v>
      </c>
      <c r="J20" s="135">
        <v>630000</v>
      </c>
      <c r="K20" s="135">
        <v>100000</v>
      </c>
      <c r="L20" s="135">
        <v>190000</v>
      </c>
      <c r="M20" s="135">
        <v>0</v>
      </c>
      <c r="N20" s="135">
        <v>100000</v>
      </c>
      <c r="O20" s="135">
        <v>500000</v>
      </c>
      <c r="P20" s="135">
        <v>3000000</v>
      </c>
      <c r="Q20" s="135">
        <v>0</v>
      </c>
      <c r="R20" s="135"/>
      <c r="S20" s="135">
        <v>1640000</v>
      </c>
      <c r="T20" s="135">
        <f t="shared" si="0"/>
        <v>6880000</v>
      </c>
      <c r="U20" s="135">
        <f t="shared" si="1"/>
        <v>16610000</v>
      </c>
      <c r="V20" s="173"/>
    </row>
    <row r="21" spans="1:25" s="134" customFormat="1" x14ac:dyDescent="0.3">
      <c r="A21" s="345"/>
      <c r="B21" s="134" t="s">
        <v>78</v>
      </c>
      <c r="C21" s="135">
        <f xml:space="preserve"> U20 + 7370000 + 550000</f>
        <v>24530000</v>
      </c>
      <c r="D21" s="135">
        <v>0</v>
      </c>
      <c r="E21" s="135">
        <v>1800000</v>
      </c>
      <c r="F21" s="135">
        <v>0</v>
      </c>
      <c r="G21" s="135">
        <v>420000</v>
      </c>
      <c r="H21" s="135">
        <v>200000</v>
      </c>
      <c r="I21" s="135">
        <v>100000</v>
      </c>
      <c r="J21" s="135">
        <v>630000</v>
      </c>
      <c r="K21" s="135">
        <v>100000</v>
      </c>
      <c r="L21" s="135">
        <v>190000</v>
      </c>
      <c r="M21" s="135">
        <v>0</v>
      </c>
      <c r="N21" s="135">
        <v>100000</v>
      </c>
      <c r="O21" s="135">
        <v>650000</v>
      </c>
      <c r="P21" s="135">
        <v>6300000</v>
      </c>
      <c r="Q21" s="137">
        <v>3300000</v>
      </c>
      <c r="R21" s="137"/>
      <c r="S21" s="135">
        <v>1640000</v>
      </c>
      <c r="T21" s="135">
        <f t="shared" si="0"/>
        <v>15430000</v>
      </c>
      <c r="U21" s="135">
        <f t="shared" si="1"/>
        <v>9100000</v>
      </c>
      <c r="V21" s="173"/>
    </row>
    <row r="22" spans="1:25" s="134" customFormat="1" x14ac:dyDescent="0.3">
      <c r="A22" s="345"/>
      <c r="B22" s="134" t="s">
        <v>79</v>
      </c>
      <c r="C22" s="135">
        <f xml:space="preserve"> U21 + 7370000 +1400000</f>
        <v>17870000</v>
      </c>
      <c r="D22" s="135">
        <v>0</v>
      </c>
      <c r="E22" s="135">
        <v>0</v>
      </c>
      <c r="F22" s="135">
        <v>0</v>
      </c>
      <c r="G22" s="135">
        <v>420000</v>
      </c>
      <c r="H22" s="135">
        <v>200000</v>
      </c>
      <c r="I22" s="135">
        <v>100000</v>
      </c>
      <c r="J22" s="135">
        <v>630000</v>
      </c>
      <c r="K22" s="135">
        <v>100000</v>
      </c>
      <c r="L22" s="135">
        <v>190000</v>
      </c>
      <c r="M22" s="135">
        <v>0</v>
      </c>
      <c r="N22" s="135">
        <v>100000</v>
      </c>
      <c r="O22" s="135">
        <v>0</v>
      </c>
      <c r="P22" s="135">
        <v>2200000</v>
      </c>
      <c r="Q22" s="135">
        <v>1200000</v>
      </c>
      <c r="R22" s="135"/>
      <c r="S22" s="135">
        <v>1640000</v>
      </c>
      <c r="T22" s="135">
        <f t="shared" si="0"/>
        <v>6780000</v>
      </c>
      <c r="U22" s="135">
        <f t="shared" si="1"/>
        <v>11090000</v>
      </c>
      <c r="V22" s="173"/>
    </row>
    <row r="23" spans="1:25" s="134" customFormat="1" x14ac:dyDescent="0.3">
      <c r="A23" s="345"/>
      <c r="B23" s="134" t="s">
        <v>80</v>
      </c>
      <c r="C23" s="135">
        <f t="shared" ref="C23" si="2" xml:space="preserve"> U22 + 7370000</f>
        <v>18460000</v>
      </c>
      <c r="D23" s="135">
        <v>0</v>
      </c>
      <c r="E23" s="135">
        <v>0</v>
      </c>
      <c r="F23" s="135">
        <v>0</v>
      </c>
      <c r="G23" s="135">
        <v>420000</v>
      </c>
      <c r="H23" s="135">
        <v>200000</v>
      </c>
      <c r="I23" s="135">
        <v>100000</v>
      </c>
      <c r="J23" s="135">
        <v>630000</v>
      </c>
      <c r="K23" s="135">
        <v>100000</v>
      </c>
      <c r="L23" s="135">
        <v>190000</v>
      </c>
      <c r="M23" s="135">
        <v>0</v>
      </c>
      <c r="N23" s="135">
        <v>100000</v>
      </c>
      <c r="O23" s="135">
        <v>0</v>
      </c>
      <c r="P23" s="135">
        <v>1500000</v>
      </c>
      <c r="Q23" s="135">
        <v>400000</v>
      </c>
      <c r="R23" s="135">
        <f xml:space="preserve"> 69000 +45000 +600000</f>
        <v>714000</v>
      </c>
      <c r="S23" s="135">
        <v>1300000</v>
      </c>
      <c r="T23" s="135">
        <f t="shared" si="0"/>
        <v>5654000</v>
      </c>
      <c r="U23" s="135">
        <f t="shared" si="1"/>
        <v>12806000</v>
      </c>
      <c r="V23" s="173"/>
    </row>
    <row r="24" spans="1:25" s="134" customFormat="1" x14ac:dyDescent="0.3">
      <c r="A24" s="345"/>
      <c r="B24" s="134" t="s">
        <v>81</v>
      </c>
      <c r="C24" s="135">
        <f xml:space="preserve"> U23 + 7370000 + 5000000 + 5000000</f>
        <v>30176000</v>
      </c>
      <c r="D24" s="135">
        <v>0</v>
      </c>
      <c r="E24" s="135">
        <v>1459000</v>
      </c>
      <c r="F24" s="135">
        <v>0</v>
      </c>
      <c r="G24" s="135">
        <v>420000</v>
      </c>
      <c r="H24" s="135">
        <v>200000</v>
      </c>
      <c r="I24" s="135">
        <v>100000</v>
      </c>
      <c r="J24" s="135">
        <v>630000</v>
      </c>
      <c r="K24" s="135">
        <v>100000</v>
      </c>
      <c r="L24" s="135">
        <v>190000</v>
      </c>
      <c r="M24" s="135">
        <v>0</v>
      </c>
      <c r="N24" s="135">
        <v>100000</v>
      </c>
      <c r="O24" s="135">
        <v>0</v>
      </c>
      <c r="P24" s="135">
        <v>1700000</v>
      </c>
      <c r="Q24" s="135">
        <v>2800000</v>
      </c>
      <c r="R24" s="135">
        <v>5000000</v>
      </c>
      <c r="S24" s="135">
        <v>12500000</v>
      </c>
      <c r="T24" s="135">
        <f t="shared" si="0"/>
        <v>25199000</v>
      </c>
      <c r="U24" s="135">
        <f t="shared" si="1"/>
        <v>4977000</v>
      </c>
      <c r="V24" s="173"/>
    </row>
    <row r="25" spans="1:25" s="134" customFormat="1" x14ac:dyDescent="0.3">
      <c r="A25" s="345"/>
      <c r="B25" s="134" t="s">
        <v>82</v>
      </c>
      <c r="C25" s="135">
        <f xml:space="preserve"> U24 + 7370000 +10700000 + 1000000 + 1200000</f>
        <v>25247000</v>
      </c>
      <c r="D25" s="135">
        <v>0</v>
      </c>
      <c r="E25" s="135">
        <v>1090000</v>
      </c>
      <c r="F25" s="135">
        <v>5000000</v>
      </c>
      <c r="G25" s="135">
        <v>420000</v>
      </c>
      <c r="H25" s="135">
        <v>200000</v>
      </c>
      <c r="I25" s="135">
        <v>100000</v>
      </c>
      <c r="J25" s="135">
        <v>630000</v>
      </c>
      <c r="K25" s="135">
        <v>100000</v>
      </c>
      <c r="L25" s="135">
        <v>190000</v>
      </c>
      <c r="M25" s="135">
        <v>0</v>
      </c>
      <c r="N25" s="135">
        <v>100000</v>
      </c>
      <c r="O25" s="135">
        <v>0</v>
      </c>
      <c r="P25" s="135">
        <v>0</v>
      </c>
      <c r="Q25" s="135">
        <v>8000000</v>
      </c>
      <c r="R25" s="135">
        <v>0</v>
      </c>
      <c r="S25" s="135">
        <v>5000000</v>
      </c>
      <c r="T25" s="135">
        <f t="shared" si="0"/>
        <v>20830000</v>
      </c>
      <c r="U25" s="135">
        <f t="shared" si="1"/>
        <v>4417000</v>
      </c>
      <c r="V25" s="173"/>
      <c r="W25" s="134" t="s">
        <v>183</v>
      </c>
      <c r="Y25" s="134" t="s">
        <v>189</v>
      </c>
    </row>
    <row r="26" spans="1:25" s="202" customFormat="1" ht="17.25" thickBot="1" x14ac:dyDescent="0.35">
      <c r="A26" s="345"/>
      <c r="B26" s="200" t="s">
        <v>83</v>
      </c>
      <c r="C26" s="165">
        <f xml:space="preserve"> U25 + 7370000 + 10200000 + 60000000 + 1200000 + 300000 +6400000</f>
        <v>89887000</v>
      </c>
      <c r="D26" s="137">
        <v>0</v>
      </c>
      <c r="E26" s="165">
        <v>0</v>
      </c>
      <c r="F26" s="137">
        <v>71000000</v>
      </c>
      <c r="G26" s="165">
        <v>420000</v>
      </c>
      <c r="H26" s="165">
        <v>200000</v>
      </c>
      <c r="I26" s="165">
        <v>100000</v>
      </c>
      <c r="J26" s="137">
        <v>770000</v>
      </c>
      <c r="K26" s="137">
        <v>150000</v>
      </c>
      <c r="L26" s="137">
        <v>250000</v>
      </c>
      <c r="M26" s="165">
        <v>0</v>
      </c>
      <c r="N26" s="137">
        <v>200000</v>
      </c>
      <c r="O26" s="137">
        <v>400000</v>
      </c>
      <c r="P26" s="137">
        <v>2500000</v>
      </c>
      <c r="Q26" s="137">
        <v>1900000</v>
      </c>
      <c r="R26" s="137">
        <v>0</v>
      </c>
      <c r="S26" s="137">
        <v>600000</v>
      </c>
      <c r="T26" s="165">
        <f t="shared" si="0"/>
        <v>78490000</v>
      </c>
      <c r="U26" s="165">
        <f t="shared" ref="U26:U57" si="3" xml:space="preserve"> (C26+D26) - T26</f>
        <v>11397000</v>
      </c>
      <c r="V26" s="201"/>
      <c r="W26" s="202" t="s">
        <v>186</v>
      </c>
    </row>
    <row r="27" spans="1:25" s="148" customFormat="1" x14ac:dyDescent="0.3">
      <c r="A27" s="345">
        <v>2025</v>
      </c>
      <c r="B27" s="134" t="s">
        <v>72</v>
      </c>
      <c r="C27" s="135">
        <f xml:space="preserve"> U26 + 7590000 +600000 + 2000000</f>
        <v>21587000</v>
      </c>
      <c r="D27" s="135">
        <v>1200000</v>
      </c>
      <c r="E27" s="135">
        <v>3240000</v>
      </c>
      <c r="F27" s="135">
        <v>0</v>
      </c>
      <c r="G27" s="135">
        <v>420000</v>
      </c>
      <c r="H27" s="135">
        <v>200000</v>
      </c>
      <c r="I27" s="135">
        <v>100000</v>
      </c>
      <c r="J27" s="135">
        <v>900000</v>
      </c>
      <c r="K27" s="135">
        <v>150000</v>
      </c>
      <c r="L27" s="135">
        <v>250000</v>
      </c>
      <c r="M27" s="135">
        <v>0</v>
      </c>
      <c r="N27" s="135">
        <v>300000</v>
      </c>
      <c r="O27" s="135">
        <v>400000</v>
      </c>
      <c r="P27" s="135">
        <v>2100000</v>
      </c>
      <c r="Q27" s="135">
        <v>1300000</v>
      </c>
      <c r="R27" s="135">
        <v>8000000</v>
      </c>
      <c r="S27" s="135">
        <v>600000</v>
      </c>
      <c r="T27" s="135">
        <f t="shared" si="0"/>
        <v>17960000</v>
      </c>
      <c r="U27" s="199">
        <f t="shared" si="3"/>
        <v>4827000</v>
      </c>
      <c r="V27" s="173"/>
    </row>
    <row r="28" spans="1:25" s="134" customFormat="1" x14ac:dyDescent="0.3">
      <c r="A28" s="345"/>
      <c r="B28" s="134" t="s">
        <v>73</v>
      </c>
      <c r="C28" s="135">
        <f t="shared" ref="C28:C34" si="4" xml:space="preserve"> U27 + 7590000</f>
        <v>12417000</v>
      </c>
      <c r="D28" s="135">
        <v>5700000</v>
      </c>
      <c r="E28" s="135">
        <v>0</v>
      </c>
      <c r="F28" s="135">
        <v>0</v>
      </c>
      <c r="G28" s="135">
        <v>420000</v>
      </c>
      <c r="H28" s="135">
        <v>200000</v>
      </c>
      <c r="I28" s="135">
        <v>100000</v>
      </c>
      <c r="J28" s="135">
        <v>1100000</v>
      </c>
      <c r="K28" s="135">
        <v>150000</v>
      </c>
      <c r="L28" s="135">
        <v>250000</v>
      </c>
      <c r="M28" s="135">
        <v>0</v>
      </c>
      <c r="N28" s="135">
        <v>500000</v>
      </c>
      <c r="O28" s="135">
        <v>0</v>
      </c>
      <c r="P28" s="135">
        <v>3000000</v>
      </c>
      <c r="Q28" s="135">
        <v>450000</v>
      </c>
      <c r="R28" s="135">
        <v>200000</v>
      </c>
      <c r="S28" s="135">
        <v>600000</v>
      </c>
      <c r="T28" s="135">
        <f t="shared" si="0"/>
        <v>6970000</v>
      </c>
      <c r="U28" s="199">
        <f t="shared" si="3"/>
        <v>11147000</v>
      </c>
      <c r="V28" s="173"/>
    </row>
    <row r="29" spans="1:25" s="134" customFormat="1" x14ac:dyDescent="0.3">
      <c r="A29" s="345"/>
      <c r="B29" s="134" t="s">
        <v>74</v>
      </c>
      <c r="C29" s="135">
        <f xml:space="preserve"> U28 + 7590000</f>
        <v>18737000</v>
      </c>
      <c r="D29" s="135">
        <v>12700000</v>
      </c>
      <c r="E29" s="135">
        <v>0</v>
      </c>
      <c r="F29" s="135">
        <v>0</v>
      </c>
      <c r="G29" s="135">
        <v>420000</v>
      </c>
      <c r="H29" s="135">
        <v>200000</v>
      </c>
      <c r="I29" s="135">
        <v>100000</v>
      </c>
      <c r="J29" s="135">
        <v>1100000</v>
      </c>
      <c r="K29" s="135">
        <v>150000</v>
      </c>
      <c r="L29" s="135">
        <v>200000</v>
      </c>
      <c r="M29" s="135">
        <v>0</v>
      </c>
      <c r="N29" s="135">
        <v>500000</v>
      </c>
      <c r="O29" s="135">
        <v>0</v>
      </c>
      <c r="P29" s="135">
        <v>3700000</v>
      </c>
      <c r="Q29" s="135">
        <v>500000</v>
      </c>
      <c r="R29" s="135">
        <v>0</v>
      </c>
      <c r="S29" s="135">
        <v>0</v>
      </c>
      <c r="T29" s="135">
        <f t="shared" si="0"/>
        <v>6870000</v>
      </c>
      <c r="U29" s="199">
        <f t="shared" si="3"/>
        <v>24567000</v>
      </c>
      <c r="V29" s="173"/>
    </row>
    <row r="30" spans="1:25" s="134" customFormat="1" x14ac:dyDescent="0.3">
      <c r="A30" s="345"/>
      <c r="B30" s="134" t="s">
        <v>75</v>
      </c>
      <c r="C30" s="135">
        <f t="shared" si="4"/>
        <v>32157000</v>
      </c>
      <c r="D30" s="135">
        <f xml:space="preserve"> 2500000 + 30000000</f>
        <v>32500000</v>
      </c>
      <c r="E30" s="135">
        <v>1500000</v>
      </c>
      <c r="F30" s="135">
        <v>40000000</v>
      </c>
      <c r="G30" s="135">
        <v>420000</v>
      </c>
      <c r="H30" s="135">
        <v>200000</v>
      </c>
      <c r="I30" s="135">
        <v>100000</v>
      </c>
      <c r="J30" s="135">
        <v>1100000</v>
      </c>
      <c r="K30" s="135">
        <v>150000</v>
      </c>
      <c r="L30" s="135">
        <v>200000</v>
      </c>
      <c r="M30" s="135">
        <v>0</v>
      </c>
      <c r="N30" s="135">
        <v>500000</v>
      </c>
      <c r="O30" s="135">
        <v>0</v>
      </c>
      <c r="P30" s="135">
        <v>2300000</v>
      </c>
      <c r="Q30" s="135">
        <v>3000000</v>
      </c>
      <c r="R30" s="135">
        <v>0</v>
      </c>
      <c r="S30" s="135">
        <v>300000</v>
      </c>
      <c r="T30" s="135">
        <f t="shared" si="0"/>
        <v>49770000</v>
      </c>
      <c r="U30" s="199">
        <f t="shared" si="3"/>
        <v>14887000</v>
      </c>
      <c r="V30" s="173" t="s">
        <v>208</v>
      </c>
    </row>
    <row r="31" spans="1:25" s="134" customFormat="1" x14ac:dyDescent="0.3">
      <c r="A31" s="345"/>
      <c r="B31" s="134" t="s">
        <v>76</v>
      </c>
      <c r="C31" s="135">
        <f t="shared" si="4"/>
        <v>22477000</v>
      </c>
      <c r="D31" s="135">
        <v>0</v>
      </c>
      <c r="E31" s="135">
        <v>1200000</v>
      </c>
      <c r="F31" s="135">
        <v>0</v>
      </c>
      <c r="G31" s="135">
        <v>420000</v>
      </c>
      <c r="H31" s="135">
        <v>200000</v>
      </c>
      <c r="I31" s="135">
        <v>100000</v>
      </c>
      <c r="J31" s="135">
        <v>1100000</v>
      </c>
      <c r="K31" s="135">
        <v>150000</v>
      </c>
      <c r="L31" s="135">
        <v>200000</v>
      </c>
      <c r="M31" s="135">
        <v>0</v>
      </c>
      <c r="N31" s="135">
        <v>500000</v>
      </c>
      <c r="O31" s="135">
        <v>0</v>
      </c>
      <c r="P31" s="135">
        <v>2000000</v>
      </c>
      <c r="Q31" s="135">
        <v>500000</v>
      </c>
      <c r="R31" s="135">
        <v>3000000</v>
      </c>
      <c r="S31" s="135">
        <v>300000</v>
      </c>
      <c r="T31" s="135">
        <f t="shared" si="0"/>
        <v>9670000</v>
      </c>
      <c r="U31" s="199">
        <f t="shared" si="3"/>
        <v>12807000</v>
      </c>
      <c r="V31" s="205" t="s">
        <v>209</v>
      </c>
    </row>
    <row r="32" spans="1:25" s="134" customFormat="1" x14ac:dyDescent="0.3">
      <c r="A32" s="345"/>
      <c r="B32" s="134" t="s">
        <v>77</v>
      </c>
      <c r="C32" s="135">
        <f t="shared" si="4"/>
        <v>20397000</v>
      </c>
      <c r="D32" s="135">
        <f xml:space="preserve"> 35000000 + 108000000 +30000000 +10000000</f>
        <v>183000000</v>
      </c>
      <c r="E32" s="135">
        <v>0</v>
      </c>
      <c r="F32" s="135">
        <v>0</v>
      </c>
      <c r="G32" s="135">
        <v>420000</v>
      </c>
      <c r="H32" s="135">
        <v>200000</v>
      </c>
      <c r="I32" s="135">
        <v>100000</v>
      </c>
      <c r="J32" s="135">
        <v>1200000</v>
      </c>
      <c r="K32" s="135">
        <v>150000</v>
      </c>
      <c r="L32" s="135">
        <v>150000</v>
      </c>
      <c r="M32" s="135">
        <v>0</v>
      </c>
      <c r="N32" s="135">
        <v>500000</v>
      </c>
      <c r="O32" s="135">
        <v>0</v>
      </c>
      <c r="P32" s="135">
        <v>2150000</v>
      </c>
      <c r="Q32" s="135">
        <v>1260000</v>
      </c>
      <c r="R32" s="135">
        <v>38000000</v>
      </c>
      <c r="S32" s="135">
        <v>70300000</v>
      </c>
      <c r="T32" s="135">
        <f t="shared" si="0"/>
        <v>114430000</v>
      </c>
      <c r="U32" s="199">
        <f t="shared" si="3"/>
        <v>88967000</v>
      </c>
      <c r="V32" s="173" t="s">
        <v>217</v>
      </c>
    </row>
    <row r="33" spans="1:22" x14ac:dyDescent="0.3">
      <c r="A33" s="345"/>
      <c r="B33" s="1" t="s">
        <v>78</v>
      </c>
      <c r="C33" s="138">
        <f t="shared" si="4"/>
        <v>96557000</v>
      </c>
      <c r="D33" s="139">
        <v>40000000</v>
      </c>
      <c r="E33" s="2">
        <v>1500000</v>
      </c>
      <c r="F33" s="139">
        <v>0</v>
      </c>
      <c r="G33" s="2">
        <v>420000</v>
      </c>
      <c r="H33" s="140">
        <v>0</v>
      </c>
      <c r="I33" s="2">
        <v>100000</v>
      </c>
      <c r="J33" s="2">
        <v>1200000</v>
      </c>
      <c r="K33" s="2">
        <v>150000</v>
      </c>
      <c r="L33" s="160">
        <v>150000</v>
      </c>
      <c r="M33" s="2">
        <v>0</v>
      </c>
      <c r="N33" s="2">
        <v>500000</v>
      </c>
      <c r="O33" s="2">
        <v>0</v>
      </c>
      <c r="P33" s="2">
        <v>2100000</v>
      </c>
      <c r="Q33" s="2">
        <v>0</v>
      </c>
      <c r="R33" s="2">
        <v>38000000</v>
      </c>
      <c r="S33" s="2">
        <v>300000</v>
      </c>
      <c r="T33" s="2">
        <f t="shared" si="0"/>
        <v>44420000</v>
      </c>
      <c r="U33" s="191">
        <f t="shared" si="3"/>
        <v>92137000</v>
      </c>
      <c r="V33" s="172"/>
    </row>
    <row r="34" spans="1:22" s="224" customFormat="1" x14ac:dyDescent="0.3">
      <c r="A34" s="345"/>
      <c r="B34" s="224" t="s">
        <v>79</v>
      </c>
      <c r="C34" s="225">
        <f t="shared" si="4"/>
        <v>99727000</v>
      </c>
      <c r="D34" s="225">
        <f xml:space="preserve"> 6800000 + 256000000 + 15000000</f>
        <v>277800000</v>
      </c>
      <c r="E34" s="225">
        <v>0</v>
      </c>
      <c r="F34" s="225">
        <v>0</v>
      </c>
      <c r="G34" s="225">
        <v>420000</v>
      </c>
      <c r="H34" s="225">
        <v>0</v>
      </c>
      <c r="I34" s="2">
        <v>0</v>
      </c>
      <c r="J34" s="2">
        <v>1200000</v>
      </c>
      <c r="K34" s="225">
        <v>150000</v>
      </c>
      <c r="L34" s="225">
        <v>150000</v>
      </c>
      <c r="M34" s="225">
        <v>0</v>
      </c>
      <c r="N34" s="225">
        <v>500000</v>
      </c>
      <c r="O34" s="225">
        <v>0</v>
      </c>
      <c r="P34" s="225">
        <v>2000000</v>
      </c>
      <c r="Q34" s="225">
        <v>15000000</v>
      </c>
      <c r="R34" s="225">
        <v>304000000</v>
      </c>
      <c r="S34" s="225">
        <v>50300000</v>
      </c>
      <c r="T34" s="225">
        <f t="shared" si="0"/>
        <v>373720000</v>
      </c>
      <c r="U34" s="226">
        <f t="shared" si="3"/>
        <v>3807000</v>
      </c>
      <c r="V34" s="224" t="s">
        <v>224</v>
      </c>
    </row>
    <row r="35" spans="1:22" s="142" customFormat="1" ht="17.25" customHeight="1" x14ac:dyDescent="0.3">
      <c r="A35" s="345"/>
      <c r="B35" s="142" t="s">
        <v>80</v>
      </c>
      <c r="C35" s="138">
        <f t="shared" ref="C35:C42" si="5" xml:space="preserve"> U34 + 7590000</f>
        <v>11397000</v>
      </c>
      <c r="D35" s="139">
        <v>0</v>
      </c>
      <c r="E35" s="139">
        <v>0</v>
      </c>
      <c r="F35" s="139">
        <v>0</v>
      </c>
      <c r="G35" s="2">
        <v>420000</v>
      </c>
      <c r="H35" s="2">
        <v>1400000</v>
      </c>
      <c r="I35" s="2">
        <v>0</v>
      </c>
      <c r="J35" s="2">
        <v>1200000</v>
      </c>
      <c r="K35" s="2">
        <v>500000</v>
      </c>
      <c r="L35" s="160">
        <v>150000</v>
      </c>
      <c r="M35" s="2">
        <v>0</v>
      </c>
      <c r="N35" s="2">
        <v>500000</v>
      </c>
      <c r="O35" s="2">
        <v>0</v>
      </c>
      <c r="P35" s="2">
        <v>1500000</v>
      </c>
      <c r="Q35" s="2">
        <v>500000</v>
      </c>
      <c r="R35" s="2">
        <v>0</v>
      </c>
      <c r="S35" s="2">
        <v>50000</v>
      </c>
      <c r="T35" s="143">
        <f t="shared" ref="T35:T66" si="6">SUM(E35:S35)</f>
        <v>6220000</v>
      </c>
      <c r="U35" s="191">
        <f t="shared" si="3"/>
        <v>5177000</v>
      </c>
    </row>
    <row r="36" spans="1:22" s="75" customFormat="1" x14ac:dyDescent="0.3">
      <c r="A36" s="345"/>
      <c r="B36" s="75" t="s">
        <v>81</v>
      </c>
      <c r="C36" s="140">
        <f t="shared" si="5"/>
        <v>12767000</v>
      </c>
      <c r="D36" s="139">
        <v>0</v>
      </c>
      <c r="E36" s="140">
        <v>1500000</v>
      </c>
      <c r="F36" s="139">
        <v>0</v>
      </c>
      <c r="G36" s="140">
        <v>420000</v>
      </c>
      <c r="H36" s="2">
        <v>1400000</v>
      </c>
      <c r="I36" s="2">
        <v>0</v>
      </c>
      <c r="J36" s="2">
        <v>1200000</v>
      </c>
      <c r="K36" s="2">
        <v>500000</v>
      </c>
      <c r="L36" s="160">
        <v>150000</v>
      </c>
      <c r="M36" s="140">
        <v>0</v>
      </c>
      <c r="N36" s="140">
        <v>500000</v>
      </c>
      <c r="O36" s="140">
        <v>0</v>
      </c>
      <c r="P36" s="2">
        <v>1500000</v>
      </c>
      <c r="Q36" s="2">
        <v>0</v>
      </c>
      <c r="R36" s="2">
        <v>0</v>
      </c>
      <c r="S36" s="2">
        <v>50000</v>
      </c>
      <c r="T36" s="140">
        <f t="shared" si="6"/>
        <v>7220000</v>
      </c>
      <c r="U36" s="203">
        <f t="shared" si="3"/>
        <v>5547000</v>
      </c>
    </row>
    <row r="37" spans="1:22" x14ac:dyDescent="0.3">
      <c r="A37" s="345"/>
      <c r="B37" s="1" t="s">
        <v>82</v>
      </c>
      <c r="C37" s="138">
        <f t="shared" si="5"/>
        <v>13137000</v>
      </c>
      <c r="D37" s="139">
        <v>0</v>
      </c>
      <c r="E37" s="139">
        <v>0</v>
      </c>
      <c r="F37" s="139">
        <v>0</v>
      </c>
      <c r="G37" s="2">
        <v>420000</v>
      </c>
      <c r="H37" s="2">
        <v>1400000</v>
      </c>
      <c r="I37" s="2">
        <v>0</v>
      </c>
      <c r="J37" s="2">
        <v>1200000</v>
      </c>
      <c r="K37" s="2">
        <v>500000</v>
      </c>
      <c r="L37" s="160">
        <v>150000</v>
      </c>
      <c r="M37" s="2">
        <v>0</v>
      </c>
      <c r="N37" s="2">
        <v>500000</v>
      </c>
      <c r="O37" s="2">
        <v>0</v>
      </c>
      <c r="P37" s="2">
        <v>1500000</v>
      </c>
      <c r="Q37" s="2">
        <v>500000</v>
      </c>
      <c r="R37" s="2">
        <v>0</v>
      </c>
      <c r="S37" s="2">
        <v>50000</v>
      </c>
      <c r="T37" s="2">
        <f t="shared" si="6"/>
        <v>6220000</v>
      </c>
      <c r="U37" s="191">
        <f t="shared" si="3"/>
        <v>6917000</v>
      </c>
    </row>
    <row r="38" spans="1:22" s="274" customFormat="1" ht="17.25" thickBot="1" x14ac:dyDescent="0.35">
      <c r="A38" s="345"/>
      <c r="B38" s="271" t="s">
        <v>83</v>
      </c>
      <c r="C38" s="272">
        <f t="shared" si="5"/>
        <v>14507000</v>
      </c>
      <c r="D38" s="268">
        <v>0</v>
      </c>
      <c r="E38" s="273">
        <v>0</v>
      </c>
      <c r="F38" s="268">
        <v>0</v>
      </c>
      <c r="G38" s="273">
        <v>420000</v>
      </c>
      <c r="H38" s="268">
        <v>1400000</v>
      </c>
      <c r="I38" s="272">
        <v>0</v>
      </c>
      <c r="J38" s="2">
        <v>1200000</v>
      </c>
      <c r="K38" s="268">
        <v>500000</v>
      </c>
      <c r="L38" s="268">
        <v>150000</v>
      </c>
      <c r="M38" s="273">
        <v>0</v>
      </c>
      <c r="N38" s="272">
        <v>500000</v>
      </c>
      <c r="O38" s="272">
        <v>0</v>
      </c>
      <c r="P38" s="272">
        <v>1500000</v>
      </c>
      <c r="Q38" s="268">
        <v>0</v>
      </c>
      <c r="R38" s="272">
        <v>0</v>
      </c>
      <c r="S38" s="268">
        <v>10050000</v>
      </c>
      <c r="T38" s="273">
        <f t="shared" si="6"/>
        <v>15720000</v>
      </c>
      <c r="U38" s="273">
        <f t="shared" si="3"/>
        <v>-1213000</v>
      </c>
    </row>
    <row r="39" spans="1:22" s="158" customFormat="1" x14ac:dyDescent="0.3">
      <c r="A39" s="345">
        <v>2026</v>
      </c>
      <c r="B39" s="161" t="s">
        <v>72</v>
      </c>
      <c r="C39" s="159">
        <f t="shared" si="5"/>
        <v>6377000</v>
      </c>
      <c r="D39" s="139">
        <v>0</v>
      </c>
      <c r="E39" s="2">
        <v>1500000</v>
      </c>
      <c r="F39" s="139">
        <v>500000</v>
      </c>
      <c r="G39" s="159">
        <v>420000</v>
      </c>
      <c r="H39" s="2">
        <v>1400000</v>
      </c>
      <c r="I39" s="159">
        <v>0</v>
      </c>
      <c r="J39" s="2">
        <v>1200000</v>
      </c>
      <c r="K39" s="2">
        <v>500000</v>
      </c>
      <c r="L39" s="160">
        <v>150000</v>
      </c>
      <c r="M39" s="159">
        <v>0</v>
      </c>
      <c r="N39" s="2">
        <v>500000</v>
      </c>
      <c r="O39" s="2">
        <v>0</v>
      </c>
      <c r="P39" s="2">
        <v>1500000</v>
      </c>
      <c r="Q39" s="2">
        <v>0</v>
      </c>
      <c r="R39" s="2">
        <v>0</v>
      </c>
      <c r="S39" s="2">
        <v>0</v>
      </c>
      <c r="T39" s="159">
        <f t="shared" si="6"/>
        <v>7670000</v>
      </c>
      <c r="U39" s="191">
        <f t="shared" si="3"/>
        <v>-1293000</v>
      </c>
    </row>
    <row r="40" spans="1:22" s="75" customFormat="1" x14ac:dyDescent="0.3">
      <c r="A40" s="345"/>
      <c r="B40" s="75" t="s">
        <v>73</v>
      </c>
      <c r="C40" s="140">
        <f t="shared" si="5"/>
        <v>6297000</v>
      </c>
      <c r="D40" s="139">
        <v>0</v>
      </c>
      <c r="E40" s="139">
        <v>0</v>
      </c>
      <c r="F40" s="139">
        <v>500000</v>
      </c>
      <c r="G40" s="140">
        <v>420000</v>
      </c>
      <c r="H40" s="2">
        <v>1400000</v>
      </c>
      <c r="I40" s="140">
        <v>0</v>
      </c>
      <c r="J40" s="2">
        <v>1200000</v>
      </c>
      <c r="K40" s="2">
        <v>500000</v>
      </c>
      <c r="L40" s="160">
        <v>150000</v>
      </c>
      <c r="M40" s="140">
        <v>0</v>
      </c>
      <c r="N40" s="2">
        <v>500000</v>
      </c>
      <c r="O40" s="2">
        <v>0</v>
      </c>
      <c r="P40" s="2">
        <v>1500000</v>
      </c>
      <c r="Q40" s="2">
        <v>500000</v>
      </c>
      <c r="R40" s="2">
        <v>0</v>
      </c>
      <c r="S40" s="2">
        <v>0</v>
      </c>
      <c r="T40" s="140">
        <f t="shared" si="6"/>
        <v>6670000</v>
      </c>
      <c r="U40" s="191">
        <f t="shared" si="3"/>
        <v>-373000</v>
      </c>
    </row>
    <row r="41" spans="1:22" s="144" customFormat="1" x14ac:dyDescent="0.3">
      <c r="A41" s="345"/>
      <c r="B41" s="144" t="s">
        <v>74</v>
      </c>
      <c r="C41" s="138">
        <f t="shared" si="5"/>
        <v>7217000</v>
      </c>
      <c r="D41" s="139">
        <v>0</v>
      </c>
      <c r="E41" s="139">
        <v>0</v>
      </c>
      <c r="F41" s="139">
        <v>500000</v>
      </c>
      <c r="G41" s="2">
        <v>420000</v>
      </c>
      <c r="H41" s="2">
        <v>1400000</v>
      </c>
      <c r="I41" s="2">
        <v>0</v>
      </c>
      <c r="J41" s="2">
        <v>1200000</v>
      </c>
      <c r="K41" s="2">
        <v>500000</v>
      </c>
      <c r="L41" s="160">
        <v>150000</v>
      </c>
      <c r="M41" s="141">
        <v>0</v>
      </c>
      <c r="N41" s="2">
        <v>500000</v>
      </c>
      <c r="O41" s="2">
        <v>0</v>
      </c>
      <c r="P41" s="2">
        <v>1500000</v>
      </c>
      <c r="Q41" s="2">
        <v>0</v>
      </c>
      <c r="R41" s="2">
        <v>0</v>
      </c>
      <c r="S41" s="2">
        <v>0</v>
      </c>
      <c r="T41" s="141">
        <f t="shared" si="6"/>
        <v>6170000</v>
      </c>
      <c r="U41" s="191">
        <f t="shared" si="3"/>
        <v>1047000</v>
      </c>
    </row>
    <row r="42" spans="1:22" s="144" customFormat="1" x14ac:dyDescent="0.3">
      <c r="A42" s="345"/>
      <c r="B42" s="144" t="s">
        <v>75</v>
      </c>
      <c r="C42" s="138">
        <f t="shared" si="5"/>
        <v>8637000</v>
      </c>
      <c r="D42" s="139">
        <v>0</v>
      </c>
      <c r="E42" s="2">
        <v>1500000</v>
      </c>
      <c r="F42" s="139">
        <v>500000</v>
      </c>
      <c r="G42" s="2">
        <v>420000</v>
      </c>
      <c r="H42" s="2">
        <v>1400000</v>
      </c>
      <c r="I42" s="2">
        <v>0</v>
      </c>
      <c r="J42" s="2">
        <v>1200000</v>
      </c>
      <c r="K42" s="2">
        <v>500000</v>
      </c>
      <c r="L42" s="160">
        <v>150000</v>
      </c>
      <c r="M42" s="141">
        <v>0</v>
      </c>
      <c r="N42" s="2">
        <v>500000</v>
      </c>
      <c r="O42" s="2">
        <v>0</v>
      </c>
      <c r="P42" s="2">
        <v>1500000</v>
      </c>
      <c r="Q42" s="2">
        <v>0</v>
      </c>
      <c r="R42" s="2">
        <v>0</v>
      </c>
      <c r="S42" s="2">
        <v>0</v>
      </c>
      <c r="T42" s="141">
        <f t="shared" si="6"/>
        <v>7670000</v>
      </c>
      <c r="U42" s="191">
        <f t="shared" si="3"/>
        <v>967000</v>
      </c>
    </row>
    <row r="43" spans="1:22" s="144" customFormat="1" x14ac:dyDescent="0.3">
      <c r="A43" s="345"/>
      <c r="B43" s="144" t="s">
        <v>76</v>
      </c>
      <c r="C43" s="138">
        <f t="shared" ref="C43:C106" si="7" xml:space="preserve"> U42 + 7590000</f>
        <v>8557000</v>
      </c>
      <c r="D43" s="139">
        <v>0</v>
      </c>
      <c r="E43" s="139">
        <v>2000000</v>
      </c>
      <c r="F43" s="139">
        <v>500000</v>
      </c>
      <c r="G43" s="2">
        <v>420000</v>
      </c>
      <c r="H43" s="2">
        <v>1400000</v>
      </c>
      <c r="I43" s="2">
        <v>0</v>
      </c>
      <c r="J43" s="2">
        <v>1200000</v>
      </c>
      <c r="K43" s="2">
        <v>500000</v>
      </c>
      <c r="L43" s="160">
        <v>150000</v>
      </c>
      <c r="M43" s="141">
        <v>0</v>
      </c>
      <c r="N43" s="2">
        <v>500000</v>
      </c>
      <c r="O43" s="2">
        <v>0</v>
      </c>
      <c r="P43" s="2">
        <v>1500000</v>
      </c>
      <c r="Q43" s="2">
        <v>0</v>
      </c>
      <c r="R43" s="2">
        <v>0</v>
      </c>
      <c r="S43" s="2">
        <v>0</v>
      </c>
      <c r="T43" s="141">
        <f t="shared" si="6"/>
        <v>8170000</v>
      </c>
      <c r="U43" s="191">
        <f t="shared" si="3"/>
        <v>387000</v>
      </c>
    </row>
    <row r="44" spans="1:22" s="144" customFormat="1" x14ac:dyDescent="0.3">
      <c r="A44" s="345"/>
      <c r="B44" s="144" t="s">
        <v>77</v>
      </c>
      <c r="C44" s="138">
        <f t="shared" si="7"/>
        <v>7977000</v>
      </c>
      <c r="D44" s="139">
        <v>0</v>
      </c>
      <c r="E44" s="139">
        <v>0</v>
      </c>
      <c r="F44" s="139">
        <v>500000</v>
      </c>
      <c r="G44" s="2">
        <v>420000</v>
      </c>
      <c r="H44" s="2">
        <v>1400000</v>
      </c>
      <c r="I44" s="2">
        <v>0</v>
      </c>
      <c r="J44" s="2">
        <v>1200000</v>
      </c>
      <c r="K44" s="2">
        <v>500000</v>
      </c>
      <c r="L44" s="160">
        <v>150000</v>
      </c>
      <c r="M44" s="141">
        <v>0</v>
      </c>
      <c r="N44" s="2">
        <v>500000</v>
      </c>
      <c r="O44" s="2">
        <v>0</v>
      </c>
      <c r="P44" s="2">
        <v>1500000</v>
      </c>
      <c r="Q44" s="2">
        <v>500000</v>
      </c>
      <c r="R44" s="2">
        <v>0</v>
      </c>
      <c r="S44" s="2">
        <v>0</v>
      </c>
      <c r="T44" s="141">
        <f t="shared" si="6"/>
        <v>6670000</v>
      </c>
      <c r="U44" s="191">
        <f t="shared" si="3"/>
        <v>1307000</v>
      </c>
    </row>
    <row r="45" spans="1:22" s="144" customFormat="1" x14ac:dyDescent="0.3">
      <c r="A45" s="345"/>
      <c r="B45" s="144" t="s">
        <v>78</v>
      </c>
      <c r="C45" s="138">
        <f t="shared" si="7"/>
        <v>8897000</v>
      </c>
      <c r="D45" s="139">
        <v>0</v>
      </c>
      <c r="E45" s="2">
        <v>1500000</v>
      </c>
      <c r="F45" s="139">
        <v>500000</v>
      </c>
      <c r="G45" s="2">
        <v>420000</v>
      </c>
      <c r="H45" s="2">
        <v>1400000</v>
      </c>
      <c r="I45" s="2">
        <v>0</v>
      </c>
      <c r="J45" s="2">
        <v>1200000</v>
      </c>
      <c r="K45" s="2">
        <v>500000</v>
      </c>
      <c r="L45" s="160">
        <v>150000</v>
      </c>
      <c r="M45" s="141">
        <v>0</v>
      </c>
      <c r="N45" s="2">
        <v>500000</v>
      </c>
      <c r="O45" s="2">
        <v>0</v>
      </c>
      <c r="P45" s="2">
        <v>1500000</v>
      </c>
      <c r="Q45" s="2">
        <v>0</v>
      </c>
      <c r="R45" s="2">
        <v>0</v>
      </c>
      <c r="S45" s="2">
        <v>0</v>
      </c>
      <c r="T45" s="141">
        <f t="shared" si="6"/>
        <v>7670000</v>
      </c>
      <c r="U45" s="191">
        <f t="shared" si="3"/>
        <v>1227000</v>
      </c>
    </row>
    <row r="46" spans="1:22" s="144" customFormat="1" x14ac:dyDescent="0.3">
      <c r="A46" s="345"/>
      <c r="B46" s="144" t="s">
        <v>79</v>
      </c>
      <c r="C46" s="138">
        <f t="shared" si="7"/>
        <v>8817000</v>
      </c>
      <c r="D46" s="139">
        <v>0</v>
      </c>
      <c r="E46" s="139">
        <v>0</v>
      </c>
      <c r="F46" s="139">
        <v>500000</v>
      </c>
      <c r="G46" s="2">
        <v>420000</v>
      </c>
      <c r="H46" s="2">
        <v>1400000</v>
      </c>
      <c r="I46" s="2">
        <v>0</v>
      </c>
      <c r="J46" s="2">
        <v>1200000</v>
      </c>
      <c r="K46" s="2">
        <v>500000</v>
      </c>
      <c r="L46" s="160">
        <v>150000</v>
      </c>
      <c r="M46" s="141">
        <v>0</v>
      </c>
      <c r="N46" s="2">
        <v>500000</v>
      </c>
      <c r="O46" s="2">
        <v>0</v>
      </c>
      <c r="P46" s="2">
        <v>1500000</v>
      </c>
      <c r="Q46" s="2">
        <v>500000</v>
      </c>
      <c r="R46" s="2">
        <v>0</v>
      </c>
      <c r="S46" s="2">
        <v>0</v>
      </c>
      <c r="T46" s="141">
        <f t="shared" si="6"/>
        <v>6670000</v>
      </c>
      <c r="U46" s="191">
        <f t="shared" si="3"/>
        <v>2147000</v>
      </c>
    </row>
    <row r="47" spans="1:22" s="144" customFormat="1" x14ac:dyDescent="0.3">
      <c r="A47" s="345"/>
      <c r="B47" s="144" t="s">
        <v>80</v>
      </c>
      <c r="C47" s="138">
        <f t="shared" si="7"/>
        <v>9737000</v>
      </c>
      <c r="D47" s="139">
        <v>0</v>
      </c>
      <c r="E47" s="139">
        <v>0</v>
      </c>
      <c r="F47" s="139">
        <v>500000</v>
      </c>
      <c r="G47" s="2">
        <v>420000</v>
      </c>
      <c r="H47" s="2">
        <v>1400000</v>
      </c>
      <c r="I47" s="2">
        <v>0</v>
      </c>
      <c r="J47" s="2">
        <v>1200000</v>
      </c>
      <c r="K47" s="2">
        <v>500000</v>
      </c>
      <c r="L47" s="160">
        <v>150000</v>
      </c>
      <c r="M47" s="141">
        <v>0</v>
      </c>
      <c r="N47" s="2">
        <v>500000</v>
      </c>
      <c r="O47" s="2">
        <v>0</v>
      </c>
      <c r="P47" s="2">
        <v>1500000</v>
      </c>
      <c r="Q47" s="2">
        <v>0</v>
      </c>
      <c r="R47" s="2">
        <v>0</v>
      </c>
      <c r="S47" s="2">
        <v>0</v>
      </c>
      <c r="T47" s="141">
        <f t="shared" si="6"/>
        <v>6170000</v>
      </c>
      <c r="U47" s="191">
        <f t="shared" si="3"/>
        <v>3567000</v>
      </c>
    </row>
    <row r="48" spans="1:22" s="144" customFormat="1" x14ac:dyDescent="0.3">
      <c r="A48" s="345"/>
      <c r="B48" s="144" t="s">
        <v>81</v>
      </c>
      <c r="C48" s="138">
        <f t="shared" si="7"/>
        <v>11157000</v>
      </c>
      <c r="D48" s="139">
        <v>0</v>
      </c>
      <c r="E48" s="185">
        <v>1500000</v>
      </c>
      <c r="F48" s="139">
        <v>500000</v>
      </c>
      <c r="G48" s="2">
        <v>420000</v>
      </c>
      <c r="H48" s="2">
        <v>1400000</v>
      </c>
      <c r="I48" s="2">
        <v>0</v>
      </c>
      <c r="J48" s="2">
        <v>1200000</v>
      </c>
      <c r="K48" s="2">
        <v>500000</v>
      </c>
      <c r="L48" s="160">
        <v>150000</v>
      </c>
      <c r="M48" s="141">
        <v>0</v>
      </c>
      <c r="N48" s="2">
        <v>500000</v>
      </c>
      <c r="O48" s="2">
        <v>0</v>
      </c>
      <c r="P48" s="2">
        <v>1500000</v>
      </c>
      <c r="Q48" s="2">
        <v>0</v>
      </c>
      <c r="R48" s="2">
        <v>0</v>
      </c>
      <c r="S48" s="2">
        <v>0</v>
      </c>
      <c r="T48" s="141">
        <f t="shared" si="6"/>
        <v>7670000</v>
      </c>
      <c r="U48" s="191">
        <f t="shared" si="3"/>
        <v>3487000</v>
      </c>
    </row>
    <row r="49" spans="1:22" s="144" customFormat="1" x14ac:dyDescent="0.3">
      <c r="A49" s="345"/>
      <c r="B49" s="144" t="s">
        <v>82</v>
      </c>
      <c r="C49" s="138">
        <f t="shared" si="7"/>
        <v>11077000</v>
      </c>
      <c r="D49" s="139">
        <v>0</v>
      </c>
      <c r="E49" s="139">
        <v>0</v>
      </c>
      <c r="F49" s="139">
        <v>500000</v>
      </c>
      <c r="G49" s="2">
        <v>420000</v>
      </c>
      <c r="H49" s="2">
        <v>1400000</v>
      </c>
      <c r="I49" s="2">
        <v>0</v>
      </c>
      <c r="J49" s="2">
        <v>1200000</v>
      </c>
      <c r="K49" s="2">
        <v>500000</v>
      </c>
      <c r="L49" s="160">
        <v>150000</v>
      </c>
      <c r="M49" s="141">
        <v>0</v>
      </c>
      <c r="N49" s="2">
        <v>500000</v>
      </c>
      <c r="O49" s="2">
        <v>0</v>
      </c>
      <c r="P49" s="2">
        <v>1500000</v>
      </c>
      <c r="Q49" s="2">
        <v>500000</v>
      </c>
      <c r="R49" s="2">
        <v>0</v>
      </c>
      <c r="S49" s="2">
        <v>0</v>
      </c>
      <c r="T49" s="141">
        <f t="shared" si="6"/>
        <v>6670000</v>
      </c>
      <c r="U49" s="191">
        <f t="shared" si="3"/>
        <v>4407000</v>
      </c>
    </row>
    <row r="50" spans="1:22" s="211" customFormat="1" ht="17.25" thickBot="1" x14ac:dyDescent="0.35">
      <c r="A50" s="345"/>
      <c r="B50" s="206" t="s">
        <v>83</v>
      </c>
      <c r="C50" s="207">
        <f t="shared" si="7"/>
        <v>11997000</v>
      </c>
      <c r="D50" s="207">
        <v>0</v>
      </c>
      <c r="E50" s="208">
        <v>500000</v>
      </c>
      <c r="F50" s="139">
        <v>500000</v>
      </c>
      <c r="G50" s="208">
        <v>420000</v>
      </c>
      <c r="H50" s="207">
        <v>1400000</v>
      </c>
      <c r="I50" s="207">
        <v>0</v>
      </c>
      <c r="J50" s="2">
        <v>1200000</v>
      </c>
      <c r="K50" s="207">
        <v>500000</v>
      </c>
      <c r="L50" s="207">
        <v>150000</v>
      </c>
      <c r="M50" s="208">
        <v>0</v>
      </c>
      <c r="N50" s="207">
        <v>500000</v>
      </c>
      <c r="O50" s="207">
        <v>0</v>
      </c>
      <c r="P50" s="207">
        <v>1500000</v>
      </c>
      <c r="Q50" s="207">
        <v>0</v>
      </c>
      <c r="R50" s="207">
        <v>0</v>
      </c>
      <c r="S50" s="207">
        <v>0</v>
      </c>
      <c r="T50" s="208">
        <f t="shared" si="6"/>
        <v>6670000</v>
      </c>
      <c r="U50" s="209">
        <f t="shared" si="3"/>
        <v>5327000</v>
      </c>
      <c r="V50" s="210"/>
    </row>
    <row r="51" spans="1:22" s="158" customFormat="1" x14ac:dyDescent="0.3">
      <c r="A51" s="343">
        <v>2027</v>
      </c>
      <c r="B51" s="161" t="s">
        <v>72</v>
      </c>
      <c r="C51" s="138">
        <f t="shared" si="7"/>
        <v>12917000</v>
      </c>
      <c r="D51" s="139">
        <v>0</v>
      </c>
      <c r="E51" s="2">
        <v>1500000</v>
      </c>
      <c r="F51" s="139">
        <v>500000</v>
      </c>
      <c r="G51" s="159">
        <v>420000</v>
      </c>
      <c r="H51" s="2">
        <v>1400000</v>
      </c>
      <c r="I51" s="159">
        <v>0</v>
      </c>
      <c r="J51" s="2">
        <v>1200000</v>
      </c>
      <c r="K51" s="2">
        <v>500000</v>
      </c>
      <c r="L51" s="160">
        <v>150000</v>
      </c>
      <c r="M51" s="159">
        <v>0</v>
      </c>
      <c r="N51" s="2">
        <v>500000</v>
      </c>
      <c r="O51" s="2">
        <v>0</v>
      </c>
      <c r="P51" s="2">
        <v>1500000</v>
      </c>
      <c r="Q51" s="2">
        <v>0</v>
      </c>
      <c r="R51" s="2">
        <v>0</v>
      </c>
      <c r="S51" s="2">
        <v>0</v>
      </c>
      <c r="T51" s="159">
        <f t="shared" si="6"/>
        <v>7670000</v>
      </c>
      <c r="U51" s="191">
        <f t="shared" si="3"/>
        <v>5247000</v>
      </c>
    </row>
    <row r="52" spans="1:22" s="144" customFormat="1" x14ac:dyDescent="0.3">
      <c r="A52" s="343"/>
      <c r="B52" s="144" t="s">
        <v>73</v>
      </c>
      <c r="C52" s="138">
        <f t="shared" si="7"/>
        <v>12837000</v>
      </c>
      <c r="D52" s="139">
        <v>0</v>
      </c>
      <c r="E52" s="139">
        <v>0</v>
      </c>
      <c r="F52" s="139">
        <v>500000</v>
      </c>
      <c r="G52" s="2">
        <v>420000</v>
      </c>
      <c r="H52" s="2">
        <v>1400000</v>
      </c>
      <c r="I52" s="2">
        <v>0</v>
      </c>
      <c r="J52" s="2">
        <v>1200000</v>
      </c>
      <c r="K52" s="2">
        <v>500000</v>
      </c>
      <c r="L52" s="160">
        <v>150000</v>
      </c>
      <c r="M52" s="141">
        <v>0</v>
      </c>
      <c r="N52" s="2">
        <v>500000</v>
      </c>
      <c r="O52" s="2">
        <v>0</v>
      </c>
      <c r="P52" s="2">
        <v>1500000</v>
      </c>
      <c r="Q52" s="2">
        <v>0</v>
      </c>
      <c r="R52" s="2">
        <v>0</v>
      </c>
      <c r="S52" s="2">
        <v>0</v>
      </c>
      <c r="T52" s="141">
        <f t="shared" si="6"/>
        <v>6170000</v>
      </c>
      <c r="U52" s="191">
        <f t="shared" si="3"/>
        <v>6667000</v>
      </c>
    </row>
    <row r="53" spans="1:22" s="144" customFormat="1" x14ac:dyDescent="0.3">
      <c r="A53" s="343"/>
      <c r="B53" s="144" t="s">
        <v>74</v>
      </c>
      <c r="C53" s="138">
        <f t="shared" si="7"/>
        <v>14257000</v>
      </c>
      <c r="D53" s="139">
        <v>0</v>
      </c>
      <c r="E53" s="139">
        <v>0</v>
      </c>
      <c r="F53" s="139">
        <v>500000</v>
      </c>
      <c r="G53" s="2">
        <v>420000</v>
      </c>
      <c r="H53" s="2">
        <v>1400000</v>
      </c>
      <c r="I53" s="2">
        <v>0</v>
      </c>
      <c r="J53" s="2">
        <v>1200000</v>
      </c>
      <c r="K53" s="2">
        <v>500000</v>
      </c>
      <c r="L53" s="160">
        <v>150000</v>
      </c>
      <c r="M53" s="141">
        <v>0</v>
      </c>
      <c r="N53" s="2">
        <v>500000</v>
      </c>
      <c r="O53" s="2">
        <v>0</v>
      </c>
      <c r="P53" s="2">
        <v>1500000</v>
      </c>
      <c r="Q53" s="2">
        <v>500000</v>
      </c>
      <c r="R53" s="2">
        <v>0</v>
      </c>
      <c r="S53" s="2">
        <v>0</v>
      </c>
      <c r="T53" s="141">
        <f t="shared" si="6"/>
        <v>6670000</v>
      </c>
      <c r="U53" s="191">
        <f t="shared" si="3"/>
        <v>7587000</v>
      </c>
    </row>
    <row r="54" spans="1:22" s="144" customFormat="1" x14ac:dyDescent="0.3">
      <c r="A54" s="343"/>
      <c r="B54" s="144" t="s">
        <v>75</v>
      </c>
      <c r="C54" s="138">
        <f t="shared" si="7"/>
        <v>15177000</v>
      </c>
      <c r="D54" s="139">
        <v>0</v>
      </c>
      <c r="E54" s="2">
        <v>1500000</v>
      </c>
      <c r="F54" s="139">
        <v>500000</v>
      </c>
      <c r="G54" s="2">
        <v>420000</v>
      </c>
      <c r="H54" s="2">
        <v>1400000</v>
      </c>
      <c r="I54" s="2">
        <v>0</v>
      </c>
      <c r="J54" s="2">
        <v>1200000</v>
      </c>
      <c r="K54" s="2">
        <v>500000</v>
      </c>
      <c r="L54" s="160">
        <v>150000</v>
      </c>
      <c r="M54" s="141">
        <v>0</v>
      </c>
      <c r="N54" s="2">
        <v>500000</v>
      </c>
      <c r="O54" s="2">
        <v>0</v>
      </c>
      <c r="P54" s="2">
        <v>1500000</v>
      </c>
      <c r="Q54" s="2">
        <v>0</v>
      </c>
      <c r="R54" s="2">
        <v>0</v>
      </c>
      <c r="S54" s="2">
        <v>0</v>
      </c>
      <c r="T54" s="141">
        <f t="shared" si="6"/>
        <v>7670000</v>
      </c>
      <c r="U54" s="191">
        <f t="shared" si="3"/>
        <v>7507000</v>
      </c>
    </row>
    <row r="55" spans="1:22" s="144" customFormat="1" x14ac:dyDescent="0.3">
      <c r="A55" s="343"/>
      <c r="B55" s="144" t="s">
        <v>76</v>
      </c>
      <c r="C55" s="138">
        <f t="shared" si="7"/>
        <v>15097000</v>
      </c>
      <c r="D55" s="139">
        <v>0</v>
      </c>
      <c r="E55" s="139">
        <v>2000000</v>
      </c>
      <c r="F55" s="139">
        <v>500000</v>
      </c>
      <c r="G55" s="2">
        <v>420000</v>
      </c>
      <c r="H55" s="2">
        <v>1400000</v>
      </c>
      <c r="I55" s="2">
        <v>0</v>
      </c>
      <c r="J55" s="2">
        <v>1200000</v>
      </c>
      <c r="K55" s="2">
        <v>500000</v>
      </c>
      <c r="L55" s="160">
        <v>150000</v>
      </c>
      <c r="M55" s="141">
        <v>0</v>
      </c>
      <c r="N55" s="2">
        <v>500000</v>
      </c>
      <c r="O55" s="2">
        <v>0</v>
      </c>
      <c r="P55" s="2">
        <v>1500000</v>
      </c>
      <c r="Q55" s="2">
        <v>500000</v>
      </c>
      <c r="R55" s="2">
        <v>0</v>
      </c>
      <c r="S55" s="2">
        <v>0</v>
      </c>
      <c r="T55" s="141">
        <f t="shared" si="6"/>
        <v>8670000</v>
      </c>
      <c r="U55" s="191">
        <f t="shared" si="3"/>
        <v>6427000</v>
      </c>
    </row>
    <row r="56" spans="1:22" s="144" customFormat="1" x14ac:dyDescent="0.3">
      <c r="A56" s="343"/>
      <c r="B56" s="144" t="s">
        <v>77</v>
      </c>
      <c r="C56" s="138">
        <f t="shared" si="7"/>
        <v>14017000</v>
      </c>
      <c r="D56" s="139">
        <v>0</v>
      </c>
      <c r="E56" s="139">
        <v>0</v>
      </c>
      <c r="F56" s="139">
        <v>500000</v>
      </c>
      <c r="G56" s="2">
        <v>420000</v>
      </c>
      <c r="H56" s="2">
        <v>1400000</v>
      </c>
      <c r="I56" s="2">
        <v>0</v>
      </c>
      <c r="J56" s="2">
        <v>1200000</v>
      </c>
      <c r="K56" s="2">
        <v>500000</v>
      </c>
      <c r="L56" s="160">
        <v>150000</v>
      </c>
      <c r="M56" s="141">
        <v>0</v>
      </c>
      <c r="N56" s="2">
        <v>500000</v>
      </c>
      <c r="O56" s="2">
        <v>0</v>
      </c>
      <c r="P56" s="2">
        <v>1500000</v>
      </c>
      <c r="Q56" s="2">
        <v>0</v>
      </c>
      <c r="R56" s="2">
        <v>0</v>
      </c>
      <c r="S56" s="2">
        <v>0</v>
      </c>
      <c r="T56" s="141">
        <f t="shared" si="6"/>
        <v>6170000</v>
      </c>
      <c r="U56" s="191">
        <f t="shared" si="3"/>
        <v>7847000</v>
      </c>
    </row>
    <row r="57" spans="1:22" s="144" customFormat="1" x14ac:dyDescent="0.3">
      <c r="A57" s="343"/>
      <c r="B57" s="144" t="s">
        <v>78</v>
      </c>
      <c r="C57" s="138">
        <f t="shared" si="7"/>
        <v>15437000</v>
      </c>
      <c r="D57" s="139">
        <v>0</v>
      </c>
      <c r="E57" s="2">
        <v>1500000</v>
      </c>
      <c r="F57" s="139">
        <v>500000</v>
      </c>
      <c r="G57" s="2">
        <v>420000</v>
      </c>
      <c r="H57" s="2">
        <v>1400000</v>
      </c>
      <c r="I57" s="2">
        <v>0</v>
      </c>
      <c r="J57" s="2">
        <v>1200000</v>
      </c>
      <c r="K57" s="2">
        <v>500000</v>
      </c>
      <c r="L57" s="160">
        <v>150000</v>
      </c>
      <c r="M57" s="141">
        <v>0</v>
      </c>
      <c r="N57" s="2">
        <v>500000</v>
      </c>
      <c r="O57" s="2">
        <v>0</v>
      </c>
      <c r="P57" s="2">
        <v>1500000</v>
      </c>
      <c r="Q57" s="2">
        <v>0</v>
      </c>
      <c r="R57" s="2">
        <v>0</v>
      </c>
      <c r="S57" s="2">
        <v>0</v>
      </c>
      <c r="T57" s="141">
        <f t="shared" si="6"/>
        <v>7670000</v>
      </c>
      <c r="U57" s="191">
        <f t="shared" si="3"/>
        <v>7767000</v>
      </c>
    </row>
    <row r="58" spans="1:22" s="144" customFormat="1" x14ac:dyDescent="0.3">
      <c r="A58" s="343"/>
      <c r="B58" s="144" t="s">
        <v>79</v>
      </c>
      <c r="C58" s="138">
        <f t="shared" si="7"/>
        <v>15357000</v>
      </c>
      <c r="D58" s="139">
        <v>0</v>
      </c>
      <c r="E58" s="139">
        <v>0</v>
      </c>
      <c r="F58" s="139">
        <v>500000</v>
      </c>
      <c r="G58" s="2">
        <v>420000</v>
      </c>
      <c r="H58" s="2">
        <v>1400000</v>
      </c>
      <c r="I58" s="2">
        <v>0</v>
      </c>
      <c r="J58" s="2">
        <v>1200000</v>
      </c>
      <c r="K58" s="2">
        <v>500000</v>
      </c>
      <c r="L58" s="160">
        <v>150000</v>
      </c>
      <c r="M58" s="141">
        <v>0</v>
      </c>
      <c r="N58" s="2">
        <v>500000</v>
      </c>
      <c r="O58" s="2">
        <v>0</v>
      </c>
      <c r="P58" s="2">
        <v>1500000</v>
      </c>
      <c r="Q58" s="2">
        <v>500000</v>
      </c>
      <c r="R58" s="2">
        <v>0</v>
      </c>
      <c r="S58" s="2">
        <v>0</v>
      </c>
      <c r="T58" s="141">
        <f t="shared" si="6"/>
        <v>6670000</v>
      </c>
      <c r="U58" s="191">
        <f t="shared" ref="U58:U89" si="8" xml:space="preserve"> (C58+D58) - T58</f>
        <v>8687000</v>
      </c>
    </row>
    <row r="59" spans="1:22" s="144" customFormat="1" x14ac:dyDescent="0.3">
      <c r="A59" s="343"/>
      <c r="B59" s="144" t="s">
        <v>80</v>
      </c>
      <c r="C59" s="138">
        <f t="shared" si="7"/>
        <v>16277000</v>
      </c>
      <c r="D59" s="139">
        <v>0</v>
      </c>
      <c r="E59" s="139">
        <v>0</v>
      </c>
      <c r="F59" s="139">
        <v>500000</v>
      </c>
      <c r="G59" s="2">
        <v>420000</v>
      </c>
      <c r="H59" s="2">
        <v>1400000</v>
      </c>
      <c r="I59" s="2">
        <v>0</v>
      </c>
      <c r="J59" s="2">
        <v>1200000</v>
      </c>
      <c r="K59" s="2">
        <v>500000</v>
      </c>
      <c r="L59" s="160">
        <v>150000</v>
      </c>
      <c r="M59" s="141">
        <v>0</v>
      </c>
      <c r="N59" s="2">
        <v>500000</v>
      </c>
      <c r="O59" s="2">
        <v>0</v>
      </c>
      <c r="P59" s="2">
        <v>1500000</v>
      </c>
      <c r="Q59" s="2">
        <v>0</v>
      </c>
      <c r="R59" s="2">
        <v>0</v>
      </c>
      <c r="S59" s="2">
        <v>0</v>
      </c>
      <c r="T59" s="141">
        <f t="shared" si="6"/>
        <v>6170000</v>
      </c>
      <c r="U59" s="191">
        <f t="shared" si="8"/>
        <v>10107000</v>
      </c>
    </row>
    <row r="60" spans="1:22" s="144" customFormat="1" x14ac:dyDescent="0.3">
      <c r="A60" s="343"/>
      <c r="B60" s="144" t="s">
        <v>81</v>
      </c>
      <c r="C60" s="138">
        <f t="shared" si="7"/>
        <v>17697000</v>
      </c>
      <c r="D60" s="139">
        <v>0</v>
      </c>
      <c r="E60" s="185">
        <v>1500000</v>
      </c>
      <c r="F60" s="139">
        <v>500000</v>
      </c>
      <c r="G60" s="2">
        <v>420000</v>
      </c>
      <c r="H60" s="2">
        <v>1400000</v>
      </c>
      <c r="I60" s="2">
        <v>0</v>
      </c>
      <c r="J60" s="2">
        <v>1200000</v>
      </c>
      <c r="K60" s="2">
        <v>500000</v>
      </c>
      <c r="L60" s="160">
        <v>150000</v>
      </c>
      <c r="M60" s="141">
        <v>0</v>
      </c>
      <c r="N60" s="2">
        <v>500000</v>
      </c>
      <c r="O60" s="2">
        <v>0</v>
      </c>
      <c r="P60" s="2">
        <v>1500000</v>
      </c>
      <c r="Q60" s="2">
        <v>0</v>
      </c>
      <c r="R60" s="2">
        <v>0</v>
      </c>
      <c r="S60" s="2">
        <v>0</v>
      </c>
      <c r="T60" s="141">
        <f t="shared" si="6"/>
        <v>7670000</v>
      </c>
      <c r="U60" s="191">
        <f t="shared" si="8"/>
        <v>10027000</v>
      </c>
    </row>
    <row r="61" spans="1:22" s="144" customFormat="1" x14ac:dyDescent="0.3">
      <c r="A61" s="343"/>
      <c r="B61" s="144" t="s">
        <v>82</v>
      </c>
      <c r="C61" s="138">
        <f t="shared" si="7"/>
        <v>17617000</v>
      </c>
      <c r="D61" s="139">
        <v>0</v>
      </c>
      <c r="E61" s="139">
        <v>0</v>
      </c>
      <c r="F61" s="139">
        <v>500000</v>
      </c>
      <c r="G61" s="2">
        <v>420000</v>
      </c>
      <c r="H61" s="2">
        <v>1400000</v>
      </c>
      <c r="I61" s="2">
        <v>0</v>
      </c>
      <c r="J61" s="2">
        <v>1200000</v>
      </c>
      <c r="K61" s="2">
        <v>500000</v>
      </c>
      <c r="L61" s="160">
        <v>150000</v>
      </c>
      <c r="M61" s="141">
        <v>0</v>
      </c>
      <c r="N61" s="2">
        <v>500000</v>
      </c>
      <c r="O61" s="2">
        <v>0</v>
      </c>
      <c r="P61" s="2">
        <v>1500000</v>
      </c>
      <c r="Q61" s="2">
        <v>0</v>
      </c>
      <c r="R61" s="2">
        <v>0</v>
      </c>
      <c r="S61" s="2">
        <v>0</v>
      </c>
      <c r="T61" s="141">
        <f t="shared" si="6"/>
        <v>6170000</v>
      </c>
      <c r="U61" s="191">
        <f t="shared" si="8"/>
        <v>11447000</v>
      </c>
    </row>
    <row r="62" spans="1:22" s="75" customFormat="1" x14ac:dyDescent="0.3">
      <c r="A62" s="343"/>
      <c r="B62" s="75" t="s">
        <v>83</v>
      </c>
      <c r="C62" s="143">
        <f t="shared" si="7"/>
        <v>19037000</v>
      </c>
      <c r="D62" s="140">
        <v>10000000</v>
      </c>
      <c r="E62" s="294">
        <v>500000</v>
      </c>
      <c r="F62" s="143">
        <v>500000</v>
      </c>
      <c r="G62" s="143">
        <v>420000</v>
      </c>
      <c r="H62" s="143">
        <v>1400000</v>
      </c>
      <c r="I62" s="143">
        <v>0</v>
      </c>
      <c r="J62" s="143">
        <v>1200000</v>
      </c>
      <c r="K62" s="143">
        <v>500000</v>
      </c>
      <c r="L62" s="143">
        <v>150000</v>
      </c>
      <c r="M62" s="143">
        <v>0</v>
      </c>
      <c r="N62" s="143">
        <v>500000</v>
      </c>
      <c r="O62" s="143">
        <v>0</v>
      </c>
      <c r="P62" s="143">
        <v>1500000</v>
      </c>
      <c r="Q62" s="143">
        <v>500000</v>
      </c>
      <c r="R62" s="143">
        <v>0</v>
      </c>
      <c r="S62" s="143">
        <v>20000000</v>
      </c>
      <c r="T62" s="143">
        <f t="shared" si="6"/>
        <v>27170000</v>
      </c>
      <c r="U62" s="294">
        <f t="shared" si="8"/>
        <v>1867000</v>
      </c>
      <c r="V62" s="75" t="s">
        <v>216</v>
      </c>
    </row>
    <row r="63" spans="1:22" s="144" customFormat="1" x14ac:dyDescent="0.3">
      <c r="A63" s="343">
        <v>2028</v>
      </c>
      <c r="B63" s="144" t="s">
        <v>72</v>
      </c>
      <c r="C63" s="138">
        <f t="shared" si="7"/>
        <v>9457000</v>
      </c>
      <c r="D63" s="139">
        <v>0</v>
      </c>
      <c r="E63" s="2">
        <v>1500000</v>
      </c>
      <c r="F63" s="139">
        <v>500000</v>
      </c>
      <c r="G63" s="2">
        <v>420000</v>
      </c>
      <c r="H63" s="2">
        <v>1400000</v>
      </c>
      <c r="I63" s="2">
        <v>0</v>
      </c>
      <c r="J63" s="2">
        <v>1200000</v>
      </c>
      <c r="K63" s="2">
        <v>500000</v>
      </c>
      <c r="L63" s="160">
        <v>150000</v>
      </c>
      <c r="M63" s="141">
        <v>0</v>
      </c>
      <c r="N63" s="2">
        <v>500000</v>
      </c>
      <c r="O63" s="2">
        <v>0</v>
      </c>
      <c r="P63" s="2">
        <v>1500000</v>
      </c>
      <c r="Q63" s="2">
        <v>0</v>
      </c>
      <c r="R63" s="2">
        <v>0</v>
      </c>
      <c r="S63" s="2">
        <v>0</v>
      </c>
      <c r="T63" s="141">
        <f t="shared" si="6"/>
        <v>7670000</v>
      </c>
      <c r="U63" s="191">
        <f t="shared" si="8"/>
        <v>1787000</v>
      </c>
    </row>
    <row r="64" spans="1:22" s="144" customFormat="1" x14ac:dyDescent="0.3">
      <c r="A64" s="343"/>
      <c r="B64" s="144" t="s">
        <v>73</v>
      </c>
      <c r="C64" s="138">
        <f t="shared" si="7"/>
        <v>9377000</v>
      </c>
      <c r="D64" s="139">
        <v>0</v>
      </c>
      <c r="E64" s="139">
        <v>0</v>
      </c>
      <c r="F64" s="139">
        <v>500000</v>
      </c>
      <c r="G64" s="2">
        <v>420000</v>
      </c>
      <c r="H64" s="2">
        <v>1400000</v>
      </c>
      <c r="I64" s="2">
        <v>0</v>
      </c>
      <c r="J64" s="2">
        <v>1200000</v>
      </c>
      <c r="K64" s="2">
        <v>500000</v>
      </c>
      <c r="L64" s="160">
        <v>150000</v>
      </c>
      <c r="M64" s="141">
        <v>0</v>
      </c>
      <c r="N64" s="2">
        <v>500000</v>
      </c>
      <c r="O64" s="2">
        <v>0</v>
      </c>
      <c r="P64" s="2">
        <v>1500000</v>
      </c>
      <c r="Q64" s="2">
        <v>500000</v>
      </c>
      <c r="R64" s="2">
        <v>0</v>
      </c>
      <c r="S64" s="2">
        <v>0</v>
      </c>
      <c r="T64" s="141">
        <f t="shared" si="6"/>
        <v>6670000</v>
      </c>
      <c r="U64" s="191">
        <f t="shared" si="8"/>
        <v>2707000</v>
      </c>
    </row>
    <row r="65" spans="1:22" s="144" customFormat="1" x14ac:dyDescent="0.3">
      <c r="A65" s="343"/>
      <c r="B65" s="144" t="s">
        <v>74</v>
      </c>
      <c r="C65" s="138">
        <f t="shared" si="7"/>
        <v>10297000</v>
      </c>
      <c r="D65" s="139">
        <v>0</v>
      </c>
      <c r="E65" s="139">
        <v>0</v>
      </c>
      <c r="F65" s="139">
        <v>500000</v>
      </c>
      <c r="G65" s="2">
        <v>420000</v>
      </c>
      <c r="H65" s="2">
        <v>1400000</v>
      </c>
      <c r="I65" s="2">
        <v>0</v>
      </c>
      <c r="J65" s="2">
        <v>1200000</v>
      </c>
      <c r="K65" s="2">
        <v>500000</v>
      </c>
      <c r="L65" s="160">
        <v>150000</v>
      </c>
      <c r="M65" s="141">
        <v>0</v>
      </c>
      <c r="N65" s="2">
        <v>500000</v>
      </c>
      <c r="O65" s="2">
        <v>0</v>
      </c>
      <c r="P65" s="2">
        <v>1500000</v>
      </c>
      <c r="Q65" s="2">
        <v>0</v>
      </c>
      <c r="R65" s="2">
        <v>0</v>
      </c>
      <c r="S65" s="2">
        <v>0</v>
      </c>
      <c r="T65" s="141">
        <f t="shared" si="6"/>
        <v>6170000</v>
      </c>
      <c r="U65" s="191">
        <f t="shared" si="8"/>
        <v>4127000</v>
      </c>
    </row>
    <row r="66" spans="1:22" s="144" customFormat="1" x14ac:dyDescent="0.3">
      <c r="A66" s="343"/>
      <c r="B66" s="144" t="s">
        <v>75</v>
      </c>
      <c r="C66" s="138">
        <f t="shared" si="7"/>
        <v>11717000</v>
      </c>
      <c r="D66" s="139">
        <v>0</v>
      </c>
      <c r="E66" s="2">
        <v>1500000</v>
      </c>
      <c r="F66" s="139">
        <v>500000</v>
      </c>
      <c r="G66" s="2">
        <v>420000</v>
      </c>
      <c r="H66" s="2">
        <v>1400000</v>
      </c>
      <c r="I66" s="2">
        <v>0</v>
      </c>
      <c r="J66" s="2">
        <v>1200000</v>
      </c>
      <c r="K66" s="2">
        <v>500000</v>
      </c>
      <c r="L66" s="160">
        <v>150000</v>
      </c>
      <c r="M66" s="141">
        <v>0</v>
      </c>
      <c r="N66" s="2">
        <v>500000</v>
      </c>
      <c r="O66" s="2">
        <v>0</v>
      </c>
      <c r="P66" s="2">
        <v>1500000</v>
      </c>
      <c r="Q66" s="2">
        <v>0</v>
      </c>
      <c r="R66" s="2">
        <v>0</v>
      </c>
      <c r="S66" s="2">
        <v>0</v>
      </c>
      <c r="T66" s="141">
        <f t="shared" si="6"/>
        <v>7670000</v>
      </c>
      <c r="U66" s="191">
        <f t="shared" si="8"/>
        <v>4047000</v>
      </c>
    </row>
    <row r="67" spans="1:22" s="144" customFormat="1" x14ac:dyDescent="0.3">
      <c r="A67" s="343"/>
      <c r="B67" s="144" t="s">
        <v>76</v>
      </c>
      <c r="C67" s="138">
        <f t="shared" si="7"/>
        <v>11637000</v>
      </c>
      <c r="D67" s="139">
        <v>0</v>
      </c>
      <c r="E67" s="139">
        <v>2000000</v>
      </c>
      <c r="F67" s="139">
        <v>500000</v>
      </c>
      <c r="G67" s="2">
        <v>420000</v>
      </c>
      <c r="H67" s="2">
        <v>1400000</v>
      </c>
      <c r="I67" s="2">
        <v>0</v>
      </c>
      <c r="J67" s="2">
        <v>1200000</v>
      </c>
      <c r="K67" s="2">
        <v>500000</v>
      </c>
      <c r="L67" s="160">
        <v>150000</v>
      </c>
      <c r="M67" s="141">
        <v>0</v>
      </c>
      <c r="N67" s="2">
        <v>500000</v>
      </c>
      <c r="O67" s="2">
        <v>0</v>
      </c>
      <c r="P67" s="2">
        <v>1500000</v>
      </c>
      <c r="Q67" s="2">
        <v>500000</v>
      </c>
      <c r="R67" s="2">
        <v>0</v>
      </c>
      <c r="S67" s="2">
        <v>0</v>
      </c>
      <c r="T67" s="141">
        <f t="shared" ref="T67:T98" si="9">SUM(E67:S67)</f>
        <v>8670000</v>
      </c>
      <c r="U67" s="191">
        <f t="shared" si="8"/>
        <v>2967000</v>
      </c>
    </row>
    <row r="68" spans="1:22" s="144" customFormat="1" x14ac:dyDescent="0.3">
      <c r="A68" s="343"/>
      <c r="B68" s="144" t="s">
        <v>77</v>
      </c>
      <c r="C68" s="138">
        <f t="shared" si="7"/>
        <v>10557000</v>
      </c>
      <c r="D68" s="139">
        <v>0</v>
      </c>
      <c r="E68" s="139">
        <v>0</v>
      </c>
      <c r="F68" s="139">
        <v>500000</v>
      </c>
      <c r="G68" s="2">
        <v>420000</v>
      </c>
      <c r="H68" s="2">
        <v>1400000</v>
      </c>
      <c r="I68" s="2">
        <v>0</v>
      </c>
      <c r="J68" s="2">
        <v>1200000</v>
      </c>
      <c r="K68" s="2">
        <v>500000</v>
      </c>
      <c r="L68" s="160">
        <v>150000</v>
      </c>
      <c r="M68" s="141">
        <v>0</v>
      </c>
      <c r="N68" s="2">
        <v>500000</v>
      </c>
      <c r="O68" s="2">
        <v>0</v>
      </c>
      <c r="P68" s="2">
        <v>1500000</v>
      </c>
      <c r="Q68" s="2">
        <v>0</v>
      </c>
      <c r="R68" s="2">
        <v>0</v>
      </c>
      <c r="S68" s="2">
        <v>0</v>
      </c>
      <c r="T68" s="141">
        <f t="shared" si="9"/>
        <v>6170000</v>
      </c>
      <c r="U68" s="191">
        <f t="shared" si="8"/>
        <v>4387000</v>
      </c>
    </row>
    <row r="69" spans="1:22" s="144" customFormat="1" x14ac:dyDescent="0.3">
      <c r="A69" s="343"/>
      <c r="B69" s="144" t="s">
        <v>78</v>
      </c>
      <c r="C69" s="138">
        <f t="shared" si="7"/>
        <v>11977000</v>
      </c>
      <c r="D69" s="139">
        <v>0</v>
      </c>
      <c r="E69" s="2">
        <v>1500000</v>
      </c>
      <c r="F69" s="139">
        <v>500000</v>
      </c>
      <c r="G69" s="2">
        <v>420000</v>
      </c>
      <c r="H69" s="2">
        <v>1400000</v>
      </c>
      <c r="I69" s="2">
        <v>0</v>
      </c>
      <c r="J69" s="2">
        <v>1200000</v>
      </c>
      <c r="K69" s="2">
        <v>500000</v>
      </c>
      <c r="L69" s="160">
        <v>150000</v>
      </c>
      <c r="M69" s="141">
        <v>0</v>
      </c>
      <c r="N69" s="2">
        <v>500000</v>
      </c>
      <c r="O69" s="2">
        <v>0</v>
      </c>
      <c r="P69" s="2">
        <v>1500000</v>
      </c>
      <c r="Q69" s="2">
        <v>0</v>
      </c>
      <c r="R69" s="2">
        <v>0</v>
      </c>
      <c r="S69" s="2">
        <v>0</v>
      </c>
      <c r="T69" s="141">
        <f t="shared" si="9"/>
        <v>7670000</v>
      </c>
      <c r="U69" s="191">
        <f t="shared" si="8"/>
        <v>4307000</v>
      </c>
    </row>
    <row r="70" spans="1:22" s="144" customFormat="1" x14ac:dyDescent="0.3">
      <c r="A70" s="343"/>
      <c r="B70" s="144" t="s">
        <v>79</v>
      </c>
      <c r="C70" s="138">
        <f t="shared" si="7"/>
        <v>11897000</v>
      </c>
      <c r="D70" s="139">
        <v>0</v>
      </c>
      <c r="E70" s="139">
        <v>0</v>
      </c>
      <c r="F70" s="139">
        <v>500000</v>
      </c>
      <c r="G70" s="2">
        <v>420000</v>
      </c>
      <c r="H70" s="2">
        <v>1400000</v>
      </c>
      <c r="I70" s="2">
        <v>0</v>
      </c>
      <c r="J70" s="2">
        <v>1200000</v>
      </c>
      <c r="K70" s="2">
        <v>500000</v>
      </c>
      <c r="L70" s="160">
        <v>150000</v>
      </c>
      <c r="M70" s="141">
        <v>0</v>
      </c>
      <c r="N70" s="2">
        <v>500000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141">
        <f t="shared" si="9"/>
        <v>6170000</v>
      </c>
      <c r="U70" s="191">
        <f t="shared" si="8"/>
        <v>5727000</v>
      </c>
    </row>
    <row r="71" spans="1:22" s="144" customFormat="1" x14ac:dyDescent="0.3">
      <c r="A71" s="343"/>
      <c r="B71" s="144" t="s">
        <v>80</v>
      </c>
      <c r="C71" s="138">
        <f t="shared" si="7"/>
        <v>13317000</v>
      </c>
      <c r="D71" s="139">
        <v>0</v>
      </c>
      <c r="E71" s="139">
        <v>0</v>
      </c>
      <c r="F71" s="139">
        <v>500000</v>
      </c>
      <c r="G71" s="2">
        <v>420000</v>
      </c>
      <c r="H71" s="2">
        <v>1400000</v>
      </c>
      <c r="I71" s="2">
        <v>0</v>
      </c>
      <c r="J71" s="2">
        <v>1200000</v>
      </c>
      <c r="K71" s="2">
        <v>500000</v>
      </c>
      <c r="L71" s="160">
        <v>150000</v>
      </c>
      <c r="M71" s="141">
        <v>0</v>
      </c>
      <c r="N71" s="2">
        <v>500000</v>
      </c>
      <c r="O71" s="2">
        <v>0</v>
      </c>
      <c r="P71" s="2">
        <v>1500000</v>
      </c>
      <c r="Q71" s="2">
        <v>500000</v>
      </c>
      <c r="R71" s="2">
        <v>0</v>
      </c>
      <c r="S71" s="2">
        <v>0</v>
      </c>
      <c r="T71" s="141">
        <f t="shared" si="9"/>
        <v>6670000</v>
      </c>
      <c r="U71" s="191">
        <f t="shared" si="8"/>
        <v>6647000</v>
      </c>
    </row>
    <row r="72" spans="1:22" s="144" customFormat="1" x14ac:dyDescent="0.3">
      <c r="A72" s="343"/>
      <c r="B72" s="144" t="s">
        <v>81</v>
      </c>
      <c r="C72" s="138">
        <f t="shared" si="7"/>
        <v>14237000</v>
      </c>
      <c r="D72" s="139">
        <v>0</v>
      </c>
      <c r="E72" s="185">
        <v>1500000</v>
      </c>
      <c r="F72" s="139">
        <v>500000</v>
      </c>
      <c r="G72" s="2">
        <v>420000</v>
      </c>
      <c r="H72" s="2">
        <v>1400000</v>
      </c>
      <c r="I72" s="2">
        <v>0</v>
      </c>
      <c r="J72" s="2">
        <v>1200000</v>
      </c>
      <c r="K72" s="2">
        <v>500000</v>
      </c>
      <c r="L72" s="160">
        <v>150000</v>
      </c>
      <c r="M72" s="141">
        <v>0</v>
      </c>
      <c r="N72" s="2">
        <v>500000</v>
      </c>
      <c r="O72" s="2">
        <v>0</v>
      </c>
      <c r="P72" s="2">
        <v>1500000</v>
      </c>
      <c r="Q72" s="2">
        <v>0</v>
      </c>
      <c r="R72" s="2">
        <v>0</v>
      </c>
      <c r="S72" s="2">
        <v>0</v>
      </c>
      <c r="T72" s="141">
        <f t="shared" si="9"/>
        <v>7670000</v>
      </c>
      <c r="U72" s="191">
        <f t="shared" si="8"/>
        <v>6567000</v>
      </c>
    </row>
    <row r="73" spans="1:22" s="144" customFormat="1" x14ac:dyDescent="0.3">
      <c r="A73" s="343"/>
      <c r="B73" s="144" t="s">
        <v>82</v>
      </c>
      <c r="C73" s="138">
        <f t="shared" si="7"/>
        <v>14157000</v>
      </c>
      <c r="D73" s="139">
        <v>0</v>
      </c>
      <c r="E73" s="139">
        <v>0</v>
      </c>
      <c r="F73" s="139">
        <v>500000</v>
      </c>
      <c r="G73" s="2">
        <v>420000</v>
      </c>
      <c r="H73" s="2">
        <v>1400000</v>
      </c>
      <c r="I73" s="2">
        <v>0</v>
      </c>
      <c r="J73" s="2">
        <v>1200000</v>
      </c>
      <c r="K73" s="2">
        <v>500000</v>
      </c>
      <c r="L73" s="160">
        <v>150000</v>
      </c>
      <c r="M73" s="141">
        <v>0</v>
      </c>
      <c r="N73" s="2">
        <v>500000</v>
      </c>
      <c r="O73" s="2">
        <v>0</v>
      </c>
      <c r="P73" s="2">
        <v>1500000</v>
      </c>
      <c r="Q73" s="2">
        <v>500000</v>
      </c>
      <c r="R73" s="2">
        <v>0</v>
      </c>
      <c r="S73" s="2">
        <v>0</v>
      </c>
      <c r="T73" s="141">
        <f t="shared" si="9"/>
        <v>6670000</v>
      </c>
      <c r="U73" s="191">
        <f t="shared" si="8"/>
        <v>7487000</v>
      </c>
    </row>
    <row r="74" spans="1:22" s="212" customFormat="1" x14ac:dyDescent="0.3">
      <c r="A74" s="343"/>
      <c r="B74" s="212" t="s">
        <v>83</v>
      </c>
      <c r="C74" s="283">
        <f t="shared" si="7"/>
        <v>15077000</v>
      </c>
      <c r="D74" s="139">
        <v>0</v>
      </c>
      <c r="E74" s="284">
        <v>500000</v>
      </c>
      <c r="F74" s="283">
        <v>500000</v>
      </c>
      <c r="G74" s="283">
        <v>420000</v>
      </c>
      <c r="H74" s="283">
        <v>1400000</v>
      </c>
      <c r="I74" s="283">
        <v>0</v>
      </c>
      <c r="J74" s="185">
        <v>1200000</v>
      </c>
      <c r="K74" s="283">
        <v>500000</v>
      </c>
      <c r="L74" s="283">
        <v>150000</v>
      </c>
      <c r="M74" s="283">
        <v>0</v>
      </c>
      <c r="N74" s="283">
        <v>500000</v>
      </c>
      <c r="O74" s="283">
        <v>0</v>
      </c>
      <c r="P74" s="283">
        <v>1500000</v>
      </c>
      <c r="Q74" s="283">
        <v>0</v>
      </c>
      <c r="R74" s="283">
        <v>0</v>
      </c>
      <c r="S74" s="2">
        <v>0</v>
      </c>
      <c r="T74" s="283">
        <f t="shared" si="9"/>
        <v>6670000</v>
      </c>
      <c r="U74" s="284">
        <f t="shared" si="8"/>
        <v>8407000</v>
      </c>
      <c r="V74" s="285"/>
    </row>
    <row r="75" spans="1:22" s="144" customFormat="1" x14ac:dyDescent="0.3">
      <c r="A75" s="343">
        <v>2029</v>
      </c>
      <c r="B75" s="144" t="s">
        <v>72</v>
      </c>
      <c r="C75" s="138">
        <f t="shared" si="7"/>
        <v>15997000</v>
      </c>
      <c r="D75" s="139">
        <v>0</v>
      </c>
      <c r="E75" s="2">
        <v>1500000</v>
      </c>
      <c r="F75" s="139">
        <v>500000</v>
      </c>
      <c r="G75" s="2">
        <v>420000</v>
      </c>
      <c r="H75" s="2">
        <v>1400000</v>
      </c>
      <c r="I75" s="2">
        <v>0</v>
      </c>
      <c r="J75" s="2">
        <v>1200000</v>
      </c>
      <c r="K75" s="2">
        <v>500000</v>
      </c>
      <c r="L75" s="160">
        <v>150000</v>
      </c>
      <c r="M75" s="141">
        <v>0</v>
      </c>
      <c r="N75" s="2">
        <v>500000</v>
      </c>
      <c r="O75" s="2">
        <v>0</v>
      </c>
      <c r="P75" s="2">
        <v>1500000</v>
      </c>
      <c r="Q75" s="2">
        <v>0</v>
      </c>
      <c r="R75" s="2">
        <v>0</v>
      </c>
      <c r="S75" s="2">
        <v>0</v>
      </c>
      <c r="T75" s="141">
        <f t="shared" si="9"/>
        <v>7670000</v>
      </c>
      <c r="U75" s="191">
        <f t="shared" si="8"/>
        <v>8327000</v>
      </c>
    </row>
    <row r="76" spans="1:22" s="144" customFormat="1" x14ac:dyDescent="0.3">
      <c r="A76" s="343"/>
      <c r="B76" s="144" t="s">
        <v>73</v>
      </c>
      <c r="C76" s="138">
        <f t="shared" si="7"/>
        <v>15917000</v>
      </c>
      <c r="D76" s="139">
        <v>0</v>
      </c>
      <c r="E76" s="139">
        <v>0</v>
      </c>
      <c r="F76" s="139">
        <v>500000</v>
      </c>
      <c r="G76" s="2">
        <v>420000</v>
      </c>
      <c r="H76" s="2">
        <v>1400000</v>
      </c>
      <c r="I76" s="2">
        <v>0</v>
      </c>
      <c r="J76" s="2">
        <v>1200000</v>
      </c>
      <c r="K76" s="2">
        <v>500000</v>
      </c>
      <c r="L76" s="160">
        <v>150000</v>
      </c>
      <c r="M76" s="141">
        <v>0</v>
      </c>
      <c r="N76" s="2">
        <v>500000</v>
      </c>
      <c r="O76" s="2">
        <v>0</v>
      </c>
      <c r="P76" s="2">
        <v>1500000</v>
      </c>
      <c r="Q76" s="2">
        <v>500000</v>
      </c>
      <c r="R76" s="2">
        <v>0</v>
      </c>
      <c r="S76" s="2">
        <v>0</v>
      </c>
      <c r="T76" s="141">
        <f t="shared" si="9"/>
        <v>6670000</v>
      </c>
      <c r="U76" s="191">
        <f t="shared" si="8"/>
        <v>9247000</v>
      </c>
    </row>
    <row r="77" spans="1:22" s="144" customFormat="1" x14ac:dyDescent="0.3">
      <c r="A77" s="343"/>
      <c r="B77" s="144" t="s">
        <v>74</v>
      </c>
      <c r="C77" s="138">
        <f t="shared" si="7"/>
        <v>16837000</v>
      </c>
      <c r="D77" s="139">
        <v>0</v>
      </c>
      <c r="E77" s="139">
        <v>0</v>
      </c>
      <c r="F77" s="139">
        <v>500000</v>
      </c>
      <c r="G77" s="2">
        <v>420000</v>
      </c>
      <c r="H77" s="2">
        <v>1400000</v>
      </c>
      <c r="I77" s="2">
        <v>0</v>
      </c>
      <c r="J77" s="2">
        <v>1200000</v>
      </c>
      <c r="K77" s="2">
        <v>500000</v>
      </c>
      <c r="L77" s="160">
        <v>150000</v>
      </c>
      <c r="M77" s="141">
        <v>0</v>
      </c>
      <c r="N77" s="2">
        <v>500000</v>
      </c>
      <c r="O77" s="2">
        <v>0</v>
      </c>
      <c r="P77" s="2">
        <v>1500000</v>
      </c>
      <c r="Q77" s="2">
        <v>0</v>
      </c>
      <c r="R77" s="2">
        <v>0</v>
      </c>
      <c r="S77" s="2">
        <v>0</v>
      </c>
      <c r="T77" s="141">
        <f t="shared" si="9"/>
        <v>6170000</v>
      </c>
      <c r="U77" s="191">
        <f t="shared" si="8"/>
        <v>10667000</v>
      </c>
    </row>
    <row r="78" spans="1:22" s="144" customFormat="1" x14ac:dyDescent="0.3">
      <c r="A78" s="343"/>
      <c r="B78" s="144" t="s">
        <v>75</v>
      </c>
      <c r="C78" s="138">
        <f t="shared" si="7"/>
        <v>18257000</v>
      </c>
      <c r="D78" s="139">
        <v>0</v>
      </c>
      <c r="E78" s="2">
        <v>1500000</v>
      </c>
      <c r="F78" s="139">
        <v>500000</v>
      </c>
      <c r="G78" s="2">
        <v>420000</v>
      </c>
      <c r="H78" s="2">
        <v>1400000</v>
      </c>
      <c r="I78" s="2">
        <v>0</v>
      </c>
      <c r="J78" s="2">
        <v>1200000</v>
      </c>
      <c r="K78" s="2">
        <v>500000</v>
      </c>
      <c r="L78" s="160">
        <v>150000</v>
      </c>
      <c r="M78" s="141">
        <v>0</v>
      </c>
      <c r="N78" s="2">
        <v>500000</v>
      </c>
      <c r="O78" s="2">
        <v>0</v>
      </c>
      <c r="P78" s="2">
        <v>1500000</v>
      </c>
      <c r="Q78" s="2">
        <v>0</v>
      </c>
      <c r="R78" s="2">
        <v>0</v>
      </c>
      <c r="S78" s="2">
        <v>0</v>
      </c>
      <c r="T78" s="141">
        <f t="shared" si="9"/>
        <v>7670000</v>
      </c>
      <c r="U78" s="191">
        <f t="shared" si="8"/>
        <v>10587000</v>
      </c>
    </row>
    <row r="79" spans="1:22" s="144" customFormat="1" x14ac:dyDescent="0.3">
      <c r="A79" s="343"/>
      <c r="B79" s="144" t="s">
        <v>76</v>
      </c>
      <c r="C79" s="138">
        <f t="shared" si="7"/>
        <v>18177000</v>
      </c>
      <c r="D79" s="139">
        <v>0</v>
      </c>
      <c r="E79" s="139">
        <v>2000000</v>
      </c>
      <c r="F79" s="139">
        <v>500000</v>
      </c>
      <c r="G79" s="2">
        <v>420000</v>
      </c>
      <c r="H79" s="2">
        <v>1400000</v>
      </c>
      <c r="I79" s="2">
        <v>0</v>
      </c>
      <c r="J79" s="2">
        <v>1200000</v>
      </c>
      <c r="K79" s="2">
        <v>500000</v>
      </c>
      <c r="L79" s="160">
        <v>150000</v>
      </c>
      <c r="M79" s="141">
        <v>0</v>
      </c>
      <c r="N79" s="2">
        <v>500000</v>
      </c>
      <c r="O79" s="2">
        <v>0</v>
      </c>
      <c r="P79" s="2">
        <v>1500000</v>
      </c>
      <c r="Q79" s="2">
        <v>0</v>
      </c>
      <c r="R79" s="2">
        <v>0</v>
      </c>
      <c r="S79" s="2">
        <v>0</v>
      </c>
      <c r="T79" s="141">
        <f t="shared" si="9"/>
        <v>8170000</v>
      </c>
      <c r="U79" s="191">
        <f t="shared" si="8"/>
        <v>10007000</v>
      </c>
    </row>
    <row r="80" spans="1:22" s="144" customFormat="1" x14ac:dyDescent="0.3">
      <c r="A80" s="343"/>
      <c r="B80" s="144" t="s">
        <v>77</v>
      </c>
      <c r="C80" s="138">
        <f t="shared" si="7"/>
        <v>17597000</v>
      </c>
      <c r="D80" s="139">
        <v>0</v>
      </c>
      <c r="E80" s="139">
        <v>0</v>
      </c>
      <c r="F80" s="139">
        <v>500000</v>
      </c>
      <c r="G80" s="2">
        <v>420000</v>
      </c>
      <c r="H80" s="2">
        <v>1400000</v>
      </c>
      <c r="I80" s="2">
        <v>0</v>
      </c>
      <c r="J80" s="2">
        <v>1200000</v>
      </c>
      <c r="K80" s="2">
        <v>500000</v>
      </c>
      <c r="L80" s="160">
        <v>150000</v>
      </c>
      <c r="M80" s="141">
        <v>0</v>
      </c>
      <c r="N80" s="2">
        <v>500000</v>
      </c>
      <c r="O80" s="2">
        <v>0</v>
      </c>
      <c r="P80" s="2">
        <v>1500000</v>
      </c>
      <c r="Q80" s="2">
        <v>500000</v>
      </c>
      <c r="R80" s="2">
        <v>0</v>
      </c>
      <c r="S80" s="2">
        <v>0</v>
      </c>
      <c r="T80" s="141">
        <f t="shared" si="9"/>
        <v>6670000</v>
      </c>
      <c r="U80" s="191">
        <f t="shared" si="8"/>
        <v>10927000</v>
      </c>
    </row>
    <row r="81" spans="1:21" s="144" customFormat="1" x14ac:dyDescent="0.3">
      <c r="A81" s="343"/>
      <c r="B81" s="144" t="s">
        <v>78</v>
      </c>
      <c r="C81" s="138">
        <f t="shared" si="7"/>
        <v>18517000</v>
      </c>
      <c r="D81" s="139">
        <v>0</v>
      </c>
      <c r="E81" s="2">
        <v>1500000</v>
      </c>
      <c r="F81" s="139">
        <v>500000</v>
      </c>
      <c r="G81" s="2">
        <v>420000</v>
      </c>
      <c r="H81" s="2">
        <v>1400000</v>
      </c>
      <c r="I81" s="2">
        <v>0</v>
      </c>
      <c r="J81" s="2">
        <v>1200000</v>
      </c>
      <c r="K81" s="2">
        <v>500000</v>
      </c>
      <c r="L81" s="160">
        <v>150000</v>
      </c>
      <c r="M81" s="141">
        <v>0</v>
      </c>
      <c r="N81" s="2">
        <v>500000</v>
      </c>
      <c r="O81" s="2">
        <v>0</v>
      </c>
      <c r="P81" s="2">
        <v>1500000</v>
      </c>
      <c r="Q81" s="2">
        <v>0</v>
      </c>
      <c r="R81" s="2">
        <v>0</v>
      </c>
      <c r="S81" s="2">
        <v>0</v>
      </c>
      <c r="T81" s="141">
        <f t="shared" si="9"/>
        <v>7670000</v>
      </c>
      <c r="U81" s="191">
        <f t="shared" si="8"/>
        <v>10847000</v>
      </c>
    </row>
    <row r="82" spans="1:21" s="144" customFormat="1" x14ac:dyDescent="0.3">
      <c r="A82" s="343"/>
      <c r="B82" s="144" t="s">
        <v>79</v>
      </c>
      <c r="C82" s="138">
        <f t="shared" si="7"/>
        <v>18437000</v>
      </c>
      <c r="D82" s="139">
        <v>0</v>
      </c>
      <c r="E82" s="139">
        <v>0</v>
      </c>
      <c r="F82" s="139">
        <v>500000</v>
      </c>
      <c r="G82" s="2">
        <v>420000</v>
      </c>
      <c r="H82" s="2">
        <v>1400000</v>
      </c>
      <c r="I82" s="2">
        <v>0</v>
      </c>
      <c r="J82" s="2">
        <v>1200000</v>
      </c>
      <c r="K82" s="2">
        <v>500000</v>
      </c>
      <c r="L82" s="160">
        <v>150000</v>
      </c>
      <c r="M82" s="141">
        <v>0</v>
      </c>
      <c r="N82" s="2">
        <v>500000</v>
      </c>
      <c r="O82" s="2">
        <v>0</v>
      </c>
      <c r="P82" s="2">
        <v>1500000</v>
      </c>
      <c r="Q82" s="2">
        <v>500000</v>
      </c>
      <c r="R82" s="2">
        <v>0</v>
      </c>
      <c r="S82" s="2">
        <v>0</v>
      </c>
      <c r="T82" s="141">
        <f t="shared" si="9"/>
        <v>6670000</v>
      </c>
      <c r="U82" s="191">
        <f t="shared" si="8"/>
        <v>11767000</v>
      </c>
    </row>
    <row r="83" spans="1:21" s="144" customFormat="1" x14ac:dyDescent="0.3">
      <c r="A83" s="343"/>
      <c r="B83" s="144" t="s">
        <v>80</v>
      </c>
      <c r="C83" s="138">
        <f t="shared" si="7"/>
        <v>19357000</v>
      </c>
      <c r="D83" s="139">
        <v>0</v>
      </c>
      <c r="E83" s="139">
        <v>0</v>
      </c>
      <c r="F83" s="139">
        <v>500000</v>
      </c>
      <c r="G83" s="2">
        <v>420000</v>
      </c>
      <c r="H83" s="2">
        <v>1400000</v>
      </c>
      <c r="I83" s="2">
        <v>0</v>
      </c>
      <c r="J83" s="2">
        <v>1200000</v>
      </c>
      <c r="K83" s="2">
        <v>500000</v>
      </c>
      <c r="L83" s="160">
        <v>150000</v>
      </c>
      <c r="M83" s="141">
        <v>0</v>
      </c>
      <c r="N83" s="2">
        <v>500000</v>
      </c>
      <c r="O83" s="2">
        <v>0</v>
      </c>
      <c r="P83" s="2">
        <v>1500000</v>
      </c>
      <c r="Q83" s="2">
        <v>0</v>
      </c>
      <c r="R83" s="2">
        <v>0</v>
      </c>
      <c r="S83" s="2">
        <v>0</v>
      </c>
      <c r="T83" s="141">
        <f t="shared" si="9"/>
        <v>6170000</v>
      </c>
      <c r="U83" s="191">
        <f t="shared" si="8"/>
        <v>13187000</v>
      </c>
    </row>
    <row r="84" spans="1:21" s="144" customFormat="1" x14ac:dyDescent="0.3">
      <c r="A84" s="343"/>
      <c r="B84" s="144" t="s">
        <v>81</v>
      </c>
      <c r="C84" s="138">
        <f t="shared" si="7"/>
        <v>20777000</v>
      </c>
      <c r="D84" s="139">
        <v>0</v>
      </c>
      <c r="E84" s="185">
        <v>1500000</v>
      </c>
      <c r="F84" s="139">
        <v>500000</v>
      </c>
      <c r="G84" s="2">
        <v>420000</v>
      </c>
      <c r="H84" s="2">
        <v>1400000</v>
      </c>
      <c r="I84" s="2">
        <v>0</v>
      </c>
      <c r="J84" s="2">
        <v>1200000</v>
      </c>
      <c r="K84" s="2">
        <v>500000</v>
      </c>
      <c r="L84" s="160">
        <v>150000</v>
      </c>
      <c r="M84" s="141">
        <v>0</v>
      </c>
      <c r="N84" s="2">
        <v>500000</v>
      </c>
      <c r="O84" s="2">
        <v>0</v>
      </c>
      <c r="P84" s="2">
        <v>1500000</v>
      </c>
      <c r="Q84" s="2">
        <v>0</v>
      </c>
      <c r="R84" s="2">
        <v>0</v>
      </c>
      <c r="S84" s="2">
        <v>0</v>
      </c>
      <c r="T84" s="141">
        <f t="shared" si="9"/>
        <v>7670000</v>
      </c>
      <c r="U84" s="191">
        <f t="shared" si="8"/>
        <v>13107000</v>
      </c>
    </row>
    <row r="85" spans="1:21" s="144" customFormat="1" x14ac:dyDescent="0.3">
      <c r="A85" s="343"/>
      <c r="B85" s="144" t="s">
        <v>82</v>
      </c>
      <c r="C85" s="138">
        <f t="shared" si="7"/>
        <v>20697000</v>
      </c>
      <c r="D85" s="139">
        <v>0</v>
      </c>
      <c r="E85" s="139">
        <v>0</v>
      </c>
      <c r="F85" s="139">
        <v>500000</v>
      </c>
      <c r="G85" s="2">
        <v>420000</v>
      </c>
      <c r="H85" s="2">
        <v>1400000</v>
      </c>
      <c r="I85" s="2">
        <v>0</v>
      </c>
      <c r="J85" s="2">
        <v>1200000</v>
      </c>
      <c r="K85" s="2">
        <v>500000</v>
      </c>
      <c r="L85" s="160">
        <v>150000</v>
      </c>
      <c r="M85" s="141">
        <v>0</v>
      </c>
      <c r="N85" s="2">
        <v>500000</v>
      </c>
      <c r="O85" s="2">
        <v>0</v>
      </c>
      <c r="P85" s="2">
        <v>1500000</v>
      </c>
      <c r="Q85" s="2">
        <v>500000</v>
      </c>
      <c r="R85" s="2">
        <v>0</v>
      </c>
      <c r="S85" s="2">
        <v>0</v>
      </c>
      <c r="T85" s="141">
        <f t="shared" si="9"/>
        <v>6670000</v>
      </c>
      <c r="U85" s="191">
        <f t="shared" si="8"/>
        <v>14027000</v>
      </c>
    </row>
    <row r="86" spans="1:21" s="285" customFormat="1" x14ac:dyDescent="0.3">
      <c r="A86" s="343"/>
      <c r="B86" s="285" t="s">
        <v>83</v>
      </c>
      <c r="C86" s="283">
        <f t="shared" si="7"/>
        <v>21617000</v>
      </c>
      <c r="D86" s="139">
        <v>0</v>
      </c>
      <c r="E86" s="284">
        <v>500000</v>
      </c>
      <c r="F86" s="283">
        <v>500000</v>
      </c>
      <c r="G86" s="283">
        <v>420000</v>
      </c>
      <c r="H86" s="283">
        <v>1400000</v>
      </c>
      <c r="I86" s="283">
        <v>0</v>
      </c>
      <c r="J86" s="283">
        <v>1200000</v>
      </c>
      <c r="K86" s="283">
        <v>500000</v>
      </c>
      <c r="L86" s="283">
        <v>150000</v>
      </c>
      <c r="M86" s="283">
        <v>0</v>
      </c>
      <c r="N86" s="283">
        <v>500000</v>
      </c>
      <c r="O86" s="283">
        <v>0</v>
      </c>
      <c r="P86" s="283">
        <v>1500000</v>
      </c>
      <c r="Q86" s="283">
        <v>0</v>
      </c>
      <c r="R86" s="283">
        <v>0</v>
      </c>
      <c r="S86" s="2">
        <v>0</v>
      </c>
      <c r="T86" s="283">
        <f t="shared" si="9"/>
        <v>6670000</v>
      </c>
      <c r="U86" s="284">
        <f t="shared" si="8"/>
        <v>14947000</v>
      </c>
    </row>
    <row r="87" spans="1:21" s="144" customFormat="1" x14ac:dyDescent="0.3">
      <c r="A87" s="343">
        <v>2030</v>
      </c>
      <c r="B87" s="144" t="s">
        <v>72</v>
      </c>
      <c r="C87" s="138">
        <f t="shared" si="7"/>
        <v>22537000</v>
      </c>
      <c r="D87" s="139">
        <v>0</v>
      </c>
      <c r="E87" s="2">
        <v>1500000</v>
      </c>
      <c r="F87" s="139">
        <v>500000</v>
      </c>
      <c r="G87" s="2">
        <v>420000</v>
      </c>
      <c r="H87" s="2">
        <v>1400000</v>
      </c>
      <c r="I87" s="2">
        <v>0</v>
      </c>
      <c r="J87" s="2">
        <v>1200000</v>
      </c>
      <c r="K87" s="2">
        <v>500000</v>
      </c>
      <c r="L87" s="160">
        <v>150000</v>
      </c>
      <c r="M87" s="141">
        <v>0</v>
      </c>
      <c r="N87" s="2">
        <v>500000</v>
      </c>
      <c r="O87" s="2">
        <v>0</v>
      </c>
      <c r="P87" s="2">
        <v>1500000</v>
      </c>
      <c r="Q87" s="2">
        <v>0</v>
      </c>
      <c r="R87" s="2">
        <v>0</v>
      </c>
      <c r="S87" s="2">
        <v>0</v>
      </c>
      <c r="T87" s="141">
        <f t="shared" si="9"/>
        <v>7670000</v>
      </c>
      <c r="U87" s="191">
        <f t="shared" si="8"/>
        <v>14867000</v>
      </c>
    </row>
    <row r="88" spans="1:21" s="144" customFormat="1" x14ac:dyDescent="0.3">
      <c r="A88" s="343"/>
      <c r="B88" s="144" t="s">
        <v>73</v>
      </c>
      <c r="C88" s="138">
        <f t="shared" si="7"/>
        <v>22457000</v>
      </c>
      <c r="D88" s="139">
        <v>0</v>
      </c>
      <c r="E88" s="139">
        <v>0</v>
      </c>
      <c r="F88" s="139">
        <v>500000</v>
      </c>
      <c r="G88" s="2">
        <v>420000</v>
      </c>
      <c r="H88" s="2">
        <v>1400000</v>
      </c>
      <c r="I88" s="2">
        <v>0</v>
      </c>
      <c r="J88" s="2">
        <v>1200000</v>
      </c>
      <c r="K88" s="2">
        <v>500000</v>
      </c>
      <c r="L88" s="160">
        <v>150000</v>
      </c>
      <c r="M88" s="141">
        <v>0</v>
      </c>
      <c r="N88" s="2">
        <v>500000</v>
      </c>
      <c r="O88" s="2">
        <v>0</v>
      </c>
      <c r="P88" s="2">
        <v>1500000</v>
      </c>
      <c r="Q88" s="2">
        <v>0</v>
      </c>
      <c r="R88" s="2">
        <v>0</v>
      </c>
      <c r="S88" s="2">
        <v>0</v>
      </c>
      <c r="T88" s="141">
        <f t="shared" si="9"/>
        <v>6170000</v>
      </c>
      <c r="U88" s="191">
        <f t="shared" si="8"/>
        <v>16287000</v>
      </c>
    </row>
    <row r="89" spans="1:21" s="144" customFormat="1" x14ac:dyDescent="0.3">
      <c r="A89" s="343"/>
      <c r="B89" s="144" t="s">
        <v>74</v>
      </c>
      <c r="C89" s="138">
        <f t="shared" si="7"/>
        <v>23877000</v>
      </c>
      <c r="D89" s="139">
        <v>0</v>
      </c>
      <c r="E89" s="139">
        <v>0</v>
      </c>
      <c r="F89" s="139">
        <v>500000</v>
      </c>
      <c r="G89" s="2">
        <v>420000</v>
      </c>
      <c r="H89" s="2">
        <v>1400000</v>
      </c>
      <c r="I89" s="2">
        <v>0</v>
      </c>
      <c r="J89" s="2">
        <v>1200000</v>
      </c>
      <c r="K89" s="2">
        <v>500000</v>
      </c>
      <c r="L89" s="160">
        <v>150000</v>
      </c>
      <c r="M89" s="141">
        <v>0</v>
      </c>
      <c r="N89" s="2">
        <v>500000</v>
      </c>
      <c r="O89" s="2">
        <v>0</v>
      </c>
      <c r="P89" s="2">
        <v>1500000</v>
      </c>
      <c r="Q89" s="2">
        <v>500000</v>
      </c>
      <c r="R89" s="2">
        <v>0</v>
      </c>
      <c r="S89" s="2">
        <v>0</v>
      </c>
      <c r="T89" s="141">
        <f t="shared" si="9"/>
        <v>6670000</v>
      </c>
      <c r="U89" s="191">
        <f t="shared" si="8"/>
        <v>17207000</v>
      </c>
    </row>
    <row r="90" spans="1:21" s="144" customFormat="1" x14ac:dyDescent="0.3">
      <c r="A90" s="343"/>
      <c r="B90" s="144" t="s">
        <v>75</v>
      </c>
      <c r="C90" s="138">
        <f t="shared" si="7"/>
        <v>24797000</v>
      </c>
      <c r="D90" s="139">
        <v>0</v>
      </c>
      <c r="E90" s="2">
        <v>1500000</v>
      </c>
      <c r="F90" s="139">
        <v>500000</v>
      </c>
      <c r="G90" s="2">
        <v>420000</v>
      </c>
      <c r="H90" s="2">
        <v>1400000</v>
      </c>
      <c r="I90" s="2">
        <v>0</v>
      </c>
      <c r="J90" s="2">
        <v>1200000</v>
      </c>
      <c r="K90" s="2">
        <v>500000</v>
      </c>
      <c r="L90" s="160">
        <v>150000</v>
      </c>
      <c r="M90" s="141">
        <v>0</v>
      </c>
      <c r="N90" s="2">
        <v>500000</v>
      </c>
      <c r="O90" s="2">
        <v>0</v>
      </c>
      <c r="P90" s="2">
        <v>1500000</v>
      </c>
      <c r="Q90" s="2">
        <v>0</v>
      </c>
      <c r="R90" s="2">
        <v>0</v>
      </c>
      <c r="S90" s="2">
        <v>0</v>
      </c>
      <c r="T90" s="141">
        <f t="shared" si="9"/>
        <v>7670000</v>
      </c>
      <c r="U90" s="191">
        <f t="shared" ref="U90:U121" si="10" xml:space="preserve"> (C90+D90) - T90</f>
        <v>17127000</v>
      </c>
    </row>
    <row r="91" spans="1:21" s="144" customFormat="1" x14ac:dyDescent="0.3">
      <c r="A91" s="343"/>
      <c r="B91" s="144" t="s">
        <v>76</v>
      </c>
      <c r="C91" s="138">
        <f t="shared" si="7"/>
        <v>24717000</v>
      </c>
      <c r="D91" s="139">
        <v>0</v>
      </c>
      <c r="E91" s="139">
        <v>2000000</v>
      </c>
      <c r="F91" s="139">
        <v>500000</v>
      </c>
      <c r="G91" s="2">
        <v>420000</v>
      </c>
      <c r="H91" s="2">
        <v>1400000</v>
      </c>
      <c r="I91" s="2">
        <v>0</v>
      </c>
      <c r="J91" s="2">
        <v>1200000</v>
      </c>
      <c r="K91" s="2">
        <v>500000</v>
      </c>
      <c r="L91" s="160">
        <v>150000</v>
      </c>
      <c r="M91" s="141">
        <v>0</v>
      </c>
      <c r="N91" s="2">
        <v>500000</v>
      </c>
      <c r="O91" s="2">
        <v>0</v>
      </c>
      <c r="P91" s="2">
        <v>1500000</v>
      </c>
      <c r="Q91" s="2">
        <v>500000</v>
      </c>
      <c r="R91" s="2">
        <v>0</v>
      </c>
      <c r="S91" s="2">
        <v>0</v>
      </c>
      <c r="T91" s="141">
        <f t="shared" si="9"/>
        <v>8670000</v>
      </c>
      <c r="U91" s="191">
        <f t="shared" si="10"/>
        <v>16047000</v>
      </c>
    </row>
    <row r="92" spans="1:21" s="144" customFormat="1" x14ac:dyDescent="0.3">
      <c r="A92" s="343"/>
      <c r="B92" s="144" t="s">
        <v>77</v>
      </c>
      <c r="C92" s="138">
        <f t="shared" si="7"/>
        <v>23637000</v>
      </c>
      <c r="D92" s="139">
        <v>0</v>
      </c>
      <c r="E92" s="139">
        <v>0</v>
      </c>
      <c r="F92" s="139">
        <v>500000</v>
      </c>
      <c r="G92" s="2">
        <v>420000</v>
      </c>
      <c r="H92" s="2">
        <v>1400000</v>
      </c>
      <c r="I92" s="2">
        <v>0</v>
      </c>
      <c r="J92" s="2">
        <v>1200000</v>
      </c>
      <c r="K92" s="2">
        <v>500000</v>
      </c>
      <c r="L92" s="160">
        <v>150000</v>
      </c>
      <c r="M92" s="141">
        <v>0</v>
      </c>
      <c r="N92" s="2">
        <v>500000</v>
      </c>
      <c r="O92" s="2">
        <v>0</v>
      </c>
      <c r="P92" s="2">
        <v>1500000</v>
      </c>
      <c r="Q92" s="2">
        <v>0</v>
      </c>
      <c r="R92" s="2">
        <v>0</v>
      </c>
      <c r="S92" s="2">
        <v>0</v>
      </c>
      <c r="T92" s="141">
        <f t="shared" si="9"/>
        <v>6170000</v>
      </c>
      <c r="U92" s="191">
        <f t="shared" si="10"/>
        <v>17467000</v>
      </c>
    </row>
    <row r="93" spans="1:21" s="144" customFormat="1" x14ac:dyDescent="0.3">
      <c r="A93" s="343"/>
      <c r="B93" s="144" t="s">
        <v>78</v>
      </c>
      <c r="C93" s="138">
        <f t="shared" si="7"/>
        <v>25057000</v>
      </c>
      <c r="D93" s="139">
        <v>0</v>
      </c>
      <c r="E93" s="2">
        <v>1500000</v>
      </c>
      <c r="F93" s="139">
        <v>500000</v>
      </c>
      <c r="G93" s="2">
        <v>420000</v>
      </c>
      <c r="H93" s="2">
        <v>1400000</v>
      </c>
      <c r="I93" s="2">
        <v>0</v>
      </c>
      <c r="J93" s="2">
        <v>1200000</v>
      </c>
      <c r="K93" s="2">
        <v>500000</v>
      </c>
      <c r="L93" s="160">
        <v>150000</v>
      </c>
      <c r="M93" s="141">
        <v>0</v>
      </c>
      <c r="N93" s="2">
        <v>500000</v>
      </c>
      <c r="O93" s="2">
        <v>0</v>
      </c>
      <c r="P93" s="2">
        <v>1500000</v>
      </c>
      <c r="Q93" s="2">
        <v>0</v>
      </c>
      <c r="R93" s="2">
        <v>0</v>
      </c>
      <c r="S93" s="2">
        <v>0</v>
      </c>
      <c r="T93" s="141">
        <f t="shared" si="9"/>
        <v>7670000</v>
      </c>
      <c r="U93" s="191">
        <f t="shared" si="10"/>
        <v>17387000</v>
      </c>
    </row>
    <row r="94" spans="1:21" s="144" customFormat="1" x14ac:dyDescent="0.3">
      <c r="A94" s="343"/>
      <c r="B94" s="144" t="s">
        <v>79</v>
      </c>
      <c r="C94" s="138">
        <f t="shared" si="7"/>
        <v>24977000</v>
      </c>
      <c r="D94" s="139">
        <v>0</v>
      </c>
      <c r="E94" s="139">
        <v>0</v>
      </c>
      <c r="F94" s="139">
        <v>500000</v>
      </c>
      <c r="G94" s="2">
        <v>420000</v>
      </c>
      <c r="H94" s="2">
        <v>1400000</v>
      </c>
      <c r="I94" s="2">
        <v>0</v>
      </c>
      <c r="J94" s="2">
        <v>1200000</v>
      </c>
      <c r="K94" s="2">
        <v>500000</v>
      </c>
      <c r="L94" s="160">
        <v>150000</v>
      </c>
      <c r="M94" s="141">
        <v>0</v>
      </c>
      <c r="N94" s="2">
        <v>500000</v>
      </c>
      <c r="O94" s="2">
        <v>0</v>
      </c>
      <c r="P94" s="2">
        <v>1500000</v>
      </c>
      <c r="Q94" s="2">
        <v>500000</v>
      </c>
      <c r="R94" s="2">
        <v>0</v>
      </c>
      <c r="S94" s="2">
        <v>0</v>
      </c>
      <c r="T94" s="141">
        <f t="shared" si="9"/>
        <v>6670000</v>
      </c>
      <c r="U94" s="191">
        <f t="shared" si="10"/>
        <v>18307000</v>
      </c>
    </row>
    <row r="95" spans="1:21" s="144" customFormat="1" x14ac:dyDescent="0.3">
      <c r="A95" s="343"/>
      <c r="B95" s="144" t="s">
        <v>80</v>
      </c>
      <c r="C95" s="138">
        <f t="shared" si="7"/>
        <v>25897000</v>
      </c>
      <c r="D95" s="139">
        <v>0</v>
      </c>
      <c r="E95" s="139">
        <v>0</v>
      </c>
      <c r="F95" s="139">
        <v>500000</v>
      </c>
      <c r="G95" s="2">
        <v>420000</v>
      </c>
      <c r="H95" s="2">
        <v>1400000</v>
      </c>
      <c r="I95" s="2">
        <v>0</v>
      </c>
      <c r="J95" s="2">
        <v>1200000</v>
      </c>
      <c r="K95" s="2">
        <v>500000</v>
      </c>
      <c r="L95" s="160">
        <v>150000</v>
      </c>
      <c r="M95" s="141">
        <v>0</v>
      </c>
      <c r="N95" s="2">
        <v>500000</v>
      </c>
      <c r="O95" s="2">
        <v>0</v>
      </c>
      <c r="P95" s="2">
        <v>1500000</v>
      </c>
      <c r="Q95" s="2">
        <v>0</v>
      </c>
      <c r="R95" s="2">
        <v>0</v>
      </c>
      <c r="S95" s="2">
        <v>0</v>
      </c>
      <c r="T95" s="141">
        <f t="shared" si="9"/>
        <v>6170000</v>
      </c>
      <c r="U95" s="191">
        <f t="shared" si="10"/>
        <v>19727000</v>
      </c>
    </row>
    <row r="96" spans="1:21" s="144" customFormat="1" x14ac:dyDescent="0.3">
      <c r="A96" s="343"/>
      <c r="B96" s="144" t="s">
        <v>81</v>
      </c>
      <c r="C96" s="138">
        <f t="shared" si="7"/>
        <v>27317000</v>
      </c>
      <c r="D96" s="139">
        <v>0</v>
      </c>
      <c r="E96" s="185">
        <v>1500000</v>
      </c>
      <c r="F96" s="139">
        <v>500000</v>
      </c>
      <c r="G96" s="2">
        <v>420000</v>
      </c>
      <c r="H96" s="2">
        <v>1400000</v>
      </c>
      <c r="I96" s="2">
        <v>0</v>
      </c>
      <c r="J96" s="2">
        <v>1200000</v>
      </c>
      <c r="K96" s="2">
        <v>500000</v>
      </c>
      <c r="L96" s="160">
        <v>150000</v>
      </c>
      <c r="M96" s="141">
        <v>0</v>
      </c>
      <c r="N96" s="2">
        <v>500000</v>
      </c>
      <c r="O96" s="2">
        <v>0</v>
      </c>
      <c r="P96" s="2">
        <v>1500000</v>
      </c>
      <c r="Q96" s="2">
        <v>0</v>
      </c>
      <c r="R96" s="2">
        <v>0</v>
      </c>
      <c r="S96" s="2">
        <v>0</v>
      </c>
      <c r="T96" s="141">
        <f t="shared" si="9"/>
        <v>7670000</v>
      </c>
      <c r="U96" s="191">
        <f t="shared" si="10"/>
        <v>19647000</v>
      </c>
    </row>
    <row r="97" spans="1:22" s="144" customFormat="1" x14ac:dyDescent="0.3">
      <c r="A97" s="343"/>
      <c r="B97" s="144" t="s">
        <v>82</v>
      </c>
      <c r="C97" s="138">
        <f t="shared" si="7"/>
        <v>27237000</v>
      </c>
      <c r="D97" s="139">
        <v>0</v>
      </c>
      <c r="E97" s="139">
        <v>0</v>
      </c>
      <c r="F97" s="139">
        <v>500000</v>
      </c>
      <c r="G97" s="2">
        <v>420000</v>
      </c>
      <c r="H97" s="2">
        <v>1400000</v>
      </c>
      <c r="I97" s="2">
        <v>0</v>
      </c>
      <c r="J97" s="2">
        <v>1200000</v>
      </c>
      <c r="K97" s="2">
        <v>500000</v>
      </c>
      <c r="L97" s="160">
        <v>150000</v>
      </c>
      <c r="M97" s="141">
        <v>0</v>
      </c>
      <c r="N97" s="2">
        <v>500000</v>
      </c>
      <c r="O97" s="2">
        <v>0</v>
      </c>
      <c r="P97" s="2">
        <v>1500000</v>
      </c>
      <c r="Q97" s="2">
        <v>0</v>
      </c>
      <c r="R97" s="2">
        <v>0</v>
      </c>
      <c r="S97" s="2">
        <v>0</v>
      </c>
      <c r="T97" s="141">
        <f t="shared" si="9"/>
        <v>6170000</v>
      </c>
      <c r="U97" s="191">
        <f t="shared" si="10"/>
        <v>21067000</v>
      </c>
    </row>
    <row r="98" spans="1:22" s="212" customFormat="1" x14ac:dyDescent="0.3">
      <c r="A98" s="343"/>
      <c r="B98" s="212" t="s">
        <v>83</v>
      </c>
      <c r="C98" s="283">
        <f t="shared" si="7"/>
        <v>28657000</v>
      </c>
      <c r="D98" s="283">
        <v>10000000</v>
      </c>
      <c r="E98" s="284">
        <v>500000</v>
      </c>
      <c r="F98" s="283">
        <v>500000</v>
      </c>
      <c r="G98" s="283">
        <v>420000</v>
      </c>
      <c r="H98" s="283">
        <v>1400000</v>
      </c>
      <c r="I98" s="283">
        <v>0</v>
      </c>
      <c r="J98" s="283">
        <v>1200000</v>
      </c>
      <c r="K98" s="283">
        <v>500000</v>
      </c>
      <c r="L98" s="283">
        <v>150000</v>
      </c>
      <c r="M98" s="283">
        <v>0</v>
      </c>
      <c r="N98" s="283">
        <v>500000</v>
      </c>
      <c r="O98" s="283">
        <v>0</v>
      </c>
      <c r="P98" s="283">
        <v>1500000</v>
      </c>
      <c r="Q98" s="283">
        <v>500000</v>
      </c>
      <c r="R98" s="283">
        <v>0</v>
      </c>
      <c r="S98" s="283">
        <v>15000000</v>
      </c>
      <c r="T98" s="283">
        <f t="shared" si="9"/>
        <v>22170000</v>
      </c>
      <c r="U98" s="284">
        <f t="shared" si="10"/>
        <v>16487000</v>
      </c>
      <c r="V98" s="285" t="s">
        <v>218</v>
      </c>
    </row>
    <row r="99" spans="1:22" s="144" customFormat="1" x14ac:dyDescent="0.3">
      <c r="A99" s="343">
        <v>2031</v>
      </c>
      <c r="B99" s="144" t="s">
        <v>72</v>
      </c>
      <c r="C99" s="138">
        <f t="shared" si="7"/>
        <v>24077000</v>
      </c>
      <c r="D99" s="139">
        <v>0</v>
      </c>
      <c r="E99" s="2">
        <v>1500000</v>
      </c>
      <c r="F99" s="139">
        <v>500000</v>
      </c>
      <c r="G99" s="2">
        <v>420000</v>
      </c>
      <c r="H99" s="2">
        <v>1400000</v>
      </c>
      <c r="I99" s="2">
        <v>0</v>
      </c>
      <c r="J99" s="2">
        <v>1200000</v>
      </c>
      <c r="K99" s="2">
        <v>500000</v>
      </c>
      <c r="L99" s="160">
        <v>150000</v>
      </c>
      <c r="M99" s="141">
        <v>0</v>
      </c>
      <c r="N99" s="2">
        <v>500000</v>
      </c>
      <c r="O99" s="2">
        <v>0</v>
      </c>
      <c r="P99" s="2">
        <v>1500000</v>
      </c>
      <c r="Q99" s="2">
        <v>0</v>
      </c>
      <c r="R99" s="2">
        <v>0</v>
      </c>
      <c r="S99" s="2">
        <v>0</v>
      </c>
      <c r="T99" s="141">
        <f t="shared" ref="T99:T122" si="11">SUM(E99:S99)</f>
        <v>7670000</v>
      </c>
      <c r="U99" s="191">
        <f t="shared" si="10"/>
        <v>16407000</v>
      </c>
    </row>
    <row r="100" spans="1:22" s="144" customFormat="1" x14ac:dyDescent="0.3">
      <c r="A100" s="343"/>
      <c r="B100" s="144" t="s">
        <v>73</v>
      </c>
      <c r="C100" s="138">
        <f t="shared" si="7"/>
        <v>23997000</v>
      </c>
      <c r="D100" s="139">
        <v>0</v>
      </c>
      <c r="E100" s="139">
        <v>0</v>
      </c>
      <c r="F100" s="139">
        <v>500000</v>
      </c>
      <c r="G100" s="2">
        <v>420000</v>
      </c>
      <c r="H100" s="2">
        <v>1400000</v>
      </c>
      <c r="I100" s="2">
        <v>0</v>
      </c>
      <c r="J100" s="2">
        <v>1200000</v>
      </c>
      <c r="K100" s="2">
        <v>500000</v>
      </c>
      <c r="L100" s="160">
        <v>150000</v>
      </c>
      <c r="M100" s="141">
        <v>0</v>
      </c>
      <c r="N100" s="2">
        <v>500000</v>
      </c>
      <c r="O100" s="2">
        <v>0</v>
      </c>
      <c r="P100" s="2">
        <v>1500000</v>
      </c>
      <c r="Q100" s="2">
        <v>0</v>
      </c>
      <c r="R100" s="2">
        <v>0</v>
      </c>
      <c r="S100" s="2">
        <v>0</v>
      </c>
      <c r="T100" s="141">
        <f t="shared" si="11"/>
        <v>6170000</v>
      </c>
      <c r="U100" s="191">
        <f t="shared" si="10"/>
        <v>17827000</v>
      </c>
    </row>
    <row r="101" spans="1:22" s="144" customFormat="1" x14ac:dyDescent="0.3">
      <c r="A101" s="343"/>
      <c r="B101" s="144" t="s">
        <v>74</v>
      </c>
      <c r="C101" s="138">
        <f t="shared" si="7"/>
        <v>25417000</v>
      </c>
      <c r="D101" s="139">
        <v>0</v>
      </c>
      <c r="E101" s="139">
        <v>0</v>
      </c>
      <c r="F101" s="139">
        <v>500000</v>
      </c>
      <c r="G101" s="2">
        <v>420000</v>
      </c>
      <c r="H101" s="2">
        <v>1400000</v>
      </c>
      <c r="I101" s="2">
        <v>0</v>
      </c>
      <c r="J101" s="2">
        <v>1200000</v>
      </c>
      <c r="K101" s="2">
        <v>500000</v>
      </c>
      <c r="L101" s="160">
        <v>150000</v>
      </c>
      <c r="M101" s="141">
        <v>0</v>
      </c>
      <c r="N101" s="2">
        <v>500000</v>
      </c>
      <c r="O101" s="2">
        <v>0</v>
      </c>
      <c r="P101" s="2">
        <v>1500000</v>
      </c>
      <c r="Q101" s="2">
        <v>500000</v>
      </c>
      <c r="R101" s="2">
        <v>0</v>
      </c>
      <c r="S101" s="2">
        <v>0</v>
      </c>
      <c r="T101" s="141">
        <f t="shared" si="11"/>
        <v>6670000</v>
      </c>
      <c r="U101" s="191">
        <f t="shared" si="10"/>
        <v>18747000</v>
      </c>
    </row>
    <row r="102" spans="1:22" s="144" customFormat="1" x14ac:dyDescent="0.3">
      <c r="A102" s="343"/>
      <c r="B102" s="144" t="s">
        <v>75</v>
      </c>
      <c r="C102" s="138">
        <f t="shared" si="7"/>
        <v>26337000</v>
      </c>
      <c r="D102" s="139">
        <v>0</v>
      </c>
      <c r="E102" s="2">
        <v>1500000</v>
      </c>
      <c r="F102" s="139">
        <v>500000</v>
      </c>
      <c r="G102" s="2">
        <v>420000</v>
      </c>
      <c r="H102" s="2">
        <v>1400000</v>
      </c>
      <c r="I102" s="2">
        <v>0</v>
      </c>
      <c r="J102" s="2">
        <v>1200000</v>
      </c>
      <c r="K102" s="2">
        <v>500000</v>
      </c>
      <c r="L102" s="160">
        <v>150000</v>
      </c>
      <c r="M102" s="141">
        <v>0</v>
      </c>
      <c r="N102" s="2">
        <v>500000</v>
      </c>
      <c r="O102" s="2">
        <v>0</v>
      </c>
      <c r="P102" s="2">
        <v>1500000</v>
      </c>
      <c r="Q102" s="2">
        <v>0</v>
      </c>
      <c r="R102" s="2">
        <v>0</v>
      </c>
      <c r="S102" s="2">
        <v>0</v>
      </c>
      <c r="T102" s="141">
        <f t="shared" si="11"/>
        <v>7670000</v>
      </c>
      <c r="U102" s="191">
        <f t="shared" si="10"/>
        <v>18667000</v>
      </c>
    </row>
    <row r="103" spans="1:22" s="144" customFormat="1" x14ac:dyDescent="0.3">
      <c r="A103" s="343"/>
      <c r="B103" s="144" t="s">
        <v>76</v>
      </c>
      <c r="C103" s="138">
        <f t="shared" si="7"/>
        <v>26257000</v>
      </c>
      <c r="D103" s="139">
        <v>0</v>
      </c>
      <c r="E103" s="139">
        <v>2000000</v>
      </c>
      <c r="F103" s="139">
        <v>500000</v>
      </c>
      <c r="G103" s="2">
        <v>420000</v>
      </c>
      <c r="H103" s="2">
        <v>1400000</v>
      </c>
      <c r="I103" s="2">
        <v>0</v>
      </c>
      <c r="J103" s="2">
        <v>1200000</v>
      </c>
      <c r="K103" s="2">
        <v>500000</v>
      </c>
      <c r="L103" s="160">
        <v>150000</v>
      </c>
      <c r="M103" s="141">
        <v>0</v>
      </c>
      <c r="N103" s="2">
        <v>500000</v>
      </c>
      <c r="O103" s="2">
        <v>0</v>
      </c>
      <c r="P103" s="2">
        <v>1500000</v>
      </c>
      <c r="Q103" s="2">
        <v>500000</v>
      </c>
      <c r="R103" s="2">
        <v>0</v>
      </c>
      <c r="S103" s="2">
        <v>0</v>
      </c>
      <c r="T103" s="141">
        <f t="shared" si="11"/>
        <v>8670000</v>
      </c>
      <c r="U103" s="191">
        <f t="shared" si="10"/>
        <v>17587000</v>
      </c>
    </row>
    <row r="104" spans="1:22" s="144" customFormat="1" x14ac:dyDescent="0.3">
      <c r="A104" s="343"/>
      <c r="B104" s="144" t="s">
        <v>77</v>
      </c>
      <c r="C104" s="138">
        <f t="shared" si="7"/>
        <v>25177000</v>
      </c>
      <c r="D104" s="139">
        <v>0</v>
      </c>
      <c r="E104" s="139">
        <v>0</v>
      </c>
      <c r="F104" s="139">
        <v>500000</v>
      </c>
      <c r="G104" s="2">
        <v>420000</v>
      </c>
      <c r="H104" s="2">
        <v>1400000</v>
      </c>
      <c r="I104" s="2">
        <v>0</v>
      </c>
      <c r="J104" s="2">
        <v>1200000</v>
      </c>
      <c r="K104" s="2">
        <v>500000</v>
      </c>
      <c r="L104" s="160">
        <v>150000</v>
      </c>
      <c r="M104" s="141">
        <v>0</v>
      </c>
      <c r="N104" s="2">
        <v>500000</v>
      </c>
      <c r="O104" s="2">
        <v>0</v>
      </c>
      <c r="P104" s="2">
        <v>1500000</v>
      </c>
      <c r="Q104" s="2">
        <v>0</v>
      </c>
      <c r="R104" s="2">
        <v>0</v>
      </c>
      <c r="S104" s="2">
        <v>0</v>
      </c>
      <c r="T104" s="141">
        <f t="shared" si="11"/>
        <v>6170000</v>
      </c>
      <c r="U104" s="191">
        <f t="shared" si="10"/>
        <v>19007000</v>
      </c>
    </row>
    <row r="105" spans="1:22" s="144" customFormat="1" x14ac:dyDescent="0.3">
      <c r="A105" s="343"/>
      <c r="B105" s="144" t="s">
        <v>78</v>
      </c>
      <c r="C105" s="138">
        <f t="shared" si="7"/>
        <v>26597000</v>
      </c>
      <c r="D105" s="139">
        <v>0</v>
      </c>
      <c r="E105" s="2">
        <v>1500000</v>
      </c>
      <c r="F105" s="139">
        <v>500000</v>
      </c>
      <c r="G105" s="2">
        <v>420000</v>
      </c>
      <c r="H105" s="2">
        <v>1400000</v>
      </c>
      <c r="I105" s="2">
        <v>0</v>
      </c>
      <c r="J105" s="2">
        <v>1200000</v>
      </c>
      <c r="K105" s="2">
        <v>500000</v>
      </c>
      <c r="L105" s="160">
        <v>150000</v>
      </c>
      <c r="M105" s="141">
        <v>0</v>
      </c>
      <c r="N105" s="2">
        <v>500000</v>
      </c>
      <c r="O105" s="2">
        <v>0</v>
      </c>
      <c r="P105" s="2">
        <v>1500000</v>
      </c>
      <c r="Q105" s="2">
        <v>0</v>
      </c>
      <c r="R105" s="2">
        <v>0</v>
      </c>
      <c r="S105" s="2">
        <v>0</v>
      </c>
      <c r="T105" s="141">
        <f t="shared" si="11"/>
        <v>7670000</v>
      </c>
      <c r="U105" s="191">
        <f t="shared" si="10"/>
        <v>18927000</v>
      </c>
    </row>
    <row r="106" spans="1:22" s="144" customFormat="1" x14ac:dyDescent="0.3">
      <c r="A106" s="343"/>
      <c r="B106" s="144" t="s">
        <v>79</v>
      </c>
      <c r="C106" s="138">
        <f t="shared" si="7"/>
        <v>26517000</v>
      </c>
      <c r="D106" s="139">
        <v>0</v>
      </c>
      <c r="E106" s="139">
        <v>0</v>
      </c>
      <c r="F106" s="139">
        <v>500000</v>
      </c>
      <c r="G106" s="2">
        <v>420000</v>
      </c>
      <c r="H106" s="2">
        <v>1400000</v>
      </c>
      <c r="I106" s="2">
        <v>0</v>
      </c>
      <c r="J106" s="2">
        <v>1200000</v>
      </c>
      <c r="K106" s="2">
        <v>500000</v>
      </c>
      <c r="L106" s="160">
        <v>150000</v>
      </c>
      <c r="M106" s="141">
        <v>0</v>
      </c>
      <c r="N106" s="2">
        <v>500000</v>
      </c>
      <c r="O106" s="2">
        <v>0</v>
      </c>
      <c r="P106" s="2">
        <v>1500000</v>
      </c>
      <c r="Q106" s="2">
        <v>500000</v>
      </c>
      <c r="R106" s="2">
        <v>0</v>
      </c>
      <c r="S106" s="2">
        <v>0</v>
      </c>
      <c r="T106" s="141">
        <f t="shared" si="11"/>
        <v>6670000</v>
      </c>
      <c r="U106" s="191">
        <f t="shared" si="10"/>
        <v>19847000</v>
      </c>
    </row>
    <row r="107" spans="1:22" s="144" customFormat="1" x14ac:dyDescent="0.3">
      <c r="A107" s="343"/>
      <c r="B107" s="144" t="s">
        <v>80</v>
      </c>
      <c r="C107" s="138">
        <f t="shared" ref="C107:C122" si="12" xml:space="preserve"> U106 + 7590000</f>
        <v>27437000</v>
      </c>
      <c r="D107" s="139">
        <v>0</v>
      </c>
      <c r="E107" s="139">
        <v>0</v>
      </c>
      <c r="F107" s="139">
        <v>500000</v>
      </c>
      <c r="G107" s="2">
        <v>420000</v>
      </c>
      <c r="H107" s="2">
        <v>1400000</v>
      </c>
      <c r="I107" s="2">
        <v>0</v>
      </c>
      <c r="J107" s="2">
        <v>1200000</v>
      </c>
      <c r="K107" s="2">
        <v>500000</v>
      </c>
      <c r="L107" s="160">
        <v>150000</v>
      </c>
      <c r="M107" s="141">
        <v>0</v>
      </c>
      <c r="N107" s="2">
        <v>500000</v>
      </c>
      <c r="O107" s="2">
        <v>0</v>
      </c>
      <c r="P107" s="2">
        <v>1500000</v>
      </c>
      <c r="Q107" s="2">
        <v>0</v>
      </c>
      <c r="R107" s="2">
        <v>0</v>
      </c>
      <c r="S107" s="2">
        <v>0</v>
      </c>
      <c r="T107" s="141">
        <f t="shared" si="11"/>
        <v>6170000</v>
      </c>
      <c r="U107" s="191">
        <f t="shared" si="10"/>
        <v>21267000</v>
      </c>
    </row>
    <row r="108" spans="1:22" s="144" customFormat="1" x14ac:dyDescent="0.3">
      <c r="A108" s="343"/>
      <c r="B108" s="144" t="s">
        <v>81</v>
      </c>
      <c r="C108" s="138">
        <f t="shared" si="12"/>
        <v>28857000</v>
      </c>
      <c r="D108" s="139">
        <v>0</v>
      </c>
      <c r="E108" s="185">
        <v>1500000</v>
      </c>
      <c r="F108" s="139">
        <v>500000</v>
      </c>
      <c r="G108" s="2">
        <v>420000</v>
      </c>
      <c r="H108" s="2">
        <v>1400000</v>
      </c>
      <c r="I108" s="2">
        <v>0</v>
      </c>
      <c r="J108" s="2">
        <v>1200000</v>
      </c>
      <c r="K108" s="2">
        <v>500000</v>
      </c>
      <c r="L108" s="160">
        <v>150000</v>
      </c>
      <c r="M108" s="141">
        <v>0</v>
      </c>
      <c r="N108" s="2">
        <v>500000</v>
      </c>
      <c r="O108" s="2">
        <v>0</v>
      </c>
      <c r="P108" s="2">
        <v>1500000</v>
      </c>
      <c r="Q108" s="2">
        <v>0</v>
      </c>
      <c r="R108" s="2">
        <v>0</v>
      </c>
      <c r="S108" s="2">
        <v>0</v>
      </c>
      <c r="T108" s="141">
        <f t="shared" si="11"/>
        <v>7670000</v>
      </c>
      <c r="U108" s="191">
        <f t="shared" si="10"/>
        <v>21187000</v>
      </c>
    </row>
    <row r="109" spans="1:22" s="144" customFormat="1" x14ac:dyDescent="0.3">
      <c r="A109" s="343"/>
      <c r="B109" s="144" t="s">
        <v>82</v>
      </c>
      <c r="C109" s="138">
        <f t="shared" si="12"/>
        <v>28777000</v>
      </c>
      <c r="D109" s="139">
        <v>0</v>
      </c>
      <c r="E109" s="139">
        <v>0</v>
      </c>
      <c r="F109" s="139">
        <v>500000</v>
      </c>
      <c r="G109" s="2">
        <v>420000</v>
      </c>
      <c r="H109" s="2">
        <v>1400000</v>
      </c>
      <c r="I109" s="2">
        <v>0</v>
      </c>
      <c r="J109" s="2">
        <v>1200000</v>
      </c>
      <c r="K109" s="2">
        <v>500000</v>
      </c>
      <c r="L109" s="160">
        <v>150000</v>
      </c>
      <c r="M109" s="141">
        <v>0</v>
      </c>
      <c r="N109" s="2">
        <v>500000</v>
      </c>
      <c r="O109" s="2">
        <v>0</v>
      </c>
      <c r="P109" s="2">
        <v>1500000</v>
      </c>
      <c r="Q109" s="2">
        <v>0</v>
      </c>
      <c r="R109" s="2">
        <v>0</v>
      </c>
      <c r="S109" s="2">
        <v>0</v>
      </c>
      <c r="T109" s="141">
        <f t="shared" si="11"/>
        <v>6170000</v>
      </c>
      <c r="U109" s="191">
        <f t="shared" si="10"/>
        <v>22607000</v>
      </c>
    </row>
    <row r="110" spans="1:22" s="212" customFormat="1" x14ac:dyDescent="0.3">
      <c r="A110" s="343"/>
      <c r="B110" s="212" t="s">
        <v>83</v>
      </c>
      <c r="C110" s="185">
        <f t="shared" si="12"/>
        <v>30197000</v>
      </c>
      <c r="D110" s="185">
        <v>10000000</v>
      </c>
      <c r="E110" s="282">
        <v>500000</v>
      </c>
      <c r="F110" s="185">
        <v>500000</v>
      </c>
      <c r="G110" s="185">
        <v>420000</v>
      </c>
      <c r="H110" s="185">
        <v>1400000</v>
      </c>
      <c r="I110" s="185">
        <v>0</v>
      </c>
      <c r="J110" s="185">
        <v>1200000</v>
      </c>
      <c r="K110" s="185">
        <v>500000</v>
      </c>
      <c r="L110" s="185">
        <v>150000</v>
      </c>
      <c r="M110" s="185">
        <v>0</v>
      </c>
      <c r="N110" s="185">
        <v>500000</v>
      </c>
      <c r="O110" s="185">
        <v>0</v>
      </c>
      <c r="P110" s="185">
        <v>1500000</v>
      </c>
      <c r="Q110" s="283">
        <v>500000</v>
      </c>
      <c r="R110" s="185">
        <v>0</v>
      </c>
      <c r="S110" s="283">
        <v>15000000</v>
      </c>
      <c r="T110" s="185">
        <f t="shared" si="11"/>
        <v>22170000</v>
      </c>
      <c r="U110" s="239">
        <f t="shared" si="10"/>
        <v>18027000</v>
      </c>
      <c r="V110" s="212" t="s">
        <v>218</v>
      </c>
    </row>
    <row r="111" spans="1:22" s="144" customFormat="1" x14ac:dyDescent="0.3">
      <c r="A111" s="343">
        <v>2032</v>
      </c>
      <c r="B111" s="144" t="s">
        <v>72</v>
      </c>
      <c r="C111" s="138">
        <f t="shared" si="12"/>
        <v>25617000</v>
      </c>
      <c r="D111" s="139">
        <v>0</v>
      </c>
      <c r="E111" s="2">
        <v>1500000</v>
      </c>
      <c r="F111" s="139">
        <v>500000</v>
      </c>
      <c r="G111" s="2">
        <v>420000</v>
      </c>
      <c r="H111" s="2">
        <v>1400000</v>
      </c>
      <c r="I111" s="2">
        <v>0</v>
      </c>
      <c r="J111" s="2">
        <v>1200000</v>
      </c>
      <c r="K111" s="2">
        <v>500000</v>
      </c>
      <c r="L111" s="160">
        <v>150000</v>
      </c>
      <c r="M111" s="141">
        <v>0</v>
      </c>
      <c r="N111" s="2">
        <v>500000</v>
      </c>
      <c r="O111" s="2">
        <v>0</v>
      </c>
      <c r="P111" s="2">
        <v>1500000</v>
      </c>
      <c r="Q111" s="2">
        <v>0</v>
      </c>
      <c r="R111" s="2">
        <v>0</v>
      </c>
      <c r="S111" s="2">
        <v>0</v>
      </c>
      <c r="T111" s="141">
        <f t="shared" si="11"/>
        <v>7670000</v>
      </c>
      <c r="U111" s="191">
        <f t="shared" si="10"/>
        <v>17947000</v>
      </c>
    </row>
    <row r="112" spans="1:22" s="144" customFormat="1" x14ac:dyDescent="0.3">
      <c r="A112" s="343"/>
      <c r="B112" s="144" t="s">
        <v>73</v>
      </c>
      <c r="C112" s="138">
        <f t="shared" si="12"/>
        <v>25537000</v>
      </c>
      <c r="D112" s="139">
        <v>0</v>
      </c>
      <c r="E112" s="139">
        <v>0</v>
      </c>
      <c r="F112" s="139">
        <v>500000</v>
      </c>
      <c r="G112" s="2">
        <v>420000</v>
      </c>
      <c r="H112" s="2">
        <v>1400000</v>
      </c>
      <c r="I112" s="2">
        <v>0</v>
      </c>
      <c r="J112" s="2">
        <v>1200000</v>
      </c>
      <c r="K112" s="2">
        <v>500000</v>
      </c>
      <c r="L112" s="160">
        <v>150000</v>
      </c>
      <c r="M112" s="141">
        <v>0</v>
      </c>
      <c r="N112" s="2">
        <v>500000</v>
      </c>
      <c r="O112" s="2">
        <v>0</v>
      </c>
      <c r="P112" s="2">
        <v>1500000</v>
      </c>
      <c r="Q112" s="2">
        <v>0</v>
      </c>
      <c r="R112" s="2">
        <v>0</v>
      </c>
      <c r="S112" s="2">
        <v>0</v>
      </c>
      <c r="T112" s="141">
        <f t="shared" si="11"/>
        <v>6170000</v>
      </c>
      <c r="U112" s="191">
        <f t="shared" si="10"/>
        <v>19367000</v>
      </c>
    </row>
    <row r="113" spans="1:22" s="144" customFormat="1" x14ac:dyDescent="0.3">
      <c r="A113" s="343"/>
      <c r="B113" s="144" t="s">
        <v>74</v>
      </c>
      <c r="C113" s="138">
        <f t="shared" si="12"/>
        <v>26957000</v>
      </c>
      <c r="D113" s="139">
        <v>0</v>
      </c>
      <c r="E113" s="139">
        <v>0</v>
      </c>
      <c r="F113" s="139">
        <v>500000</v>
      </c>
      <c r="G113" s="2">
        <v>420000</v>
      </c>
      <c r="H113" s="2">
        <v>1400000</v>
      </c>
      <c r="I113" s="2">
        <v>0</v>
      </c>
      <c r="J113" s="2">
        <v>1200000</v>
      </c>
      <c r="K113" s="2">
        <v>500000</v>
      </c>
      <c r="L113" s="160">
        <v>150000</v>
      </c>
      <c r="M113" s="141">
        <v>0</v>
      </c>
      <c r="N113" s="2">
        <v>500000</v>
      </c>
      <c r="O113" s="2">
        <v>0</v>
      </c>
      <c r="P113" s="2">
        <v>1500000</v>
      </c>
      <c r="Q113" s="2">
        <v>500000</v>
      </c>
      <c r="R113" s="2">
        <v>0</v>
      </c>
      <c r="S113" s="2">
        <v>0</v>
      </c>
      <c r="T113" s="141">
        <f t="shared" si="11"/>
        <v>6670000</v>
      </c>
      <c r="U113" s="191">
        <f t="shared" si="10"/>
        <v>20287000</v>
      </c>
    </row>
    <row r="114" spans="1:22" s="144" customFormat="1" x14ac:dyDescent="0.3">
      <c r="A114" s="343"/>
      <c r="B114" s="144" t="s">
        <v>75</v>
      </c>
      <c r="C114" s="138">
        <f t="shared" si="12"/>
        <v>27877000</v>
      </c>
      <c r="D114" s="139">
        <v>0</v>
      </c>
      <c r="E114" s="2">
        <v>1500000</v>
      </c>
      <c r="F114" s="139">
        <v>500000</v>
      </c>
      <c r="G114" s="2">
        <v>420000</v>
      </c>
      <c r="H114" s="2">
        <v>1400000</v>
      </c>
      <c r="I114" s="2">
        <v>0</v>
      </c>
      <c r="J114" s="2">
        <v>1200000</v>
      </c>
      <c r="K114" s="2">
        <v>500000</v>
      </c>
      <c r="L114" s="160">
        <v>150000</v>
      </c>
      <c r="M114" s="141">
        <v>0</v>
      </c>
      <c r="N114" s="2">
        <v>500000</v>
      </c>
      <c r="O114" s="2">
        <v>0</v>
      </c>
      <c r="P114" s="2">
        <v>1500000</v>
      </c>
      <c r="Q114" s="2">
        <v>0</v>
      </c>
      <c r="R114" s="2">
        <v>0</v>
      </c>
      <c r="S114" s="2">
        <v>0</v>
      </c>
      <c r="T114" s="141">
        <f t="shared" si="11"/>
        <v>7670000</v>
      </c>
      <c r="U114" s="191">
        <f t="shared" si="10"/>
        <v>20207000</v>
      </c>
    </row>
    <row r="115" spans="1:22" s="144" customFormat="1" x14ac:dyDescent="0.3">
      <c r="A115" s="343"/>
      <c r="B115" s="144" t="s">
        <v>76</v>
      </c>
      <c r="C115" s="138">
        <f t="shared" si="12"/>
        <v>27797000</v>
      </c>
      <c r="D115" s="139">
        <v>0</v>
      </c>
      <c r="E115" s="139">
        <v>2000000</v>
      </c>
      <c r="F115" s="139">
        <v>500000</v>
      </c>
      <c r="G115" s="2">
        <v>420000</v>
      </c>
      <c r="H115" s="2">
        <v>1400000</v>
      </c>
      <c r="I115" s="2">
        <v>0</v>
      </c>
      <c r="J115" s="2">
        <v>1200000</v>
      </c>
      <c r="K115" s="2">
        <v>500000</v>
      </c>
      <c r="L115" s="160">
        <v>150000</v>
      </c>
      <c r="M115" s="141">
        <v>0</v>
      </c>
      <c r="N115" s="2">
        <v>500000</v>
      </c>
      <c r="O115" s="2">
        <v>0</v>
      </c>
      <c r="P115" s="2">
        <v>1500000</v>
      </c>
      <c r="Q115" s="2">
        <v>500000</v>
      </c>
      <c r="R115" s="2">
        <v>0</v>
      </c>
      <c r="S115" s="2">
        <v>0</v>
      </c>
      <c r="T115" s="141">
        <f t="shared" si="11"/>
        <v>8670000</v>
      </c>
      <c r="U115" s="191">
        <f t="shared" si="10"/>
        <v>19127000</v>
      </c>
    </row>
    <row r="116" spans="1:22" s="144" customFormat="1" x14ac:dyDescent="0.3">
      <c r="A116" s="343"/>
      <c r="B116" s="144" t="s">
        <v>77</v>
      </c>
      <c r="C116" s="138">
        <f t="shared" si="12"/>
        <v>26717000</v>
      </c>
      <c r="D116" s="139">
        <v>0</v>
      </c>
      <c r="E116" s="139">
        <v>0</v>
      </c>
      <c r="F116" s="139">
        <v>500000</v>
      </c>
      <c r="G116" s="2">
        <v>420000</v>
      </c>
      <c r="H116" s="2">
        <v>1400000</v>
      </c>
      <c r="I116" s="2">
        <v>0</v>
      </c>
      <c r="J116" s="2">
        <v>1200000</v>
      </c>
      <c r="K116" s="2">
        <v>500000</v>
      </c>
      <c r="L116" s="160">
        <v>150000</v>
      </c>
      <c r="M116" s="141">
        <v>0</v>
      </c>
      <c r="N116" s="2">
        <v>500000</v>
      </c>
      <c r="O116" s="2">
        <v>0</v>
      </c>
      <c r="P116" s="2">
        <v>1500000</v>
      </c>
      <c r="Q116" s="2">
        <v>0</v>
      </c>
      <c r="R116" s="2">
        <v>0</v>
      </c>
      <c r="S116" s="2">
        <v>0</v>
      </c>
      <c r="T116" s="141">
        <f t="shared" si="11"/>
        <v>6170000</v>
      </c>
      <c r="U116" s="191">
        <f t="shared" si="10"/>
        <v>20547000</v>
      </c>
    </row>
    <row r="117" spans="1:22" s="144" customFormat="1" x14ac:dyDescent="0.3">
      <c r="A117" s="343"/>
      <c r="B117" s="144" t="s">
        <v>78</v>
      </c>
      <c r="C117" s="138">
        <f t="shared" si="12"/>
        <v>28137000</v>
      </c>
      <c r="D117" s="139">
        <v>0</v>
      </c>
      <c r="E117" s="2">
        <v>1500000</v>
      </c>
      <c r="F117" s="139">
        <v>500000</v>
      </c>
      <c r="G117" s="2">
        <v>420000</v>
      </c>
      <c r="H117" s="2">
        <v>1400000</v>
      </c>
      <c r="I117" s="2">
        <v>0</v>
      </c>
      <c r="J117" s="2">
        <v>1200000</v>
      </c>
      <c r="K117" s="2">
        <v>500000</v>
      </c>
      <c r="L117" s="160">
        <v>150000</v>
      </c>
      <c r="M117" s="141">
        <v>0</v>
      </c>
      <c r="N117" s="2">
        <v>500000</v>
      </c>
      <c r="O117" s="2">
        <v>0</v>
      </c>
      <c r="P117" s="2">
        <v>1500000</v>
      </c>
      <c r="Q117" s="2">
        <v>0</v>
      </c>
      <c r="R117" s="2">
        <v>0</v>
      </c>
      <c r="S117" s="2">
        <v>0</v>
      </c>
      <c r="T117" s="141">
        <f t="shared" si="11"/>
        <v>7670000</v>
      </c>
      <c r="U117" s="191">
        <f t="shared" si="10"/>
        <v>20467000</v>
      </c>
    </row>
    <row r="118" spans="1:22" s="144" customFormat="1" x14ac:dyDescent="0.3">
      <c r="A118" s="343"/>
      <c r="B118" s="144" t="s">
        <v>79</v>
      </c>
      <c r="C118" s="138">
        <f t="shared" si="12"/>
        <v>28057000</v>
      </c>
      <c r="D118" s="139">
        <v>0</v>
      </c>
      <c r="E118" s="139">
        <v>0</v>
      </c>
      <c r="F118" s="139">
        <v>500000</v>
      </c>
      <c r="G118" s="2">
        <v>420000</v>
      </c>
      <c r="H118" s="2">
        <v>1400000</v>
      </c>
      <c r="I118" s="2">
        <v>0</v>
      </c>
      <c r="J118" s="2">
        <v>1200000</v>
      </c>
      <c r="K118" s="2">
        <v>500000</v>
      </c>
      <c r="L118" s="160">
        <v>150000</v>
      </c>
      <c r="M118" s="141">
        <v>0</v>
      </c>
      <c r="N118" s="2">
        <v>500000</v>
      </c>
      <c r="O118" s="2">
        <v>0</v>
      </c>
      <c r="P118" s="2">
        <v>1500000</v>
      </c>
      <c r="Q118" s="2">
        <v>500000</v>
      </c>
      <c r="R118" s="2">
        <v>0</v>
      </c>
      <c r="S118" s="2">
        <v>0</v>
      </c>
      <c r="T118" s="141">
        <f t="shared" si="11"/>
        <v>6670000</v>
      </c>
      <c r="U118" s="191">
        <f t="shared" si="10"/>
        <v>21387000</v>
      </c>
    </row>
    <row r="119" spans="1:22" s="144" customFormat="1" x14ac:dyDescent="0.3">
      <c r="A119" s="343"/>
      <c r="B119" s="144" t="s">
        <v>80</v>
      </c>
      <c r="C119" s="138">
        <f t="shared" si="12"/>
        <v>28977000</v>
      </c>
      <c r="D119" s="139">
        <v>0</v>
      </c>
      <c r="E119" s="139">
        <v>0</v>
      </c>
      <c r="F119" s="139">
        <v>500000</v>
      </c>
      <c r="G119" s="2">
        <v>420000</v>
      </c>
      <c r="H119" s="2">
        <v>1400000</v>
      </c>
      <c r="I119" s="2">
        <v>0</v>
      </c>
      <c r="J119" s="2">
        <v>1200000</v>
      </c>
      <c r="K119" s="2">
        <v>500000</v>
      </c>
      <c r="L119" s="160">
        <v>150000</v>
      </c>
      <c r="M119" s="141">
        <v>0</v>
      </c>
      <c r="N119" s="2">
        <v>500000</v>
      </c>
      <c r="O119" s="2">
        <v>0</v>
      </c>
      <c r="P119" s="2">
        <v>1500000</v>
      </c>
      <c r="Q119" s="2">
        <v>0</v>
      </c>
      <c r="R119" s="2">
        <v>0</v>
      </c>
      <c r="S119" s="2">
        <v>0</v>
      </c>
      <c r="T119" s="141">
        <f t="shared" si="11"/>
        <v>6170000</v>
      </c>
      <c r="U119" s="191">
        <f t="shared" si="10"/>
        <v>22807000</v>
      </c>
    </row>
    <row r="120" spans="1:22" s="144" customFormat="1" x14ac:dyDescent="0.3">
      <c r="A120" s="343"/>
      <c r="B120" s="144" t="s">
        <v>81</v>
      </c>
      <c r="C120" s="138">
        <f t="shared" si="12"/>
        <v>30397000</v>
      </c>
      <c r="D120" s="139">
        <v>0</v>
      </c>
      <c r="E120" s="185">
        <v>1500000</v>
      </c>
      <c r="F120" s="139">
        <v>500000</v>
      </c>
      <c r="G120" s="2">
        <v>420000</v>
      </c>
      <c r="H120" s="2">
        <v>1400000</v>
      </c>
      <c r="I120" s="2">
        <v>0</v>
      </c>
      <c r="J120" s="2">
        <v>1200000</v>
      </c>
      <c r="K120" s="2">
        <v>500000</v>
      </c>
      <c r="L120" s="160">
        <v>150000</v>
      </c>
      <c r="M120" s="141">
        <v>0</v>
      </c>
      <c r="N120" s="2">
        <v>500000</v>
      </c>
      <c r="O120" s="2">
        <v>0</v>
      </c>
      <c r="P120" s="2">
        <v>1500000</v>
      </c>
      <c r="Q120" s="2">
        <v>0</v>
      </c>
      <c r="R120" s="2">
        <v>0</v>
      </c>
      <c r="S120" s="2">
        <v>0</v>
      </c>
      <c r="T120" s="141">
        <f t="shared" si="11"/>
        <v>7670000</v>
      </c>
      <c r="U120" s="191">
        <f t="shared" si="10"/>
        <v>22727000</v>
      </c>
    </row>
    <row r="121" spans="1:22" s="144" customFormat="1" x14ac:dyDescent="0.3">
      <c r="A121" s="343"/>
      <c r="B121" s="144" t="s">
        <v>82</v>
      </c>
      <c r="C121" s="138">
        <f t="shared" si="12"/>
        <v>30317000</v>
      </c>
      <c r="D121" s="139">
        <v>0</v>
      </c>
      <c r="E121" s="139">
        <v>0</v>
      </c>
      <c r="F121" s="139">
        <v>500000</v>
      </c>
      <c r="G121" s="2">
        <v>420000</v>
      </c>
      <c r="H121" s="2">
        <v>1400000</v>
      </c>
      <c r="I121" s="2">
        <v>0</v>
      </c>
      <c r="J121" s="2">
        <v>1200000</v>
      </c>
      <c r="K121" s="2">
        <v>500000</v>
      </c>
      <c r="L121" s="160">
        <v>150000</v>
      </c>
      <c r="M121" s="141">
        <v>0</v>
      </c>
      <c r="N121" s="2">
        <v>500000</v>
      </c>
      <c r="O121" s="2">
        <v>0</v>
      </c>
      <c r="P121" s="2">
        <v>1500000</v>
      </c>
      <c r="Q121" s="2">
        <v>0</v>
      </c>
      <c r="R121" s="2">
        <v>0</v>
      </c>
      <c r="S121" s="2">
        <v>0</v>
      </c>
      <c r="T121" s="141">
        <f t="shared" si="11"/>
        <v>6170000</v>
      </c>
      <c r="U121" s="191">
        <f t="shared" si="10"/>
        <v>24147000</v>
      </c>
    </row>
    <row r="122" spans="1:22" s="285" customFormat="1" x14ac:dyDescent="0.3">
      <c r="A122" s="343"/>
      <c r="B122" s="285" t="s">
        <v>83</v>
      </c>
      <c r="C122" s="283">
        <f t="shared" si="12"/>
        <v>31737000</v>
      </c>
      <c r="D122" s="283">
        <v>10000000</v>
      </c>
      <c r="E122" s="284">
        <v>500000</v>
      </c>
      <c r="F122" s="283">
        <v>500000</v>
      </c>
      <c r="G122" s="283">
        <v>420000</v>
      </c>
      <c r="H122" s="283">
        <v>1400000</v>
      </c>
      <c r="I122" s="283">
        <v>0</v>
      </c>
      <c r="J122" s="283">
        <v>1200000</v>
      </c>
      <c r="K122" s="283">
        <v>500000</v>
      </c>
      <c r="L122" s="283">
        <v>150000</v>
      </c>
      <c r="M122" s="283">
        <v>0</v>
      </c>
      <c r="N122" s="283">
        <v>500000</v>
      </c>
      <c r="O122" s="283">
        <v>0</v>
      </c>
      <c r="P122" s="283">
        <v>1500000</v>
      </c>
      <c r="Q122" s="283">
        <v>500000</v>
      </c>
      <c r="R122" s="283">
        <v>0</v>
      </c>
      <c r="S122" s="283">
        <v>15000000</v>
      </c>
      <c r="T122" s="283">
        <f t="shared" si="11"/>
        <v>22170000</v>
      </c>
      <c r="U122" s="284">
        <f t="shared" ref="U122:U133" si="13" xml:space="preserve"> (C122+D122) - T122</f>
        <v>19567000</v>
      </c>
      <c r="V122" s="285" t="s">
        <v>218</v>
      </c>
    </row>
    <row r="123" spans="1:22" s="144" customFormat="1" x14ac:dyDescent="0.3">
      <c r="A123" s="343">
        <v>2033</v>
      </c>
      <c r="B123" s="144" t="s">
        <v>72</v>
      </c>
      <c r="C123" s="138">
        <f t="shared" ref="C123:C134" si="14" xml:space="preserve"> U122 + 7590000</f>
        <v>27157000</v>
      </c>
      <c r="D123" s="139">
        <v>0</v>
      </c>
      <c r="E123" s="2">
        <v>1500000</v>
      </c>
      <c r="F123" s="139">
        <v>500000</v>
      </c>
      <c r="G123" s="2">
        <v>420000</v>
      </c>
      <c r="H123" s="2">
        <v>1400000</v>
      </c>
      <c r="I123" s="2">
        <v>0</v>
      </c>
      <c r="J123" s="2">
        <v>1200000</v>
      </c>
      <c r="K123" s="2">
        <v>500000</v>
      </c>
      <c r="L123" s="160">
        <v>150000</v>
      </c>
      <c r="M123" s="141">
        <v>0</v>
      </c>
      <c r="N123" s="2">
        <v>500000</v>
      </c>
      <c r="O123" s="2">
        <v>0</v>
      </c>
      <c r="P123" s="2">
        <v>1500000</v>
      </c>
      <c r="Q123" s="2">
        <v>0</v>
      </c>
      <c r="R123" s="2">
        <v>0</v>
      </c>
      <c r="S123" s="2">
        <v>0</v>
      </c>
      <c r="T123" s="141">
        <f t="shared" ref="T123:T134" si="15">SUM(E123:S123)</f>
        <v>7670000</v>
      </c>
      <c r="U123" s="191">
        <f t="shared" si="13"/>
        <v>19487000</v>
      </c>
    </row>
    <row r="124" spans="1:22" s="144" customFormat="1" x14ac:dyDescent="0.3">
      <c r="A124" s="343"/>
      <c r="B124" s="144" t="s">
        <v>73</v>
      </c>
      <c r="C124" s="138">
        <f t="shared" si="14"/>
        <v>27077000</v>
      </c>
      <c r="D124" s="139">
        <v>0</v>
      </c>
      <c r="E124" s="139">
        <v>0</v>
      </c>
      <c r="F124" s="139">
        <v>500000</v>
      </c>
      <c r="G124" s="2">
        <v>420000</v>
      </c>
      <c r="H124" s="2">
        <v>1400000</v>
      </c>
      <c r="I124" s="2">
        <v>0</v>
      </c>
      <c r="J124" s="2">
        <v>1200000</v>
      </c>
      <c r="K124" s="2">
        <v>500000</v>
      </c>
      <c r="L124" s="160">
        <v>150000</v>
      </c>
      <c r="M124" s="141">
        <v>0</v>
      </c>
      <c r="N124" s="2">
        <v>500000</v>
      </c>
      <c r="O124" s="2">
        <v>0</v>
      </c>
      <c r="P124" s="2">
        <v>1500000</v>
      </c>
      <c r="Q124" s="2">
        <v>0</v>
      </c>
      <c r="R124" s="2">
        <v>0</v>
      </c>
      <c r="S124" s="2">
        <v>0</v>
      </c>
      <c r="T124" s="141">
        <f t="shared" si="15"/>
        <v>6170000</v>
      </c>
      <c r="U124" s="191">
        <f t="shared" si="13"/>
        <v>20907000</v>
      </c>
    </row>
    <row r="125" spans="1:22" s="144" customFormat="1" x14ac:dyDescent="0.3">
      <c r="A125" s="343"/>
      <c r="B125" s="144" t="s">
        <v>74</v>
      </c>
      <c r="C125" s="138">
        <f t="shared" si="14"/>
        <v>28497000</v>
      </c>
      <c r="D125" s="139">
        <v>0</v>
      </c>
      <c r="E125" s="139">
        <v>0</v>
      </c>
      <c r="F125" s="139">
        <v>500000</v>
      </c>
      <c r="G125" s="2">
        <v>420000</v>
      </c>
      <c r="H125" s="2">
        <v>1400000</v>
      </c>
      <c r="I125" s="2">
        <v>0</v>
      </c>
      <c r="J125" s="2">
        <v>1200000</v>
      </c>
      <c r="K125" s="2">
        <v>500000</v>
      </c>
      <c r="L125" s="160">
        <v>150000</v>
      </c>
      <c r="M125" s="141">
        <v>0</v>
      </c>
      <c r="N125" s="2">
        <v>500000</v>
      </c>
      <c r="O125" s="2">
        <v>0</v>
      </c>
      <c r="P125" s="2">
        <v>1500000</v>
      </c>
      <c r="Q125" s="2">
        <v>500000</v>
      </c>
      <c r="R125" s="2">
        <v>0</v>
      </c>
      <c r="S125" s="2">
        <v>0</v>
      </c>
      <c r="T125" s="141">
        <f t="shared" si="15"/>
        <v>6670000</v>
      </c>
      <c r="U125" s="191">
        <f t="shared" si="13"/>
        <v>21827000</v>
      </c>
    </row>
    <row r="126" spans="1:22" s="144" customFormat="1" x14ac:dyDescent="0.3">
      <c r="A126" s="343"/>
      <c r="B126" s="144" t="s">
        <v>75</v>
      </c>
      <c r="C126" s="138">
        <f t="shared" si="14"/>
        <v>29417000</v>
      </c>
      <c r="D126" s="139">
        <v>0</v>
      </c>
      <c r="E126" s="2">
        <v>1500000</v>
      </c>
      <c r="F126" s="139">
        <v>500000</v>
      </c>
      <c r="G126" s="2">
        <v>420000</v>
      </c>
      <c r="H126" s="2">
        <v>1400000</v>
      </c>
      <c r="I126" s="2">
        <v>0</v>
      </c>
      <c r="J126" s="2">
        <v>1200000</v>
      </c>
      <c r="K126" s="2">
        <v>500000</v>
      </c>
      <c r="L126" s="160">
        <v>150000</v>
      </c>
      <c r="M126" s="141">
        <v>0</v>
      </c>
      <c r="N126" s="2">
        <v>500000</v>
      </c>
      <c r="O126" s="2">
        <v>0</v>
      </c>
      <c r="P126" s="2">
        <v>1500000</v>
      </c>
      <c r="Q126" s="2">
        <v>0</v>
      </c>
      <c r="R126" s="2">
        <v>0</v>
      </c>
      <c r="S126" s="2">
        <v>0</v>
      </c>
      <c r="T126" s="141">
        <f t="shared" si="15"/>
        <v>7670000</v>
      </c>
      <c r="U126" s="191">
        <f t="shared" si="13"/>
        <v>21747000</v>
      </c>
    </row>
    <row r="127" spans="1:22" s="144" customFormat="1" x14ac:dyDescent="0.3">
      <c r="A127" s="343"/>
      <c r="B127" s="144" t="s">
        <v>76</v>
      </c>
      <c r="C127" s="138">
        <f t="shared" si="14"/>
        <v>29337000</v>
      </c>
      <c r="D127" s="139">
        <v>0</v>
      </c>
      <c r="E127" s="139">
        <v>2000000</v>
      </c>
      <c r="F127" s="139">
        <v>500000</v>
      </c>
      <c r="G127" s="2">
        <v>420000</v>
      </c>
      <c r="H127" s="2">
        <v>1400000</v>
      </c>
      <c r="I127" s="2">
        <v>0</v>
      </c>
      <c r="J127" s="2">
        <v>1200000</v>
      </c>
      <c r="K127" s="2">
        <v>500000</v>
      </c>
      <c r="L127" s="160">
        <v>150000</v>
      </c>
      <c r="M127" s="141">
        <v>0</v>
      </c>
      <c r="N127" s="2">
        <v>500000</v>
      </c>
      <c r="O127" s="2">
        <v>0</v>
      </c>
      <c r="P127" s="2">
        <v>1500000</v>
      </c>
      <c r="Q127" s="2">
        <v>500000</v>
      </c>
      <c r="R127" s="2">
        <v>0</v>
      </c>
      <c r="S127" s="2">
        <v>0</v>
      </c>
      <c r="T127" s="141">
        <f t="shared" si="15"/>
        <v>8670000</v>
      </c>
      <c r="U127" s="191">
        <f t="shared" si="13"/>
        <v>20667000</v>
      </c>
    </row>
    <row r="128" spans="1:22" s="144" customFormat="1" x14ac:dyDescent="0.3">
      <c r="A128" s="343"/>
      <c r="B128" s="144" t="s">
        <v>77</v>
      </c>
      <c r="C128" s="138">
        <f t="shared" si="14"/>
        <v>28257000</v>
      </c>
      <c r="D128" s="139">
        <v>0</v>
      </c>
      <c r="E128" s="139">
        <v>0</v>
      </c>
      <c r="F128" s="139">
        <v>500000</v>
      </c>
      <c r="G128" s="2">
        <v>420000</v>
      </c>
      <c r="H128" s="2">
        <v>1400000</v>
      </c>
      <c r="I128" s="2">
        <v>0</v>
      </c>
      <c r="J128" s="2">
        <v>1200000</v>
      </c>
      <c r="K128" s="2">
        <v>500000</v>
      </c>
      <c r="L128" s="160">
        <v>150000</v>
      </c>
      <c r="M128" s="141">
        <v>0</v>
      </c>
      <c r="N128" s="2">
        <v>500000</v>
      </c>
      <c r="O128" s="2">
        <v>0</v>
      </c>
      <c r="P128" s="2">
        <v>1500000</v>
      </c>
      <c r="Q128" s="2">
        <v>0</v>
      </c>
      <c r="R128" s="2">
        <v>0</v>
      </c>
      <c r="S128" s="2">
        <v>0</v>
      </c>
      <c r="T128" s="141">
        <f t="shared" si="15"/>
        <v>6170000</v>
      </c>
      <c r="U128" s="191">
        <f t="shared" si="13"/>
        <v>22087000</v>
      </c>
    </row>
    <row r="129" spans="1:22" s="144" customFormat="1" x14ac:dyDescent="0.3">
      <c r="A129" s="343"/>
      <c r="B129" s="144" t="s">
        <v>78</v>
      </c>
      <c r="C129" s="138">
        <f t="shared" si="14"/>
        <v>29677000</v>
      </c>
      <c r="D129" s="139">
        <v>0</v>
      </c>
      <c r="E129" s="2">
        <v>1500000</v>
      </c>
      <c r="F129" s="139">
        <v>500000</v>
      </c>
      <c r="G129" s="2">
        <v>420000</v>
      </c>
      <c r="H129" s="2">
        <v>1400000</v>
      </c>
      <c r="I129" s="2">
        <v>0</v>
      </c>
      <c r="J129" s="2">
        <v>1200000</v>
      </c>
      <c r="K129" s="2">
        <v>500000</v>
      </c>
      <c r="L129" s="160">
        <v>150000</v>
      </c>
      <c r="M129" s="141">
        <v>0</v>
      </c>
      <c r="N129" s="2">
        <v>500000</v>
      </c>
      <c r="O129" s="2">
        <v>0</v>
      </c>
      <c r="P129" s="2">
        <v>1500000</v>
      </c>
      <c r="Q129" s="2">
        <v>0</v>
      </c>
      <c r="R129" s="2">
        <v>0</v>
      </c>
      <c r="S129" s="2">
        <v>0</v>
      </c>
      <c r="T129" s="141">
        <f t="shared" si="15"/>
        <v>7670000</v>
      </c>
      <c r="U129" s="191">
        <f t="shared" si="13"/>
        <v>22007000</v>
      </c>
    </row>
    <row r="130" spans="1:22" s="144" customFormat="1" x14ac:dyDescent="0.3">
      <c r="A130" s="343"/>
      <c r="B130" s="144" t="s">
        <v>79</v>
      </c>
      <c r="C130" s="138">
        <f t="shared" si="14"/>
        <v>29597000</v>
      </c>
      <c r="D130" s="139">
        <v>0</v>
      </c>
      <c r="E130" s="139">
        <v>0</v>
      </c>
      <c r="F130" s="139">
        <v>500000</v>
      </c>
      <c r="G130" s="2">
        <v>420000</v>
      </c>
      <c r="H130" s="2">
        <v>1400000</v>
      </c>
      <c r="I130" s="2">
        <v>0</v>
      </c>
      <c r="J130" s="2">
        <v>1200000</v>
      </c>
      <c r="K130" s="2">
        <v>500000</v>
      </c>
      <c r="L130" s="160">
        <v>150000</v>
      </c>
      <c r="M130" s="141">
        <v>0</v>
      </c>
      <c r="N130" s="2">
        <v>500000</v>
      </c>
      <c r="O130" s="2">
        <v>0</v>
      </c>
      <c r="P130" s="2">
        <v>1500000</v>
      </c>
      <c r="Q130" s="2">
        <v>500000</v>
      </c>
      <c r="R130" s="2">
        <v>0</v>
      </c>
      <c r="S130" s="2">
        <v>0</v>
      </c>
      <c r="T130" s="141">
        <f t="shared" si="15"/>
        <v>6670000</v>
      </c>
      <c r="U130" s="191">
        <f t="shared" si="13"/>
        <v>22927000</v>
      </c>
    </row>
    <row r="131" spans="1:22" s="144" customFormat="1" x14ac:dyDescent="0.3">
      <c r="A131" s="343"/>
      <c r="B131" s="144" t="s">
        <v>80</v>
      </c>
      <c r="C131" s="138">
        <f t="shared" si="14"/>
        <v>30517000</v>
      </c>
      <c r="D131" s="139">
        <v>0</v>
      </c>
      <c r="E131" s="139">
        <v>0</v>
      </c>
      <c r="F131" s="139">
        <v>500000</v>
      </c>
      <c r="G131" s="2">
        <v>420000</v>
      </c>
      <c r="H131" s="2">
        <v>1400000</v>
      </c>
      <c r="I131" s="2">
        <v>0</v>
      </c>
      <c r="J131" s="2">
        <v>1200000</v>
      </c>
      <c r="K131" s="2">
        <v>500000</v>
      </c>
      <c r="L131" s="160">
        <v>150000</v>
      </c>
      <c r="M131" s="141">
        <v>0</v>
      </c>
      <c r="N131" s="2">
        <v>500000</v>
      </c>
      <c r="O131" s="2">
        <v>0</v>
      </c>
      <c r="P131" s="2">
        <v>1500000</v>
      </c>
      <c r="Q131" s="2">
        <v>0</v>
      </c>
      <c r="R131" s="2">
        <v>0</v>
      </c>
      <c r="S131" s="2">
        <v>0</v>
      </c>
      <c r="T131" s="141">
        <f t="shared" si="15"/>
        <v>6170000</v>
      </c>
      <c r="U131" s="191">
        <f t="shared" si="13"/>
        <v>24347000</v>
      </c>
    </row>
    <row r="132" spans="1:22" s="144" customFormat="1" x14ac:dyDescent="0.3">
      <c r="A132" s="343"/>
      <c r="B132" s="144" t="s">
        <v>81</v>
      </c>
      <c r="C132" s="138">
        <f t="shared" si="14"/>
        <v>31937000</v>
      </c>
      <c r="D132" s="139">
        <v>0</v>
      </c>
      <c r="E132" s="185">
        <v>1500000</v>
      </c>
      <c r="F132" s="139">
        <v>500000</v>
      </c>
      <c r="G132" s="2">
        <v>420000</v>
      </c>
      <c r="H132" s="2">
        <v>1400000</v>
      </c>
      <c r="I132" s="2">
        <v>0</v>
      </c>
      <c r="J132" s="2">
        <v>1200000</v>
      </c>
      <c r="K132" s="2">
        <v>500000</v>
      </c>
      <c r="L132" s="160">
        <v>150000</v>
      </c>
      <c r="M132" s="141">
        <v>0</v>
      </c>
      <c r="N132" s="2">
        <v>500000</v>
      </c>
      <c r="O132" s="2">
        <v>0</v>
      </c>
      <c r="P132" s="2">
        <v>1500000</v>
      </c>
      <c r="Q132" s="2">
        <v>0</v>
      </c>
      <c r="R132" s="2">
        <v>0</v>
      </c>
      <c r="S132" s="2">
        <v>0</v>
      </c>
      <c r="T132" s="141">
        <f t="shared" si="15"/>
        <v>7670000</v>
      </c>
      <c r="U132" s="191">
        <f t="shared" si="13"/>
        <v>24267000</v>
      </c>
    </row>
    <row r="133" spans="1:22" s="144" customFormat="1" x14ac:dyDescent="0.3">
      <c r="A133" s="343"/>
      <c r="B133" s="144" t="s">
        <v>82</v>
      </c>
      <c r="C133" s="138">
        <f t="shared" si="14"/>
        <v>31857000</v>
      </c>
      <c r="D133" s="139">
        <v>0</v>
      </c>
      <c r="E133" s="139">
        <v>0</v>
      </c>
      <c r="F133" s="139">
        <v>500000</v>
      </c>
      <c r="G133" s="2">
        <v>420000</v>
      </c>
      <c r="H133" s="2">
        <v>1400000</v>
      </c>
      <c r="I133" s="2">
        <v>0</v>
      </c>
      <c r="J133" s="2">
        <v>1200000</v>
      </c>
      <c r="K133" s="2">
        <v>500000</v>
      </c>
      <c r="L133" s="160">
        <v>150000</v>
      </c>
      <c r="M133" s="141">
        <v>0</v>
      </c>
      <c r="N133" s="2">
        <v>500000</v>
      </c>
      <c r="O133" s="2">
        <v>0</v>
      </c>
      <c r="P133" s="2">
        <v>1500000</v>
      </c>
      <c r="Q133" s="2">
        <v>0</v>
      </c>
      <c r="R133" s="2">
        <v>0</v>
      </c>
      <c r="S133" s="2">
        <v>0</v>
      </c>
      <c r="T133" s="141">
        <f t="shared" si="15"/>
        <v>6170000</v>
      </c>
      <c r="U133" s="191">
        <f t="shared" si="13"/>
        <v>25687000</v>
      </c>
    </row>
    <row r="134" spans="1:22" s="285" customFormat="1" x14ac:dyDescent="0.3">
      <c r="A134" s="343"/>
      <c r="B134" s="285" t="s">
        <v>83</v>
      </c>
      <c r="C134" s="283">
        <f t="shared" si="14"/>
        <v>33277000</v>
      </c>
      <c r="D134" s="283">
        <v>10000000</v>
      </c>
      <c r="E134" s="284">
        <v>500000</v>
      </c>
      <c r="F134" s="283">
        <v>500000</v>
      </c>
      <c r="G134" s="283">
        <v>420000</v>
      </c>
      <c r="H134" s="283">
        <v>1400000</v>
      </c>
      <c r="I134" s="283">
        <v>0</v>
      </c>
      <c r="J134" s="283">
        <v>1200000</v>
      </c>
      <c r="K134" s="283">
        <v>500000</v>
      </c>
      <c r="L134" s="283">
        <v>150000</v>
      </c>
      <c r="M134" s="283">
        <v>0</v>
      </c>
      <c r="N134" s="283">
        <v>500000</v>
      </c>
      <c r="O134" s="283">
        <v>0</v>
      </c>
      <c r="P134" s="283">
        <v>1500000</v>
      </c>
      <c r="Q134" s="283">
        <v>500000</v>
      </c>
      <c r="R134" s="283">
        <v>0</v>
      </c>
      <c r="S134" s="283">
        <v>15000000</v>
      </c>
      <c r="T134" s="283">
        <f t="shared" si="15"/>
        <v>22170000</v>
      </c>
      <c r="U134" s="284">
        <f t="shared" ref="U134:U145" si="16" xml:space="preserve"> (C134+D134) - T134</f>
        <v>21107000</v>
      </c>
      <c r="V134" s="285" t="s">
        <v>218</v>
      </c>
    </row>
    <row r="135" spans="1:22" s="144" customFormat="1" x14ac:dyDescent="0.3">
      <c r="A135" s="343">
        <v>2034</v>
      </c>
      <c r="B135" s="144" t="s">
        <v>72</v>
      </c>
      <c r="C135" s="138">
        <f t="shared" ref="C135:C146" si="17" xml:space="preserve"> U134 + 7590000</f>
        <v>28697000</v>
      </c>
      <c r="D135" s="139">
        <v>0</v>
      </c>
      <c r="E135" s="2">
        <v>1500000</v>
      </c>
      <c r="F135" s="139">
        <v>500000</v>
      </c>
      <c r="G135" s="2">
        <v>420000</v>
      </c>
      <c r="H135" s="2">
        <v>1400000</v>
      </c>
      <c r="I135" s="2">
        <v>0</v>
      </c>
      <c r="J135" s="2">
        <v>1200000</v>
      </c>
      <c r="K135" s="2">
        <v>500000</v>
      </c>
      <c r="L135" s="160">
        <v>150000</v>
      </c>
      <c r="M135" s="141">
        <v>0</v>
      </c>
      <c r="N135" s="2">
        <v>500000</v>
      </c>
      <c r="O135" s="2">
        <v>0</v>
      </c>
      <c r="P135" s="2">
        <v>1500000</v>
      </c>
      <c r="Q135" s="2">
        <v>0</v>
      </c>
      <c r="R135" s="2">
        <v>0</v>
      </c>
      <c r="S135" s="2">
        <v>0</v>
      </c>
      <c r="T135" s="141">
        <f t="shared" ref="T135:T146" si="18">SUM(E135:S135)</f>
        <v>7670000</v>
      </c>
      <c r="U135" s="191">
        <f t="shared" si="16"/>
        <v>21027000</v>
      </c>
    </row>
    <row r="136" spans="1:22" s="144" customFormat="1" x14ac:dyDescent="0.3">
      <c r="A136" s="343"/>
      <c r="B136" s="144" t="s">
        <v>73</v>
      </c>
      <c r="C136" s="138">
        <f t="shared" si="17"/>
        <v>28617000</v>
      </c>
      <c r="D136" s="139">
        <v>0</v>
      </c>
      <c r="E136" s="139">
        <v>0</v>
      </c>
      <c r="F136" s="139">
        <v>500000</v>
      </c>
      <c r="G136" s="2">
        <v>420000</v>
      </c>
      <c r="H136" s="2">
        <v>1400000</v>
      </c>
      <c r="I136" s="2">
        <v>0</v>
      </c>
      <c r="J136" s="2">
        <v>1200000</v>
      </c>
      <c r="K136" s="2">
        <v>500000</v>
      </c>
      <c r="L136" s="160">
        <v>150000</v>
      </c>
      <c r="M136" s="141">
        <v>0</v>
      </c>
      <c r="N136" s="2">
        <v>500000</v>
      </c>
      <c r="O136" s="2">
        <v>0</v>
      </c>
      <c r="P136" s="2">
        <v>1500000</v>
      </c>
      <c r="Q136" s="2">
        <v>0</v>
      </c>
      <c r="R136" s="2">
        <v>0</v>
      </c>
      <c r="S136" s="2">
        <v>0</v>
      </c>
      <c r="T136" s="141">
        <f t="shared" si="18"/>
        <v>6170000</v>
      </c>
      <c r="U136" s="191">
        <f t="shared" si="16"/>
        <v>22447000</v>
      </c>
    </row>
    <row r="137" spans="1:22" s="144" customFormat="1" x14ac:dyDescent="0.3">
      <c r="A137" s="343"/>
      <c r="B137" s="144" t="s">
        <v>74</v>
      </c>
      <c r="C137" s="138">
        <f t="shared" si="17"/>
        <v>30037000</v>
      </c>
      <c r="D137" s="139">
        <v>0</v>
      </c>
      <c r="E137" s="139">
        <v>0</v>
      </c>
      <c r="F137" s="139">
        <v>500000</v>
      </c>
      <c r="G137" s="2">
        <v>420000</v>
      </c>
      <c r="H137" s="2">
        <v>1400000</v>
      </c>
      <c r="I137" s="2">
        <v>0</v>
      </c>
      <c r="J137" s="2">
        <v>1200000</v>
      </c>
      <c r="K137" s="2">
        <v>500000</v>
      </c>
      <c r="L137" s="160">
        <v>150000</v>
      </c>
      <c r="M137" s="141">
        <v>0</v>
      </c>
      <c r="N137" s="2">
        <v>500000</v>
      </c>
      <c r="O137" s="2">
        <v>0</v>
      </c>
      <c r="P137" s="2">
        <v>1500000</v>
      </c>
      <c r="Q137" s="2">
        <v>500000</v>
      </c>
      <c r="R137" s="2">
        <v>0</v>
      </c>
      <c r="S137" s="2">
        <v>0</v>
      </c>
      <c r="T137" s="141">
        <f t="shared" si="18"/>
        <v>6670000</v>
      </c>
      <c r="U137" s="191">
        <f t="shared" si="16"/>
        <v>23367000</v>
      </c>
    </row>
    <row r="138" spans="1:22" s="144" customFormat="1" x14ac:dyDescent="0.3">
      <c r="A138" s="343"/>
      <c r="B138" s="144" t="s">
        <v>75</v>
      </c>
      <c r="C138" s="138">
        <f t="shared" si="17"/>
        <v>30957000</v>
      </c>
      <c r="D138" s="139">
        <v>0</v>
      </c>
      <c r="E138" s="2">
        <v>1500000</v>
      </c>
      <c r="F138" s="139">
        <v>500000</v>
      </c>
      <c r="G138" s="2">
        <v>420000</v>
      </c>
      <c r="H138" s="2">
        <v>1400000</v>
      </c>
      <c r="I138" s="2">
        <v>0</v>
      </c>
      <c r="J138" s="2">
        <v>1200000</v>
      </c>
      <c r="K138" s="2">
        <v>500000</v>
      </c>
      <c r="L138" s="160">
        <v>150000</v>
      </c>
      <c r="M138" s="141">
        <v>0</v>
      </c>
      <c r="N138" s="2">
        <v>500000</v>
      </c>
      <c r="O138" s="2">
        <v>0</v>
      </c>
      <c r="P138" s="2">
        <v>1500000</v>
      </c>
      <c r="Q138" s="2">
        <v>0</v>
      </c>
      <c r="R138" s="2">
        <v>0</v>
      </c>
      <c r="S138" s="2">
        <v>0</v>
      </c>
      <c r="T138" s="141">
        <f t="shared" si="18"/>
        <v>7670000</v>
      </c>
      <c r="U138" s="191">
        <f t="shared" si="16"/>
        <v>23287000</v>
      </c>
    </row>
    <row r="139" spans="1:22" s="144" customFormat="1" x14ac:dyDescent="0.3">
      <c r="A139" s="343"/>
      <c r="B139" s="144" t="s">
        <v>76</v>
      </c>
      <c r="C139" s="138">
        <f t="shared" si="17"/>
        <v>30877000</v>
      </c>
      <c r="D139" s="139">
        <v>0</v>
      </c>
      <c r="E139" s="139">
        <v>2000000</v>
      </c>
      <c r="F139" s="139">
        <v>500000</v>
      </c>
      <c r="G139" s="2">
        <v>420000</v>
      </c>
      <c r="H139" s="2">
        <v>1400000</v>
      </c>
      <c r="I139" s="2">
        <v>0</v>
      </c>
      <c r="J139" s="2">
        <v>1200000</v>
      </c>
      <c r="K139" s="2">
        <v>500000</v>
      </c>
      <c r="L139" s="160">
        <v>150000</v>
      </c>
      <c r="M139" s="141">
        <v>0</v>
      </c>
      <c r="N139" s="2">
        <v>500000</v>
      </c>
      <c r="O139" s="2">
        <v>0</v>
      </c>
      <c r="P139" s="2">
        <v>1500000</v>
      </c>
      <c r="Q139" s="2">
        <v>500000</v>
      </c>
      <c r="R139" s="2">
        <v>0</v>
      </c>
      <c r="S139" s="2">
        <v>0</v>
      </c>
      <c r="T139" s="141">
        <f t="shared" si="18"/>
        <v>8670000</v>
      </c>
      <c r="U139" s="191">
        <f t="shared" si="16"/>
        <v>22207000</v>
      </c>
    </row>
    <row r="140" spans="1:22" s="144" customFormat="1" x14ac:dyDescent="0.3">
      <c r="A140" s="343"/>
      <c r="B140" s="144" t="s">
        <v>77</v>
      </c>
      <c r="C140" s="138">
        <f t="shared" si="17"/>
        <v>29797000</v>
      </c>
      <c r="D140" s="139">
        <v>0</v>
      </c>
      <c r="E140" s="139">
        <v>0</v>
      </c>
      <c r="F140" s="139">
        <v>500000</v>
      </c>
      <c r="G140" s="2">
        <v>420000</v>
      </c>
      <c r="H140" s="2">
        <v>1400000</v>
      </c>
      <c r="I140" s="2">
        <v>0</v>
      </c>
      <c r="J140" s="2">
        <v>1200000</v>
      </c>
      <c r="K140" s="2">
        <v>500000</v>
      </c>
      <c r="L140" s="160">
        <v>150000</v>
      </c>
      <c r="M140" s="141">
        <v>0</v>
      </c>
      <c r="N140" s="2">
        <v>500000</v>
      </c>
      <c r="O140" s="2">
        <v>0</v>
      </c>
      <c r="P140" s="2">
        <v>1500000</v>
      </c>
      <c r="Q140" s="2">
        <v>0</v>
      </c>
      <c r="R140" s="2">
        <v>0</v>
      </c>
      <c r="S140" s="2">
        <v>0</v>
      </c>
      <c r="T140" s="141">
        <f t="shared" si="18"/>
        <v>6170000</v>
      </c>
      <c r="U140" s="191">
        <f t="shared" si="16"/>
        <v>23627000</v>
      </c>
    </row>
    <row r="141" spans="1:22" s="144" customFormat="1" x14ac:dyDescent="0.3">
      <c r="A141" s="343"/>
      <c r="B141" s="144" t="s">
        <v>78</v>
      </c>
      <c r="C141" s="138">
        <f t="shared" si="17"/>
        <v>31217000</v>
      </c>
      <c r="D141" s="139">
        <v>0</v>
      </c>
      <c r="E141" s="2">
        <v>1500000</v>
      </c>
      <c r="F141" s="139">
        <v>500000</v>
      </c>
      <c r="G141" s="2">
        <v>420000</v>
      </c>
      <c r="H141" s="2">
        <v>1400000</v>
      </c>
      <c r="I141" s="2">
        <v>0</v>
      </c>
      <c r="J141" s="2">
        <v>1200000</v>
      </c>
      <c r="K141" s="2">
        <v>500000</v>
      </c>
      <c r="L141" s="160">
        <v>150000</v>
      </c>
      <c r="M141" s="141">
        <v>0</v>
      </c>
      <c r="N141" s="2">
        <v>500000</v>
      </c>
      <c r="O141" s="2">
        <v>0</v>
      </c>
      <c r="P141" s="2">
        <v>1500000</v>
      </c>
      <c r="Q141" s="2">
        <v>0</v>
      </c>
      <c r="R141" s="2">
        <v>0</v>
      </c>
      <c r="S141" s="2">
        <v>0</v>
      </c>
      <c r="T141" s="141">
        <f t="shared" si="18"/>
        <v>7670000</v>
      </c>
      <c r="U141" s="191">
        <f t="shared" si="16"/>
        <v>23547000</v>
      </c>
    </row>
    <row r="142" spans="1:22" s="144" customFormat="1" x14ac:dyDescent="0.3">
      <c r="A142" s="343"/>
      <c r="B142" s="144" t="s">
        <v>79</v>
      </c>
      <c r="C142" s="138">
        <f t="shared" si="17"/>
        <v>31137000</v>
      </c>
      <c r="D142" s="139">
        <v>0</v>
      </c>
      <c r="E142" s="139">
        <v>0</v>
      </c>
      <c r="F142" s="139">
        <v>500000</v>
      </c>
      <c r="G142" s="2">
        <v>420000</v>
      </c>
      <c r="H142" s="2">
        <v>1400000</v>
      </c>
      <c r="I142" s="2">
        <v>0</v>
      </c>
      <c r="J142" s="2">
        <v>1200000</v>
      </c>
      <c r="K142" s="2">
        <v>500000</v>
      </c>
      <c r="L142" s="160">
        <v>150000</v>
      </c>
      <c r="M142" s="141">
        <v>0</v>
      </c>
      <c r="N142" s="2">
        <v>500000</v>
      </c>
      <c r="O142" s="2">
        <v>0</v>
      </c>
      <c r="P142" s="2">
        <v>1500000</v>
      </c>
      <c r="Q142" s="2">
        <v>500000</v>
      </c>
      <c r="R142" s="2">
        <v>0</v>
      </c>
      <c r="S142" s="2">
        <v>0</v>
      </c>
      <c r="T142" s="141">
        <f t="shared" si="18"/>
        <v>6670000</v>
      </c>
      <c r="U142" s="191">
        <f t="shared" si="16"/>
        <v>24467000</v>
      </c>
    </row>
    <row r="143" spans="1:22" s="144" customFormat="1" x14ac:dyDescent="0.3">
      <c r="A143" s="343"/>
      <c r="B143" s="144" t="s">
        <v>80</v>
      </c>
      <c r="C143" s="138">
        <f t="shared" si="17"/>
        <v>32057000</v>
      </c>
      <c r="D143" s="139">
        <v>0</v>
      </c>
      <c r="E143" s="139">
        <v>0</v>
      </c>
      <c r="F143" s="139">
        <v>500000</v>
      </c>
      <c r="G143" s="2">
        <v>420000</v>
      </c>
      <c r="H143" s="2">
        <v>1400000</v>
      </c>
      <c r="I143" s="2">
        <v>0</v>
      </c>
      <c r="J143" s="2">
        <v>1200000</v>
      </c>
      <c r="K143" s="2">
        <v>500000</v>
      </c>
      <c r="L143" s="160">
        <v>150000</v>
      </c>
      <c r="M143" s="141">
        <v>0</v>
      </c>
      <c r="N143" s="2">
        <v>500000</v>
      </c>
      <c r="O143" s="2">
        <v>0</v>
      </c>
      <c r="P143" s="2">
        <v>1500000</v>
      </c>
      <c r="Q143" s="2">
        <v>0</v>
      </c>
      <c r="R143" s="2">
        <v>0</v>
      </c>
      <c r="S143" s="2">
        <v>0</v>
      </c>
      <c r="T143" s="141">
        <f t="shared" si="18"/>
        <v>6170000</v>
      </c>
      <c r="U143" s="191">
        <f t="shared" si="16"/>
        <v>25887000</v>
      </c>
    </row>
    <row r="144" spans="1:22" s="144" customFormat="1" x14ac:dyDescent="0.3">
      <c r="A144" s="343"/>
      <c r="B144" s="144" t="s">
        <v>81</v>
      </c>
      <c r="C144" s="138">
        <f t="shared" si="17"/>
        <v>33477000</v>
      </c>
      <c r="D144" s="139">
        <v>0</v>
      </c>
      <c r="E144" s="185">
        <v>1500000</v>
      </c>
      <c r="F144" s="139">
        <v>500000</v>
      </c>
      <c r="G144" s="2">
        <v>420000</v>
      </c>
      <c r="H144" s="2">
        <v>1400000</v>
      </c>
      <c r="I144" s="2">
        <v>0</v>
      </c>
      <c r="J144" s="2">
        <v>1200000</v>
      </c>
      <c r="K144" s="2">
        <v>500000</v>
      </c>
      <c r="L144" s="160">
        <v>150000</v>
      </c>
      <c r="M144" s="141">
        <v>0</v>
      </c>
      <c r="N144" s="2">
        <v>500000</v>
      </c>
      <c r="O144" s="2">
        <v>0</v>
      </c>
      <c r="P144" s="2">
        <v>1500000</v>
      </c>
      <c r="Q144" s="2">
        <v>0</v>
      </c>
      <c r="R144" s="2">
        <v>0</v>
      </c>
      <c r="S144" s="2">
        <v>0</v>
      </c>
      <c r="T144" s="141">
        <f t="shared" si="18"/>
        <v>7670000</v>
      </c>
      <c r="U144" s="191">
        <f t="shared" si="16"/>
        <v>25807000</v>
      </c>
    </row>
    <row r="145" spans="1:22" s="144" customFormat="1" x14ac:dyDescent="0.3">
      <c r="A145" s="343"/>
      <c r="B145" s="144" t="s">
        <v>82</v>
      </c>
      <c r="C145" s="138">
        <f t="shared" si="17"/>
        <v>33397000</v>
      </c>
      <c r="D145" s="139">
        <v>0</v>
      </c>
      <c r="E145" s="139">
        <v>0</v>
      </c>
      <c r="F145" s="139">
        <v>500000</v>
      </c>
      <c r="G145" s="2">
        <v>420000</v>
      </c>
      <c r="H145" s="2">
        <v>1400000</v>
      </c>
      <c r="I145" s="2">
        <v>0</v>
      </c>
      <c r="J145" s="2">
        <v>1200000</v>
      </c>
      <c r="K145" s="2">
        <v>500000</v>
      </c>
      <c r="L145" s="160">
        <v>150000</v>
      </c>
      <c r="M145" s="141">
        <v>0</v>
      </c>
      <c r="N145" s="2">
        <v>500000</v>
      </c>
      <c r="O145" s="2">
        <v>0</v>
      </c>
      <c r="P145" s="2">
        <v>1500000</v>
      </c>
      <c r="Q145" s="2">
        <v>0</v>
      </c>
      <c r="R145" s="2">
        <v>0</v>
      </c>
      <c r="S145" s="2">
        <v>0</v>
      </c>
      <c r="T145" s="141">
        <f t="shared" si="18"/>
        <v>6170000</v>
      </c>
      <c r="U145" s="191">
        <f t="shared" si="16"/>
        <v>27227000</v>
      </c>
    </row>
    <row r="146" spans="1:22" s="285" customFormat="1" x14ac:dyDescent="0.3">
      <c r="A146" s="343"/>
      <c r="B146" s="285" t="s">
        <v>83</v>
      </c>
      <c r="C146" s="283">
        <f t="shared" si="17"/>
        <v>34817000</v>
      </c>
      <c r="D146" s="283">
        <v>10000000</v>
      </c>
      <c r="E146" s="284">
        <v>500000</v>
      </c>
      <c r="F146" s="283">
        <v>500000</v>
      </c>
      <c r="G146" s="283">
        <v>420000</v>
      </c>
      <c r="H146" s="283">
        <v>1400000</v>
      </c>
      <c r="I146" s="283">
        <v>0</v>
      </c>
      <c r="J146" s="283">
        <v>1200000</v>
      </c>
      <c r="K146" s="283">
        <v>500000</v>
      </c>
      <c r="L146" s="283">
        <v>150000</v>
      </c>
      <c r="M146" s="283">
        <v>0</v>
      </c>
      <c r="N146" s="283">
        <v>500000</v>
      </c>
      <c r="O146" s="283">
        <v>0</v>
      </c>
      <c r="P146" s="283">
        <v>1500000</v>
      </c>
      <c r="Q146" s="283">
        <v>500000</v>
      </c>
      <c r="R146" s="283">
        <v>0</v>
      </c>
      <c r="S146" s="283">
        <v>15000000</v>
      </c>
      <c r="T146" s="283">
        <f t="shared" si="18"/>
        <v>22170000</v>
      </c>
      <c r="U146" s="284">
        <f t="shared" ref="U146:U157" si="19" xml:space="preserve"> (C146+D146) - T146</f>
        <v>22647000</v>
      </c>
      <c r="V146" s="285" t="s">
        <v>218</v>
      </c>
    </row>
    <row r="147" spans="1:22" s="144" customFormat="1" x14ac:dyDescent="0.3">
      <c r="A147" s="344" t="s">
        <v>250</v>
      </c>
      <c r="B147" s="144" t="s">
        <v>72</v>
      </c>
      <c r="C147" s="138">
        <f xml:space="preserve"> U146</f>
        <v>22647000</v>
      </c>
      <c r="D147" s="139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1200000</v>
      </c>
      <c r="K147" s="2">
        <v>500000</v>
      </c>
      <c r="L147" s="160">
        <v>150000</v>
      </c>
      <c r="M147" s="141">
        <v>0</v>
      </c>
      <c r="N147" s="2">
        <v>500000</v>
      </c>
      <c r="O147" s="2">
        <v>0</v>
      </c>
      <c r="P147" s="2">
        <v>1500000</v>
      </c>
      <c r="Q147" s="2">
        <v>0</v>
      </c>
      <c r="R147" s="2">
        <v>0</v>
      </c>
      <c r="S147" s="2">
        <v>0</v>
      </c>
      <c r="T147" s="141">
        <f t="shared" ref="T147:T158" si="20">SUM(E147:S147)</f>
        <v>3850000</v>
      </c>
      <c r="U147" s="191">
        <f t="shared" si="19"/>
        <v>18797000</v>
      </c>
      <c r="V147" s="144" t="s">
        <v>251</v>
      </c>
    </row>
    <row r="148" spans="1:22" s="144" customFormat="1" x14ac:dyDescent="0.3">
      <c r="A148" s="343"/>
      <c r="B148" s="144" t="s">
        <v>73</v>
      </c>
      <c r="C148" s="138">
        <f xml:space="preserve"> U147</f>
        <v>18797000</v>
      </c>
      <c r="D148" s="139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1200000</v>
      </c>
      <c r="K148" s="2">
        <v>500000</v>
      </c>
      <c r="L148" s="160">
        <v>150000</v>
      </c>
      <c r="M148" s="141">
        <v>0</v>
      </c>
      <c r="N148" s="2">
        <v>500000</v>
      </c>
      <c r="O148" s="2">
        <v>0</v>
      </c>
      <c r="P148" s="2">
        <v>1500000</v>
      </c>
      <c r="Q148" s="2">
        <v>0</v>
      </c>
      <c r="R148" s="2">
        <v>0</v>
      </c>
      <c r="S148" s="2">
        <v>0</v>
      </c>
      <c r="T148" s="141">
        <f t="shared" si="20"/>
        <v>3850000</v>
      </c>
      <c r="U148" s="191">
        <f t="shared" si="19"/>
        <v>14947000</v>
      </c>
    </row>
    <row r="149" spans="1:22" s="144" customFormat="1" x14ac:dyDescent="0.3">
      <c r="A149" s="343"/>
      <c r="B149" s="144" t="s">
        <v>74</v>
      </c>
      <c r="C149" s="138">
        <f t="shared" ref="C149:C158" si="21" xml:space="preserve"> U148</f>
        <v>14947000</v>
      </c>
      <c r="D149" s="139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1200000</v>
      </c>
      <c r="K149" s="2">
        <v>500000</v>
      </c>
      <c r="L149" s="160">
        <v>150000</v>
      </c>
      <c r="M149" s="141">
        <v>0</v>
      </c>
      <c r="N149" s="2">
        <v>500000</v>
      </c>
      <c r="O149" s="2">
        <v>0</v>
      </c>
      <c r="P149" s="2">
        <v>1500000</v>
      </c>
      <c r="Q149" s="2">
        <v>500000</v>
      </c>
      <c r="R149" s="2">
        <v>0</v>
      </c>
      <c r="S149" s="2">
        <v>0</v>
      </c>
      <c r="T149" s="141">
        <f t="shared" si="20"/>
        <v>4350000</v>
      </c>
      <c r="U149" s="191">
        <f t="shared" si="19"/>
        <v>10597000</v>
      </c>
    </row>
    <row r="150" spans="1:22" s="144" customFormat="1" x14ac:dyDescent="0.3">
      <c r="A150" s="343"/>
      <c r="B150" s="144" t="s">
        <v>75</v>
      </c>
      <c r="C150" s="138">
        <f t="shared" si="21"/>
        <v>10597000</v>
      </c>
      <c r="D150" s="139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1200000</v>
      </c>
      <c r="K150" s="2">
        <v>500000</v>
      </c>
      <c r="L150" s="160">
        <v>150000</v>
      </c>
      <c r="M150" s="141">
        <v>0</v>
      </c>
      <c r="N150" s="2">
        <v>500000</v>
      </c>
      <c r="O150" s="2">
        <v>0</v>
      </c>
      <c r="P150" s="2">
        <v>1500000</v>
      </c>
      <c r="Q150" s="2">
        <v>0</v>
      </c>
      <c r="R150" s="2">
        <v>0</v>
      </c>
      <c r="S150" s="2">
        <v>0</v>
      </c>
      <c r="T150" s="141">
        <f t="shared" si="20"/>
        <v>3850000</v>
      </c>
      <c r="U150" s="191">
        <f t="shared" si="19"/>
        <v>6747000</v>
      </c>
    </row>
    <row r="151" spans="1:22" s="144" customFormat="1" x14ac:dyDescent="0.3">
      <c r="A151" s="343"/>
      <c r="B151" s="144" t="s">
        <v>76</v>
      </c>
      <c r="C151" s="138">
        <f t="shared" si="21"/>
        <v>6747000</v>
      </c>
      <c r="D151" s="139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1200000</v>
      </c>
      <c r="K151" s="2">
        <v>500000</v>
      </c>
      <c r="L151" s="160">
        <v>150000</v>
      </c>
      <c r="M151" s="141">
        <v>0</v>
      </c>
      <c r="N151" s="2">
        <v>500000</v>
      </c>
      <c r="O151" s="2">
        <v>0</v>
      </c>
      <c r="P151" s="2">
        <v>1500000</v>
      </c>
      <c r="Q151" s="2">
        <v>500000</v>
      </c>
      <c r="R151" s="2">
        <v>0</v>
      </c>
      <c r="S151" s="2">
        <v>0</v>
      </c>
      <c r="T151" s="141">
        <f t="shared" si="20"/>
        <v>4350000</v>
      </c>
      <c r="U151" s="191">
        <f t="shared" si="19"/>
        <v>2397000</v>
      </c>
    </row>
    <row r="152" spans="1:22" s="144" customFormat="1" x14ac:dyDescent="0.3">
      <c r="A152" s="343"/>
      <c r="B152" s="144" t="s">
        <v>77</v>
      </c>
      <c r="C152" s="138">
        <f t="shared" si="21"/>
        <v>2397000</v>
      </c>
      <c r="D152" s="139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1200000</v>
      </c>
      <c r="K152" s="2">
        <v>500000</v>
      </c>
      <c r="L152" s="160">
        <v>150000</v>
      </c>
      <c r="M152" s="141">
        <v>0</v>
      </c>
      <c r="N152" s="2">
        <v>500000</v>
      </c>
      <c r="O152" s="2">
        <v>0</v>
      </c>
      <c r="P152" s="2">
        <v>1500000</v>
      </c>
      <c r="Q152" s="2">
        <v>0</v>
      </c>
      <c r="R152" s="2">
        <v>0</v>
      </c>
      <c r="S152" s="2">
        <v>0</v>
      </c>
      <c r="T152" s="141">
        <f t="shared" si="20"/>
        <v>3850000</v>
      </c>
      <c r="U152" s="191">
        <f t="shared" si="19"/>
        <v>-1453000</v>
      </c>
    </row>
    <row r="153" spans="1:22" s="144" customFormat="1" x14ac:dyDescent="0.3">
      <c r="A153" s="343"/>
      <c r="B153" s="144" t="s">
        <v>78</v>
      </c>
      <c r="C153" s="138">
        <f t="shared" si="21"/>
        <v>-1453000</v>
      </c>
      <c r="D153" s="139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1200000</v>
      </c>
      <c r="K153" s="2">
        <v>500000</v>
      </c>
      <c r="L153" s="160">
        <v>150000</v>
      </c>
      <c r="M153" s="141">
        <v>0</v>
      </c>
      <c r="N153" s="2">
        <v>500000</v>
      </c>
      <c r="O153" s="2">
        <v>0</v>
      </c>
      <c r="P153" s="2">
        <v>1500000</v>
      </c>
      <c r="Q153" s="2">
        <v>0</v>
      </c>
      <c r="R153" s="2">
        <v>0</v>
      </c>
      <c r="S153" s="2">
        <v>0</v>
      </c>
      <c r="T153" s="141">
        <f t="shared" si="20"/>
        <v>3850000</v>
      </c>
      <c r="U153" s="191">
        <f t="shared" si="19"/>
        <v>-5303000</v>
      </c>
    </row>
    <row r="154" spans="1:22" s="144" customFormat="1" x14ac:dyDescent="0.3">
      <c r="A154" s="343"/>
      <c r="B154" s="144" t="s">
        <v>79</v>
      </c>
      <c r="C154" s="138">
        <f t="shared" si="21"/>
        <v>-5303000</v>
      </c>
      <c r="D154" s="139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1200000</v>
      </c>
      <c r="K154" s="2">
        <v>500000</v>
      </c>
      <c r="L154" s="160">
        <v>150000</v>
      </c>
      <c r="M154" s="141">
        <v>0</v>
      </c>
      <c r="N154" s="2">
        <v>500000</v>
      </c>
      <c r="O154" s="2">
        <v>0</v>
      </c>
      <c r="P154" s="2">
        <v>1500000</v>
      </c>
      <c r="Q154" s="2">
        <v>500000</v>
      </c>
      <c r="R154" s="2">
        <v>0</v>
      </c>
      <c r="S154" s="2">
        <v>0</v>
      </c>
      <c r="T154" s="141">
        <f t="shared" si="20"/>
        <v>4350000</v>
      </c>
      <c r="U154" s="191">
        <f t="shared" si="19"/>
        <v>-9653000</v>
      </c>
    </row>
    <row r="155" spans="1:22" s="144" customFormat="1" x14ac:dyDescent="0.3">
      <c r="A155" s="343"/>
      <c r="B155" s="144" t="s">
        <v>80</v>
      </c>
      <c r="C155" s="138">
        <f t="shared" si="21"/>
        <v>-9653000</v>
      </c>
      <c r="D155" s="139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1200000</v>
      </c>
      <c r="K155" s="2">
        <v>500000</v>
      </c>
      <c r="L155" s="160">
        <v>150000</v>
      </c>
      <c r="M155" s="141">
        <v>0</v>
      </c>
      <c r="N155" s="2">
        <v>500000</v>
      </c>
      <c r="O155" s="2">
        <v>0</v>
      </c>
      <c r="P155" s="2">
        <v>1500000</v>
      </c>
      <c r="Q155" s="2">
        <v>0</v>
      </c>
      <c r="R155" s="2">
        <v>0</v>
      </c>
      <c r="S155" s="2">
        <v>0</v>
      </c>
      <c r="T155" s="141">
        <f t="shared" si="20"/>
        <v>3850000</v>
      </c>
      <c r="U155" s="191">
        <f t="shared" si="19"/>
        <v>-13503000</v>
      </c>
    </row>
    <row r="156" spans="1:22" s="144" customFormat="1" x14ac:dyDescent="0.3">
      <c r="A156" s="343"/>
      <c r="B156" s="144" t="s">
        <v>81</v>
      </c>
      <c r="C156" s="138">
        <f t="shared" si="21"/>
        <v>-13503000</v>
      </c>
      <c r="D156" s="139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1200000</v>
      </c>
      <c r="K156" s="2">
        <v>500000</v>
      </c>
      <c r="L156" s="160">
        <v>150000</v>
      </c>
      <c r="M156" s="141">
        <v>0</v>
      </c>
      <c r="N156" s="2">
        <v>500000</v>
      </c>
      <c r="O156" s="2">
        <v>0</v>
      </c>
      <c r="P156" s="2">
        <v>1500000</v>
      </c>
      <c r="Q156" s="2">
        <v>0</v>
      </c>
      <c r="R156" s="2">
        <v>0</v>
      </c>
      <c r="S156" s="2">
        <v>0</v>
      </c>
      <c r="T156" s="141">
        <f t="shared" si="20"/>
        <v>3850000</v>
      </c>
      <c r="U156" s="191">
        <f t="shared" si="19"/>
        <v>-17353000</v>
      </c>
    </row>
    <row r="157" spans="1:22" s="144" customFormat="1" x14ac:dyDescent="0.3">
      <c r="A157" s="343"/>
      <c r="B157" s="144" t="s">
        <v>82</v>
      </c>
      <c r="C157" s="138">
        <f t="shared" si="21"/>
        <v>-17353000</v>
      </c>
      <c r="D157" s="139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1200000</v>
      </c>
      <c r="K157" s="2">
        <v>500000</v>
      </c>
      <c r="L157" s="160">
        <v>150000</v>
      </c>
      <c r="M157" s="141">
        <v>0</v>
      </c>
      <c r="N157" s="2">
        <v>500000</v>
      </c>
      <c r="O157" s="2">
        <v>0</v>
      </c>
      <c r="P157" s="2">
        <v>1500000</v>
      </c>
      <c r="Q157" s="2">
        <v>0</v>
      </c>
      <c r="R157" s="2">
        <v>0</v>
      </c>
      <c r="S157" s="2">
        <v>0</v>
      </c>
      <c r="T157" s="141">
        <f t="shared" si="20"/>
        <v>3850000</v>
      </c>
      <c r="U157" s="191">
        <f t="shared" si="19"/>
        <v>-21203000</v>
      </c>
    </row>
    <row r="158" spans="1:22" s="212" customFormat="1" x14ac:dyDescent="0.3">
      <c r="A158" s="343"/>
      <c r="B158" s="212" t="s">
        <v>83</v>
      </c>
      <c r="C158" s="138">
        <f t="shared" si="21"/>
        <v>-21203000</v>
      </c>
      <c r="D158" s="139">
        <v>0</v>
      </c>
      <c r="E158" s="2">
        <v>0</v>
      </c>
      <c r="F158" s="2">
        <v>0</v>
      </c>
      <c r="G158" s="2">
        <v>0</v>
      </c>
      <c r="H158" s="2">
        <v>0</v>
      </c>
      <c r="I158" s="283">
        <v>0</v>
      </c>
      <c r="J158" s="283">
        <v>1200000</v>
      </c>
      <c r="K158" s="283">
        <v>500000</v>
      </c>
      <c r="L158" s="283">
        <v>150000</v>
      </c>
      <c r="M158" s="283">
        <v>0</v>
      </c>
      <c r="N158" s="283">
        <v>500000</v>
      </c>
      <c r="O158" s="283">
        <v>0</v>
      </c>
      <c r="P158" s="283">
        <v>1500000</v>
      </c>
      <c r="Q158" s="283">
        <v>500000</v>
      </c>
      <c r="R158" s="283">
        <v>0</v>
      </c>
      <c r="S158" s="283">
        <v>15000000</v>
      </c>
      <c r="T158" s="283">
        <f t="shared" si="20"/>
        <v>19350000</v>
      </c>
      <c r="U158" s="284">
        <f t="shared" ref="U158" si="22" xml:space="preserve"> (C158+D158) - T158</f>
        <v>-40553000</v>
      </c>
      <c r="V158" s="285"/>
    </row>
  </sheetData>
  <mergeCells count="13">
    <mergeCell ref="A123:A134"/>
    <mergeCell ref="A135:A146"/>
    <mergeCell ref="A147:A158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A2:M9"/>
  <sheetViews>
    <sheetView workbookViewId="0">
      <selection sqref="A1:XFD1048576"/>
    </sheetView>
  </sheetViews>
  <sheetFormatPr defaultRowHeight="16.5" x14ac:dyDescent="0.3"/>
  <cols>
    <col min="1" max="1" width="10.75" style="332" bestFit="1" customWidth="1"/>
    <col min="2" max="2" width="12.75" bestFit="1" customWidth="1"/>
    <col min="3" max="3" width="12.75" customWidth="1"/>
    <col min="4" max="4" width="12.75" bestFit="1" customWidth="1"/>
    <col min="5" max="5" width="12.75" customWidth="1"/>
    <col min="6" max="6" width="15.5" bestFit="1" customWidth="1"/>
    <col min="7" max="7" width="15.5" customWidth="1"/>
    <col min="8" max="8" width="14.375" bestFit="1" customWidth="1"/>
    <col min="9" max="9" width="14.375" customWidth="1"/>
    <col min="10" max="10" width="14.375" bestFit="1" customWidth="1"/>
    <col min="11" max="11" width="14.375" customWidth="1"/>
    <col min="12" max="12" width="12.75" bestFit="1" customWidth="1"/>
    <col min="13" max="13" width="11.625" bestFit="1" customWidth="1"/>
    <col min="14" max="14" width="14.375" bestFit="1" customWidth="1"/>
    <col min="15" max="15" width="9.25" bestFit="1" customWidth="1"/>
  </cols>
  <sheetData>
    <row r="2" spans="1:13" x14ac:dyDescent="0.3">
      <c r="B2" s="331" t="s">
        <v>219</v>
      </c>
      <c r="C2" s="331"/>
      <c r="D2" s="331" t="s">
        <v>220</v>
      </c>
      <c r="E2" s="331"/>
      <c r="F2" s="331" t="s">
        <v>221</v>
      </c>
      <c r="G2" s="331"/>
      <c r="H2" s="331" t="s">
        <v>222</v>
      </c>
      <c r="I2" s="331"/>
      <c r="J2" s="331" t="s">
        <v>87</v>
      </c>
      <c r="K2" s="304"/>
      <c r="L2" s="304" t="s">
        <v>9</v>
      </c>
      <c r="M2" s="304" t="s">
        <v>263</v>
      </c>
    </row>
    <row r="3" spans="1:13" s="316" customFormat="1" x14ac:dyDescent="0.3">
      <c r="A3" s="314" t="s">
        <v>223</v>
      </c>
      <c r="B3" s="315">
        <v>7300000</v>
      </c>
      <c r="C3" s="315"/>
      <c r="D3" s="315">
        <v>7300000</v>
      </c>
      <c r="E3" s="315"/>
      <c r="F3" s="315">
        <v>7300000</v>
      </c>
      <c r="G3" s="315"/>
      <c r="H3" s="315">
        <v>7300000</v>
      </c>
      <c r="I3" s="315"/>
      <c r="J3" s="315">
        <v>7300000</v>
      </c>
      <c r="K3" s="315"/>
      <c r="L3" s="315">
        <f xml:space="preserve"> SUM(B3,D3,F3,H3,J3)</f>
        <v>36500000</v>
      </c>
    </row>
    <row r="4" spans="1:13" x14ac:dyDescent="0.3">
      <c r="A4" s="332" t="s">
        <v>255</v>
      </c>
      <c r="B4" s="309">
        <f xml:space="preserve"> B5</f>
        <v>7590145</v>
      </c>
      <c r="C4" s="310">
        <f xml:space="preserve"> B4 / L4 * 100</f>
        <v>20.823835554870403</v>
      </c>
      <c r="D4" s="305">
        <f xml:space="preserve"> D5+D6+D7+D8+D9</f>
        <v>7983320</v>
      </c>
      <c r="E4" s="306">
        <f xml:space="preserve"> D4 / L4 * 100</f>
        <v>21.902525295881432</v>
      </c>
      <c r="F4" s="307">
        <f xml:space="preserve"> F5+F6+F7</f>
        <v>7246781</v>
      </c>
      <c r="G4" s="308">
        <f xml:space="preserve">  F4 / L4 * 100</f>
        <v>19.881804082288191</v>
      </c>
      <c r="H4" s="309">
        <f xml:space="preserve"> H5</f>
        <v>7329067</v>
      </c>
      <c r="I4" s="310">
        <f xml:space="preserve"> H4 / L4 * 100</f>
        <v>20.107558680186919</v>
      </c>
      <c r="J4" s="311">
        <f xml:space="preserve"> J5 + J6+ J7</f>
        <v>6300000</v>
      </c>
      <c r="K4" s="312">
        <f xml:space="preserve"> J4 / L4 * 100</f>
        <v>17.284276386773051</v>
      </c>
      <c r="L4" s="241">
        <f>SUM(B4,D4,F4,H4,J4)</f>
        <v>36449313</v>
      </c>
      <c r="M4" s="193">
        <v>0</v>
      </c>
    </row>
    <row r="5" spans="1:13" x14ac:dyDescent="0.3">
      <c r="B5" s="309">
        <v>7590145</v>
      </c>
      <c r="C5" s="398" t="s">
        <v>253</v>
      </c>
      <c r="D5" s="305">
        <v>1148000</v>
      </c>
      <c r="E5" s="399" t="s">
        <v>254</v>
      </c>
      <c r="F5" s="307">
        <v>4950210</v>
      </c>
      <c r="G5" s="400" t="s">
        <v>258</v>
      </c>
      <c r="H5" s="309">
        <v>7329067</v>
      </c>
      <c r="I5" s="398" t="s">
        <v>260</v>
      </c>
      <c r="J5" s="311">
        <v>2600000</v>
      </c>
      <c r="K5" s="401" t="s">
        <v>261</v>
      </c>
      <c r="L5" s="332"/>
    </row>
    <row r="6" spans="1:13" x14ac:dyDescent="0.3">
      <c r="B6" s="313"/>
      <c r="C6" s="313"/>
      <c r="D6" s="305">
        <v>2018000</v>
      </c>
      <c r="E6" s="399" t="s">
        <v>256</v>
      </c>
      <c r="F6" s="307">
        <v>0</v>
      </c>
      <c r="G6" s="400" t="s">
        <v>114</v>
      </c>
      <c r="H6" s="313"/>
      <c r="I6" s="313"/>
      <c r="J6" s="311">
        <v>0</v>
      </c>
      <c r="K6" s="401" t="s">
        <v>262</v>
      </c>
      <c r="L6" s="332"/>
    </row>
    <row r="7" spans="1:13" x14ac:dyDescent="0.3">
      <c r="B7" s="313"/>
      <c r="C7" s="313"/>
      <c r="D7" s="305">
        <v>2479320</v>
      </c>
      <c r="E7" s="399" t="s">
        <v>257</v>
      </c>
      <c r="F7" s="307">
        <v>2296571</v>
      </c>
      <c r="G7" s="400" t="s">
        <v>259</v>
      </c>
      <c r="H7" s="313"/>
      <c r="I7" s="313"/>
      <c r="J7" s="311">
        <v>3700000</v>
      </c>
      <c r="K7" s="401" t="s">
        <v>302</v>
      </c>
      <c r="L7" s="332"/>
    </row>
    <row r="8" spans="1:13" x14ac:dyDescent="0.3">
      <c r="D8" s="305">
        <v>1290000</v>
      </c>
      <c r="E8" s="399" t="s">
        <v>289</v>
      </c>
    </row>
    <row r="9" spans="1:13" x14ac:dyDescent="0.3">
      <c r="D9" s="305">
        <v>1048000</v>
      </c>
      <c r="E9" s="399" t="s">
        <v>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8344-D093-49A8-B9E8-C7424E1D9762}">
  <dimension ref="A1:G18"/>
  <sheetViews>
    <sheetView topLeftCell="A16" workbookViewId="0">
      <selection activeCell="H17" sqref="H17"/>
    </sheetView>
  </sheetViews>
  <sheetFormatPr defaultRowHeight="16.5" x14ac:dyDescent="0.3"/>
  <cols>
    <col min="2" max="2" width="16.625" style="3" customWidth="1"/>
    <col min="3" max="3" width="12.125" style="317" customWidth="1"/>
    <col min="4" max="4" width="10.875" customWidth="1"/>
    <col min="5" max="5" width="19.375" customWidth="1"/>
    <col min="6" max="6" width="13.75" bestFit="1" customWidth="1"/>
    <col min="7" max="7" width="52.375" bestFit="1" customWidth="1"/>
  </cols>
  <sheetData>
    <row r="1" spans="1:7" s="73" customFormat="1" x14ac:dyDescent="0.3">
      <c r="B1" s="41" t="s">
        <v>286</v>
      </c>
      <c r="C1" s="318" t="s">
        <v>284</v>
      </c>
      <c r="D1" s="41" t="s">
        <v>276</v>
      </c>
      <c r="E1" s="41" t="s">
        <v>269</v>
      </c>
      <c r="F1" s="41" t="s">
        <v>270</v>
      </c>
    </row>
    <row r="2" spans="1:7" x14ac:dyDescent="0.3">
      <c r="B2" s="330" t="s">
        <v>264</v>
      </c>
      <c r="C2" s="262">
        <v>2350000</v>
      </c>
      <c r="D2" s="1" t="s">
        <v>265</v>
      </c>
      <c r="E2" s="2">
        <v>830000</v>
      </c>
      <c r="F2" s="262">
        <v>1520000</v>
      </c>
    </row>
    <row r="3" spans="1:7" x14ac:dyDescent="0.3">
      <c r="B3" s="330" t="s">
        <v>266</v>
      </c>
      <c r="C3" s="262">
        <v>1400000</v>
      </c>
      <c r="D3" s="1" t="s">
        <v>268</v>
      </c>
      <c r="E3" s="2">
        <v>100000</v>
      </c>
      <c r="F3" s="262">
        <v>1300000</v>
      </c>
    </row>
    <row r="4" spans="1:7" x14ac:dyDescent="0.3">
      <c r="B4" s="330" t="s">
        <v>267</v>
      </c>
      <c r="C4" s="262">
        <v>500000</v>
      </c>
      <c r="D4" s="1" t="s">
        <v>268</v>
      </c>
      <c r="E4" s="2">
        <v>0</v>
      </c>
      <c r="F4" s="262">
        <v>500000</v>
      </c>
    </row>
    <row r="5" spans="1:7" x14ac:dyDescent="0.3">
      <c r="B5" s="330" t="s">
        <v>271</v>
      </c>
      <c r="C5" s="262">
        <v>310000</v>
      </c>
      <c r="D5" s="1" t="s">
        <v>272</v>
      </c>
      <c r="E5" s="2">
        <v>60000</v>
      </c>
      <c r="F5" s="262">
        <v>250000</v>
      </c>
      <c r="G5" s="319" t="s">
        <v>287</v>
      </c>
    </row>
    <row r="6" spans="1:7" x14ac:dyDescent="0.3">
      <c r="B6" s="330" t="s">
        <v>273</v>
      </c>
      <c r="C6" s="262">
        <v>2000000</v>
      </c>
      <c r="D6" s="1" t="s">
        <v>272</v>
      </c>
      <c r="E6" s="2">
        <v>0</v>
      </c>
      <c r="F6" s="262">
        <v>2000000</v>
      </c>
    </row>
    <row r="7" spans="1:7" x14ac:dyDescent="0.3">
      <c r="B7" s="330" t="s">
        <v>274</v>
      </c>
      <c r="C7" s="262">
        <v>500000</v>
      </c>
      <c r="D7" s="1" t="s">
        <v>272</v>
      </c>
      <c r="E7" s="2">
        <v>0</v>
      </c>
      <c r="F7" s="262">
        <v>500000</v>
      </c>
    </row>
    <row r="8" spans="1:7" x14ac:dyDescent="0.3">
      <c r="B8" s="330" t="s">
        <v>275</v>
      </c>
      <c r="C8" s="262">
        <v>1600000</v>
      </c>
      <c r="D8" s="1" t="s">
        <v>272</v>
      </c>
      <c r="E8" s="2">
        <v>0</v>
      </c>
      <c r="F8" s="262">
        <v>1600000</v>
      </c>
    </row>
    <row r="9" spans="1:7" x14ac:dyDescent="0.3">
      <c r="B9" s="330" t="s">
        <v>277</v>
      </c>
      <c r="C9" s="262">
        <v>870000</v>
      </c>
      <c r="D9" s="1" t="s">
        <v>278</v>
      </c>
      <c r="E9" s="2">
        <v>0</v>
      </c>
      <c r="F9" s="262">
        <v>870000</v>
      </c>
      <c r="G9" t="s">
        <v>292</v>
      </c>
    </row>
    <row r="10" spans="1:7" s="328" customFormat="1" ht="82.5" x14ac:dyDescent="0.3">
      <c r="B10" s="324" t="s">
        <v>279</v>
      </c>
      <c r="C10" s="325">
        <v>1000000</v>
      </c>
      <c r="D10" s="326" t="s">
        <v>268</v>
      </c>
      <c r="E10" s="327">
        <v>0</v>
      </c>
      <c r="F10" s="325">
        <v>1000000</v>
      </c>
      <c r="G10" s="396" t="s">
        <v>293</v>
      </c>
    </row>
    <row r="11" spans="1:7" s="328" customFormat="1" x14ac:dyDescent="0.3">
      <c r="B11" s="397" t="s">
        <v>294</v>
      </c>
      <c r="C11" s="325">
        <v>1800000</v>
      </c>
      <c r="D11" s="1" t="s">
        <v>295</v>
      </c>
      <c r="E11" s="327"/>
      <c r="F11" s="325">
        <v>1800000</v>
      </c>
      <c r="G11" s="328" t="s">
        <v>291</v>
      </c>
    </row>
    <row r="12" spans="1:7" s="328" customFormat="1" x14ac:dyDescent="0.3">
      <c r="B12" s="397" t="s">
        <v>296</v>
      </c>
      <c r="C12" s="325">
        <v>900000</v>
      </c>
      <c r="D12" s="326" t="s">
        <v>297</v>
      </c>
      <c r="E12" s="327"/>
      <c r="F12" s="325">
        <v>1000000</v>
      </c>
      <c r="G12" s="328" t="s">
        <v>291</v>
      </c>
    </row>
    <row r="13" spans="1:7" s="328" customFormat="1" x14ac:dyDescent="0.3">
      <c r="B13" s="397" t="s">
        <v>288</v>
      </c>
      <c r="C13" s="325">
        <v>500000</v>
      </c>
      <c r="D13" s="326" t="s">
        <v>297</v>
      </c>
      <c r="E13" s="327"/>
      <c r="F13" s="325">
        <v>500000</v>
      </c>
      <c r="G13" s="328" t="s">
        <v>291</v>
      </c>
    </row>
    <row r="14" spans="1:7" s="328" customFormat="1" x14ac:dyDescent="0.3">
      <c r="B14" s="397" t="s">
        <v>298</v>
      </c>
      <c r="C14" s="325">
        <v>800000</v>
      </c>
      <c r="D14" s="326" t="s">
        <v>299</v>
      </c>
      <c r="E14" s="327"/>
      <c r="F14" s="325">
        <v>800000</v>
      </c>
    </row>
    <row r="15" spans="1:7" x14ac:dyDescent="0.3">
      <c r="A15" s="328"/>
      <c r="B15" s="324" t="s">
        <v>280</v>
      </c>
      <c r="C15" s="325">
        <v>150000</v>
      </c>
      <c r="D15" s="326" t="s">
        <v>297</v>
      </c>
      <c r="E15" s="327">
        <v>0</v>
      </c>
      <c r="F15" s="325">
        <v>150000</v>
      </c>
      <c r="G15" s="329" t="s">
        <v>281</v>
      </c>
    </row>
    <row r="16" spans="1:7" x14ac:dyDescent="0.3">
      <c r="A16" s="328"/>
      <c r="B16" s="324" t="s">
        <v>282</v>
      </c>
      <c r="C16" s="325">
        <v>400000</v>
      </c>
      <c r="D16" s="326" t="s">
        <v>297</v>
      </c>
      <c r="E16" s="327">
        <v>0</v>
      </c>
      <c r="F16" s="325">
        <v>400000</v>
      </c>
      <c r="G16" s="329" t="s">
        <v>283</v>
      </c>
    </row>
    <row r="17" spans="1:7" ht="82.5" x14ac:dyDescent="0.3">
      <c r="A17" s="328"/>
      <c r="B17" s="324" t="s">
        <v>300</v>
      </c>
      <c r="C17" s="325">
        <v>300000</v>
      </c>
      <c r="D17" s="326" t="s">
        <v>297</v>
      </c>
      <c r="E17" s="327"/>
      <c r="F17" s="325">
        <v>300000</v>
      </c>
      <c r="G17" s="396" t="s">
        <v>301</v>
      </c>
    </row>
    <row r="18" spans="1:7" x14ac:dyDescent="0.3">
      <c r="B18" s="330" t="s">
        <v>285</v>
      </c>
      <c r="C18" s="172">
        <f>SUM(C2:C17)</f>
        <v>15380000</v>
      </c>
      <c r="D18" s="1"/>
      <c r="E18" s="2">
        <f>SUM(E2:E16)</f>
        <v>990000</v>
      </c>
      <c r="F18" s="262">
        <f>SUM(F2:F17)</f>
        <v>14490000</v>
      </c>
      <c r="G18" s="12"/>
    </row>
  </sheetData>
  <phoneticPr fontId="1" type="noConversion"/>
  <hyperlinks>
    <hyperlink ref="G15" r:id="rId1" xr:uid="{2DCE9B62-D840-4DD8-A987-663D0BA4F193}"/>
    <hyperlink ref="G16" r:id="rId2" xr:uid="{CDF5E499-6E88-46B3-B30A-97EE9D0DE892}"/>
    <hyperlink ref="G10" r:id="rId3" xr:uid="{D026DD74-7EB7-4B4F-AADF-E7615F61BE68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51"/>
      <c r="C1" s="351"/>
    </row>
    <row r="2" spans="2:18" x14ac:dyDescent="0.3">
      <c r="B2" s="340" t="s">
        <v>71</v>
      </c>
      <c r="C2" s="340"/>
      <c r="E2" s="348" t="s">
        <v>71</v>
      </c>
      <c r="F2" s="349"/>
      <c r="G2" s="349"/>
      <c r="H2" s="350"/>
      <c r="J2" s="348" t="s">
        <v>94</v>
      </c>
      <c r="K2" s="349"/>
      <c r="L2" s="349"/>
      <c r="M2" s="350"/>
      <c r="O2" s="348" t="s">
        <v>95</v>
      </c>
      <c r="P2" s="349"/>
      <c r="Q2" s="349"/>
      <c r="R2" s="35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5">
        <v>6895968</v>
      </c>
      <c r="G4" s="45">
        <v>20436</v>
      </c>
      <c r="H4" s="1">
        <f t="shared" ref="H4:H14" si="0">ROUND((G4/IF(F4=0,1,F4))*100,2)</f>
        <v>0.3</v>
      </c>
      <c r="J4" s="4">
        <v>1</v>
      </c>
      <c r="K4" s="45">
        <v>7800000</v>
      </c>
      <c r="L4" s="45">
        <v>-370000</v>
      </c>
      <c r="M4" s="1">
        <f t="shared" ref="M4:M14" si="1">ROUND((L4/IF(K4=0,1,K4))*100,2)</f>
        <v>-4.74</v>
      </c>
      <c r="O4" s="4">
        <v>1</v>
      </c>
      <c r="P4" s="45">
        <v>0</v>
      </c>
      <c r="Q4" s="45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5">
        <v>2840710</v>
      </c>
      <c r="G5" s="45">
        <v>-263661</v>
      </c>
      <c r="H5" s="1">
        <f t="shared" si="0"/>
        <v>-9.2799999999999994</v>
      </c>
      <c r="J5" s="4">
        <v>2</v>
      </c>
      <c r="K5" s="45">
        <v>5700000</v>
      </c>
      <c r="L5" s="45">
        <v>56335</v>
      </c>
      <c r="M5" s="1">
        <f t="shared" si="1"/>
        <v>0.99</v>
      </c>
      <c r="O5" s="4">
        <v>2</v>
      </c>
      <c r="P5" s="45">
        <v>0</v>
      </c>
      <c r="Q5" s="45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5">
        <v>6714000</v>
      </c>
      <c r="G6" s="45">
        <v>-70497</v>
      </c>
      <c r="H6" s="1">
        <f t="shared" si="0"/>
        <v>-1.05</v>
      </c>
      <c r="J6" s="4">
        <v>3</v>
      </c>
      <c r="K6" s="45">
        <v>1271879</v>
      </c>
      <c r="L6" s="45">
        <v>-55655</v>
      </c>
      <c r="M6" s="1">
        <f t="shared" si="1"/>
        <v>-4.38</v>
      </c>
      <c r="O6" s="4">
        <v>3</v>
      </c>
      <c r="P6" s="45">
        <v>0</v>
      </c>
      <c r="Q6" s="45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5">
        <v>3403333</v>
      </c>
      <c r="G7" s="2">
        <v>-11231</v>
      </c>
      <c r="H7" s="1">
        <f t="shared" si="0"/>
        <v>-0.33</v>
      </c>
      <c r="J7" s="4">
        <v>4</v>
      </c>
      <c r="K7" s="45">
        <v>2876888</v>
      </c>
      <c r="L7" s="2">
        <v>-12946</v>
      </c>
      <c r="M7" s="1">
        <f t="shared" si="1"/>
        <v>-0.45</v>
      </c>
      <c r="O7" s="4">
        <v>4</v>
      </c>
      <c r="P7" s="45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5">
        <v>6778491</v>
      </c>
      <c r="G8" s="2">
        <v>156448</v>
      </c>
      <c r="H8" s="1">
        <f t="shared" si="0"/>
        <v>2.31</v>
      </c>
      <c r="J8" s="4">
        <v>5</v>
      </c>
      <c r="K8" s="45">
        <v>0</v>
      </c>
      <c r="L8" s="2">
        <v>0</v>
      </c>
      <c r="M8" s="1">
        <f t="shared" si="1"/>
        <v>0</v>
      </c>
      <c r="O8" s="4">
        <v>5</v>
      </c>
      <c r="P8" s="45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5">
        <v>0</v>
      </c>
      <c r="G9" s="45">
        <v>0</v>
      </c>
      <c r="H9" s="1">
        <f t="shared" si="0"/>
        <v>0</v>
      </c>
      <c r="J9" s="4">
        <v>6</v>
      </c>
      <c r="K9" s="45">
        <v>0</v>
      </c>
      <c r="L9" s="45">
        <v>0</v>
      </c>
      <c r="M9" s="1">
        <f t="shared" si="1"/>
        <v>0</v>
      </c>
      <c r="O9" s="4">
        <v>6</v>
      </c>
      <c r="P9" s="45">
        <v>0</v>
      </c>
      <c r="Q9" s="45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5">
        <v>0</v>
      </c>
      <c r="G10" s="2">
        <v>0</v>
      </c>
      <c r="H10" s="1">
        <f t="shared" si="0"/>
        <v>0</v>
      </c>
      <c r="J10" s="4">
        <v>7</v>
      </c>
      <c r="K10" s="45">
        <v>0</v>
      </c>
      <c r="L10" s="2">
        <v>0</v>
      </c>
      <c r="M10" s="1">
        <f t="shared" si="1"/>
        <v>0</v>
      </c>
      <c r="O10" s="4">
        <v>7</v>
      </c>
      <c r="P10" s="45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5">
        <v>0</v>
      </c>
      <c r="G11" s="2">
        <v>0</v>
      </c>
      <c r="H11" s="1">
        <f t="shared" si="0"/>
        <v>0</v>
      </c>
      <c r="J11" s="4">
        <v>8</v>
      </c>
      <c r="K11" s="45">
        <v>0</v>
      </c>
      <c r="L11" s="2">
        <v>0</v>
      </c>
      <c r="M11" s="1">
        <f t="shared" si="1"/>
        <v>0</v>
      </c>
      <c r="O11" s="4">
        <v>8</v>
      </c>
      <c r="P11" s="45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5">
        <v>0</v>
      </c>
      <c r="G12" s="45">
        <v>0</v>
      </c>
      <c r="H12" s="1">
        <f t="shared" si="0"/>
        <v>0</v>
      </c>
      <c r="J12" s="7">
        <v>9</v>
      </c>
      <c r="K12" s="45">
        <v>0</v>
      </c>
      <c r="L12" s="45">
        <v>0</v>
      </c>
      <c r="M12" s="1">
        <f t="shared" si="1"/>
        <v>0</v>
      </c>
      <c r="O12" s="7">
        <v>9</v>
      </c>
      <c r="P12" s="45">
        <v>0</v>
      </c>
      <c r="Q12" s="45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5">
        <v>0</v>
      </c>
      <c r="G13" s="2">
        <v>0</v>
      </c>
      <c r="H13" s="1">
        <f t="shared" si="0"/>
        <v>0</v>
      </c>
      <c r="J13" s="4">
        <v>10</v>
      </c>
      <c r="K13" s="45">
        <v>0</v>
      </c>
      <c r="L13" s="2">
        <v>0</v>
      </c>
      <c r="M13" s="1">
        <f t="shared" si="1"/>
        <v>0</v>
      </c>
      <c r="O13" s="4">
        <v>10</v>
      </c>
      <c r="P13" s="45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4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4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4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48" t="s">
        <v>188</v>
      </c>
      <c r="F16" s="349"/>
      <c r="G16" s="349"/>
      <c r="H16" s="350"/>
      <c r="J16" s="348" t="s">
        <v>192</v>
      </c>
      <c r="K16" s="349"/>
      <c r="L16" s="349"/>
      <c r="M16" s="350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5">
        <v>10000000</v>
      </c>
      <c r="G18" s="45">
        <v>-365000</v>
      </c>
      <c r="H18" s="1">
        <f t="shared" ref="H18:H28" si="3">ROUND((G18/IF(F18=0,1,F18))*100,2)</f>
        <v>-3.65</v>
      </c>
      <c r="J18" s="4">
        <v>1</v>
      </c>
      <c r="K18" s="45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5">
        <v>60000000</v>
      </c>
      <c r="G19" s="45">
        <v>100000</v>
      </c>
      <c r="H19" s="1">
        <f t="shared" si="3"/>
        <v>0.17</v>
      </c>
      <c r="J19" s="4">
        <v>2</v>
      </c>
      <c r="K19" s="45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5">
        <v>15715574</v>
      </c>
      <c r="G20" s="45">
        <v>1077960</v>
      </c>
      <c r="H20" s="1">
        <f t="shared" si="3"/>
        <v>6.86</v>
      </c>
      <c r="J20" s="4">
        <v>3</v>
      </c>
      <c r="K20" s="45">
        <v>68828000</v>
      </c>
      <c r="L20" s="45">
        <v>-490000</v>
      </c>
      <c r="M20" s="1">
        <f t="shared" si="4"/>
        <v>-0.71</v>
      </c>
      <c r="O20" t="s">
        <v>212</v>
      </c>
    </row>
    <row r="21" spans="1:15" x14ac:dyDescent="0.3">
      <c r="E21" s="4">
        <v>4</v>
      </c>
      <c r="F21" s="45">
        <v>66300000</v>
      </c>
      <c r="G21" s="2">
        <v>-1430000</v>
      </c>
      <c r="H21" s="1">
        <f t="shared" si="3"/>
        <v>-2.16</v>
      </c>
      <c r="I21" s="193"/>
      <c r="J21" s="4">
        <v>4</v>
      </c>
      <c r="K21" s="45">
        <v>66916914</v>
      </c>
      <c r="L21" s="2">
        <v>3222202</v>
      </c>
      <c r="M21" s="1">
        <f t="shared" si="4"/>
        <v>4.82</v>
      </c>
      <c r="O21" t="s">
        <v>213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5">
        <v>64870000</v>
      </c>
      <c r="G22" s="2">
        <v>2230000</v>
      </c>
      <c r="H22" s="1">
        <f t="shared" si="3"/>
        <v>3.44</v>
      </c>
      <c r="J22" s="4">
        <v>5</v>
      </c>
      <c r="K22" s="45">
        <v>0</v>
      </c>
      <c r="L22" s="2">
        <v>0</v>
      </c>
      <c r="M22" s="1">
        <f t="shared" si="4"/>
        <v>0</v>
      </c>
      <c r="O22" t="s">
        <v>214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5">
        <v>40200000</v>
      </c>
      <c r="G23" s="45">
        <v>520000</v>
      </c>
      <c r="H23" s="1">
        <f t="shared" si="3"/>
        <v>1.29</v>
      </c>
      <c r="J23" s="4">
        <v>6</v>
      </c>
      <c r="K23" s="45">
        <v>0</v>
      </c>
      <c r="L23" s="45">
        <v>0</v>
      </c>
      <c r="M23" s="1">
        <f t="shared" si="4"/>
        <v>0</v>
      </c>
    </row>
    <row r="24" spans="1:15" x14ac:dyDescent="0.3">
      <c r="E24" s="4">
        <v>7</v>
      </c>
      <c r="F24" s="45">
        <v>0</v>
      </c>
      <c r="G24" s="2">
        <v>0</v>
      </c>
      <c r="H24" s="1">
        <f t="shared" si="3"/>
        <v>0</v>
      </c>
      <c r="J24" s="4">
        <v>7</v>
      </c>
      <c r="K24" s="45">
        <v>0</v>
      </c>
      <c r="L24" s="2">
        <v>0</v>
      </c>
      <c r="M24" s="1">
        <f t="shared" si="4"/>
        <v>0</v>
      </c>
    </row>
    <row r="25" spans="1:15" x14ac:dyDescent="0.3">
      <c r="B25" s="4" t="s">
        <v>164</v>
      </c>
      <c r="C25" s="4">
        <v>16696980</v>
      </c>
      <c r="E25" s="4">
        <v>8</v>
      </c>
      <c r="F25" s="45">
        <v>0</v>
      </c>
      <c r="G25" s="2">
        <v>0</v>
      </c>
      <c r="H25" s="1">
        <f t="shared" si="3"/>
        <v>0</v>
      </c>
      <c r="J25" s="4">
        <v>8</v>
      </c>
      <c r="K25" s="45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97">
        <v>45301</v>
      </c>
      <c r="C26" s="1">
        <f xml:space="preserve"> C25 / 2</f>
        <v>8348490</v>
      </c>
      <c r="E26" s="7">
        <v>9</v>
      </c>
      <c r="F26" s="45">
        <v>0</v>
      </c>
      <c r="G26" s="45">
        <v>0</v>
      </c>
      <c r="H26" s="1">
        <f t="shared" si="3"/>
        <v>0</v>
      </c>
      <c r="J26" s="7">
        <v>9</v>
      </c>
      <c r="K26" s="45">
        <v>0</v>
      </c>
      <c r="L26" s="45">
        <v>0</v>
      </c>
      <c r="M26" s="1">
        <f t="shared" si="5"/>
        <v>0</v>
      </c>
    </row>
    <row r="27" spans="1:15" x14ac:dyDescent="0.3">
      <c r="B27" s="97">
        <v>45422</v>
      </c>
      <c r="C27" s="1">
        <f xml:space="preserve"> C25 / 2</f>
        <v>8348490</v>
      </c>
      <c r="E27" s="4">
        <v>10</v>
      </c>
      <c r="F27" s="45">
        <v>0</v>
      </c>
      <c r="G27" s="2">
        <v>0</v>
      </c>
      <c r="H27" s="1">
        <f t="shared" si="3"/>
        <v>0</v>
      </c>
      <c r="J27" s="4">
        <v>10</v>
      </c>
      <c r="K27" s="45">
        <v>0</v>
      </c>
      <c r="L27" s="2">
        <v>0</v>
      </c>
      <c r="M27" s="1">
        <f t="shared" si="5"/>
        <v>0</v>
      </c>
    </row>
    <row r="28" spans="1:15" x14ac:dyDescent="0.3">
      <c r="E28" s="44"/>
      <c r="F28" s="2">
        <v>60000000</v>
      </c>
      <c r="G28" s="2">
        <f>SUM(G18:G27)</f>
        <v>2132960</v>
      </c>
      <c r="H28" s="1">
        <f t="shared" si="3"/>
        <v>3.55</v>
      </c>
      <c r="J28" s="44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191</v>
      </c>
      <c r="F29" s="346">
        <v>70500000</v>
      </c>
      <c r="G29" s="347"/>
      <c r="H29" s="194">
        <f xml:space="preserve"> (((F29 + G28) / F29) - 1) * 100</f>
        <v>3.0254751773049593</v>
      </c>
      <c r="J29" s="4" t="s">
        <v>191</v>
      </c>
      <c r="K29" s="346">
        <v>70500000</v>
      </c>
      <c r="L29" s="347"/>
      <c r="M29" s="194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52" t="s">
        <v>36</v>
      </c>
      <c r="E3" s="352"/>
      <c r="F3" s="352"/>
      <c r="G3" s="352"/>
      <c r="H3" s="352"/>
      <c r="I3" s="352"/>
      <c r="J3" s="352"/>
      <c r="K3" s="352"/>
      <c r="L3" s="352"/>
      <c r="M3" s="352"/>
      <c r="N3" s="352"/>
    </row>
    <row r="4" spans="3:14" x14ac:dyDescent="0.3"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39" t="s">
        <v>50</v>
      </c>
      <c r="D9" s="39">
        <v>3.46</v>
      </c>
      <c r="E9" s="39">
        <v>3.49</v>
      </c>
      <c r="F9" s="39">
        <v>3.52</v>
      </c>
      <c r="G9" s="39">
        <v>3.51</v>
      </c>
      <c r="H9" s="39">
        <v>3.44</v>
      </c>
      <c r="I9" s="39">
        <v>3.36</v>
      </c>
      <c r="J9" s="39">
        <v>3.27</v>
      </c>
      <c r="K9" s="39">
        <v>3.23</v>
      </c>
    </row>
    <row r="10" spans="3:14" ht="17.25" thickBot="1" x14ac:dyDescent="0.35">
      <c r="C10" s="39" t="s">
        <v>51</v>
      </c>
      <c r="D10" s="39">
        <v>3.94</v>
      </c>
      <c r="E10" s="39">
        <v>4.0599999999999996</v>
      </c>
      <c r="F10" s="39">
        <v>4.08</v>
      </c>
      <c r="G10" s="39">
        <v>4.09</v>
      </c>
      <c r="H10" s="39">
        <v>4.0999999999999996</v>
      </c>
      <c r="I10" s="39">
        <v>4.1100000000000003</v>
      </c>
      <c r="J10" s="39">
        <v>4.12</v>
      </c>
      <c r="K10" s="39">
        <v>4.28</v>
      </c>
    </row>
    <row r="11" spans="3:14" ht="17.25" thickBot="1" x14ac:dyDescent="0.35">
      <c r="C11" s="39" t="s">
        <v>52</v>
      </c>
      <c r="D11" s="39">
        <v>4.03</v>
      </c>
      <c r="E11" s="39">
        <v>4.17</v>
      </c>
      <c r="F11" s="39">
        <v>4.17</v>
      </c>
      <c r="G11" s="39">
        <v>4.18</v>
      </c>
      <c r="H11" s="39">
        <v>4.1900000000000004</v>
      </c>
      <c r="I11" s="39">
        <v>4.21</v>
      </c>
      <c r="J11" s="39">
        <v>4.24</v>
      </c>
      <c r="K11" s="39">
        <v>4.4000000000000004</v>
      </c>
    </row>
    <row r="12" spans="3:14" ht="17.25" thickBot="1" x14ac:dyDescent="0.35">
      <c r="C12" s="39" t="s">
        <v>53</v>
      </c>
      <c r="D12" s="39">
        <v>4.08</v>
      </c>
      <c r="E12" s="39">
        <v>4.21</v>
      </c>
      <c r="F12" s="39">
        <v>4.22</v>
      </c>
      <c r="G12" s="39">
        <v>4.22</v>
      </c>
      <c r="H12" s="39">
        <v>4.2300000000000004</v>
      </c>
      <c r="I12" s="39">
        <v>4.24</v>
      </c>
      <c r="J12" s="39">
        <v>4.28</v>
      </c>
      <c r="K12" s="39">
        <v>4.46</v>
      </c>
    </row>
    <row r="13" spans="3:14" ht="17.25" thickBot="1" x14ac:dyDescent="0.35">
      <c r="C13" s="39" t="s">
        <v>54</v>
      </c>
      <c r="D13" s="39">
        <v>4.0999999999999996</v>
      </c>
      <c r="E13" s="39">
        <v>4.2300000000000004</v>
      </c>
      <c r="F13" s="39">
        <v>4.24</v>
      </c>
      <c r="G13" s="39">
        <v>4.25</v>
      </c>
      <c r="H13" s="39">
        <v>4.2699999999999996</v>
      </c>
      <c r="I13" s="39">
        <v>4.29</v>
      </c>
      <c r="J13" s="39">
        <v>4.33</v>
      </c>
      <c r="K13" s="39">
        <v>4.55</v>
      </c>
    </row>
    <row r="14" spans="3:14" ht="17.25" thickBot="1" x14ac:dyDescent="0.35">
      <c r="C14" s="39" t="s">
        <v>55</v>
      </c>
      <c r="D14" s="39">
        <v>4.59</v>
      </c>
      <c r="E14" s="39">
        <v>4.8</v>
      </c>
      <c r="F14" s="39">
        <v>4.8</v>
      </c>
      <c r="G14" s="39">
        <v>4.8099999999999996</v>
      </c>
      <c r="H14" s="39">
        <v>4.83</v>
      </c>
      <c r="I14" s="39">
        <v>4.84</v>
      </c>
      <c r="J14" s="39">
        <v>4.8899999999999997</v>
      </c>
      <c r="K14" s="39">
        <v>5.19</v>
      </c>
    </row>
    <row r="15" spans="3:14" ht="17.25" thickBot="1" x14ac:dyDescent="0.35">
      <c r="C15" s="39" t="s">
        <v>56</v>
      </c>
      <c r="D15" s="39">
        <v>4.7300000000000004</v>
      </c>
      <c r="E15" s="39">
        <v>4.96</v>
      </c>
      <c r="F15" s="39">
        <v>4.96</v>
      </c>
      <c r="G15" s="39">
        <v>4.97</v>
      </c>
      <c r="H15" s="39">
        <v>5</v>
      </c>
      <c r="I15" s="39">
        <v>5.01</v>
      </c>
      <c r="J15" s="39">
        <v>5.16</v>
      </c>
      <c r="K15" s="39">
        <v>5.65</v>
      </c>
    </row>
    <row r="16" spans="3:14" ht="17.25" thickBot="1" x14ac:dyDescent="0.35">
      <c r="C16" s="39" t="s">
        <v>57</v>
      </c>
      <c r="D16" s="39">
        <v>4.9400000000000004</v>
      </c>
      <c r="E16" s="39">
        <v>5.18</v>
      </c>
      <c r="F16" s="39">
        <v>5.21</v>
      </c>
      <c r="G16" s="39">
        <v>5.23</v>
      </c>
      <c r="H16" s="39">
        <v>5.3</v>
      </c>
      <c r="I16" s="39">
        <v>5.35</v>
      </c>
      <c r="J16" s="39">
        <v>5.61</v>
      </c>
      <c r="K16" s="39">
        <v>6.25</v>
      </c>
    </row>
    <row r="17" spans="2:12" ht="17.25" thickBot="1" x14ac:dyDescent="0.35">
      <c r="C17" s="39" t="s">
        <v>58</v>
      </c>
      <c r="D17" s="39">
        <v>5.6</v>
      </c>
      <c r="E17" s="39">
        <v>6.16</v>
      </c>
      <c r="F17" s="39">
        <v>6.5</v>
      </c>
      <c r="G17" s="39">
        <v>6.71</v>
      </c>
      <c r="H17" s="39">
        <v>7.07</v>
      </c>
      <c r="I17" s="39">
        <v>7.59</v>
      </c>
      <c r="J17" s="39">
        <v>8.1300000000000008</v>
      </c>
      <c r="K17" s="39">
        <v>8.34</v>
      </c>
    </row>
    <row r="18" spans="2:12" ht="17.25" thickBot="1" x14ac:dyDescent="0.35">
      <c r="C18" s="39" t="s">
        <v>59</v>
      </c>
      <c r="D18" s="39">
        <v>5.98</v>
      </c>
      <c r="E18" s="39">
        <v>6.66</v>
      </c>
      <c r="F18" s="39">
        <v>7.08</v>
      </c>
      <c r="G18" s="39">
        <v>7.38</v>
      </c>
      <c r="H18" s="39">
        <v>7.88</v>
      </c>
      <c r="I18" s="39">
        <v>8.5299999999999994</v>
      </c>
      <c r="J18" s="39">
        <v>9.18</v>
      </c>
      <c r="K18" s="39">
        <v>9.39</v>
      </c>
    </row>
    <row r="19" spans="2:12" ht="17.25" thickBot="1" x14ac:dyDescent="0.35">
      <c r="C19" s="39" t="s">
        <v>60</v>
      </c>
      <c r="D19" s="39">
        <v>6.66</v>
      </c>
      <c r="E19" s="39">
        <v>7.45</v>
      </c>
      <c r="F19" s="39">
        <v>8.02</v>
      </c>
      <c r="G19" s="39">
        <v>8.36</v>
      </c>
      <c r="H19" s="39">
        <v>8.99</v>
      </c>
      <c r="I19" s="39">
        <v>9.68</v>
      </c>
      <c r="J19" s="39">
        <v>10.55</v>
      </c>
      <c r="K19" s="39">
        <v>10.81</v>
      </c>
      <c r="L19" s="13">
        <f xml:space="preserve"> K19 / 100</f>
        <v>0.1081</v>
      </c>
    </row>
    <row r="21" spans="2:12" x14ac:dyDescent="0.3">
      <c r="C21" s="41" t="s">
        <v>87</v>
      </c>
      <c r="D21" s="41" t="s">
        <v>89</v>
      </c>
      <c r="E21" s="41" t="s">
        <v>90</v>
      </c>
      <c r="F21" s="41" t="s">
        <v>92</v>
      </c>
      <c r="G21" s="41" t="s">
        <v>91</v>
      </c>
      <c r="H21" s="41" t="s">
        <v>88</v>
      </c>
      <c r="I21" s="41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53">
        <f xml:space="preserve"> D22 + E22 + F22 + G22</f>
        <v>18921448</v>
      </c>
      <c r="E23" s="345"/>
      <c r="F23" s="345"/>
      <c r="G23" s="345"/>
      <c r="H23" s="2">
        <v>0</v>
      </c>
      <c r="I23" s="2">
        <f xml:space="preserve"> SUM(C23:H23)</f>
        <v>22261448</v>
      </c>
    </row>
    <row r="24" spans="2:12" x14ac:dyDescent="0.3">
      <c r="C24" s="42">
        <f xml:space="preserve"> C23/ I23 * 100</f>
        <v>15.003516393003727</v>
      </c>
      <c r="D24" s="354">
        <f xml:space="preserve"> D23 / I23 * 100</f>
        <v>84.996483606996279</v>
      </c>
      <c r="E24" s="355"/>
      <c r="F24" s="355"/>
      <c r="G24" s="356"/>
      <c r="H24" s="42">
        <f xml:space="preserve"> H23 / I23 * 100</f>
        <v>0</v>
      </c>
      <c r="I24" s="42">
        <f xml:space="preserve"> SUM(C24:H24)</f>
        <v>100</v>
      </c>
    </row>
    <row r="25" spans="2:12" x14ac:dyDescent="0.3">
      <c r="C25" s="40"/>
      <c r="D25" s="43">
        <f xml:space="preserve"> D22 / D23 * 100</f>
        <v>27.587740642259512</v>
      </c>
      <c r="E25" s="43">
        <f xml:space="preserve"> E22 / D23 * 100</f>
        <v>4.1073495009472847</v>
      </c>
      <c r="F25" s="43">
        <f xml:space="preserve"> F22 / D23 * 100</f>
        <v>19.808922657504858</v>
      </c>
      <c r="G25" s="43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62" t="s">
        <v>100</v>
      </c>
      <c r="C27" s="366" t="s">
        <v>115</v>
      </c>
      <c r="D27" s="357" t="s">
        <v>98</v>
      </c>
      <c r="E27" s="358"/>
      <c r="F27" s="359"/>
      <c r="G27" s="362" t="s">
        <v>102</v>
      </c>
      <c r="H27" s="360" t="s">
        <v>118</v>
      </c>
      <c r="I27" s="363" t="s">
        <v>96</v>
      </c>
      <c r="J27" s="362" t="s">
        <v>105</v>
      </c>
      <c r="K27" s="362" t="s">
        <v>116</v>
      </c>
    </row>
    <row r="28" spans="2:12" ht="17.25" thickBot="1" x14ac:dyDescent="0.35">
      <c r="B28" s="361"/>
      <c r="C28" s="367"/>
      <c r="D28" s="362" t="s">
        <v>97</v>
      </c>
      <c r="E28" s="360" t="s">
        <v>101</v>
      </c>
      <c r="F28" s="368" t="s">
        <v>104</v>
      </c>
      <c r="G28" s="361"/>
      <c r="H28" s="361"/>
      <c r="I28" s="364"/>
      <c r="J28" s="361"/>
      <c r="K28" s="361"/>
    </row>
    <row r="29" spans="2:12" ht="37.5" customHeight="1" thickBot="1" x14ac:dyDescent="0.35">
      <c r="B29" s="361"/>
      <c r="C29" s="367"/>
      <c r="D29" s="361"/>
      <c r="E29" s="361"/>
      <c r="F29" s="369"/>
      <c r="G29" s="361"/>
      <c r="H29" s="361"/>
      <c r="I29" s="46" t="s">
        <v>99</v>
      </c>
      <c r="J29" s="365"/>
      <c r="K29" s="365"/>
    </row>
    <row r="30" spans="2:12" x14ac:dyDescent="0.3">
      <c r="B30" s="374" t="s">
        <v>114</v>
      </c>
      <c r="C30" s="376">
        <v>1845434000</v>
      </c>
      <c r="D30" s="49">
        <v>1845434000</v>
      </c>
      <c r="E30" s="48">
        <v>0</v>
      </c>
      <c r="F30" s="50">
        <v>10.81</v>
      </c>
      <c r="G30" s="370">
        <f xml:space="preserve"> C30 + D31</f>
        <v>0</v>
      </c>
      <c r="H30" s="376">
        <v>934126897</v>
      </c>
      <c r="I30" s="378">
        <f xml:space="preserve"> G30 / H30</f>
        <v>0</v>
      </c>
      <c r="J30" s="372" t="s">
        <v>103</v>
      </c>
      <c r="K30" s="370">
        <f xml:space="preserve"> D30 / H30</f>
        <v>1.9755709914003259</v>
      </c>
    </row>
    <row r="31" spans="2:12" ht="17.25" thickBot="1" x14ac:dyDescent="0.35">
      <c r="B31" s="375"/>
      <c r="C31" s="377"/>
      <c r="D31" s="380">
        <f xml:space="preserve"> (D30 * (E30 - F30)) / F30</f>
        <v>-1845434000</v>
      </c>
      <c r="E31" s="381"/>
      <c r="F31" s="382"/>
      <c r="G31" s="375"/>
      <c r="H31" s="377"/>
      <c r="I31" s="379"/>
      <c r="J31" s="373"/>
      <c r="K31" s="371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7" customFormat="1" x14ac:dyDescent="0.3">
      <c r="A36" s="186"/>
    </row>
    <row r="37" spans="1:10" ht="17.25" thickBot="1" x14ac:dyDescent="0.35"/>
    <row r="38" spans="1:10" ht="50.25" thickBot="1" x14ac:dyDescent="0.35">
      <c r="B38" s="52" t="s">
        <v>117</v>
      </c>
      <c r="C38" s="53" t="s">
        <v>108</v>
      </c>
      <c r="D38" s="53" t="s">
        <v>106</v>
      </c>
      <c r="E38" s="54" t="s">
        <v>107</v>
      </c>
      <c r="F38" s="62"/>
    </row>
    <row r="39" spans="1:10" x14ac:dyDescent="0.3">
      <c r="A39" s="73">
        <v>2021</v>
      </c>
      <c r="B39" s="51" t="s">
        <v>109</v>
      </c>
      <c r="C39" s="47">
        <v>5950076000</v>
      </c>
      <c r="D39" s="47">
        <v>1344380000</v>
      </c>
      <c r="E39" s="47">
        <f t="shared" ref="E39:E44" si="0" xml:space="preserve"> C39 - D39</f>
        <v>4605696000</v>
      </c>
      <c r="F39" s="63"/>
    </row>
    <row r="40" spans="1:10" x14ac:dyDescent="0.3">
      <c r="A40" s="73">
        <v>2022</v>
      </c>
      <c r="B40" s="51" t="s">
        <v>109</v>
      </c>
      <c r="C40" s="47">
        <v>5764276000</v>
      </c>
      <c r="D40" s="47">
        <v>1704062000</v>
      </c>
      <c r="E40" s="47">
        <f t="shared" si="0"/>
        <v>4060214000</v>
      </c>
      <c r="F40" s="63"/>
    </row>
    <row r="41" spans="1:10" x14ac:dyDescent="0.3">
      <c r="A41" s="74" t="s">
        <v>157</v>
      </c>
      <c r="B41" s="51" t="s">
        <v>109</v>
      </c>
      <c r="C41" s="47">
        <v>5654093000</v>
      </c>
      <c r="D41" s="47">
        <v>1732443000</v>
      </c>
      <c r="E41" s="47">
        <f t="shared" si="0"/>
        <v>3921650000</v>
      </c>
      <c r="F41" s="63"/>
    </row>
    <row r="42" spans="1:10" x14ac:dyDescent="0.3">
      <c r="A42" s="74" t="s">
        <v>167</v>
      </c>
      <c r="B42" s="51" t="s">
        <v>109</v>
      </c>
      <c r="C42" s="47">
        <v>5583277000</v>
      </c>
      <c r="D42" s="47">
        <v>1844192000</v>
      </c>
      <c r="E42" s="47">
        <f t="shared" si="0"/>
        <v>3739085000</v>
      </c>
      <c r="F42" s="63"/>
    </row>
    <row r="43" spans="1:10" x14ac:dyDescent="0.3">
      <c r="A43" s="74" t="s">
        <v>175</v>
      </c>
      <c r="B43" s="51" t="s">
        <v>109</v>
      </c>
      <c r="C43" s="47">
        <v>5452121000</v>
      </c>
      <c r="D43" s="47">
        <v>1942835000</v>
      </c>
      <c r="E43" s="47">
        <f t="shared" si="0"/>
        <v>3509286000</v>
      </c>
      <c r="F43" s="63"/>
    </row>
    <row r="44" spans="1:10" x14ac:dyDescent="0.3">
      <c r="A44" s="74" t="s">
        <v>180</v>
      </c>
      <c r="B44" s="51" t="s">
        <v>109</v>
      </c>
      <c r="C44" s="47">
        <v>4847306000</v>
      </c>
      <c r="D44" s="47">
        <v>1918184000</v>
      </c>
      <c r="E44" s="47">
        <f t="shared" si="0"/>
        <v>2929122000</v>
      </c>
      <c r="F44" s="63"/>
    </row>
    <row r="45" spans="1:10" x14ac:dyDescent="0.3">
      <c r="A45" s="74" t="s">
        <v>184</v>
      </c>
      <c r="B45" s="51" t="s">
        <v>109</v>
      </c>
      <c r="C45" s="47">
        <v>4724874000</v>
      </c>
      <c r="D45" s="47">
        <v>1695541000</v>
      </c>
      <c r="E45" s="47">
        <f t="shared" ref="E45" si="1" xml:space="preserve"> C45 - D45</f>
        <v>3029333000</v>
      </c>
      <c r="F45" s="63"/>
    </row>
    <row r="46" spans="1:10" x14ac:dyDescent="0.3">
      <c r="A46" s="74" t="s">
        <v>207</v>
      </c>
      <c r="B46" s="51" t="s">
        <v>109</v>
      </c>
      <c r="C46" s="47">
        <v>3602846000</v>
      </c>
      <c r="D46" s="47">
        <v>1795090000</v>
      </c>
      <c r="E46" s="47">
        <f t="shared" ref="E46" si="2" xml:space="preserve"> C46 - D46</f>
        <v>1807756000</v>
      </c>
      <c r="F46" s="63"/>
    </row>
    <row r="47" spans="1:10" x14ac:dyDescent="0.3">
      <c r="A47" s="74" t="s">
        <v>210</v>
      </c>
      <c r="B47" s="51" t="s">
        <v>109</v>
      </c>
      <c r="C47" s="47">
        <v>3633406000</v>
      </c>
      <c r="D47" s="47">
        <v>1700819000</v>
      </c>
      <c r="E47" s="47">
        <f t="shared" ref="E47" si="3" xml:space="preserve"> C47 - D47</f>
        <v>1932587000</v>
      </c>
      <c r="F47" s="63"/>
    </row>
    <row r="48" spans="1:10" ht="17.25" thickBot="1" x14ac:dyDescent="0.35"/>
    <row r="49" spans="1:7" ht="33.75" thickBot="1" x14ac:dyDescent="0.35">
      <c r="B49" s="52" t="s">
        <v>117</v>
      </c>
      <c r="C49" s="55" t="s">
        <v>110</v>
      </c>
      <c r="D49" s="53" t="s">
        <v>111</v>
      </c>
      <c r="E49" s="53" t="s">
        <v>112</v>
      </c>
      <c r="F49" s="56" t="s">
        <v>97</v>
      </c>
    </row>
    <row r="50" spans="1:7" x14ac:dyDescent="0.3">
      <c r="A50" s="73">
        <v>2021</v>
      </c>
      <c r="B50" s="51" t="s">
        <v>109</v>
      </c>
      <c r="C50" s="47">
        <v>5947000</v>
      </c>
      <c r="D50" s="47">
        <v>7070710000</v>
      </c>
      <c r="E50" s="47">
        <v>2396903000</v>
      </c>
      <c r="F50" s="47">
        <f t="shared" ref="F50:F55" si="4" xml:space="preserve"> D50 + C50 - E50</f>
        <v>4679754000</v>
      </c>
    </row>
    <row r="51" spans="1:7" x14ac:dyDescent="0.3">
      <c r="A51" s="73">
        <v>2022</v>
      </c>
      <c r="B51" s="51" t="s">
        <v>109</v>
      </c>
      <c r="C51" s="47">
        <v>6084000</v>
      </c>
      <c r="D51" s="47">
        <v>7297306000</v>
      </c>
      <c r="E51" s="47">
        <v>3120911000</v>
      </c>
      <c r="F51" s="47">
        <f t="shared" si="4"/>
        <v>4182479000</v>
      </c>
      <c r="G51" s="133">
        <f t="shared" ref="G51:G56" si="5" xml:space="preserve">  (F51 / F50 * 100) - 100</f>
        <v>-10.62609273906277</v>
      </c>
    </row>
    <row r="52" spans="1:7" x14ac:dyDescent="0.3">
      <c r="A52" s="74" t="s">
        <v>157</v>
      </c>
      <c r="B52" s="51" t="s">
        <v>109</v>
      </c>
      <c r="C52" s="47">
        <v>6120000</v>
      </c>
      <c r="D52" s="47">
        <v>7360887000</v>
      </c>
      <c r="E52" s="47">
        <v>3327472000</v>
      </c>
      <c r="F52" s="47">
        <f t="shared" si="4"/>
        <v>4039535000</v>
      </c>
      <c r="G52" s="133">
        <f t="shared" si="5"/>
        <v>-3.4176860182681139</v>
      </c>
    </row>
    <row r="53" spans="1:7" x14ac:dyDescent="0.3">
      <c r="A53" s="74" t="s">
        <v>167</v>
      </c>
      <c r="B53" s="51" t="s">
        <v>109</v>
      </c>
      <c r="C53" s="47">
        <v>6201000</v>
      </c>
      <c r="D53" s="47">
        <v>7409733000</v>
      </c>
      <c r="E53" s="47">
        <v>3563870000</v>
      </c>
      <c r="F53" s="47">
        <f t="shared" si="4"/>
        <v>3852064000</v>
      </c>
      <c r="G53" s="133">
        <f t="shared" si="5"/>
        <v>-4.6409054507511485</v>
      </c>
    </row>
    <row r="54" spans="1:7" x14ac:dyDescent="0.3">
      <c r="A54" s="74" t="s">
        <v>175</v>
      </c>
      <c r="B54" s="51" t="s">
        <v>109</v>
      </c>
      <c r="C54" s="47">
        <v>6243000</v>
      </c>
      <c r="D54" s="47">
        <v>7456196000</v>
      </c>
      <c r="E54" s="47">
        <v>3847349000</v>
      </c>
      <c r="F54" s="47">
        <f t="shared" si="4"/>
        <v>3615090000</v>
      </c>
      <c r="G54" s="133">
        <f t="shared" si="5"/>
        <v>-6.1518707892703759</v>
      </c>
    </row>
    <row r="55" spans="1:7" x14ac:dyDescent="0.3">
      <c r="A55" s="74" t="s">
        <v>180</v>
      </c>
      <c r="B55" s="51" t="s">
        <v>109</v>
      </c>
      <c r="C55" s="167">
        <v>7057000</v>
      </c>
      <c r="D55" s="47">
        <v>7823209000</v>
      </c>
      <c r="E55" s="47">
        <v>4785520000</v>
      </c>
      <c r="F55" s="47">
        <f t="shared" si="4"/>
        <v>3044746000</v>
      </c>
      <c r="G55" s="133">
        <f t="shared" si="5"/>
        <v>-15.776757978362923</v>
      </c>
    </row>
    <row r="56" spans="1:7" x14ac:dyDescent="0.3">
      <c r="A56" s="74" t="s">
        <v>184</v>
      </c>
      <c r="B56" s="51" t="s">
        <v>109</v>
      </c>
      <c r="C56" s="167">
        <v>9003000</v>
      </c>
      <c r="D56" s="47">
        <v>8388930000</v>
      </c>
      <c r="E56" s="47">
        <v>5259021000</v>
      </c>
      <c r="F56" s="47">
        <f t="shared" ref="F56" si="6" xml:space="preserve"> D56 + C56 - E56</f>
        <v>3138912000</v>
      </c>
      <c r="G56" s="133">
        <f t="shared" si="5"/>
        <v>3.0927374565891625</v>
      </c>
    </row>
    <row r="57" spans="1:7" x14ac:dyDescent="0.3">
      <c r="A57" s="74" t="s">
        <v>207</v>
      </c>
      <c r="B57" s="51" t="s">
        <v>109</v>
      </c>
      <c r="C57" s="167">
        <v>9342000</v>
      </c>
      <c r="D57" s="47">
        <v>8430537000</v>
      </c>
      <c r="E57" s="47">
        <v>6594445000</v>
      </c>
      <c r="F57" s="47">
        <f t="shared" ref="F57" si="7" xml:space="preserve"> D57 + C57 - E57</f>
        <v>1845434000</v>
      </c>
      <c r="G57" s="133">
        <f t="shared" ref="G57" si="8" xml:space="preserve">  (F57 / F56 * 100) - 100</f>
        <v>-41.207845266130427</v>
      </c>
    </row>
    <row r="58" spans="1:7" x14ac:dyDescent="0.3">
      <c r="A58" s="74" t="s">
        <v>210</v>
      </c>
      <c r="B58" s="51" t="s">
        <v>109</v>
      </c>
      <c r="C58" s="167">
        <v>9977000</v>
      </c>
      <c r="D58" s="47">
        <v>8752399000</v>
      </c>
      <c r="E58" s="47">
        <v>6791101000</v>
      </c>
      <c r="F58" s="47">
        <f t="shared" ref="F58" si="9" xml:space="preserve"> D58 + C58 - E58</f>
        <v>1971275000</v>
      </c>
      <c r="G58" s="133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2" t="s">
        <v>117</v>
      </c>
      <c r="C60" s="60" t="s">
        <v>113</v>
      </c>
      <c r="D60" s="61" t="s">
        <v>120</v>
      </c>
      <c r="E60" s="64" t="s">
        <v>121</v>
      </c>
      <c r="F60" s="65" t="s">
        <v>123</v>
      </c>
      <c r="G60" s="65" t="s">
        <v>122</v>
      </c>
    </row>
    <row r="61" spans="1:7" x14ac:dyDescent="0.3">
      <c r="A61" s="73">
        <v>2021</v>
      </c>
      <c r="B61" s="51" t="s">
        <v>109</v>
      </c>
      <c r="C61" s="58">
        <f t="shared" ref="C61:C69" si="11" xml:space="preserve"> F50 / C39 * 100</f>
        <v>78.650323121923151</v>
      </c>
      <c r="D61" s="59">
        <f t="shared" ref="D61:D69" si="12">(C50-F50)/C50 *100</f>
        <v>-78591.003867496212</v>
      </c>
      <c r="E61" s="66">
        <v>50</v>
      </c>
      <c r="F61" s="67">
        <v>594729610</v>
      </c>
      <c r="G61" s="68">
        <f t="shared" ref="G61:G66" si="13" xml:space="preserve"> E61 * F61</f>
        <v>29736480500</v>
      </c>
    </row>
    <row r="62" spans="1:7" x14ac:dyDescent="0.3">
      <c r="A62" s="73">
        <v>2022</v>
      </c>
      <c r="B62" s="51" t="s">
        <v>109</v>
      </c>
      <c r="C62" s="58">
        <f t="shared" si="11"/>
        <v>72.55861794265229</v>
      </c>
      <c r="D62" s="59">
        <f t="shared" si="12"/>
        <v>-68645.545693622611</v>
      </c>
      <c r="E62" s="1">
        <v>13.33</v>
      </c>
      <c r="F62" s="67">
        <v>608421785</v>
      </c>
      <c r="G62" s="68">
        <f t="shared" si="13"/>
        <v>8110262394.0500002</v>
      </c>
    </row>
    <row r="63" spans="1:7" x14ac:dyDescent="0.3">
      <c r="A63" s="74" t="s">
        <v>157</v>
      </c>
      <c r="B63" s="51" t="s">
        <v>109</v>
      </c>
      <c r="C63" s="58">
        <f t="shared" si="11"/>
        <v>71.444438568661667</v>
      </c>
      <c r="D63" s="59">
        <f t="shared" si="12"/>
        <v>-65905.473856209152</v>
      </c>
      <c r="E63" s="1">
        <v>8</v>
      </c>
      <c r="F63" s="67">
        <v>611951626</v>
      </c>
      <c r="G63" s="68">
        <f t="shared" si="13"/>
        <v>4895613008</v>
      </c>
    </row>
    <row r="64" spans="1:7" x14ac:dyDescent="0.3">
      <c r="A64" s="74" t="s">
        <v>167</v>
      </c>
      <c r="B64" s="51" t="s">
        <v>109</v>
      </c>
      <c r="C64" s="58">
        <f t="shared" si="11"/>
        <v>68.992887152115145</v>
      </c>
      <c r="D64" s="59">
        <f t="shared" si="12"/>
        <v>-62020.045154007414</v>
      </c>
      <c r="E64" s="1">
        <v>7.54</v>
      </c>
      <c r="F64" s="67">
        <v>620087507</v>
      </c>
      <c r="G64" s="68">
        <f t="shared" si="13"/>
        <v>4675459802.7799997</v>
      </c>
    </row>
    <row r="65" spans="1:9" x14ac:dyDescent="0.3">
      <c r="A65" s="74" t="s">
        <v>175</v>
      </c>
      <c r="B65" s="51" t="s">
        <v>109</v>
      </c>
      <c r="C65" s="58">
        <f t="shared" si="11"/>
        <v>66.306121966111903</v>
      </c>
      <c r="D65" s="59">
        <f t="shared" si="12"/>
        <v>-57806.295050456516</v>
      </c>
      <c r="E65" s="1">
        <v>3.54</v>
      </c>
      <c r="F65" s="67">
        <v>624267053</v>
      </c>
      <c r="G65" s="68">
        <f t="shared" si="13"/>
        <v>2209905367.6199999</v>
      </c>
    </row>
    <row r="66" spans="1:9" x14ac:dyDescent="0.3">
      <c r="A66" s="74" t="s">
        <v>180</v>
      </c>
      <c r="B66" s="51" t="s">
        <v>109</v>
      </c>
      <c r="C66" s="58">
        <f t="shared" si="11"/>
        <v>62.813158484320986</v>
      </c>
      <c r="D66" s="59">
        <f t="shared" si="12"/>
        <v>-43045.047470596568</v>
      </c>
      <c r="E66" s="1">
        <v>2.54</v>
      </c>
      <c r="F66" s="67">
        <v>705604549</v>
      </c>
      <c r="G66" s="68">
        <f t="shared" si="13"/>
        <v>1792235554.46</v>
      </c>
    </row>
    <row r="67" spans="1:9" x14ac:dyDescent="0.3">
      <c r="A67" s="74" t="s">
        <v>184</v>
      </c>
      <c r="B67" s="51" t="s">
        <v>109</v>
      </c>
      <c r="C67" s="58">
        <f t="shared" si="11"/>
        <v>66.433771567241791</v>
      </c>
      <c r="D67" s="59">
        <f t="shared" si="12"/>
        <v>-34765.178273908699</v>
      </c>
      <c r="E67" s="1">
        <v>2.2999999999999998</v>
      </c>
      <c r="F67" s="67">
        <v>900281573</v>
      </c>
      <c r="G67" s="68">
        <f t="shared" ref="G67" si="14" xml:space="preserve"> E67 * F67</f>
        <v>2070647617.8999999</v>
      </c>
    </row>
    <row r="68" spans="1:9" x14ac:dyDescent="0.3">
      <c r="A68" s="74" t="s">
        <v>207</v>
      </c>
      <c r="B68" s="51" t="s">
        <v>109</v>
      </c>
      <c r="C68" s="58">
        <f t="shared" si="11"/>
        <v>51.221562065100755</v>
      </c>
      <c r="D68" s="59">
        <f t="shared" si="12"/>
        <v>-19654.163990580175</v>
      </c>
      <c r="E68" s="1">
        <v>1.44</v>
      </c>
      <c r="F68" s="67">
        <v>934126897</v>
      </c>
      <c r="G68" s="68">
        <f t="shared" ref="G68" si="15" xml:space="preserve"> E68 * F68</f>
        <v>1345142731.6800001</v>
      </c>
    </row>
    <row r="69" spans="1:9" x14ac:dyDescent="0.3">
      <c r="A69" s="74" t="s">
        <v>210</v>
      </c>
      <c r="B69" s="51" t="s">
        <v>109</v>
      </c>
      <c r="C69" s="58">
        <f t="shared" si="11"/>
        <v>54.254190145554894</v>
      </c>
      <c r="D69" s="59">
        <f t="shared" si="12"/>
        <v>-19658.193845845446</v>
      </c>
      <c r="E69" s="1">
        <v>0.86</v>
      </c>
      <c r="F69" s="67">
        <v>997610738</v>
      </c>
      <c r="G69" s="68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2" t="s">
        <v>117</v>
      </c>
      <c r="C71" s="69" t="s">
        <v>124</v>
      </c>
      <c r="D71" s="71" t="s">
        <v>125</v>
      </c>
      <c r="E71" s="32" t="s">
        <v>127</v>
      </c>
      <c r="F71" s="32" t="s">
        <v>126</v>
      </c>
      <c r="G71" s="70" t="s">
        <v>128</v>
      </c>
    </row>
    <row r="72" spans="1:9" x14ac:dyDescent="0.3">
      <c r="A72" s="73">
        <v>2021</v>
      </c>
      <c r="B72" s="51" t="s">
        <v>109</v>
      </c>
      <c r="C72" s="66">
        <v>4208</v>
      </c>
      <c r="D72" s="66">
        <v>24.3</v>
      </c>
      <c r="E72" s="66"/>
      <c r="F72" s="66"/>
      <c r="G72" s="66"/>
    </row>
    <row r="73" spans="1:9" x14ac:dyDescent="0.3">
      <c r="A73" s="73">
        <v>2022</v>
      </c>
      <c r="B73" s="51" t="s">
        <v>109</v>
      </c>
      <c r="C73" s="1">
        <v>3939</v>
      </c>
      <c r="D73" s="1">
        <v>13.33</v>
      </c>
      <c r="E73" s="40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2">
        <f t="shared" ref="G73:G78" si="19" xml:space="preserve">  D72 * ((100 + E73) / 100) * ((100 + F73) / 100)</f>
        <v>21.360945796487893</v>
      </c>
    </row>
    <row r="74" spans="1:9" x14ac:dyDescent="0.3">
      <c r="A74" s="74" t="s">
        <v>157</v>
      </c>
      <c r="B74" s="51" t="s">
        <v>109</v>
      </c>
      <c r="C74" s="1">
        <v>4119</v>
      </c>
      <c r="D74" s="1">
        <v>8</v>
      </c>
      <c r="E74" s="40">
        <f t="shared" si="17"/>
        <v>-1.1141793739906234</v>
      </c>
      <c r="F74" s="1">
        <f t="shared" si="18"/>
        <v>4.5696877380045704</v>
      </c>
      <c r="G74" s="72">
        <f t="shared" si="19"/>
        <v>13.78383235964265</v>
      </c>
      <c r="H74" s="133">
        <f xml:space="preserve"> (G74 / G73)</f>
        <v>0.64528193137913159</v>
      </c>
      <c r="I74" s="113">
        <f t="shared" ref="I74:I79" si="20" xml:space="preserve"> - (1 - H74)</f>
        <v>-0.35471806862086841</v>
      </c>
    </row>
    <row r="75" spans="1:9" x14ac:dyDescent="0.3">
      <c r="A75" s="74" t="s">
        <v>167</v>
      </c>
      <c r="B75" s="51" t="s">
        <v>109</v>
      </c>
      <c r="C75" s="1">
        <v>4377</v>
      </c>
      <c r="D75" s="1">
        <v>7.54</v>
      </c>
      <c r="E75" s="40">
        <f t="shared" si="17"/>
        <v>-2.451551416546522</v>
      </c>
      <c r="F75" s="1">
        <f t="shared" si="18"/>
        <v>6.263656227239621</v>
      </c>
      <c r="G75" s="72">
        <f t="shared" si="19"/>
        <v>8.2926838446181268</v>
      </c>
      <c r="H75" s="133">
        <f t="shared" ref="H75:H79" si="21" xml:space="preserve"> G75 / G74</f>
        <v>0.60162396264322504</v>
      </c>
      <c r="I75" s="113">
        <f t="shared" si="20"/>
        <v>-0.39837603735677496</v>
      </c>
    </row>
    <row r="76" spans="1:9" x14ac:dyDescent="0.3">
      <c r="A76" s="74" t="s">
        <v>175</v>
      </c>
      <c r="B76" s="51" t="s">
        <v>109</v>
      </c>
      <c r="C76" s="1">
        <v>4415</v>
      </c>
      <c r="D76" s="1">
        <v>3.54</v>
      </c>
      <c r="E76" s="40">
        <f t="shared" si="17"/>
        <v>-2.6867651860032424</v>
      </c>
      <c r="F76" s="1">
        <f t="shared" si="18"/>
        <v>0.86817454877770162</v>
      </c>
      <c r="G76" s="72">
        <f t="shared" si="19"/>
        <v>7.4011194997638103</v>
      </c>
      <c r="H76" s="133">
        <f t="shared" si="21"/>
        <v>0.89248784090172051</v>
      </c>
      <c r="I76" s="113">
        <f t="shared" si="20"/>
        <v>-0.10751215909827949</v>
      </c>
    </row>
    <row r="77" spans="1:9" x14ac:dyDescent="0.3">
      <c r="A77" s="74" t="s">
        <v>180</v>
      </c>
      <c r="B77" s="51" t="s">
        <v>109</v>
      </c>
      <c r="C77" s="1">
        <v>5222</v>
      </c>
      <c r="D77" s="1">
        <v>2.54</v>
      </c>
      <c r="E77" s="40">
        <f t="shared" si="17"/>
        <v>-3.4929634817909161</v>
      </c>
      <c r="F77" s="1">
        <f t="shared" si="18"/>
        <v>18.278595696489241</v>
      </c>
      <c r="G77" s="72">
        <f t="shared" si="19"/>
        <v>4.0408097309880651</v>
      </c>
      <c r="H77" s="133">
        <f t="shared" si="21"/>
        <v>0.54597277224303953</v>
      </c>
      <c r="I77" s="113">
        <f t="shared" si="20"/>
        <v>-0.45402722775696047</v>
      </c>
    </row>
    <row r="78" spans="1:9" x14ac:dyDescent="0.3">
      <c r="A78" s="74" t="s">
        <v>184</v>
      </c>
      <c r="B78" s="51" t="s">
        <v>109</v>
      </c>
      <c r="C78" s="1">
        <v>6047</v>
      </c>
      <c r="D78" s="1">
        <v>2.2999999999999998</v>
      </c>
      <c r="E78" s="40">
        <f t="shared" si="17"/>
        <v>3.620613082920805</v>
      </c>
      <c r="F78" s="1">
        <f t="shared" si="18"/>
        <v>15.798544618919955</v>
      </c>
      <c r="G78" s="72">
        <f t="shared" si="19"/>
        <v>3.047775511630701</v>
      </c>
      <c r="H78" s="133">
        <f t="shared" si="21"/>
        <v>0.7542487062080635</v>
      </c>
      <c r="I78" s="113">
        <f t="shared" si="20"/>
        <v>-0.2457512937919365</v>
      </c>
    </row>
    <row r="79" spans="1:9" x14ac:dyDescent="0.3">
      <c r="A79" s="74" t="s">
        <v>207</v>
      </c>
      <c r="B79" s="51" t="s">
        <v>109</v>
      </c>
      <c r="C79" s="1">
        <v>5849</v>
      </c>
      <c r="D79" s="1">
        <v>1.44</v>
      </c>
      <c r="E79" s="40">
        <f t="shared" si="17"/>
        <v>-15.212209502141036</v>
      </c>
      <c r="F79" s="1">
        <f t="shared" ref="F79" si="22" xml:space="preserve"> (C79 - C78) / C78 * 100</f>
        <v>-3.2743509178104846</v>
      </c>
      <c r="G79" s="72">
        <f t="shared" ref="G79" si="23" xml:space="preserve">  D78 * ((100 + E79) / 100) * ((100 + F79) / 100)</f>
        <v>1.886265436134525</v>
      </c>
      <c r="H79" s="133">
        <f t="shared" si="21"/>
        <v>0.61889907210563733</v>
      </c>
      <c r="I79" s="113">
        <f t="shared" si="20"/>
        <v>-0.38110092789436267</v>
      </c>
    </row>
    <row r="80" spans="1:9" x14ac:dyDescent="0.3">
      <c r="A80" s="74" t="s">
        <v>210</v>
      </c>
      <c r="B80" s="51" t="s">
        <v>109</v>
      </c>
      <c r="C80" s="1">
        <v>5844</v>
      </c>
      <c r="D80" s="1">
        <v>0.86</v>
      </c>
      <c r="E80" s="40">
        <f t="shared" si="17"/>
        <v>3.0326280804541383</v>
      </c>
      <c r="F80" s="1">
        <f t="shared" ref="F80" si="24" xml:space="preserve"> (C80 - C79) / C79 * 100</f>
        <v>-8.5484698239015208E-2</v>
      </c>
      <c r="G80" s="72">
        <f t="shared" ref="G80" si="25" xml:space="preserve">  D79 * ((100 + E80) / 100) * ((100 + F80) / 100)</f>
        <v>1.4824015336692264</v>
      </c>
      <c r="H80" s="133">
        <f t="shared" ref="H80" si="26" xml:space="preserve"> G80 / G79</f>
        <v>0.78589232738477866</v>
      </c>
      <c r="I80" s="113">
        <f t="shared" ref="I80" si="27" xml:space="preserve"> - (1 - H80)</f>
        <v>-0.21410767261522134</v>
      </c>
    </row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45" t="s">
        <v>143</v>
      </c>
      <c r="B29" s="345"/>
      <c r="C29" s="345"/>
    </row>
    <row r="30" spans="1:11" x14ac:dyDescent="0.3">
      <c r="A30" s="1">
        <v>1</v>
      </c>
      <c r="B30" s="345" t="s">
        <v>144</v>
      </c>
      <c r="C30" s="1" t="s">
        <v>145</v>
      </c>
    </row>
    <row r="31" spans="1:11" x14ac:dyDescent="0.3">
      <c r="A31" s="1">
        <v>2</v>
      </c>
      <c r="B31" s="345"/>
      <c r="C31" s="1" t="s">
        <v>146</v>
      </c>
    </row>
    <row r="32" spans="1:11" x14ac:dyDescent="0.3">
      <c r="A32" s="1">
        <v>3</v>
      </c>
      <c r="B32" s="345"/>
      <c r="C32" s="1" t="s">
        <v>147</v>
      </c>
    </row>
    <row r="33" spans="1:3" x14ac:dyDescent="0.3">
      <c r="A33" s="1">
        <v>4</v>
      </c>
      <c r="B33" s="345"/>
      <c r="C33" s="1" t="s">
        <v>148</v>
      </c>
    </row>
    <row r="34" spans="1:3" x14ac:dyDescent="0.3">
      <c r="A34" s="1">
        <v>5</v>
      </c>
      <c r="B34" s="345" t="s">
        <v>152</v>
      </c>
      <c r="C34" s="1" t="s">
        <v>149</v>
      </c>
    </row>
    <row r="35" spans="1:3" x14ac:dyDescent="0.3">
      <c r="A35" s="1">
        <v>6</v>
      </c>
      <c r="B35" s="345"/>
      <c r="C35" s="1" t="s">
        <v>150</v>
      </c>
    </row>
    <row r="36" spans="1:3" x14ac:dyDescent="0.3">
      <c r="A36" s="1">
        <v>7</v>
      </c>
      <c r="B36" s="345"/>
      <c r="C36" s="1" t="s">
        <v>151</v>
      </c>
    </row>
    <row r="37" spans="1:3" x14ac:dyDescent="0.3">
      <c r="A37" s="1">
        <v>8</v>
      </c>
      <c r="B37" s="345" t="s">
        <v>153</v>
      </c>
      <c r="C37" s="1" t="s">
        <v>154</v>
      </c>
    </row>
    <row r="38" spans="1:3" x14ac:dyDescent="0.3">
      <c r="A38" s="1">
        <v>9</v>
      </c>
      <c r="B38" s="345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40" t="s">
        <v>66</v>
      </c>
      <c r="C2" s="340"/>
      <c r="E2" s="340" t="s">
        <v>67</v>
      </c>
      <c r="F2" s="340"/>
      <c r="H2" s="340" t="s">
        <v>68</v>
      </c>
      <c r="I2" s="340"/>
      <c r="K2" s="340" t="s">
        <v>69</v>
      </c>
      <c r="L2" s="340"/>
      <c r="N2" s="340" t="s">
        <v>70</v>
      </c>
      <c r="O2" s="340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192" customFormat="1" x14ac:dyDescent="0.3">
      <c r="A1" s="197" t="s">
        <v>193</v>
      </c>
      <c r="B1" s="192" t="s">
        <v>195</v>
      </c>
      <c r="C1" s="192" t="s">
        <v>194</v>
      </c>
      <c r="D1" s="192" t="s">
        <v>196</v>
      </c>
      <c r="E1" s="192" t="s">
        <v>197</v>
      </c>
      <c r="F1" s="192" t="s">
        <v>199</v>
      </c>
      <c r="G1" s="192" t="s">
        <v>200</v>
      </c>
      <c r="H1" s="192" t="s">
        <v>201</v>
      </c>
      <c r="I1" s="192" t="s">
        <v>202</v>
      </c>
      <c r="J1" s="192" t="s">
        <v>204</v>
      </c>
      <c r="K1" s="192" t="s">
        <v>205</v>
      </c>
    </row>
    <row r="2" spans="1:11" x14ac:dyDescent="0.3">
      <c r="A2" s="73" t="s">
        <v>12</v>
      </c>
      <c r="B2" s="195">
        <v>85000</v>
      </c>
      <c r="C2" s="198">
        <v>10000</v>
      </c>
      <c r="D2" s="198">
        <v>80000</v>
      </c>
      <c r="E2" s="198">
        <v>40000</v>
      </c>
      <c r="F2" s="3" t="s">
        <v>198</v>
      </c>
      <c r="G2" s="198">
        <v>40000</v>
      </c>
      <c r="H2" s="3" t="s">
        <v>203</v>
      </c>
      <c r="I2" s="3" t="s">
        <v>203</v>
      </c>
      <c r="J2" s="3">
        <v>80000</v>
      </c>
      <c r="K2">
        <v>3000</v>
      </c>
    </row>
    <row r="3" spans="1:11" x14ac:dyDescent="0.3">
      <c r="C3" s="196">
        <f xml:space="preserve"> B2 + C2</f>
        <v>95000</v>
      </c>
      <c r="D3" s="196">
        <f xml:space="preserve"> B2 + 80000</f>
        <v>165000</v>
      </c>
      <c r="E3" s="196">
        <f xml:space="preserve"> B2 + 40000</f>
        <v>125000</v>
      </c>
      <c r="G3" s="196">
        <f xml:space="preserve"> B2 + 40000</f>
        <v>125000</v>
      </c>
      <c r="J3" s="196">
        <f xml:space="preserve"> B2 + 80000</f>
        <v>165000</v>
      </c>
      <c r="K3" s="196">
        <f xml:space="preserve"> B2 + 3000</f>
        <v>88000</v>
      </c>
    </row>
    <row r="4" spans="1:11" x14ac:dyDescent="0.3">
      <c r="C4" s="196">
        <f xml:space="preserve"> C3 + 10000</f>
        <v>105000</v>
      </c>
      <c r="D4" s="196">
        <f xml:space="preserve"> D3 + 80000</f>
        <v>245000</v>
      </c>
      <c r="E4" s="196">
        <f xml:space="preserve"> E3 + 40000</f>
        <v>165000</v>
      </c>
      <c r="G4" s="196">
        <f xml:space="preserve"> G3 + 40000</f>
        <v>165000</v>
      </c>
      <c r="J4" s="196">
        <f xml:space="preserve"> J3 + 80000</f>
        <v>245000</v>
      </c>
      <c r="K4" s="196">
        <f xml:space="preserve"> K3 + 3000</f>
        <v>91000</v>
      </c>
    </row>
    <row r="5" spans="1:11" x14ac:dyDescent="0.3">
      <c r="C5" s="196">
        <f xml:space="preserve"> C4 + 10000</f>
        <v>115000</v>
      </c>
      <c r="K5" s="196">
        <f xml:space="preserve"> K4 + 3000</f>
        <v>94000</v>
      </c>
    </row>
    <row r="6" spans="1:11" x14ac:dyDescent="0.3">
      <c r="C6" s="196">
        <f t="shared" ref="C6:C12" si="0" xml:space="preserve"> C5 + 10000</f>
        <v>125000</v>
      </c>
      <c r="K6" s="196">
        <f t="shared" ref="K6:K20" si="1" xml:space="preserve"> K5 + 3000</f>
        <v>97000</v>
      </c>
    </row>
    <row r="7" spans="1:11" x14ac:dyDescent="0.3">
      <c r="C7" s="196">
        <f t="shared" si="0"/>
        <v>135000</v>
      </c>
      <c r="K7" s="196">
        <f t="shared" si="1"/>
        <v>100000</v>
      </c>
    </row>
    <row r="8" spans="1:11" x14ac:dyDescent="0.3">
      <c r="C8" s="196">
        <f t="shared" si="0"/>
        <v>145000</v>
      </c>
      <c r="K8" s="196">
        <f t="shared" si="1"/>
        <v>103000</v>
      </c>
    </row>
    <row r="9" spans="1:11" x14ac:dyDescent="0.3">
      <c r="C9" s="196">
        <f t="shared" si="0"/>
        <v>155000</v>
      </c>
      <c r="K9" s="196">
        <f t="shared" si="1"/>
        <v>106000</v>
      </c>
    </row>
    <row r="10" spans="1:11" x14ac:dyDescent="0.3">
      <c r="C10" s="196">
        <f t="shared" si="0"/>
        <v>165000</v>
      </c>
      <c r="K10" s="196">
        <f t="shared" si="1"/>
        <v>109000</v>
      </c>
    </row>
    <row r="11" spans="1:11" x14ac:dyDescent="0.3">
      <c r="C11" s="196">
        <f t="shared" si="0"/>
        <v>175000</v>
      </c>
      <c r="K11" s="196">
        <f t="shared" si="1"/>
        <v>112000</v>
      </c>
    </row>
    <row r="12" spans="1:11" x14ac:dyDescent="0.3">
      <c r="C12" s="196">
        <f t="shared" si="0"/>
        <v>185000</v>
      </c>
      <c r="K12" s="196">
        <f t="shared" si="1"/>
        <v>115000</v>
      </c>
    </row>
    <row r="13" spans="1:11" x14ac:dyDescent="0.3">
      <c r="C13" s="196">
        <f xml:space="preserve"> C12 + 10000</f>
        <v>195000</v>
      </c>
      <c r="K13" s="196">
        <f t="shared" si="1"/>
        <v>118000</v>
      </c>
    </row>
    <row r="14" spans="1:11" x14ac:dyDescent="0.3">
      <c r="C14" s="196">
        <f xml:space="preserve"> C13 + 10000</f>
        <v>205000</v>
      </c>
      <c r="K14" s="196">
        <f t="shared" si="1"/>
        <v>121000</v>
      </c>
    </row>
    <row r="15" spans="1:11" x14ac:dyDescent="0.3">
      <c r="K15" s="196">
        <f t="shared" si="1"/>
        <v>124000</v>
      </c>
    </row>
    <row r="16" spans="1:11" x14ac:dyDescent="0.3">
      <c r="K16" s="196">
        <f t="shared" si="1"/>
        <v>127000</v>
      </c>
    </row>
    <row r="17" spans="11:11" x14ac:dyDescent="0.3">
      <c r="K17" s="196">
        <f t="shared" si="1"/>
        <v>130000</v>
      </c>
    </row>
    <row r="18" spans="11:11" x14ac:dyDescent="0.3">
      <c r="K18" s="196">
        <f t="shared" si="1"/>
        <v>133000</v>
      </c>
    </row>
    <row r="19" spans="11:11" x14ac:dyDescent="0.3">
      <c r="K19" s="196">
        <f t="shared" si="1"/>
        <v>136000</v>
      </c>
    </row>
    <row r="20" spans="11:11" x14ac:dyDescent="0.3">
      <c r="K20" s="196">
        <f t="shared" si="1"/>
        <v>139000</v>
      </c>
    </row>
    <row r="21" spans="11:11" x14ac:dyDescent="0.3">
      <c r="K21" s="196">
        <f xml:space="preserve"> K20 + 3000</f>
        <v>142000</v>
      </c>
    </row>
    <row r="22" spans="11:11" x14ac:dyDescent="0.3">
      <c r="K22" s="196">
        <f xml:space="preserve"> K21 + 3000</f>
        <v>145000</v>
      </c>
    </row>
    <row r="23" spans="11:11" x14ac:dyDescent="0.3">
      <c r="K23" s="196">
        <f t="shared" ref="K23:K25" si="2" xml:space="preserve"> K22 + 3000</f>
        <v>148000</v>
      </c>
    </row>
    <row r="24" spans="11:11" x14ac:dyDescent="0.3">
      <c r="K24" s="196">
        <f t="shared" si="2"/>
        <v>151000</v>
      </c>
    </row>
    <row r="25" spans="11:11" x14ac:dyDescent="0.3">
      <c r="K25" s="196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시나리오</vt:lpstr>
      <vt:lpstr>생활패턴</vt:lpstr>
      <vt:lpstr>포트폴리오＿월 자금 흐름 관리</vt:lpstr>
      <vt:lpstr>이사비용</vt:lpstr>
      <vt:lpstr>단타일지</vt:lpstr>
      <vt:lpstr>플러그파워</vt:lpstr>
      <vt:lpstr>금융사이클</vt:lpstr>
      <vt:lpstr>2022단타일지</vt:lpstr>
      <vt:lpstr>차량관리</vt:lpstr>
      <vt:lpstr>back_시나리오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2025-07-03T00:39:29Z</dcterms:modified>
</cp:coreProperties>
</file>