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1"/>
  <workbookPr/>
  <mc:AlternateContent xmlns:mc="http://schemas.openxmlformats.org/markup-compatibility/2006">
    <mc:Choice Requires="x15">
      <x15ac:absPath xmlns:x15ac="http://schemas.microsoft.com/office/spreadsheetml/2010/11/ac" url="D:\3.sbg\workspace\MyStock\"/>
    </mc:Choice>
  </mc:AlternateContent>
  <xr:revisionPtr revIDLastSave="0" documentId="13_ncr:1_{A51603FC-50DF-4C45-965D-D4299DF449B4}" xr6:coauthVersionLast="36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시나리오" sheetId="18" r:id="rId1"/>
    <sheet name="생활패턴" sheetId="5" r:id="rId2"/>
    <sheet name="Sheet1" sheetId="19" r:id="rId3"/>
    <sheet name="플러그파워" sheetId="11" r:id="rId4"/>
    <sheet name="금융사이클" sheetId="10" r:id="rId5"/>
    <sheet name="단타일지" sheetId="9" r:id="rId6"/>
    <sheet name="2022단타일지" sheetId="13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0" i="5" l="1"/>
  <c r="I9" i="19" l="1"/>
  <c r="K9" i="19" s="1"/>
  <c r="L9" i="19" s="1"/>
  <c r="H10" i="19" s="1"/>
  <c r="I8" i="19"/>
  <c r="I10" i="19" l="1"/>
  <c r="K10" i="19"/>
  <c r="L10" i="19" s="1"/>
  <c r="H11" i="19" s="1"/>
  <c r="J9" i="19"/>
  <c r="H33" i="18"/>
  <c r="H34" i="18" s="1"/>
  <c r="H35" i="18" s="1"/>
  <c r="H36" i="18" s="1"/>
  <c r="H37" i="18" s="1"/>
  <c r="H38" i="18" s="1"/>
  <c r="H39" i="18" s="1"/>
  <c r="H40" i="18" s="1"/>
  <c r="V20" i="5"/>
  <c r="I11" i="19" l="1"/>
  <c r="K11" i="19" s="1"/>
  <c r="L11" i="19" s="1"/>
  <c r="H12" i="19" s="1"/>
  <c r="V21" i="5"/>
  <c r="V22" i="5" s="1"/>
  <c r="V23" i="5" s="1"/>
  <c r="V24" i="5" s="1"/>
  <c r="V25" i="5" s="1"/>
  <c r="V26" i="5" s="1"/>
  <c r="V27" i="5" s="1"/>
  <c r="I12" i="19" l="1"/>
  <c r="K12" i="19" s="1"/>
  <c r="L12" i="19" s="1"/>
  <c r="H13" i="19" s="1"/>
  <c r="F68" i="11"/>
  <c r="E44" i="11"/>
  <c r="G60" i="11"/>
  <c r="F52" i="11"/>
  <c r="I13" i="19" l="1"/>
  <c r="K13" i="19"/>
  <c r="L13" i="19" s="1"/>
  <c r="D60" i="11"/>
  <c r="C60" i="11"/>
  <c r="S17" i="5" l="1"/>
  <c r="S13" i="5" l="1"/>
  <c r="E43" i="11" l="1"/>
  <c r="F67" i="11"/>
  <c r="G59" i="11"/>
  <c r="F51" i="11"/>
  <c r="D59" i="11" l="1"/>
  <c r="G52" i="11"/>
  <c r="C59" i="11"/>
  <c r="E68" i="11" s="1"/>
  <c r="G68" i="11" s="1"/>
  <c r="R27" i="18"/>
  <c r="R28" i="18"/>
  <c r="R29" i="18"/>
  <c r="R30" i="18"/>
  <c r="R31" i="18"/>
  <c r="R32" i="18"/>
  <c r="R33" i="18"/>
  <c r="R34" i="18"/>
  <c r="R35" i="18"/>
  <c r="R36" i="18"/>
  <c r="R37" i="18"/>
  <c r="R38" i="18"/>
  <c r="R39" i="18"/>
  <c r="R40" i="18"/>
  <c r="R41" i="18"/>
  <c r="R42" i="18"/>
  <c r="R43" i="18"/>
  <c r="R44" i="18"/>
  <c r="R45" i="18"/>
  <c r="R46" i="18"/>
  <c r="R47" i="18"/>
  <c r="R48" i="18"/>
  <c r="R49" i="18"/>
  <c r="R50" i="18"/>
  <c r="R51" i="18"/>
  <c r="R52" i="18"/>
  <c r="R53" i="18"/>
  <c r="R54" i="18"/>
  <c r="R55" i="18"/>
  <c r="R56" i="18"/>
  <c r="R57" i="18"/>
  <c r="R58" i="18"/>
  <c r="R59" i="18"/>
  <c r="R60" i="18"/>
  <c r="R61" i="18"/>
  <c r="R62" i="18"/>
  <c r="R63" i="18"/>
  <c r="R64" i="18"/>
  <c r="R65" i="18"/>
  <c r="R66" i="18"/>
  <c r="R67" i="18"/>
  <c r="R68" i="18"/>
  <c r="R69" i="18"/>
  <c r="R70" i="18"/>
  <c r="R71" i="18"/>
  <c r="R72" i="18"/>
  <c r="R73" i="18"/>
  <c r="R74" i="18"/>
  <c r="R75" i="18"/>
  <c r="R76" i="18"/>
  <c r="R77" i="18"/>
  <c r="R78" i="18"/>
  <c r="R79" i="18"/>
  <c r="R80" i="18"/>
  <c r="R81" i="18"/>
  <c r="R82" i="18"/>
  <c r="R83" i="18"/>
  <c r="R84" i="18"/>
  <c r="R85" i="18"/>
  <c r="R86" i="18"/>
  <c r="R87" i="18"/>
  <c r="R88" i="18"/>
  <c r="R89" i="18"/>
  <c r="R90" i="18"/>
  <c r="R91" i="18"/>
  <c r="R92" i="18"/>
  <c r="R93" i="18"/>
  <c r="R94" i="18"/>
  <c r="R95" i="18"/>
  <c r="R96" i="18"/>
  <c r="R97" i="18"/>
  <c r="R98" i="18"/>
  <c r="R99" i="18"/>
  <c r="R100" i="18"/>
  <c r="R101" i="18"/>
  <c r="R102" i="18"/>
  <c r="R103" i="18"/>
  <c r="R104" i="18"/>
  <c r="R105" i="18"/>
  <c r="R106" i="18"/>
  <c r="R107" i="18"/>
  <c r="R108" i="18"/>
  <c r="R109" i="18"/>
  <c r="R110" i="18"/>
  <c r="R111" i="18"/>
  <c r="R112" i="18"/>
  <c r="R113" i="18"/>
  <c r="R114" i="18"/>
  <c r="R115" i="18"/>
  <c r="R116" i="18"/>
  <c r="R117" i="18"/>
  <c r="R118" i="18"/>
  <c r="R119" i="18"/>
  <c r="R120" i="18"/>
  <c r="R121" i="18"/>
  <c r="R122" i="18"/>
  <c r="R123" i="18"/>
  <c r="R124" i="18"/>
  <c r="R125" i="18"/>
  <c r="R126" i="18"/>
  <c r="R127" i="18"/>
  <c r="R128" i="18"/>
  <c r="R129" i="18"/>
  <c r="R130" i="18"/>
  <c r="R131" i="18"/>
  <c r="R132" i="18"/>
  <c r="R133" i="18"/>
  <c r="R134" i="18"/>
  <c r="R135" i="18"/>
  <c r="R136" i="18"/>
  <c r="R137" i="18"/>
  <c r="R138" i="18"/>
  <c r="R139" i="18"/>
  <c r="R140" i="18"/>
  <c r="R141" i="18"/>
  <c r="R142" i="18"/>
  <c r="R143" i="18"/>
  <c r="R144" i="18"/>
  <c r="R145" i="18"/>
  <c r="R146" i="18"/>
  <c r="R147" i="18"/>
  <c r="R26" i="18"/>
  <c r="R25" i="18"/>
  <c r="F66" i="11" l="1"/>
  <c r="G58" i="11"/>
  <c r="F50" i="11"/>
  <c r="E42" i="11"/>
  <c r="G51" i="11" l="1"/>
  <c r="C58" i="11"/>
  <c r="D58" i="11"/>
  <c r="N19" i="18"/>
  <c r="N20" i="18" s="1"/>
  <c r="E67" i="11" l="1"/>
  <c r="G67" i="11" s="1"/>
  <c r="H68" i="11" s="1"/>
  <c r="P20" i="18"/>
  <c r="N21" i="18"/>
  <c r="G37" i="9"/>
  <c r="F37" i="9"/>
  <c r="H37" i="9" s="1"/>
  <c r="H36" i="9"/>
  <c r="H35" i="9"/>
  <c r="H34" i="9"/>
  <c r="H33" i="9"/>
  <c r="H32" i="9"/>
  <c r="H31" i="9"/>
  <c r="H30" i="9"/>
  <c r="H29" i="9"/>
  <c r="H28" i="9"/>
  <c r="H27" i="9"/>
  <c r="C27" i="9"/>
  <c r="C26" i="9"/>
  <c r="P21" i="18" l="1"/>
  <c r="N22" i="18"/>
  <c r="N23" i="18" s="1"/>
  <c r="N24" i="18" s="1"/>
  <c r="N25" i="18" s="1"/>
  <c r="N26" i="18" s="1"/>
  <c r="N27" i="18" s="1"/>
  <c r="N28" i="18" s="1"/>
  <c r="N29" i="18" s="1"/>
  <c r="N30" i="18" s="1"/>
  <c r="N31" i="18" s="1"/>
  <c r="N32" i="18" s="1"/>
  <c r="N33" i="18" s="1"/>
  <c r="N34" i="18" s="1"/>
  <c r="N35" i="18" s="1"/>
  <c r="N36" i="18" s="1"/>
  <c r="N37" i="18" s="1"/>
  <c r="N38" i="18" s="1"/>
  <c r="N39" i="18" s="1"/>
  <c r="N40" i="18" s="1"/>
  <c r="N41" i="18" s="1"/>
  <c r="N42" i="18" s="1"/>
  <c r="N43" i="18" s="1"/>
  <c r="N44" i="18" s="1"/>
  <c r="N45" i="18" s="1"/>
  <c r="N46" i="18" s="1"/>
  <c r="N47" i="18" s="1"/>
  <c r="N48" i="18" s="1"/>
  <c r="N49" i="18" s="1"/>
  <c r="N50" i="18" s="1"/>
  <c r="N51" i="18" s="1"/>
  <c r="N52" i="18" s="1"/>
  <c r="N53" i="18" s="1"/>
  <c r="N54" i="18" s="1"/>
  <c r="N55" i="18" s="1"/>
  <c r="N56" i="18" s="1"/>
  <c r="N57" i="18" s="1"/>
  <c r="N58" i="18" s="1"/>
  <c r="N59" i="18" s="1"/>
  <c r="N60" i="18" s="1"/>
  <c r="N61" i="18" s="1"/>
  <c r="N62" i="18" s="1"/>
  <c r="N63" i="18" s="1"/>
  <c r="N64" i="18" s="1"/>
  <c r="N65" i="18" s="1"/>
  <c r="N66" i="18" s="1"/>
  <c r="N67" i="18" s="1"/>
  <c r="N68" i="18" s="1"/>
  <c r="N69" i="18" s="1"/>
  <c r="N70" i="18" s="1"/>
  <c r="N71" i="18" s="1"/>
  <c r="N72" i="18" s="1"/>
  <c r="N73" i="18" s="1"/>
  <c r="N74" i="18" s="1"/>
  <c r="N75" i="18" s="1"/>
  <c r="N76" i="18" s="1"/>
  <c r="N77" i="18" s="1"/>
  <c r="N78" i="18" s="1"/>
  <c r="N79" i="18" s="1"/>
  <c r="N80" i="18" s="1"/>
  <c r="N81" i="18" s="1"/>
  <c r="N82" i="18" s="1"/>
  <c r="N83" i="18" s="1"/>
  <c r="N84" i="18" s="1"/>
  <c r="N85" i="18" s="1"/>
  <c r="N86" i="18" s="1"/>
  <c r="N87" i="18" s="1"/>
  <c r="N88" i="18" s="1"/>
  <c r="N89" i="18" s="1"/>
  <c r="N90" i="18" s="1"/>
  <c r="N91" i="18" s="1"/>
  <c r="N92" i="18" s="1"/>
  <c r="N93" i="18" s="1"/>
  <c r="N94" i="18" s="1"/>
  <c r="N95" i="18" s="1"/>
  <c r="N96" i="18" s="1"/>
  <c r="N97" i="18" s="1"/>
  <c r="N98" i="18" s="1"/>
  <c r="N99" i="18" s="1"/>
  <c r="N100" i="18" s="1"/>
  <c r="N101" i="18" s="1"/>
  <c r="N102" i="18" s="1"/>
  <c r="N103" i="18" s="1"/>
  <c r="N104" i="18" s="1"/>
  <c r="N105" i="18" s="1"/>
  <c r="N106" i="18" s="1"/>
  <c r="N107" i="18" s="1"/>
  <c r="N108" i="18" s="1"/>
  <c r="N109" i="18" s="1"/>
  <c r="N110" i="18" s="1"/>
  <c r="N111" i="18" s="1"/>
  <c r="N112" i="18" s="1"/>
  <c r="N113" i="18" s="1"/>
  <c r="N114" i="18" s="1"/>
  <c r="N115" i="18" s="1"/>
  <c r="N116" i="18" s="1"/>
  <c r="N117" i="18" s="1"/>
  <c r="N118" i="18" s="1"/>
  <c r="N119" i="18" s="1"/>
  <c r="N120" i="18" s="1"/>
  <c r="N121" i="18" s="1"/>
  <c r="N122" i="18" s="1"/>
  <c r="N123" i="18" s="1"/>
  <c r="N124" i="18" s="1"/>
  <c r="N125" i="18" s="1"/>
  <c r="N126" i="18" s="1"/>
  <c r="N127" i="18" s="1"/>
  <c r="N128" i="18" s="1"/>
  <c r="N129" i="18" s="1"/>
  <c r="N130" i="18" s="1"/>
  <c r="N131" i="18" s="1"/>
  <c r="N132" i="18" s="1"/>
  <c r="N133" i="18" s="1"/>
  <c r="N134" i="18" s="1"/>
  <c r="N135" i="18" s="1"/>
  <c r="N136" i="18" s="1"/>
  <c r="N137" i="18" s="1"/>
  <c r="N138" i="18" s="1"/>
  <c r="N139" i="18" s="1"/>
  <c r="N140" i="18" s="1"/>
  <c r="N141" i="18" s="1"/>
  <c r="N142" i="18" s="1"/>
  <c r="N143" i="18" s="1"/>
  <c r="N144" i="18" s="1"/>
  <c r="N145" i="18" s="1"/>
  <c r="N146" i="18" s="1"/>
  <c r="N147" i="18" s="1"/>
  <c r="K4" i="18"/>
  <c r="K5" i="18" s="1"/>
  <c r="F123" i="5"/>
  <c r="G123" i="5"/>
  <c r="P22" i="18" l="1"/>
  <c r="K6" i="18"/>
  <c r="F65" i="11"/>
  <c r="E41" i="11"/>
  <c r="G57" i="11"/>
  <c r="F49" i="11"/>
  <c r="C57" i="11" s="1"/>
  <c r="E66" i="11" l="1"/>
  <c r="G66" i="11" s="1"/>
  <c r="G50" i="11"/>
  <c r="D57" i="11"/>
  <c r="P23" i="18"/>
  <c r="K7" i="18"/>
  <c r="H67" i="11" l="1"/>
  <c r="P24" i="18"/>
  <c r="K8" i="18"/>
  <c r="P25" i="18" l="1"/>
  <c r="K9" i="18"/>
  <c r="F64" i="11"/>
  <c r="G55" i="11"/>
  <c r="G56" i="11"/>
  <c r="P26" i="18" l="1"/>
  <c r="K10" i="18"/>
  <c r="F48" i="11"/>
  <c r="C56" i="11" s="1"/>
  <c r="E40" i="11"/>
  <c r="E65" i="11" l="1"/>
  <c r="G65" i="11" s="1"/>
  <c r="G49" i="11"/>
  <c r="D56" i="11"/>
  <c r="P27" i="18"/>
  <c r="K11" i="18"/>
  <c r="H66" i="11" l="1"/>
  <c r="P28" i="18"/>
  <c r="K12" i="18"/>
  <c r="P29" i="18" l="1"/>
  <c r="K13" i="18"/>
  <c r="C22" i="9"/>
  <c r="C23" i="9" s="1"/>
  <c r="C19" i="9"/>
  <c r="C20" i="9" s="1"/>
  <c r="K30" i="11"/>
  <c r="F47" i="11"/>
  <c r="E39" i="11"/>
  <c r="D31" i="11"/>
  <c r="G30" i="11" s="1"/>
  <c r="I30" i="11" s="1"/>
  <c r="D55" i="11" l="1"/>
  <c r="G48" i="11"/>
  <c r="P30" i="18"/>
  <c r="K14" i="18"/>
  <c r="C55" i="11"/>
  <c r="E64" i="11" s="1"/>
  <c r="G64" i="11" s="1"/>
  <c r="H65" i="11" s="1"/>
  <c r="Q14" i="9"/>
  <c r="P14" i="9"/>
  <c r="R13" i="9"/>
  <c r="R12" i="9"/>
  <c r="R11" i="9"/>
  <c r="R10" i="9"/>
  <c r="R9" i="9"/>
  <c r="R8" i="9"/>
  <c r="R7" i="9"/>
  <c r="R6" i="9"/>
  <c r="R5" i="9"/>
  <c r="R4" i="9"/>
  <c r="C14" i="13"/>
  <c r="C17" i="13" s="1"/>
  <c r="F14" i="13"/>
  <c r="F17" i="13" s="1"/>
  <c r="I14" i="13"/>
  <c r="I16" i="13" s="1"/>
  <c r="L14" i="13"/>
  <c r="L16" i="13" s="1"/>
  <c r="O14" i="13"/>
  <c r="O16" i="13" s="1"/>
  <c r="C16" i="13"/>
  <c r="F16" i="13"/>
  <c r="K14" i="9"/>
  <c r="M13" i="9"/>
  <c r="M12" i="9"/>
  <c r="M11" i="9"/>
  <c r="M10" i="9"/>
  <c r="M9" i="9"/>
  <c r="M8" i="9"/>
  <c r="M7" i="9"/>
  <c r="M6" i="9"/>
  <c r="M5" i="9"/>
  <c r="M4" i="9"/>
  <c r="H11" i="9"/>
  <c r="H12" i="9"/>
  <c r="H13" i="9"/>
  <c r="H10" i="9"/>
  <c r="H9" i="9"/>
  <c r="H8" i="9"/>
  <c r="H7" i="9"/>
  <c r="H6" i="9"/>
  <c r="H5" i="9"/>
  <c r="H4" i="9"/>
  <c r="F14" i="9"/>
  <c r="L14" i="9"/>
  <c r="G14" i="9"/>
  <c r="L17" i="13" l="1"/>
  <c r="P31" i="18"/>
  <c r="K15" i="18"/>
  <c r="M14" i="9"/>
  <c r="I17" i="13"/>
  <c r="O17" i="13"/>
  <c r="R14" i="9"/>
  <c r="H14" i="9"/>
  <c r="I22" i="11"/>
  <c r="D23" i="11"/>
  <c r="E25" i="11" s="1"/>
  <c r="P32" i="18" l="1"/>
  <c r="K16" i="18"/>
  <c r="D25" i="11"/>
  <c r="F25" i="11"/>
  <c r="I23" i="11"/>
  <c r="H24" i="11" s="1"/>
  <c r="G25" i="11"/>
  <c r="P33" i="18" l="1"/>
  <c r="K17" i="18"/>
  <c r="D24" i="11"/>
  <c r="C24" i="11"/>
  <c r="P34" i="18" l="1"/>
  <c r="K18" i="18"/>
  <c r="I24" i="11"/>
  <c r="T122" i="5"/>
  <c r="T121" i="5"/>
  <c r="T120" i="5"/>
  <c r="T119" i="5"/>
  <c r="T118" i="5"/>
  <c r="T117" i="5"/>
  <c r="T116" i="5"/>
  <c r="T115" i="5"/>
  <c r="T114" i="5"/>
  <c r="T113" i="5"/>
  <c r="T112" i="5"/>
  <c r="T111" i="5"/>
  <c r="T110" i="5"/>
  <c r="T109" i="5"/>
  <c r="T108" i="5"/>
  <c r="T107" i="5"/>
  <c r="T106" i="5"/>
  <c r="T105" i="5"/>
  <c r="T104" i="5"/>
  <c r="T103" i="5"/>
  <c r="T102" i="5"/>
  <c r="T101" i="5"/>
  <c r="T100" i="5"/>
  <c r="T99" i="5"/>
  <c r="T98" i="5"/>
  <c r="T97" i="5"/>
  <c r="T96" i="5"/>
  <c r="T95" i="5"/>
  <c r="T94" i="5"/>
  <c r="T93" i="5"/>
  <c r="T92" i="5"/>
  <c r="T91" i="5"/>
  <c r="T90" i="5"/>
  <c r="T89" i="5"/>
  <c r="T88" i="5"/>
  <c r="T87" i="5"/>
  <c r="T86" i="5"/>
  <c r="T85" i="5"/>
  <c r="T84" i="5"/>
  <c r="T83" i="5"/>
  <c r="T82" i="5"/>
  <c r="T81" i="5"/>
  <c r="T80" i="5"/>
  <c r="T79" i="5"/>
  <c r="T78" i="5"/>
  <c r="T77" i="5"/>
  <c r="T76" i="5"/>
  <c r="T75" i="5"/>
  <c r="T74" i="5"/>
  <c r="T73" i="5"/>
  <c r="T72" i="5"/>
  <c r="T71" i="5"/>
  <c r="T70" i="5"/>
  <c r="T69" i="5"/>
  <c r="T68" i="5"/>
  <c r="T67" i="5"/>
  <c r="T66" i="5"/>
  <c r="T65" i="5"/>
  <c r="T64" i="5"/>
  <c r="T63" i="5"/>
  <c r="T62" i="5"/>
  <c r="T61" i="5"/>
  <c r="T60" i="5"/>
  <c r="T59" i="5"/>
  <c r="T58" i="5"/>
  <c r="T57" i="5"/>
  <c r="T56" i="5"/>
  <c r="T55" i="5"/>
  <c r="T54" i="5"/>
  <c r="T53" i="5"/>
  <c r="T52" i="5"/>
  <c r="T51" i="5"/>
  <c r="T50" i="5"/>
  <c r="T49" i="5"/>
  <c r="T48" i="5"/>
  <c r="T47" i="5"/>
  <c r="T46" i="5"/>
  <c r="T45" i="5"/>
  <c r="T44" i="5"/>
  <c r="T43" i="5"/>
  <c r="T42" i="5"/>
  <c r="T41" i="5"/>
  <c r="T40" i="5"/>
  <c r="T39" i="5"/>
  <c r="P35" i="18" l="1"/>
  <c r="K19" i="18"/>
  <c r="T38" i="5"/>
  <c r="T37" i="5"/>
  <c r="T36" i="5"/>
  <c r="T35" i="5"/>
  <c r="T34" i="5"/>
  <c r="T33" i="5"/>
  <c r="T32" i="5"/>
  <c r="T31" i="5"/>
  <c r="T30" i="5"/>
  <c r="T29" i="5"/>
  <c r="T28" i="5"/>
  <c r="T27" i="5"/>
  <c r="T26" i="5"/>
  <c r="T25" i="5"/>
  <c r="T24" i="5"/>
  <c r="T23" i="5"/>
  <c r="T22" i="5"/>
  <c r="T21" i="5"/>
  <c r="T20" i="5"/>
  <c r="T19" i="5"/>
  <c r="T18" i="5"/>
  <c r="T17" i="5"/>
  <c r="T16" i="5"/>
  <c r="T15" i="5"/>
  <c r="P36" i="18" l="1"/>
  <c r="K20" i="18"/>
  <c r="Q20" i="18" s="1"/>
  <c r="T13" i="5"/>
  <c r="T14" i="5"/>
  <c r="T12" i="5"/>
  <c r="T11" i="5"/>
  <c r="T10" i="5"/>
  <c r="T9" i="5"/>
  <c r="T8" i="5"/>
  <c r="T7" i="5"/>
  <c r="T6" i="5"/>
  <c r="T5" i="5"/>
  <c r="T4" i="5"/>
  <c r="T3" i="5"/>
  <c r="U3" i="5" s="1"/>
  <c r="C14" i="9"/>
  <c r="C16" i="9" s="1"/>
  <c r="P37" i="18" l="1"/>
  <c r="K21" i="18"/>
  <c r="Q21" i="18" s="1"/>
  <c r="C17" i="9"/>
  <c r="P38" i="18" l="1"/>
  <c r="K22" i="18"/>
  <c r="Q22" i="18" s="1"/>
  <c r="P39" i="18" l="1"/>
  <c r="K23" i="18"/>
  <c r="Q23" i="18" s="1"/>
  <c r="L19" i="11"/>
  <c r="P40" i="18" l="1"/>
  <c r="K24" i="18"/>
  <c r="Q24" i="18" s="1"/>
  <c r="P41" i="18" l="1"/>
  <c r="K25" i="18"/>
  <c r="Q25" i="18" s="1"/>
  <c r="S25" i="18" s="1"/>
  <c r="P42" i="18" l="1"/>
  <c r="K26" i="18"/>
  <c r="Q26" i="18" s="1"/>
  <c r="S26" i="18" s="1"/>
  <c r="P43" i="18" l="1"/>
  <c r="K27" i="18"/>
  <c r="Q27" i="18" s="1"/>
  <c r="S27" i="18" s="1"/>
  <c r="P44" i="18" l="1"/>
  <c r="K28" i="18"/>
  <c r="Q28" i="18" s="1"/>
  <c r="S28" i="18" s="1"/>
  <c r="P45" i="18" l="1"/>
  <c r="K29" i="18"/>
  <c r="Q29" i="18" s="1"/>
  <c r="S29" i="18" s="1"/>
  <c r="C13" i="5" l="1"/>
  <c r="U13" i="5" s="1"/>
  <c r="P46" i="18"/>
  <c r="K30" i="18"/>
  <c r="Q30" i="18" s="1"/>
  <c r="S30" i="18" s="1"/>
  <c r="C14" i="5" l="1"/>
  <c r="U14" i="5" s="1"/>
  <c r="C15" i="5" s="1"/>
  <c r="P47" i="18"/>
  <c r="K31" i="18"/>
  <c r="Q31" i="18" s="1"/>
  <c r="S31" i="18" s="1"/>
  <c r="U15" i="5" l="1"/>
  <c r="C16" i="5" s="1"/>
  <c r="P48" i="18"/>
  <c r="K32" i="18"/>
  <c r="Q32" i="18" s="1"/>
  <c r="S32" i="18" s="1"/>
  <c r="U16" i="5" l="1"/>
  <c r="C17" i="5" s="1"/>
  <c r="P49" i="18"/>
  <c r="K33" i="18"/>
  <c r="Q33" i="18" s="1"/>
  <c r="S33" i="18" s="1"/>
  <c r="U17" i="5" l="1"/>
  <c r="C18" i="5" s="1"/>
  <c r="P50" i="18"/>
  <c r="K34" i="18"/>
  <c r="Q34" i="18" s="1"/>
  <c r="S34" i="18" s="1"/>
  <c r="U18" i="5" l="1"/>
  <c r="C19" i="5" s="1"/>
  <c r="P51" i="18"/>
  <c r="K35" i="18"/>
  <c r="Q35" i="18" s="1"/>
  <c r="S35" i="18" s="1"/>
  <c r="U19" i="5" l="1"/>
  <c r="P52" i="18"/>
  <c r="K36" i="18"/>
  <c r="Q36" i="18" s="1"/>
  <c r="S36" i="18" s="1"/>
  <c r="U20" i="5" l="1"/>
  <c r="C21" i="5" s="1"/>
  <c r="P53" i="18"/>
  <c r="K37" i="18"/>
  <c r="Q37" i="18" s="1"/>
  <c r="S37" i="18" s="1"/>
  <c r="U21" i="5" l="1"/>
  <c r="C22" i="5" s="1"/>
  <c r="P54" i="18"/>
  <c r="K38" i="18"/>
  <c r="Q38" i="18" s="1"/>
  <c r="S38" i="18" s="1"/>
  <c r="U22" i="5" l="1"/>
  <c r="C23" i="5" s="1"/>
  <c r="P55" i="18"/>
  <c r="K39" i="18"/>
  <c r="Q39" i="18" s="1"/>
  <c r="S39" i="18" s="1"/>
  <c r="U23" i="5" l="1"/>
  <c r="C24" i="5" s="1"/>
  <c r="P56" i="18"/>
  <c r="K40" i="18"/>
  <c r="Q40" i="18" s="1"/>
  <c r="S40" i="18" s="1"/>
  <c r="U24" i="5" l="1"/>
  <c r="C25" i="5" s="1"/>
  <c r="P57" i="18"/>
  <c r="K41" i="18"/>
  <c r="Q41" i="18" s="1"/>
  <c r="S41" i="18" s="1"/>
  <c r="U25" i="5" l="1"/>
  <c r="C26" i="5" s="1"/>
  <c r="P58" i="18"/>
  <c r="K42" i="18"/>
  <c r="Q42" i="18" s="1"/>
  <c r="S42" i="18" s="1"/>
  <c r="U26" i="5" l="1"/>
  <c r="C27" i="5" s="1"/>
  <c r="P59" i="18"/>
  <c r="K43" i="18"/>
  <c r="Q43" i="18" s="1"/>
  <c r="S43" i="18" s="1"/>
  <c r="U27" i="5" l="1"/>
  <c r="C28" i="5" s="1"/>
  <c r="P60" i="18"/>
  <c r="K44" i="18"/>
  <c r="Q44" i="18" s="1"/>
  <c r="S44" i="18" s="1"/>
  <c r="U28" i="5" l="1"/>
  <c r="C29" i="5" s="1"/>
  <c r="P61" i="18"/>
  <c r="K45" i="18"/>
  <c r="Q45" i="18" s="1"/>
  <c r="S45" i="18" s="1"/>
  <c r="U29" i="5" l="1"/>
  <c r="C30" i="5" s="1"/>
  <c r="P62" i="18"/>
  <c r="K46" i="18"/>
  <c r="Q46" i="18" s="1"/>
  <c r="S46" i="18" s="1"/>
  <c r="U30" i="5" l="1"/>
  <c r="C31" i="5" s="1"/>
  <c r="P63" i="18"/>
  <c r="K47" i="18"/>
  <c r="Q47" i="18" s="1"/>
  <c r="S47" i="18" s="1"/>
  <c r="U31" i="5" l="1"/>
  <c r="C32" i="5" s="1"/>
  <c r="P64" i="18"/>
  <c r="K48" i="18"/>
  <c r="Q48" i="18" s="1"/>
  <c r="S48" i="18" s="1"/>
  <c r="U32" i="5" l="1"/>
  <c r="C33" i="5" s="1"/>
  <c r="P65" i="18"/>
  <c r="K49" i="18"/>
  <c r="Q49" i="18" s="1"/>
  <c r="S49" i="18" s="1"/>
  <c r="U33" i="5" l="1"/>
  <c r="C34" i="5" s="1"/>
  <c r="P66" i="18"/>
  <c r="K50" i="18"/>
  <c r="Q50" i="18" s="1"/>
  <c r="S50" i="18" s="1"/>
  <c r="U34" i="5" l="1"/>
  <c r="C35" i="5" s="1"/>
  <c r="P67" i="18"/>
  <c r="K51" i="18"/>
  <c r="Q51" i="18" s="1"/>
  <c r="S51" i="18" s="1"/>
  <c r="U35" i="5" l="1"/>
  <c r="C36" i="5" s="1"/>
  <c r="P68" i="18"/>
  <c r="K52" i="18"/>
  <c r="Q52" i="18" s="1"/>
  <c r="S52" i="18" s="1"/>
  <c r="U36" i="5" l="1"/>
  <c r="C37" i="5" s="1"/>
  <c r="P69" i="18"/>
  <c r="K53" i="18"/>
  <c r="Q53" i="18" s="1"/>
  <c r="S53" i="18" s="1"/>
  <c r="U37" i="5" l="1"/>
  <c r="C38" i="5" s="1"/>
  <c r="P70" i="18"/>
  <c r="K54" i="18"/>
  <c r="Q54" i="18" s="1"/>
  <c r="S54" i="18" s="1"/>
  <c r="U38" i="5" l="1"/>
  <c r="C39" i="5" s="1"/>
  <c r="P71" i="18"/>
  <c r="K55" i="18"/>
  <c r="Q55" i="18" s="1"/>
  <c r="S55" i="18" s="1"/>
  <c r="U39" i="5" l="1"/>
  <c r="C40" i="5" s="1"/>
  <c r="P72" i="18"/>
  <c r="K56" i="18"/>
  <c r="Q56" i="18" s="1"/>
  <c r="S56" i="18" s="1"/>
  <c r="U40" i="5" l="1"/>
  <c r="C41" i="5" s="1"/>
  <c r="P73" i="18"/>
  <c r="K57" i="18"/>
  <c r="Q57" i="18" s="1"/>
  <c r="S57" i="18" s="1"/>
  <c r="U41" i="5" l="1"/>
  <c r="C42" i="5" s="1"/>
  <c r="P74" i="18"/>
  <c r="K58" i="18"/>
  <c r="Q58" i="18" s="1"/>
  <c r="S58" i="18" s="1"/>
  <c r="U42" i="5" l="1"/>
  <c r="C43" i="5" s="1"/>
  <c r="P75" i="18"/>
  <c r="K59" i="18"/>
  <c r="Q59" i="18" s="1"/>
  <c r="S59" i="18" s="1"/>
  <c r="U43" i="5" l="1"/>
  <c r="C44" i="5" s="1"/>
  <c r="P76" i="18"/>
  <c r="K60" i="18"/>
  <c r="Q60" i="18" s="1"/>
  <c r="S60" i="18" s="1"/>
  <c r="U44" i="5" l="1"/>
  <c r="C45" i="5" s="1"/>
  <c r="P77" i="18"/>
  <c r="K61" i="18"/>
  <c r="Q61" i="18" s="1"/>
  <c r="S61" i="18" s="1"/>
  <c r="U45" i="5" l="1"/>
  <c r="C46" i="5" s="1"/>
  <c r="P78" i="18"/>
  <c r="K62" i="18"/>
  <c r="Q62" i="18" s="1"/>
  <c r="S62" i="18" s="1"/>
  <c r="U46" i="5" l="1"/>
  <c r="C47" i="5" s="1"/>
  <c r="P79" i="18"/>
  <c r="K63" i="18"/>
  <c r="Q63" i="18" s="1"/>
  <c r="S63" i="18" s="1"/>
  <c r="U47" i="5" l="1"/>
  <c r="C48" i="5" s="1"/>
  <c r="P80" i="18"/>
  <c r="K64" i="18"/>
  <c r="Q64" i="18" s="1"/>
  <c r="S64" i="18" s="1"/>
  <c r="U48" i="5" l="1"/>
  <c r="C49" i="5" s="1"/>
  <c r="P81" i="18"/>
  <c r="K65" i="18"/>
  <c r="Q65" i="18" s="1"/>
  <c r="S65" i="18" s="1"/>
  <c r="U49" i="5" l="1"/>
  <c r="C50" i="5" s="1"/>
  <c r="P82" i="18"/>
  <c r="K66" i="18"/>
  <c r="Q66" i="18" s="1"/>
  <c r="S66" i="18" s="1"/>
  <c r="U50" i="5" l="1"/>
  <c r="C51" i="5" s="1"/>
  <c r="P83" i="18"/>
  <c r="K67" i="18"/>
  <c r="Q67" i="18" s="1"/>
  <c r="S67" i="18" s="1"/>
  <c r="U51" i="5" l="1"/>
  <c r="C52" i="5" s="1"/>
  <c r="P84" i="18"/>
  <c r="K68" i="18"/>
  <c r="Q68" i="18" s="1"/>
  <c r="S68" i="18" s="1"/>
  <c r="U52" i="5" l="1"/>
  <c r="C53" i="5" s="1"/>
  <c r="P85" i="18"/>
  <c r="K69" i="18"/>
  <c r="Q69" i="18" s="1"/>
  <c r="S69" i="18" s="1"/>
  <c r="U53" i="5" l="1"/>
  <c r="C54" i="5" s="1"/>
  <c r="P86" i="18"/>
  <c r="K70" i="18"/>
  <c r="Q70" i="18" s="1"/>
  <c r="S70" i="18" s="1"/>
  <c r="U54" i="5" l="1"/>
  <c r="C55" i="5" s="1"/>
  <c r="P87" i="18"/>
  <c r="K71" i="18"/>
  <c r="Q71" i="18" s="1"/>
  <c r="S71" i="18" s="1"/>
  <c r="U55" i="5" l="1"/>
  <c r="C56" i="5" s="1"/>
  <c r="P88" i="18"/>
  <c r="K72" i="18"/>
  <c r="Q72" i="18" s="1"/>
  <c r="S72" i="18" s="1"/>
  <c r="U56" i="5" l="1"/>
  <c r="C57" i="5" s="1"/>
  <c r="P89" i="18"/>
  <c r="K73" i="18"/>
  <c r="Q73" i="18" s="1"/>
  <c r="S73" i="18" s="1"/>
  <c r="U57" i="5" l="1"/>
  <c r="C58" i="5" s="1"/>
  <c r="P90" i="18"/>
  <c r="K74" i="18"/>
  <c r="Q74" i="18" s="1"/>
  <c r="S74" i="18" s="1"/>
  <c r="U58" i="5" l="1"/>
  <c r="C59" i="5" s="1"/>
  <c r="P91" i="18"/>
  <c r="K75" i="18"/>
  <c r="Q75" i="18" s="1"/>
  <c r="S75" i="18" s="1"/>
  <c r="U59" i="5" l="1"/>
  <c r="C60" i="5" s="1"/>
  <c r="P92" i="18"/>
  <c r="K76" i="18"/>
  <c r="Q76" i="18" s="1"/>
  <c r="S76" i="18" s="1"/>
  <c r="U60" i="5" l="1"/>
  <c r="C61" i="5" s="1"/>
  <c r="P93" i="18"/>
  <c r="K77" i="18"/>
  <c r="Q77" i="18" s="1"/>
  <c r="S77" i="18" s="1"/>
  <c r="U61" i="5" l="1"/>
  <c r="C62" i="5" s="1"/>
  <c r="P94" i="18"/>
  <c r="K78" i="18"/>
  <c r="Q78" i="18" s="1"/>
  <c r="S78" i="18" s="1"/>
  <c r="U62" i="5" l="1"/>
  <c r="C63" i="5" s="1"/>
  <c r="P95" i="18"/>
  <c r="K79" i="18"/>
  <c r="Q79" i="18" s="1"/>
  <c r="S79" i="18" s="1"/>
  <c r="U63" i="5" l="1"/>
  <c r="C64" i="5" s="1"/>
  <c r="P96" i="18"/>
  <c r="K80" i="18"/>
  <c r="Q80" i="18" s="1"/>
  <c r="S80" i="18" s="1"/>
  <c r="U64" i="5" l="1"/>
  <c r="C65" i="5" s="1"/>
  <c r="P97" i="18"/>
  <c r="K81" i="18"/>
  <c r="Q81" i="18" s="1"/>
  <c r="S81" i="18" s="1"/>
  <c r="U65" i="5" l="1"/>
  <c r="C66" i="5" s="1"/>
  <c r="P98" i="18"/>
  <c r="K82" i="18"/>
  <c r="Q82" i="18" s="1"/>
  <c r="S82" i="18" s="1"/>
  <c r="U66" i="5" l="1"/>
  <c r="C67" i="5" s="1"/>
  <c r="P99" i="18"/>
  <c r="K83" i="18"/>
  <c r="Q83" i="18" s="1"/>
  <c r="S83" i="18" s="1"/>
  <c r="U67" i="5" l="1"/>
  <c r="C68" i="5" s="1"/>
  <c r="P100" i="18"/>
  <c r="K84" i="18"/>
  <c r="Q84" i="18" s="1"/>
  <c r="S84" i="18" s="1"/>
  <c r="U68" i="5" l="1"/>
  <c r="C69" i="5" s="1"/>
  <c r="P101" i="18"/>
  <c r="K85" i="18"/>
  <c r="Q85" i="18" s="1"/>
  <c r="S85" i="18" s="1"/>
  <c r="U69" i="5" l="1"/>
  <c r="C70" i="5" s="1"/>
  <c r="P102" i="18"/>
  <c r="K86" i="18"/>
  <c r="Q86" i="18" s="1"/>
  <c r="S86" i="18" s="1"/>
  <c r="U70" i="5" l="1"/>
  <c r="C71" i="5" s="1"/>
  <c r="P103" i="18"/>
  <c r="K87" i="18"/>
  <c r="Q87" i="18" s="1"/>
  <c r="S87" i="18" s="1"/>
  <c r="U71" i="5" l="1"/>
  <c r="C72" i="5" s="1"/>
  <c r="P104" i="18"/>
  <c r="K88" i="18"/>
  <c r="Q88" i="18" s="1"/>
  <c r="S88" i="18" s="1"/>
  <c r="U72" i="5" l="1"/>
  <c r="C73" i="5" s="1"/>
  <c r="P105" i="18"/>
  <c r="K89" i="18"/>
  <c r="Q89" i="18" s="1"/>
  <c r="S89" i="18" s="1"/>
  <c r="U73" i="5" l="1"/>
  <c r="C74" i="5" s="1"/>
  <c r="P106" i="18"/>
  <c r="K90" i="18"/>
  <c r="Q90" i="18" s="1"/>
  <c r="S90" i="18" s="1"/>
  <c r="U74" i="5" l="1"/>
  <c r="C75" i="5" s="1"/>
  <c r="P107" i="18"/>
  <c r="K91" i="18"/>
  <c r="Q91" i="18" s="1"/>
  <c r="S91" i="18" s="1"/>
  <c r="U75" i="5" l="1"/>
  <c r="C76" i="5" s="1"/>
  <c r="P108" i="18"/>
  <c r="K92" i="18"/>
  <c r="Q92" i="18" s="1"/>
  <c r="S92" i="18" s="1"/>
  <c r="U76" i="5" l="1"/>
  <c r="C77" i="5" s="1"/>
  <c r="P109" i="18"/>
  <c r="K93" i="18"/>
  <c r="Q93" i="18" s="1"/>
  <c r="S93" i="18" s="1"/>
  <c r="U77" i="5" l="1"/>
  <c r="C78" i="5" s="1"/>
  <c r="P110" i="18"/>
  <c r="K94" i="18"/>
  <c r="Q94" i="18" s="1"/>
  <c r="S94" i="18" s="1"/>
  <c r="U78" i="5" l="1"/>
  <c r="C79" i="5" s="1"/>
  <c r="P111" i="18"/>
  <c r="K95" i="18"/>
  <c r="Q95" i="18" s="1"/>
  <c r="S95" i="18" s="1"/>
  <c r="U79" i="5" l="1"/>
  <c r="C80" i="5" s="1"/>
  <c r="P112" i="18"/>
  <c r="K96" i="18"/>
  <c r="Q96" i="18" s="1"/>
  <c r="S96" i="18" s="1"/>
  <c r="U80" i="5" l="1"/>
  <c r="C81" i="5" s="1"/>
  <c r="P113" i="18"/>
  <c r="K97" i="18"/>
  <c r="Q97" i="18" s="1"/>
  <c r="S97" i="18" s="1"/>
  <c r="U81" i="5" l="1"/>
  <c r="C82" i="5" s="1"/>
  <c r="P114" i="18"/>
  <c r="K98" i="18"/>
  <c r="Q98" i="18" s="1"/>
  <c r="S98" i="18" s="1"/>
  <c r="U82" i="5" l="1"/>
  <c r="C83" i="5" s="1"/>
  <c r="P115" i="18"/>
  <c r="K99" i="18"/>
  <c r="Q99" i="18" s="1"/>
  <c r="S99" i="18" s="1"/>
  <c r="U83" i="5" l="1"/>
  <c r="C84" i="5" s="1"/>
  <c r="P116" i="18"/>
  <c r="K100" i="18"/>
  <c r="Q100" i="18" s="1"/>
  <c r="S100" i="18" s="1"/>
  <c r="U84" i="5" l="1"/>
  <c r="C85" i="5" s="1"/>
  <c r="P117" i="18"/>
  <c r="K101" i="18"/>
  <c r="Q101" i="18" s="1"/>
  <c r="S101" i="18" s="1"/>
  <c r="U85" i="5" l="1"/>
  <c r="C86" i="5" s="1"/>
  <c r="P118" i="18"/>
  <c r="K102" i="18"/>
  <c r="Q102" i="18" s="1"/>
  <c r="S102" i="18" s="1"/>
  <c r="U86" i="5" l="1"/>
  <c r="C87" i="5" s="1"/>
  <c r="P119" i="18"/>
  <c r="K103" i="18"/>
  <c r="Q103" i="18" s="1"/>
  <c r="S103" i="18" s="1"/>
  <c r="U87" i="5" l="1"/>
  <c r="C88" i="5" s="1"/>
  <c r="P120" i="18"/>
  <c r="K104" i="18"/>
  <c r="Q104" i="18" s="1"/>
  <c r="S104" i="18" s="1"/>
  <c r="U88" i="5" l="1"/>
  <c r="C89" i="5" s="1"/>
  <c r="P121" i="18"/>
  <c r="K105" i="18"/>
  <c r="Q105" i="18" s="1"/>
  <c r="S105" i="18" s="1"/>
  <c r="U89" i="5" l="1"/>
  <c r="C90" i="5" s="1"/>
  <c r="P122" i="18"/>
  <c r="K106" i="18"/>
  <c r="Q106" i="18" s="1"/>
  <c r="S106" i="18" s="1"/>
  <c r="U90" i="5" l="1"/>
  <c r="C91" i="5" s="1"/>
  <c r="P123" i="18"/>
  <c r="K107" i="18"/>
  <c r="Q107" i="18" s="1"/>
  <c r="S107" i="18" s="1"/>
  <c r="U91" i="5" l="1"/>
  <c r="C92" i="5" s="1"/>
  <c r="P124" i="18"/>
  <c r="K108" i="18"/>
  <c r="Q108" i="18" s="1"/>
  <c r="S108" i="18" s="1"/>
  <c r="U92" i="5" l="1"/>
  <c r="C93" i="5" s="1"/>
  <c r="P125" i="18"/>
  <c r="K109" i="18"/>
  <c r="Q109" i="18" s="1"/>
  <c r="S109" i="18" s="1"/>
  <c r="U93" i="5" l="1"/>
  <c r="C94" i="5" s="1"/>
  <c r="P126" i="18"/>
  <c r="K110" i="18"/>
  <c r="Q110" i="18" s="1"/>
  <c r="S110" i="18" s="1"/>
  <c r="U94" i="5" l="1"/>
  <c r="C95" i="5" s="1"/>
  <c r="P127" i="18"/>
  <c r="K111" i="18"/>
  <c r="Q111" i="18" s="1"/>
  <c r="S111" i="18" s="1"/>
  <c r="U95" i="5" l="1"/>
  <c r="C96" i="5" s="1"/>
  <c r="P128" i="18"/>
  <c r="K112" i="18"/>
  <c r="Q112" i="18" s="1"/>
  <c r="S112" i="18" s="1"/>
  <c r="U96" i="5" l="1"/>
  <c r="C97" i="5" s="1"/>
  <c r="P129" i="18"/>
  <c r="K113" i="18"/>
  <c r="Q113" i="18" s="1"/>
  <c r="S113" i="18" s="1"/>
  <c r="U97" i="5" l="1"/>
  <c r="C98" i="5" s="1"/>
  <c r="P130" i="18"/>
  <c r="K114" i="18"/>
  <c r="Q114" i="18" s="1"/>
  <c r="S114" i="18" s="1"/>
  <c r="U98" i="5" l="1"/>
  <c r="C99" i="5" s="1"/>
  <c r="P131" i="18"/>
  <c r="K115" i="18"/>
  <c r="Q115" i="18" s="1"/>
  <c r="S115" i="18" s="1"/>
  <c r="U99" i="5" l="1"/>
  <c r="C100" i="5" s="1"/>
  <c r="P132" i="18"/>
  <c r="K116" i="18"/>
  <c r="Q116" i="18" s="1"/>
  <c r="S116" i="18" s="1"/>
  <c r="U100" i="5" l="1"/>
  <c r="C101" i="5" s="1"/>
  <c r="P133" i="18"/>
  <c r="K117" i="18"/>
  <c r="Q117" i="18" s="1"/>
  <c r="S117" i="18" s="1"/>
  <c r="U101" i="5" l="1"/>
  <c r="C102" i="5" s="1"/>
  <c r="P134" i="18"/>
  <c r="K118" i="18"/>
  <c r="Q118" i="18" s="1"/>
  <c r="S118" i="18" s="1"/>
  <c r="U102" i="5" l="1"/>
  <c r="C103" i="5" s="1"/>
  <c r="P135" i="18"/>
  <c r="K119" i="18"/>
  <c r="Q119" i="18" s="1"/>
  <c r="S119" i="18" s="1"/>
  <c r="U103" i="5" l="1"/>
  <c r="C104" i="5" s="1"/>
  <c r="P136" i="18"/>
  <c r="K120" i="18"/>
  <c r="Q120" i="18" s="1"/>
  <c r="S120" i="18" s="1"/>
  <c r="U104" i="5" l="1"/>
  <c r="C105" i="5" s="1"/>
  <c r="P137" i="18"/>
  <c r="K121" i="18"/>
  <c r="Q121" i="18" s="1"/>
  <c r="S121" i="18" s="1"/>
  <c r="U105" i="5" l="1"/>
  <c r="C106" i="5" s="1"/>
  <c r="P138" i="18"/>
  <c r="K122" i="18"/>
  <c r="Q122" i="18" s="1"/>
  <c r="S122" i="18" s="1"/>
  <c r="U106" i="5" l="1"/>
  <c r="C107" i="5" s="1"/>
  <c r="P139" i="18"/>
  <c r="K123" i="18"/>
  <c r="Q123" i="18" s="1"/>
  <c r="S123" i="18" s="1"/>
  <c r="U107" i="5" l="1"/>
  <c r="C108" i="5" s="1"/>
  <c r="P140" i="18"/>
  <c r="K124" i="18"/>
  <c r="Q124" i="18" s="1"/>
  <c r="S124" i="18" s="1"/>
  <c r="U108" i="5" l="1"/>
  <c r="C109" i="5" s="1"/>
  <c r="P141" i="18"/>
  <c r="K125" i="18"/>
  <c r="Q125" i="18" s="1"/>
  <c r="S125" i="18" s="1"/>
  <c r="U109" i="5" l="1"/>
  <c r="C110" i="5" s="1"/>
  <c r="P142" i="18"/>
  <c r="K126" i="18"/>
  <c r="Q126" i="18" s="1"/>
  <c r="S126" i="18" s="1"/>
  <c r="U110" i="5" l="1"/>
  <c r="C111" i="5" s="1"/>
  <c r="P143" i="18"/>
  <c r="K127" i="18"/>
  <c r="Q127" i="18" s="1"/>
  <c r="S127" i="18" s="1"/>
  <c r="U111" i="5" l="1"/>
  <c r="C112" i="5" s="1"/>
  <c r="P144" i="18"/>
  <c r="K128" i="18"/>
  <c r="Q128" i="18" s="1"/>
  <c r="S128" i="18" s="1"/>
  <c r="U112" i="5" l="1"/>
  <c r="C113" i="5" s="1"/>
  <c r="P145" i="18"/>
  <c r="K129" i="18"/>
  <c r="Q129" i="18" s="1"/>
  <c r="S129" i="18" s="1"/>
  <c r="U113" i="5" l="1"/>
  <c r="C114" i="5" s="1"/>
  <c r="P146" i="18"/>
  <c r="K130" i="18"/>
  <c r="Q130" i="18" s="1"/>
  <c r="S130" i="18" s="1"/>
  <c r="U114" i="5" l="1"/>
  <c r="C115" i="5" s="1"/>
  <c r="P147" i="18"/>
  <c r="K131" i="18"/>
  <c r="Q131" i="18" s="1"/>
  <c r="S131" i="18" s="1"/>
  <c r="U115" i="5" l="1"/>
  <c r="C116" i="5" s="1"/>
  <c r="K132" i="18"/>
  <c r="Q132" i="18" s="1"/>
  <c r="S132" i="18" s="1"/>
  <c r="U116" i="5" l="1"/>
  <c r="C117" i="5" s="1"/>
  <c r="K133" i="18"/>
  <c r="Q133" i="18" s="1"/>
  <c r="S133" i="18" s="1"/>
  <c r="U117" i="5" l="1"/>
  <c r="C118" i="5" s="1"/>
  <c r="K134" i="18"/>
  <c r="Q134" i="18" s="1"/>
  <c r="S134" i="18" s="1"/>
  <c r="U118" i="5" l="1"/>
  <c r="C119" i="5" s="1"/>
  <c r="K135" i="18"/>
  <c r="Q135" i="18" s="1"/>
  <c r="S135" i="18" s="1"/>
  <c r="U119" i="5" l="1"/>
  <c r="C120" i="5" s="1"/>
  <c r="K136" i="18"/>
  <c r="Q136" i="18" s="1"/>
  <c r="S136" i="18" s="1"/>
  <c r="U120" i="5" l="1"/>
  <c r="C121" i="5" s="1"/>
  <c r="K137" i="18"/>
  <c r="Q137" i="18" s="1"/>
  <c r="S137" i="18" s="1"/>
  <c r="U121" i="5" l="1"/>
  <c r="C122" i="5" s="1"/>
  <c r="K138" i="18"/>
  <c r="Q138" i="18" s="1"/>
  <c r="S138" i="18" s="1"/>
  <c r="U122" i="5" l="1"/>
  <c r="K139" i="18"/>
  <c r="Q139" i="18" s="1"/>
  <c r="S139" i="18" s="1"/>
  <c r="K140" i="18" l="1"/>
  <c r="Q140" i="18" s="1"/>
  <c r="S140" i="18" s="1"/>
  <c r="K141" i="18" l="1"/>
  <c r="Q141" i="18" s="1"/>
  <c r="S141" i="18" s="1"/>
  <c r="K142" i="18" l="1"/>
  <c r="Q142" i="18" s="1"/>
  <c r="S142" i="18" s="1"/>
  <c r="K143" i="18" l="1"/>
  <c r="Q143" i="18" s="1"/>
  <c r="S143" i="18" s="1"/>
  <c r="K144" i="18" l="1"/>
  <c r="Q144" i="18" s="1"/>
  <c r="S144" i="18" s="1"/>
  <c r="K145" i="18" l="1"/>
  <c r="Q145" i="18" s="1"/>
  <c r="S145" i="18" s="1"/>
  <c r="K146" i="18" l="1"/>
  <c r="Q146" i="18" s="1"/>
  <c r="S146" i="18" s="1"/>
  <c r="K147" i="18" l="1"/>
  <c r="Q147" i="18" s="1"/>
  <c r="S147" i="18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D920E4F-FC13-4FEA-9FC7-458E814D7548}" keepAlive="1" name="쿼리 - Table 0" description="통합 문서의 'Table 0' 쿼리에 대한 연결입니다." type="5" refreshedVersion="6" background="1" saveData="1">
    <dbPr connection="Provider=Microsoft.Mashup.OleDb.1;Data Source=$Workbook$;Location=Table 0;Extended Properties=&quot;&quot;" command="SELECT * FROM [Table 0]"/>
  </connection>
  <connection id="2" xr16:uid="{DCB66228-0DFD-4D8A-9D37-3178F146F7A2}" keepAlive="1" name="쿼리 - Table 0 (2)" description="통합 문서의 'Table 0 (2)' 쿼리에 대한 연결입니다." type="5" refreshedVersion="6" background="1">
    <dbPr connection="Provider=Microsoft.Mashup.OleDb.1;Data Source=$Workbook$;Location=Table 0 (2);Extended Properties=&quot;&quot;" command="SELECT * FROM [Table 0 (2)]"/>
  </connection>
  <connection id="3" xr16:uid="{9F41F2F1-88F1-4BCA-815E-B0B869331CAD}" keepAlive="1" name="쿼리 - Table 0 (3)" description="통합 문서의 'Table 0 (3)' 쿼리에 대한 연결입니다." type="5" refreshedVersion="6" background="1" saveData="1">
    <dbPr connection="Provider=Microsoft.Mashup.OleDb.1;Data Source=$Workbook$;Location=Table 0 (3);Extended Properties=&quot;&quot;" command="SELECT * FROM [Table 0 (3)]"/>
  </connection>
  <connection id="4" xr16:uid="{9901B80D-DE63-4056-AAA3-C36390E586A0}" keepAlive="1" name="쿼리 - Table 0 (4)" description="통합 문서의 'Table 0 (4)' 쿼리에 대한 연결입니다." type="5" refreshedVersion="6" background="1" saveData="1">
    <dbPr connection="Provider=Microsoft.Mashup.OleDb.1;Data Source=$Workbook$;Location=Table 0 (4);Extended Properties=&quot;&quot;" command="SELECT * FROM [Table 0 (4)]"/>
  </connection>
  <connection id="5" xr16:uid="{906F888F-B7EB-40C3-AC49-A75936793077}" keepAlive="1" name="쿼리 - Table 1" description="통합 문서의 'Table 1' 쿼리에 대한 연결입니다." type="5" refreshedVersion="6" background="1" saveData="1">
    <dbPr connection="Provider=Microsoft.Mashup.OleDb.1;Data Source=$Workbook$;Location=Table 1;Extended Properties=&quot;&quot;" command="SELECT * FROM [Table 1]"/>
  </connection>
  <connection id="6" xr16:uid="{37A02E5A-993C-4503-B4D4-915D437B92AE}" keepAlive="1" name="쿼리 - Table 1 (2)" description="통합 문서의 'Table 1 (2)' 쿼리에 대한 연결입니다." type="5" refreshedVersion="6" background="1" saveData="1">
    <dbPr connection="Provider=Microsoft.Mashup.OleDb.1;Data Source=$Workbook$;Location=Table 1 (2);Extended Properties=&quot;&quot;" command="SELECT * FROM [Table 1 (2)]"/>
  </connection>
  <connection id="7" xr16:uid="{C0F4DA0F-9C28-4B38-9A3B-417BD12D70AE}" keepAlive="1" name="쿼리 - Table 1 (3)" description="통합 문서의 'Table 1 (3)' 쿼리에 대한 연결입니다." type="5" refreshedVersion="6" background="1" saveData="1">
    <dbPr connection="Provider=Microsoft.Mashup.OleDb.1;Data Source=$Workbook$;Location=Table 1 (3);Extended Properties=&quot;&quot;" command="SELECT * FROM [Table 1 (3)]"/>
  </connection>
  <connection id="8" xr16:uid="{CC974E18-010A-4C4F-8019-55FCC07C877B}" keepAlive="1" name="쿼리 - Table 2" description="통합 문서의 'Table 2' 쿼리에 대한 연결입니다." type="5" refreshedVersion="6" background="1" saveData="1">
    <dbPr connection="Provider=Microsoft.Mashup.OleDb.1;Data Source=$Workbook$;Location=Table 2;Extended Properties=&quot;&quot;" command="SELECT * FROM [Table 2]"/>
  </connection>
  <connection id="9" xr16:uid="{4A019320-0502-4FBA-9F8B-5A5ECB3DA8F9}" keepAlive="1" name="쿼리 - 일별시세" description="통합 문서의 '일별시세' 쿼리에 대한 연결입니다." type="5" refreshedVersion="6" background="1" saveData="1">
    <dbPr connection="Provider=Microsoft.Mashup.OleDb.1;Data Source=$Workbook$;Location=일별시세;Extended Properties=&quot;&quot;" command="SELECT * FROM [일별시세]"/>
  </connection>
</connections>
</file>

<file path=xl/sharedStrings.xml><?xml version="1.0" encoding="utf-8"?>
<sst xmlns="http://schemas.openxmlformats.org/spreadsheetml/2006/main" count="385" uniqueCount="191">
  <si>
    <t>세금</t>
    <phoneticPr fontId="1" type="noConversion"/>
  </si>
  <si>
    <t>투자</t>
    <phoneticPr fontId="1" type="noConversion"/>
  </si>
  <si>
    <t>임차료</t>
    <phoneticPr fontId="1" type="noConversion"/>
  </si>
  <si>
    <t>보험</t>
    <phoneticPr fontId="1" type="noConversion"/>
  </si>
  <si>
    <t>통신비</t>
    <phoneticPr fontId="1" type="noConversion"/>
  </si>
  <si>
    <t>병원비</t>
    <phoneticPr fontId="1" type="noConversion"/>
  </si>
  <si>
    <t>여행</t>
    <phoneticPr fontId="1" type="noConversion"/>
  </si>
  <si>
    <t>버퍼</t>
    <phoneticPr fontId="1" type="noConversion"/>
  </si>
  <si>
    <t>교통비</t>
    <phoneticPr fontId="1" type="noConversion"/>
  </si>
  <si>
    <t>합계</t>
    <phoneticPr fontId="1" type="noConversion"/>
  </si>
  <si>
    <t>원금</t>
    <phoneticPr fontId="1" type="noConversion"/>
  </si>
  <si>
    <t>목표수익율</t>
    <phoneticPr fontId="1" type="noConversion"/>
  </si>
  <si>
    <t>기준</t>
    <phoneticPr fontId="1" type="noConversion"/>
  </si>
  <si>
    <t>매매횟수</t>
    <phoneticPr fontId="1" type="noConversion"/>
  </si>
  <si>
    <t>수익</t>
    <phoneticPr fontId="1" type="noConversion"/>
  </si>
  <si>
    <t>합산</t>
    <phoneticPr fontId="1" type="noConversion"/>
  </si>
  <si>
    <t>원금</t>
    <phoneticPr fontId="1" type="noConversion"/>
  </si>
  <si>
    <t>수익율(%)</t>
    <phoneticPr fontId="1" type="noConversion"/>
  </si>
  <si>
    <t>총합산</t>
    <phoneticPr fontId="1" type="noConversion"/>
  </si>
  <si>
    <t>이전</t>
    <phoneticPr fontId="1" type="noConversion"/>
  </si>
  <si>
    <t>예측</t>
    <phoneticPr fontId="1" type="noConversion"/>
  </si>
  <si>
    <t>발표</t>
    <phoneticPr fontId="1" type="noConversion"/>
  </si>
  <si>
    <t>ISM 제조업구매자지수</t>
    <phoneticPr fontId="1" type="noConversion"/>
  </si>
  <si>
    <t>ISM 비제조업구매자지수</t>
    <phoneticPr fontId="1" type="noConversion"/>
  </si>
  <si>
    <t>생산자물가지수 YOY</t>
    <phoneticPr fontId="1" type="noConversion"/>
  </si>
  <si>
    <t>소비자물가지수 YOY</t>
    <phoneticPr fontId="1" type="noConversion"/>
  </si>
  <si>
    <t>근원소비자물가지수 YOY</t>
    <phoneticPr fontId="1" type="noConversion"/>
  </si>
  <si>
    <t xml:space="preserve">신규실업수당청구건수 </t>
    <phoneticPr fontId="1" type="noConversion"/>
  </si>
  <si>
    <t>219k</t>
    <phoneticPr fontId="1" type="noConversion"/>
  </si>
  <si>
    <t>225k</t>
    <phoneticPr fontId="1" type="noConversion"/>
  </si>
  <si>
    <t>원유재고</t>
    <phoneticPr fontId="1" type="noConversion"/>
  </si>
  <si>
    <t>건축승인건수</t>
    <phoneticPr fontId="1" type="noConversion"/>
  </si>
  <si>
    <t>유가선물(USOI) 10월 마감</t>
    <phoneticPr fontId="1" type="noConversion"/>
  </si>
  <si>
    <t>필라델피아제조업활동지수</t>
    <phoneticPr fontId="1" type="noConversion"/>
  </si>
  <si>
    <t>기존주택판매</t>
    <phoneticPr fontId="1" type="noConversion"/>
  </si>
  <si>
    <t>근원생산자물가지수 YOY</t>
    <phoneticPr fontId="1" type="noConversion"/>
  </si>
  <si>
    <t>기업가치 = 자기자본 + 초과이익/할인율 = B0 + (B0 * (ROE - ke)) / ke</t>
    <phoneticPr fontId="1" type="noConversion"/>
  </si>
  <si>
    <t>신용등급금리</t>
    <phoneticPr fontId="1" type="noConversion"/>
  </si>
  <si>
    <t>BBB- 기준</t>
    <phoneticPr fontId="1" type="noConversion"/>
  </si>
  <si>
    <t>https://www.kisrating.com/ratingsStatistics/statics_spread.do#</t>
    <phoneticPr fontId="1" type="noConversion"/>
  </si>
  <si>
    <t>등급분포 - 등급별 금리스프레드 - 수익률(2022.10.20)</t>
  </si>
  <si>
    <t>구분</t>
  </si>
  <si>
    <t>3월</t>
  </si>
  <si>
    <t>6월</t>
  </si>
  <si>
    <t>9월</t>
  </si>
  <si>
    <t>1년</t>
  </si>
  <si>
    <t>1년6월</t>
  </si>
  <si>
    <t>2년</t>
  </si>
  <si>
    <t>3년</t>
  </si>
  <si>
    <t>5년</t>
  </si>
  <si>
    <t>국고채</t>
  </si>
  <si>
    <t>AAA</t>
  </si>
  <si>
    <t>AA+</t>
  </si>
  <si>
    <t>AA</t>
  </si>
  <si>
    <t>AA-</t>
  </si>
  <si>
    <t>A+</t>
  </si>
  <si>
    <t>A</t>
  </si>
  <si>
    <t>A-</t>
  </si>
  <si>
    <t>BBB+</t>
  </si>
  <si>
    <t>BBB</t>
  </si>
  <si>
    <t>BBB-</t>
  </si>
  <si>
    <t>주택구입부담지수</t>
    <phoneticPr fontId="1" type="noConversion"/>
  </si>
  <si>
    <t>ISM제조업지수(제조업 PMI)</t>
    <phoneticPr fontId="1" type="noConversion"/>
  </si>
  <si>
    <t>100이면 소득의 25프로 원리금상환의미</t>
    <phoneticPr fontId="1" type="noConversion"/>
  </si>
  <si>
    <t>50기준 51이면 1프로 정도 생산경기 활성화 49면 1프로정도 경기 침체</t>
    <phoneticPr fontId="1" type="noConversion"/>
  </si>
  <si>
    <t>https://houstat.hf.go.kr/research/portal/theme/indexStatPage.do</t>
    <phoneticPr fontId="1" type="noConversion"/>
  </si>
  <si>
    <t>22년 8월 현재 매매법</t>
    <phoneticPr fontId="1" type="noConversion"/>
  </si>
  <si>
    <t>22년 9월 현재 매매법</t>
    <phoneticPr fontId="1" type="noConversion"/>
  </si>
  <si>
    <t>22년 10월 현재 매매법</t>
    <phoneticPr fontId="1" type="noConversion"/>
  </si>
  <si>
    <t>22년 11월 현재 매매법</t>
    <phoneticPr fontId="1" type="noConversion"/>
  </si>
  <si>
    <t>22년 12월 현재 매매법</t>
    <phoneticPr fontId="1" type="noConversion"/>
  </si>
  <si>
    <t>23년 1월 현재 매매법</t>
    <phoneticPr fontId="1" type="noConversion"/>
  </si>
  <si>
    <t>생활패턴1</t>
    <phoneticPr fontId="1" type="noConversion"/>
  </si>
  <si>
    <t>생활패턴2</t>
    <phoneticPr fontId="1" type="noConversion"/>
  </si>
  <si>
    <t>생활패턴3</t>
  </si>
  <si>
    <t>생활패턴4</t>
  </si>
  <si>
    <t>생활패턴5</t>
  </si>
  <si>
    <t>생활패턴6</t>
  </si>
  <si>
    <t>생활패턴7</t>
  </si>
  <si>
    <t>생활패턴8</t>
  </si>
  <si>
    <t>생활패턴9</t>
  </si>
  <si>
    <t>생활패턴10</t>
  </si>
  <si>
    <t>생활패턴11</t>
  </si>
  <si>
    <t>생활패턴12</t>
  </si>
  <si>
    <t>현금흐름</t>
    <phoneticPr fontId="1" type="noConversion"/>
  </si>
  <si>
    <t>퇴직금(자산)*</t>
    <phoneticPr fontId="1" type="noConversion"/>
  </si>
  <si>
    <t>유동자산금액</t>
    <phoneticPr fontId="1" type="noConversion"/>
  </si>
  <si>
    <t>현금</t>
    <phoneticPr fontId="1" type="noConversion"/>
  </si>
  <si>
    <t>채권</t>
    <phoneticPr fontId="1" type="noConversion"/>
  </si>
  <si>
    <t>주식(배당) 수비</t>
    <phoneticPr fontId="1" type="noConversion"/>
  </si>
  <si>
    <t xml:space="preserve">주식(가치) 미드필더 </t>
    <phoneticPr fontId="1" type="noConversion"/>
  </si>
  <si>
    <t>주식(성장) 공격</t>
    <phoneticPr fontId="1" type="noConversion"/>
  </si>
  <si>
    <t xml:space="preserve">주식(공격적) 미드필더 </t>
    <phoneticPr fontId="1" type="noConversion"/>
  </si>
  <si>
    <t>합산</t>
    <phoneticPr fontId="1" type="noConversion"/>
  </si>
  <si>
    <t>23년 2월 현재 매매법</t>
    <phoneticPr fontId="1" type="noConversion"/>
  </si>
  <si>
    <t>23년 3월 현재 매매법</t>
    <phoneticPr fontId="1" type="noConversion"/>
  </si>
  <si>
    <t>S-RIM</t>
    <phoneticPr fontId="1" type="noConversion"/>
  </si>
  <si>
    <t>자기자본</t>
    <phoneticPr fontId="1" type="noConversion"/>
  </si>
  <si>
    <t>초과이익</t>
    <phoneticPr fontId="1" type="noConversion"/>
  </si>
  <si>
    <t>기업가치 = 자기자본 + 초과이익/할인율 
기업가치 = B + (B * (ROE - K) / K)</t>
    <phoneticPr fontId="1" type="noConversion"/>
  </si>
  <si>
    <t>기업</t>
    <phoneticPr fontId="1" type="noConversion"/>
  </si>
  <si>
    <t>ROE
(마지막)</t>
    <phoneticPr fontId="1" type="noConversion"/>
  </si>
  <si>
    <t>자기자본 + 초과이익</t>
    <phoneticPr fontId="1" type="noConversion"/>
  </si>
  <si>
    <t>2022년 4분기 예측</t>
    <phoneticPr fontId="1" type="noConversion"/>
  </si>
  <si>
    <t>할인율
(5년, BBB- 금리)</t>
    <phoneticPr fontId="1" type="noConversion"/>
  </si>
  <si>
    <t>비고</t>
    <phoneticPr fontId="1" type="noConversion"/>
  </si>
  <si>
    <t>총부채
Liabilities</t>
    <phoneticPr fontId="1" type="noConversion"/>
  </si>
  <si>
    <t>자기자본
Stockholders' Equity</t>
    <phoneticPr fontId="1" type="noConversion"/>
  </si>
  <si>
    <t>총자산
Assets
(총부채 + 자기자본)</t>
    <phoneticPr fontId="1" type="noConversion"/>
  </si>
  <si>
    <t>PLUG</t>
    <phoneticPr fontId="1" type="noConversion"/>
  </si>
  <si>
    <t>자본금</t>
    <phoneticPr fontId="1" type="noConversion"/>
  </si>
  <si>
    <t>자본잉여금
Additional paid-in capital</t>
    <phoneticPr fontId="1" type="noConversion"/>
  </si>
  <si>
    <t>결손금
Accumulated deficit</t>
    <phoneticPr fontId="1" type="noConversion"/>
  </si>
  <si>
    <t>자기자본율 = 자기자본 / 총자산 * 100
30%이상 안정적
20%미만 불안</t>
    <phoneticPr fontId="1" type="noConversion"/>
  </si>
  <si>
    <t>플러그파워</t>
    <phoneticPr fontId="1" type="noConversion"/>
  </si>
  <si>
    <t>자기자본
(국내-원, 해외-달라)</t>
    <phoneticPr fontId="1" type="noConversion"/>
  </si>
  <si>
    <t>자기자본 / 주식수</t>
    <phoneticPr fontId="1" type="noConversion"/>
  </si>
  <si>
    <t>해외 기업</t>
    <phoneticPr fontId="1" type="noConversion"/>
  </si>
  <si>
    <t>주식수
(구글파이낸스)</t>
    <phoneticPr fontId="1" type="noConversion"/>
  </si>
  <si>
    <t>x</t>
    <phoneticPr fontId="1" type="noConversion"/>
  </si>
  <si>
    <t>자본잠식율 
= ((자본금 - 자본총계) / 자본금) *100
마이너스가 정상 50퍼이상이면 상폐</t>
    <phoneticPr fontId="1" type="noConversion"/>
  </si>
  <si>
    <t>발표직후 주가(달라)</t>
    <phoneticPr fontId="1" type="noConversion"/>
  </si>
  <si>
    <t>시가총액</t>
    <phoneticPr fontId="1" type="noConversion"/>
  </si>
  <si>
    <t>주식수</t>
    <phoneticPr fontId="1" type="noConversion"/>
  </si>
  <si>
    <t>S&amp;P500지수</t>
    <phoneticPr fontId="1" type="noConversion"/>
  </si>
  <si>
    <t>주가</t>
    <phoneticPr fontId="1" type="noConversion"/>
  </si>
  <si>
    <t>직전실적대비 S&amp;P지수 증감률</t>
    <phoneticPr fontId="1" type="noConversion"/>
  </si>
  <si>
    <t>직전실적대비 자본증감률</t>
    <phoneticPr fontId="1" type="noConversion"/>
  </si>
  <si>
    <t>직전실적주가 적용 가격</t>
    <phoneticPr fontId="1" type="noConversion"/>
  </si>
  <si>
    <t>CPI</t>
    <phoneticPr fontId="1" type="noConversion"/>
  </si>
  <si>
    <t>PPI</t>
    <phoneticPr fontId="1" type="noConversion"/>
  </si>
  <si>
    <t>제조업PMI</t>
    <phoneticPr fontId="1" type="noConversion"/>
  </si>
  <si>
    <t>서비스PMI</t>
    <phoneticPr fontId="1" type="noConversion"/>
  </si>
  <si>
    <t>시가총액/영업현금흐름</t>
    <phoneticPr fontId="1" type="noConversion"/>
  </si>
  <si>
    <t>OR</t>
    <phoneticPr fontId="1" type="noConversion"/>
  </si>
  <si>
    <t>주가/주당영업현금흐름</t>
    <phoneticPr fontId="1" type="noConversion"/>
  </si>
  <si>
    <t>EBIT(영업이익)/투자자본(고정자산+유동자산-유동부채)</t>
    <phoneticPr fontId="1" type="noConversion"/>
  </si>
  <si>
    <t>ROC(높을수록)</t>
    <phoneticPr fontId="1" type="noConversion"/>
  </si>
  <si>
    <t>GP/A(높을수록)</t>
    <phoneticPr fontId="1" type="noConversion"/>
  </si>
  <si>
    <t>PCR(낮을수록)</t>
    <phoneticPr fontId="1" type="noConversion"/>
  </si>
  <si>
    <t>PER(낮을수록)</t>
    <phoneticPr fontId="1" type="noConversion"/>
  </si>
  <si>
    <t>PBR(낮을수록)</t>
    <phoneticPr fontId="1" type="noConversion"/>
  </si>
  <si>
    <t>PSR(낮을수록)</t>
    <phoneticPr fontId="1" type="noConversion"/>
  </si>
  <si>
    <t>F스코어</t>
    <phoneticPr fontId="1" type="noConversion"/>
  </si>
  <si>
    <t>수익성</t>
    <phoneticPr fontId="1" type="noConversion"/>
  </si>
  <si>
    <t>전년 당기순이익 : 0이상</t>
    <phoneticPr fontId="1" type="noConversion"/>
  </si>
  <si>
    <t>전년 영업현금흐름 : 0이상</t>
    <phoneticPr fontId="1" type="noConversion"/>
  </si>
  <si>
    <t>ROA : 전년대비 증가</t>
    <phoneticPr fontId="1" type="noConversion"/>
  </si>
  <si>
    <t>전년 영업현금흐름 : 순이익보다 높음</t>
    <phoneticPr fontId="1" type="noConversion"/>
  </si>
  <si>
    <t>부채비율 : 전년 대비 감소</t>
    <phoneticPr fontId="1" type="noConversion"/>
  </si>
  <si>
    <t>유동비율 : 전년 대비 증가</t>
    <phoneticPr fontId="1" type="noConversion"/>
  </si>
  <si>
    <t>신규 주식 발행(유상증자):전년 없음</t>
    <phoneticPr fontId="1" type="noConversion"/>
  </si>
  <si>
    <t>재무 건전성</t>
    <phoneticPr fontId="1" type="noConversion"/>
  </si>
  <si>
    <t>효율성</t>
    <phoneticPr fontId="1" type="noConversion"/>
  </si>
  <si>
    <t>매출총이익률:전년 대비 증가</t>
    <phoneticPr fontId="1" type="noConversion"/>
  </si>
  <si>
    <t>자산회전율:전년 대비 증가</t>
    <phoneticPr fontId="1" type="noConversion"/>
  </si>
  <si>
    <t>https://brunch.co.kr/@carpediem7760/43</t>
  </si>
  <si>
    <t>2022-1</t>
    <phoneticPr fontId="1" type="noConversion"/>
  </si>
  <si>
    <t>개인연금</t>
    <phoneticPr fontId="1" type="noConversion"/>
  </si>
  <si>
    <t>투자</t>
    <phoneticPr fontId="1" type="noConversion"/>
  </si>
  <si>
    <t>회수금</t>
    <phoneticPr fontId="1" type="noConversion"/>
  </si>
  <si>
    <t>투자원금</t>
    <phoneticPr fontId="1" type="noConversion"/>
  </si>
  <si>
    <t>노란공제(사업해제)</t>
    <phoneticPr fontId="1" type="noConversion"/>
  </si>
  <si>
    <t>IRP(사업해제)</t>
    <phoneticPr fontId="1" type="noConversion"/>
  </si>
  <si>
    <t>비유동자산</t>
    <phoneticPr fontId="1" type="noConversion"/>
  </si>
  <si>
    <t>유동자산</t>
    <phoneticPr fontId="1" type="noConversion"/>
  </si>
  <si>
    <t>IRP 퇴직 
(사업해제)</t>
    <phoneticPr fontId="1" type="noConversion"/>
  </si>
  <si>
    <t>퇴직 연금 
(만55세)</t>
    <phoneticPr fontId="1" type="noConversion"/>
  </si>
  <si>
    <t>원금</t>
    <phoneticPr fontId="1" type="noConversion"/>
  </si>
  <si>
    <t>23년 5월 현재 매매법</t>
    <phoneticPr fontId="1" type="noConversion"/>
  </si>
  <si>
    <t>현금</t>
    <phoneticPr fontId="1" type="noConversion"/>
  </si>
  <si>
    <t>합계</t>
    <phoneticPr fontId="1" type="noConversion"/>
  </si>
  <si>
    <t>2022-2</t>
    <phoneticPr fontId="1" type="noConversion"/>
  </si>
  <si>
    <t>부동산</t>
    <phoneticPr fontId="1" type="noConversion"/>
  </si>
  <si>
    <t>대출</t>
    <phoneticPr fontId="1" type="noConversion"/>
  </si>
  <si>
    <t>유동대출</t>
    <phoneticPr fontId="1" type="noConversion"/>
  </si>
  <si>
    <t>비유동대출</t>
    <phoneticPr fontId="1" type="noConversion"/>
  </si>
  <si>
    <t>유동 합계</t>
    <phoneticPr fontId="1" type="noConversion"/>
  </si>
  <si>
    <t>대출합계</t>
    <phoneticPr fontId="1" type="noConversion"/>
  </si>
  <si>
    <t>순 자산 합계</t>
    <phoneticPr fontId="1" type="noConversion"/>
  </si>
  <si>
    <t>보유자금</t>
    <phoneticPr fontId="1" type="noConversion"/>
  </si>
  <si>
    <t>2022-3</t>
    <phoneticPr fontId="1" type="noConversion"/>
  </si>
  <si>
    <t>주택청약</t>
    <phoneticPr fontId="1" type="noConversion"/>
  </si>
  <si>
    <t>전기료+가스비</t>
    <phoneticPr fontId="1" type="noConversion"/>
  </si>
  <si>
    <t>생활비(카드 + 기타)</t>
    <phoneticPr fontId="1" type="noConversion"/>
  </si>
  <si>
    <t>대출원금</t>
    <phoneticPr fontId="1" type="noConversion"/>
  </si>
  <si>
    <t>가족지출</t>
    <phoneticPr fontId="1" type="noConversion"/>
  </si>
  <si>
    <t>2024-5</t>
    <phoneticPr fontId="1" type="noConversion"/>
  </si>
  <si>
    <t>신용대출</t>
    <phoneticPr fontId="1" type="noConversion"/>
  </si>
  <si>
    <t xml:space="preserve">원금 7400만원 대출 2억 1천  + 700 쳥약통장 </t>
    <phoneticPr fontId="1" type="noConversion"/>
  </si>
  <si>
    <t>차량구매 1000대출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</si>
</sst>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&quot;₩&quot;#,##0"/>
    <numFmt numFmtId="177" formatCode="&quot;₩&quot;#,##0_);[Red]\(&quot;₩&quot;#,##0\)"/>
    <numFmt numFmtId="178" formatCode="0.00000_ "/>
    <numFmt numFmtId="179" formatCode="#,##0_);[Red]\(#,##0\)"/>
    <numFmt numFmtId="180" formatCode="0.00_ "/>
    <numFmt numFmtId="181" formatCode="_-\$* #,##0_ ;_-\$* \-#,##0\ ;_-\$* &quot;-&quot;_ ;_-@_ "/>
    <numFmt numFmtId="182" formatCode="#,##0.000_ "/>
  </numFmts>
  <fonts count="2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1"/>
      <color rgb="FF202124"/>
      <name val="Arial"/>
      <family val="2"/>
    </font>
    <font>
      <b/>
      <sz val="11"/>
      <color rgb="FFFF0000"/>
      <name val="맑은 고딕"/>
      <family val="3"/>
      <charset val="129"/>
      <scheme val="minor"/>
    </font>
    <font>
      <sz val="11"/>
      <color rgb="FF000000"/>
      <name val="Arial"/>
      <family val="2"/>
    </font>
    <font>
      <sz val="11"/>
      <color theme="1"/>
      <name val="맑은 고딕"/>
      <family val="3"/>
      <charset val="129"/>
      <scheme val="minor"/>
    </font>
  </fonts>
  <fills count="49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0D0D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</fills>
  <borders count="5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DADCE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rgb="FFCCCCCC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3" fillId="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0" fillId="8" borderId="9" applyNumberFormat="0" applyAlignment="0" applyProtection="0">
      <alignment vertical="center"/>
    </xf>
    <xf numFmtId="0" fontId="11" fillId="9" borderId="10" applyNumberFormat="0" applyAlignment="0" applyProtection="0">
      <alignment vertical="center"/>
    </xf>
    <xf numFmtId="0" fontId="12" fillId="9" borderId="9" applyNumberFormat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4" fillId="10" borderId="12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11" borderId="13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14" applyNumberFormat="0" applyFill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</cellStyleXfs>
  <cellXfs count="314">
    <xf numFmtId="0" fontId="0" fillId="0" borderId="0" xfId="0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6" fontId="0" fillId="0" borderId="1" xfId="0" applyNumberFormat="1" applyBorder="1" applyAlignment="1">
      <alignment horizontal="right" vertical="center"/>
    </xf>
    <xf numFmtId="176" fontId="0" fillId="0" borderId="2" xfId="0" applyNumberFormat="1" applyBorder="1" applyAlignment="1">
      <alignment horizontal="right"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right"/>
    </xf>
    <xf numFmtId="0" fontId="19" fillId="0" borderId="0" xfId="35">
      <alignment vertical="center"/>
    </xf>
    <xf numFmtId="178" fontId="0" fillId="0" borderId="0" xfId="0" applyNumberFormat="1">
      <alignment vertical="center"/>
    </xf>
    <xf numFmtId="0" fontId="21" fillId="0" borderId="0" xfId="0" applyFont="1">
      <alignment vertical="center"/>
    </xf>
    <xf numFmtId="0" fontId="22" fillId="36" borderId="15" xfId="0" applyFont="1" applyFill="1" applyBorder="1" applyAlignment="1">
      <alignment horizontal="center" vertical="center" wrapText="1"/>
    </xf>
    <xf numFmtId="0" fontId="23" fillId="37" borderId="16" xfId="0" applyFont="1" applyFill="1" applyBorder="1" applyAlignment="1">
      <alignment vertical="center" wrapText="1"/>
    </xf>
    <xf numFmtId="0" fontId="0" fillId="5" borderId="0" xfId="0" applyFill="1">
      <alignment vertical="center"/>
    </xf>
    <xf numFmtId="0" fontId="0" fillId="5" borderId="1" xfId="0" applyFill="1" applyBorder="1">
      <alignment vertical="center"/>
    </xf>
    <xf numFmtId="177" fontId="0" fillId="0" borderId="30" xfId="0" applyNumberFormat="1" applyBorder="1">
      <alignment vertical="center"/>
    </xf>
    <xf numFmtId="0" fontId="0" fillId="3" borderId="34" xfId="0" applyFill="1" applyBorder="1">
      <alignment vertical="center"/>
    </xf>
    <xf numFmtId="0" fontId="0" fillId="3" borderId="37" xfId="0" applyFill="1" applyBorder="1">
      <alignment vertical="center"/>
    </xf>
    <xf numFmtId="0" fontId="0" fillId="40" borderId="1" xfId="0" applyFill="1" applyBorder="1">
      <alignment vertical="center"/>
    </xf>
    <xf numFmtId="0" fontId="0" fillId="40" borderId="2" xfId="0" applyFill="1" applyBorder="1">
      <alignment vertical="center"/>
    </xf>
    <xf numFmtId="0" fontId="2" fillId="5" borderId="1" xfId="0" applyFont="1" applyFill="1" applyBorder="1">
      <alignment vertical="center"/>
    </xf>
    <xf numFmtId="0" fontId="2" fillId="5" borderId="4" xfId="0" applyFont="1" applyFill="1" applyBorder="1">
      <alignment vertical="center"/>
    </xf>
    <xf numFmtId="0" fontId="0" fillId="5" borderId="21" xfId="0" applyFill="1" applyBorder="1">
      <alignment vertical="center"/>
    </xf>
    <xf numFmtId="0" fontId="0" fillId="5" borderId="24" xfId="0" applyFill="1" applyBorder="1">
      <alignment vertical="center"/>
    </xf>
    <xf numFmtId="0" fontId="0" fillId="5" borderId="4" xfId="0" applyFill="1" applyBorder="1">
      <alignment vertical="center"/>
    </xf>
    <xf numFmtId="0" fontId="0" fillId="5" borderId="2" xfId="0" applyFill="1" applyBorder="1">
      <alignment vertical="center"/>
    </xf>
    <xf numFmtId="0" fontId="0" fillId="5" borderId="22" xfId="0" applyFill="1" applyBorder="1">
      <alignment vertical="center"/>
    </xf>
    <xf numFmtId="0" fontId="0" fillId="41" borderId="1" xfId="0" applyFill="1" applyBorder="1">
      <alignment vertical="center"/>
    </xf>
    <xf numFmtId="0" fontId="0" fillId="41" borderId="4" xfId="0" applyFill="1" applyBorder="1">
      <alignment vertical="center"/>
    </xf>
    <xf numFmtId="0" fontId="0" fillId="0" borderId="39" xfId="0" applyBorder="1">
      <alignment vertical="center"/>
    </xf>
    <xf numFmtId="0" fontId="0" fillId="40" borderId="21" xfId="0" applyFill="1" applyBorder="1">
      <alignment vertical="center"/>
    </xf>
    <xf numFmtId="0" fontId="0" fillId="41" borderId="24" xfId="0" applyFill="1" applyBorder="1">
      <alignment vertical="center"/>
    </xf>
    <xf numFmtId="0" fontId="0" fillId="41" borderId="0" xfId="0" applyFill="1">
      <alignment vertical="center"/>
    </xf>
    <xf numFmtId="0" fontId="0" fillId="3" borderId="38" xfId="0" applyFill="1" applyBorder="1">
      <alignment vertical="center"/>
    </xf>
    <xf numFmtId="177" fontId="2" fillId="5" borderId="1" xfId="0" applyNumberFormat="1" applyFont="1" applyFill="1" applyBorder="1">
      <alignment vertical="center"/>
    </xf>
    <xf numFmtId="0" fontId="0" fillId="3" borderId="1" xfId="0" applyFill="1" applyBorder="1">
      <alignment vertical="center"/>
    </xf>
    <xf numFmtId="0" fontId="25" fillId="37" borderId="44" xfId="0" applyFont="1" applyFill="1" applyBorder="1" applyAlignment="1">
      <alignment horizontal="center" vertical="center" wrapText="1"/>
    </xf>
    <xf numFmtId="180" fontId="0" fillId="0" borderId="1" xfId="0" applyNumberFormat="1" applyBorder="1">
      <alignment vertical="center"/>
    </xf>
    <xf numFmtId="0" fontId="2" fillId="42" borderId="1" xfId="0" applyFont="1" applyFill="1" applyBorder="1" applyAlignment="1">
      <alignment horizontal="center" vertical="center"/>
    </xf>
    <xf numFmtId="180" fontId="0" fillId="43" borderId="1" xfId="0" applyNumberFormat="1" applyFill="1" applyBorder="1">
      <alignment vertical="center"/>
    </xf>
    <xf numFmtId="180" fontId="0" fillId="39" borderId="1" xfId="0" applyNumberFormat="1" applyFill="1" applyBorder="1">
      <alignment vertical="center"/>
    </xf>
    <xf numFmtId="0" fontId="2" fillId="0" borderId="45" xfId="0" applyFont="1" applyBorder="1" applyAlignment="1">
      <alignment horizontal="center" vertical="center"/>
    </xf>
    <xf numFmtId="176" fontId="0" fillId="0" borderId="2" xfId="0" applyNumberFormat="1" applyBorder="1">
      <alignment vertical="center"/>
    </xf>
    <xf numFmtId="0" fontId="2" fillId="0" borderId="29" xfId="0" applyFont="1" applyBorder="1" applyAlignment="1">
      <alignment horizontal="left" vertical="center" wrapText="1"/>
    </xf>
    <xf numFmtId="3" fontId="0" fillId="0" borderId="21" xfId="0" applyNumberFormat="1" applyBorder="1" applyAlignment="1">
      <alignment horizontal="center" vertical="center"/>
    </xf>
    <xf numFmtId="0" fontId="0" fillId="0" borderId="31" xfId="0" applyBorder="1">
      <alignment vertical="center"/>
    </xf>
    <xf numFmtId="3" fontId="0" fillId="0" borderId="27" xfId="0" applyNumberFormat="1" applyBorder="1">
      <alignment vertical="center"/>
    </xf>
    <xf numFmtId="0" fontId="0" fillId="0" borderId="28" xfId="0" applyBorder="1">
      <alignment vertical="center"/>
    </xf>
    <xf numFmtId="0" fontId="2" fillId="0" borderId="21" xfId="0" applyFont="1" applyBorder="1" applyAlignment="1">
      <alignment horizontal="center" vertical="center"/>
    </xf>
    <xf numFmtId="0" fontId="2" fillId="0" borderId="33" xfId="0" applyFont="1" applyBorder="1" applyAlignment="1">
      <alignment horizontal="left" vertical="center"/>
    </xf>
    <xf numFmtId="0" fontId="2" fillId="0" borderId="37" xfId="0" applyFont="1" applyBorder="1" applyAlignment="1">
      <alignment horizontal="left" vertical="center" wrapText="1"/>
    </xf>
    <xf numFmtId="0" fontId="2" fillId="0" borderId="35" xfId="0" applyFont="1" applyBorder="1" applyAlignment="1">
      <alignment horizontal="left" vertical="center" wrapText="1"/>
    </xf>
    <xf numFmtId="0" fontId="2" fillId="0" borderId="37" xfId="0" applyFont="1" applyBorder="1" applyAlignment="1">
      <alignment horizontal="left" vertical="center"/>
    </xf>
    <xf numFmtId="0" fontId="2" fillId="0" borderId="35" xfId="0" applyFont="1" applyBorder="1" applyAlignment="1">
      <alignment horizontal="left" vertical="center"/>
    </xf>
    <xf numFmtId="0" fontId="0" fillId="42" borderId="0" xfId="0" applyFill="1">
      <alignment vertical="center"/>
    </xf>
    <xf numFmtId="180" fontId="0" fillId="0" borderId="21" xfId="0" applyNumberFormat="1" applyBorder="1">
      <alignment vertical="center"/>
    </xf>
    <xf numFmtId="3" fontId="0" fillId="0" borderId="21" xfId="0" applyNumberFormat="1" applyBorder="1">
      <alignment vertical="center"/>
    </xf>
    <xf numFmtId="0" fontId="2" fillId="0" borderId="39" xfId="0" applyFont="1" applyBorder="1" applyAlignment="1">
      <alignment vertical="center" wrapText="1"/>
    </xf>
    <xf numFmtId="0" fontId="2" fillId="0" borderId="26" xfId="0" applyFont="1" applyBorder="1" applyAlignment="1">
      <alignment vertical="center" wrapText="1"/>
    </xf>
    <xf numFmtId="0" fontId="2" fillId="0" borderId="0" xfId="0" applyFont="1">
      <alignment vertical="center"/>
    </xf>
    <xf numFmtId="0" fontId="2" fillId="0" borderId="17" xfId="0" applyFont="1" applyBorder="1" applyAlignment="1">
      <alignment horizontal="left" vertical="center" wrapText="1"/>
    </xf>
    <xf numFmtId="3" fontId="0" fillId="0" borderId="1" xfId="0" applyNumberFormat="1" applyBorder="1" applyAlignment="1">
      <alignment horizontal="center" vertical="center"/>
    </xf>
    <xf numFmtId="0" fontId="2" fillId="0" borderId="26" xfId="0" applyFont="1" applyBorder="1">
      <alignment vertical="center"/>
    </xf>
    <xf numFmtId="0" fontId="2" fillId="0" borderId="17" xfId="0" applyFont="1" applyBorder="1">
      <alignment vertical="center"/>
    </xf>
    <xf numFmtId="0" fontId="0" fillId="0" borderId="21" xfId="0" applyBorder="1">
      <alignment vertical="center"/>
    </xf>
    <xf numFmtId="3" fontId="0" fillId="0" borderId="1" xfId="0" applyNumberFormat="1" applyBorder="1">
      <alignment vertical="center"/>
    </xf>
    <xf numFmtId="181" fontId="0" fillId="0" borderId="1" xfId="0" applyNumberFormat="1" applyBorder="1">
      <alignment vertical="center"/>
    </xf>
    <xf numFmtId="0" fontId="2" fillId="0" borderId="43" xfId="0" applyFont="1" applyBorder="1">
      <alignment vertical="center"/>
    </xf>
    <xf numFmtId="0" fontId="0" fillId="0" borderId="36" xfId="0" applyBorder="1">
      <alignment vertical="center"/>
    </xf>
    <xf numFmtId="0" fontId="0" fillId="0" borderId="43" xfId="0" applyBorder="1">
      <alignment vertical="center"/>
    </xf>
    <xf numFmtId="180" fontId="2" fillId="0" borderId="1" xfId="0" applyNumberFormat="1" applyFont="1" applyBorder="1">
      <alignment vertical="center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182" fontId="2" fillId="2" borderId="3" xfId="0" applyNumberFormat="1" applyFont="1" applyFill="1" applyBorder="1">
      <alignment vertical="center"/>
    </xf>
    <xf numFmtId="0" fontId="0" fillId="2" borderId="1" xfId="0" applyFill="1" applyBorder="1">
      <alignment vertical="center"/>
    </xf>
    <xf numFmtId="177" fontId="0" fillId="2" borderId="30" xfId="0" applyNumberFormat="1" applyFill="1" applyBorder="1">
      <alignment vertical="center"/>
    </xf>
    <xf numFmtId="0" fontId="2" fillId="3" borderId="1" xfId="0" applyFont="1" applyFill="1" applyBorder="1">
      <alignment vertical="center"/>
    </xf>
    <xf numFmtId="0" fontId="2" fillId="5" borderId="0" xfId="0" applyFont="1" applyFill="1">
      <alignment vertical="center"/>
    </xf>
    <xf numFmtId="0" fontId="2" fillId="5" borderId="24" xfId="0" applyFont="1" applyFill="1" applyBorder="1">
      <alignment vertical="center"/>
    </xf>
    <xf numFmtId="0" fontId="2" fillId="5" borderId="22" xfId="0" applyFont="1" applyFill="1" applyBorder="1">
      <alignment vertical="center"/>
    </xf>
    <xf numFmtId="0" fontId="0" fillId="40" borderId="5" xfId="0" applyFill="1" applyBorder="1">
      <alignment vertical="center"/>
    </xf>
    <xf numFmtId="0" fontId="0" fillId="40" borderId="23" xfId="0" applyFill="1" applyBorder="1">
      <alignment vertical="center"/>
    </xf>
    <xf numFmtId="0" fontId="0" fillId="40" borderId="25" xfId="0" applyFill="1" applyBorder="1">
      <alignment vertical="center"/>
    </xf>
    <xf numFmtId="0" fontId="0" fillId="5" borderId="5" xfId="0" applyFill="1" applyBorder="1">
      <alignment vertical="center"/>
    </xf>
    <xf numFmtId="0" fontId="0" fillId="5" borderId="23" xfId="0" applyFill="1" applyBorder="1">
      <alignment vertical="center"/>
    </xf>
    <xf numFmtId="0" fontId="0" fillId="5" borderId="25" xfId="0" applyFill="1" applyBorder="1">
      <alignment vertical="center"/>
    </xf>
    <xf numFmtId="0" fontId="0" fillId="41" borderId="5" xfId="0" applyFill="1" applyBorder="1">
      <alignment vertical="center"/>
    </xf>
    <xf numFmtId="0" fontId="0" fillId="43" borderId="33" xfId="0" applyFill="1" applyBorder="1">
      <alignment vertical="center"/>
    </xf>
    <xf numFmtId="0" fontId="0" fillId="43" borderId="34" xfId="0" applyFill="1" applyBorder="1">
      <alignment vertical="center"/>
    </xf>
    <xf numFmtId="182" fontId="2" fillId="43" borderId="3" xfId="0" applyNumberFormat="1" applyFont="1" applyFill="1" applyBorder="1">
      <alignment vertical="center"/>
    </xf>
    <xf numFmtId="0" fontId="2" fillId="43" borderId="34" xfId="0" applyFont="1" applyFill="1" applyBorder="1">
      <alignment vertical="center"/>
    </xf>
    <xf numFmtId="0" fontId="0" fillId="43" borderId="38" xfId="0" applyFill="1" applyBorder="1">
      <alignment vertical="center"/>
    </xf>
    <xf numFmtId="0" fontId="0" fillId="43" borderId="37" xfId="0" applyFill="1" applyBorder="1">
      <alignment vertical="center"/>
    </xf>
    <xf numFmtId="0" fontId="0" fillId="43" borderId="1" xfId="0" applyFill="1" applyBorder="1">
      <alignment vertical="center"/>
    </xf>
    <xf numFmtId="177" fontId="2" fillId="2" borderId="2" xfId="0" applyNumberFormat="1" applyFont="1" applyFill="1" applyBorder="1" applyAlignment="1">
      <alignment horizontal="center" vertical="center" wrapText="1"/>
    </xf>
    <xf numFmtId="0" fontId="2" fillId="39" borderId="22" xfId="0" applyFont="1" applyFill="1" applyBorder="1" applyAlignment="1">
      <alignment horizontal="center" vertical="center"/>
    </xf>
    <xf numFmtId="177" fontId="2" fillId="2" borderId="1" xfId="0" applyNumberFormat="1" applyFont="1" applyFill="1" applyBorder="1">
      <alignment vertical="center"/>
    </xf>
    <xf numFmtId="177" fontId="0" fillId="40" borderId="1" xfId="0" applyNumberFormat="1" applyFill="1" applyBorder="1">
      <alignment vertical="center"/>
    </xf>
    <xf numFmtId="177" fontId="0" fillId="2" borderId="1" xfId="0" applyNumberFormat="1" applyFill="1" applyBorder="1">
      <alignment vertical="center"/>
    </xf>
    <xf numFmtId="177" fontId="0" fillId="3" borderId="1" xfId="0" applyNumberFormat="1" applyFill="1" applyBorder="1">
      <alignment vertical="center"/>
    </xf>
    <xf numFmtId="177" fontId="0" fillId="5" borderId="1" xfId="0" applyNumberFormat="1" applyFill="1" applyBorder="1">
      <alignment vertical="center"/>
    </xf>
    <xf numFmtId="182" fontId="2" fillId="5" borderId="3" xfId="0" applyNumberFormat="1" applyFont="1" applyFill="1" applyBorder="1">
      <alignment vertical="center"/>
    </xf>
    <xf numFmtId="0" fontId="2" fillId="5" borderId="29" xfId="0" applyFont="1" applyFill="1" applyBorder="1">
      <alignment vertical="center"/>
    </xf>
    <xf numFmtId="0" fontId="0" fillId="2" borderId="4" xfId="0" applyFill="1" applyBorder="1">
      <alignment vertical="center"/>
    </xf>
    <xf numFmtId="0" fontId="2" fillId="2" borderId="4" xfId="0" applyFont="1" applyFill="1" applyBorder="1">
      <alignment vertical="center"/>
    </xf>
    <xf numFmtId="0" fontId="0" fillId="2" borderId="5" xfId="0" applyFill="1" applyBorder="1">
      <alignment vertical="center"/>
    </xf>
    <xf numFmtId="0" fontId="0" fillId="43" borderId="5" xfId="0" applyFill="1" applyBorder="1">
      <alignment vertical="center"/>
    </xf>
    <xf numFmtId="0" fontId="0" fillId="43" borderId="0" xfId="0" applyFill="1">
      <alignment vertical="center"/>
    </xf>
    <xf numFmtId="14" fontId="0" fillId="0" borderId="1" xfId="0" applyNumberFormat="1" applyBorder="1">
      <alignment vertical="center"/>
    </xf>
    <xf numFmtId="0" fontId="0" fillId="40" borderId="4" xfId="0" applyFill="1" applyBorder="1">
      <alignment vertical="center"/>
    </xf>
    <xf numFmtId="0" fontId="0" fillId="3" borderId="4" xfId="0" applyFill="1" applyBorder="1">
      <alignment vertical="center"/>
    </xf>
    <xf numFmtId="0" fontId="2" fillId="5" borderId="22" xfId="0" applyFont="1" applyFill="1" applyBorder="1" applyAlignment="1">
      <alignment horizontal="center" vertical="center"/>
    </xf>
    <xf numFmtId="176" fontId="2" fillId="5" borderId="4" xfId="0" applyNumberFormat="1" applyFont="1" applyFill="1" applyBorder="1">
      <alignment vertical="center"/>
    </xf>
    <xf numFmtId="179" fontId="2" fillId="3" borderId="23" xfId="0" applyNumberFormat="1" applyFont="1" applyFill="1" applyBorder="1" applyAlignment="1">
      <alignment horizontal="center" vertical="center"/>
    </xf>
    <xf numFmtId="176" fontId="2" fillId="3" borderId="5" xfId="0" applyNumberFormat="1" applyFont="1" applyFill="1" applyBorder="1">
      <alignment vertical="center"/>
    </xf>
    <xf numFmtId="179" fontId="2" fillId="3" borderId="0" xfId="0" applyNumberFormat="1" applyFont="1" applyFill="1">
      <alignment vertical="center"/>
    </xf>
    <xf numFmtId="0" fontId="2" fillId="5" borderId="52" xfId="0" applyFont="1" applyFill="1" applyBorder="1">
      <alignment vertical="center"/>
    </xf>
    <xf numFmtId="0" fontId="2" fillId="39" borderId="1" xfId="0" applyFont="1" applyFill="1" applyBorder="1" applyAlignment="1">
      <alignment horizontal="center" vertical="center"/>
    </xf>
    <xf numFmtId="0" fontId="2" fillId="3" borderId="4" xfId="0" applyFont="1" applyFill="1" applyBorder="1">
      <alignment vertical="center"/>
    </xf>
    <xf numFmtId="176" fontId="2" fillId="40" borderId="1" xfId="0" applyNumberFormat="1" applyFont="1" applyFill="1" applyBorder="1">
      <alignment vertical="center"/>
    </xf>
    <xf numFmtId="182" fontId="2" fillId="40" borderId="4" xfId="0" applyNumberFormat="1" applyFont="1" applyFill="1" applyBorder="1">
      <alignment vertical="center"/>
    </xf>
    <xf numFmtId="177" fontId="2" fillId="40" borderId="1" xfId="0" applyNumberFormat="1" applyFont="1" applyFill="1" applyBorder="1">
      <alignment vertical="center"/>
    </xf>
    <xf numFmtId="176" fontId="2" fillId="40" borderId="5" xfId="0" applyNumberFormat="1" applyFont="1" applyFill="1" applyBorder="1">
      <alignment vertical="center"/>
    </xf>
    <xf numFmtId="0" fontId="2" fillId="40" borderId="4" xfId="0" applyFont="1" applyFill="1" applyBorder="1">
      <alignment vertical="center"/>
    </xf>
    <xf numFmtId="176" fontId="2" fillId="40" borderId="4" xfId="0" applyNumberFormat="1" applyFont="1" applyFill="1" applyBorder="1">
      <alignment vertical="center"/>
    </xf>
    <xf numFmtId="0" fontId="2" fillId="40" borderId="1" xfId="0" applyFont="1" applyFill="1" applyBorder="1">
      <alignment vertical="center"/>
    </xf>
    <xf numFmtId="10" fontId="0" fillId="0" borderId="0" xfId="0" applyNumberFormat="1">
      <alignment vertical="center"/>
    </xf>
    <xf numFmtId="177" fontId="2" fillId="2" borderId="22" xfId="0" applyNumberFormat="1" applyFont="1" applyFill="1" applyBorder="1" applyAlignment="1">
      <alignment horizontal="center" vertical="center" wrapText="1"/>
    </xf>
    <xf numFmtId="177" fontId="2" fillId="2" borderId="4" xfId="0" applyNumberFormat="1" applyFont="1" applyFill="1" applyBorder="1">
      <alignment vertical="center"/>
    </xf>
    <xf numFmtId="177" fontId="0" fillId="2" borderId="4" xfId="0" applyNumberFormat="1" applyFill="1" applyBorder="1">
      <alignment vertical="center"/>
    </xf>
    <xf numFmtId="177" fontId="0" fillId="3" borderId="4" xfId="0" applyNumberFormat="1" applyFill="1" applyBorder="1">
      <alignment vertical="center"/>
    </xf>
    <xf numFmtId="177" fontId="0" fillId="40" borderId="4" xfId="0" applyNumberFormat="1" applyFill="1" applyBorder="1">
      <alignment vertical="center"/>
    </xf>
    <xf numFmtId="177" fontId="0" fillId="2" borderId="0" xfId="0" applyNumberFormat="1" applyFill="1">
      <alignment vertical="center"/>
    </xf>
    <xf numFmtId="0" fontId="24" fillId="2" borderId="23" xfId="0" applyFont="1" applyFill="1" applyBorder="1" applyAlignment="1">
      <alignment horizontal="center" vertical="center"/>
    </xf>
    <xf numFmtId="176" fontId="2" fillId="2" borderId="5" xfId="0" applyNumberFormat="1" applyFont="1" applyFill="1" applyBorder="1">
      <alignment vertical="center"/>
    </xf>
    <xf numFmtId="176" fontId="2" fillId="2" borderId="56" xfId="0" applyNumberFormat="1" applyFont="1" applyFill="1" applyBorder="1">
      <alignment vertical="center"/>
    </xf>
    <xf numFmtId="176" fontId="2" fillId="43" borderId="56" xfId="0" applyNumberFormat="1" applyFont="1" applyFill="1" applyBorder="1">
      <alignment vertical="center"/>
    </xf>
    <xf numFmtId="0" fontId="2" fillId="2" borderId="30" xfId="0" applyFont="1" applyFill="1" applyBorder="1">
      <alignment vertical="center"/>
    </xf>
    <xf numFmtId="177" fontId="2" fillId="2" borderId="1" xfId="0" applyNumberFormat="1" applyFont="1" applyFill="1" applyBorder="1" applyAlignment="1">
      <alignment horizontal="center" vertical="center" wrapText="1"/>
    </xf>
    <xf numFmtId="177" fontId="2" fillId="39" borderId="23" xfId="0" applyNumberFormat="1" applyFont="1" applyFill="1" applyBorder="1" applyAlignment="1">
      <alignment horizontal="center" vertical="center"/>
    </xf>
    <xf numFmtId="177" fontId="2" fillId="5" borderId="5" xfId="0" applyNumberFormat="1" applyFont="1" applyFill="1" applyBorder="1">
      <alignment vertical="center"/>
    </xf>
    <xf numFmtId="177" fontId="0" fillId="40" borderId="5" xfId="0" applyNumberFormat="1" applyFill="1" applyBorder="1">
      <alignment vertical="center"/>
    </xf>
    <xf numFmtId="177" fontId="0" fillId="3" borderId="5" xfId="0" applyNumberFormat="1" applyFill="1" applyBorder="1">
      <alignment vertical="center"/>
    </xf>
    <xf numFmtId="177" fontId="0" fillId="5" borderId="5" xfId="0" applyNumberFormat="1" applyFill="1" applyBorder="1">
      <alignment vertical="center"/>
    </xf>
    <xf numFmtId="177" fontId="0" fillId="43" borderId="5" xfId="0" applyNumberFormat="1" applyFill="1" applyBorder="1">
      <alignment vertical="center"/>
    </xf>
    <xf numFmtId="0" fontId="2" fillId="3" borderId="1" xfId="0" applyFont="1" applyFill="1" applyBorder="1" applyAlignment="1">
      <alignment horizontal="center" vertical="center"/>
    </xf>
    <xf numFmtId="176" fontId="0" fillId="3" borderId="1" xfId="0" applyNumberFormat="1" applyFill="1" applyBorder="1">
      <alignment vertical="center"/>
    </xf>
    <xf numFmtId="176" fontId="0" fillId="40" borderId="1" xfId="0" applyNumberFormat="1" applyFill="1" applyBorder="1">
      <alignment vertical="center"/>
    </xf>
    <xf numFmtId="0" fontId="2" fillId="41" borderId="1" xfId="0" applyFont="1" applyFill="1" applyBorder="1">
      <alignment vertical="center"/>
    </xf>
    <xf numFmtId="176" fontId="2" fillId="41" borderId="1" xfId="0" applyNumberFormat="1" applyFont="1" applyFill="1" applyBorder="1">
      <alignment vertical="center"/>
    </xf>
    <xf numFmtId="180" fontId="0" fillId="0" borderId="0" xfId="0" applyNumberFormat="1">
      <alignment vertical="center"/>
    </xf>
    <xf numFmtId="0" fontId="0" fillId="38" borderId="1" xfId="0" applyFill="1" applyBorder="1">
      <alignment vertical="center"/>
    </xf>
    <xf numFmtId="0" fontId="0" fillId="42" borderId="1" xfId="0" applyFill="1" applyBorder="1">
      <alignment vertical="center"/>
    </xf>
    <xf numFmtId="176" fontId="0" fillId="42" borderId="1" xfId="0" applyNumberFormat="1" applyFill="1" applyBorder="1">
      <alignment vertical="center"/>
    </xf>
    <xf numFmtId="0" fontId="26" fillId="42" borderId="1" xfId="0" applyFont="1" applyFill="1" applyBorder="1">
      <alignment vertical="center"/>
    </xf>
    <xf numFmtId="176" fontId="26" fillId="42" borderId="1" xfId="0" applyNumberFormat="1" applyFont="1" applyFill="1" applyBorder="1">
      <alignment vertical="center"/>
    </xf>
    <xf numFmtId="176" fontId="0" fillId="41" borderId="1" xfId="0" applyNumberFormat="1" applyFill="1" applyBorder="1">
      <alignment vertical="center"/>
    </xf>
    <xf numFmtId="176" fontId="0" fillId="5" borderId="1" xfId="0" applyNumberFormat="1" applyFill="1" applyBorder="1">
      <alignment vertical="center"/>
    </xf>
    <xf numFmtId="176" fontId="0" fillId="2" borderId="1" xfId="0" applyNumberFormat="1" applyFill="1" applyBorder="1">
      <alignment vertical="center"/>
    </xf>
    <xf numFmtId="176" fontId="0" fillId="38" borderId="1" xfId="0" applyNumberFormat="1" applyFill="1" applyBorder="1">
      <alignment vertical="center"/>
    </xf>
    <xf numFmtId="176" fontId="0" fillId="39" borderId="1" xfId="0" applyNumberFormat="1" applyFill="1" applyBorder="1">
      <alignment vertical="center"/>
    </xf>
    <xf numFmtId="0" fontId="26" fillId="2" borderId="1" xfId="0" applyFont="1" applyFill="1" applyBorder="1">
      <alignment vertical="center"/>
    </xf>
    <xf numFmtId="176" fontId="26" fillId="2" borderId="1" xfId="0" applyNumberFormat="1" applyFont="1" applyFill="1" applyBorder="1">
      <alignment vertical="center"/>
    </xf>
    <xf numFmtId="0" fontId="0" fillId="39" borderId="1" xfId="0" applyFill="1" applyBorder="1">
      <alignment vertical="center"/>
    </xf>
    <xf numFmtId="0" fontId="0" fillId="40" borderId="38" xfId="0" applyFill="1" applyBorder="1">
      <alignment vertical="center"/>
    </xf>
    <xf numFmtId="0" fontId="0" fillId="40" borderId="37" xfId="0" applyFill="1" applyBorder="1">
      <alignment vertical="center"/>
    </xf>
    <xf numFmtId="0" fontId="0" fillId="44" borderId="1" xfId="0" applyFill="1" applyBorder="1">
      <alignment vertical="center"/>
    </xf>
    <xf numFmtId="0" fontId="0" fillId="44" borderId="4" xfId="0" applyFill="1" applyBorder="1">
      <alignment vertical="center"/>
    </xf>
    <xf numFmtId="177" fontId="0" fillId="44" borderId="5" xfId="0" applyNumberFormat="1" applyFill="1" applyBorder="1">
      <alignment vertical="center"/>
    </xf>
    <xf numFmtId="177" fontId="0" fillId="44" borderId="1" xfId="0" applyNumberFormat="1" applyFill="1" applyBorder="1">
      <alignment vertical="center"/>
    </xf>
    <xf numFmtId="176" fontId="2" fillId="44" borderId="56" xfId="0" applyNumberFormat="1" applyFont="1" applyFill="1" applyBorder="1">
      <alignment vertical="center"/>
    </xf>
    <xf numFmtId="182" fontId="2" fillId="44" borderId="3" xfId="0" applyNumberFormat="1" applyFont="1" applyFill="1" applyBorder="1">
      <alignment vertical="center"/>
    </xf>
    <xf numFmtId="177" fontId="2" fillId="44" borderId="1" xfId="0" applyNumberFormat="1" applyFont="1" applyFill="1" applyBorder="1">
      <alignment vertical="center"/>
    </xf>
    <xf numFmtId="176" fontId="2" fillId="44" borderId="5" xfId="0" applyNumberFormat="1" applyFont="1" applyFill="1" applyBorder="1">
      <alignment vertical="center"/>
    </xf>
    <xf numFmtId="0" fontId="2" fillId="44" borderId="4" xfId="0" applyFont="1" applyFill="1" applyBorder="1">
      <alignment vertical="center"/>
    </xf>
    <xf numFmtId="176" fontId="2" fillId="44" borderId="1" xfId="0" applyNumberFormat="1" applyFont="1" applyFill="1" applyBorder="1">
      <alignment vertical="center"/>
    </xf>
    <xf numFmtId="0" fontId="0" fillId="44" borderId="5" xfId="0" applyFill="1" applyBorder="1">
      <alignment vertical="center"/>
    </xf>
    <xf numFmtId="0" fontId="18" fillId="42" borderId="57" xfId="41" applyFill="1" applyBorder="1">
      <alignment vertical="center"/>
    </xf>
    <xf numFmtId="0" fontId="0" fillId="42" borderId="21" xfId="0" applyFill="1" applyBorder="1">
      <alignment vertical="center"/>
    </xf>
    <xf numFmtId="0" fontId="0" fillId="40" borderId="24" xfId="0" applyFill="1" applyBorder="1">
      <alignment vertical="center"/>
    </xf>
    <xf numFmtId="176" fontId="2" fillId="40" borderId="55" xfId="0" applyNumberFormat="1" applyFont="1" applyFill="1" applyBorder="1">
      <alignment vertical="center"/>
    </xf>
    <xf numFmtId="182" fontId="2" fillId="40" borderId="3" xfId="0" applyNumberFormat="1" applyFont="1" applyFill="1" applyBorder="1">
      <alignment vertical="center"/>
    </xf>
    <xf numFmtId="176" fontId="2" fillId="40" borderId="56" xfId="0" applyNumberFormat="1" applyFont="1" applyFill="1" applyBorder="1">
      <alignment vertical="center"/>
    </xf>
    <xf numFmtId="176" fontId="2" fillId="3" borderId="56" xfId="0" applyNumberFormat="1" applyFont="1" applyFill="1" applyBorder="1">
      <alignment vertical="center"/>
    </xf>
    <xf numFmtId="182" fontId="2" fillId="3" borderId="3" xfId="0" applyNumberFormat="1" applyFont="1" applyFill="1" applyBorder="1">
      <alignment vertical="center"/>
    </xf>
    <xf numFmtId="177" fontId="2" fillId="3" borderId="1" xfId="0" applyNumberFormat="1" applyFont="1" applyFill="1" applyBorder="1">
      <alignment vertical="center"/>
    </xf>
    <xf numFmtId="0" fontId="2" fillId="3" borderId="34" xfId="0" applyFont="1" applyFill="1" applyBorder="1">
      <alignment vertical="center"/>
    </xf>
    <xf numFmtId="176" fontId="2" fillId="3" borderId="1" xfId="0" applyNumberFormat="1" applyFont="1" applyFill="1" applyBorder="1">
      <alignment vertical="center"/>
    </xf>
    <xf numFmtId="0" fontId="0" fillId="3" borderId="5" xfId="0" applyFill="1" applyBorder="1">
      <alignment vertical="center"/>
    </xf>
    <xf numFmtId="0" fontId="2" fillId="45" borderId="2" xfId="0" applyFont="1" applyFill="1" applyBorder="1" applyAlignment="1">
      <alignment horizontal="center" vertical="center"/>
    </xf>
    <xf numFmtId="177" fontId="2" fillId="45" borderId="1" xfId="0" applyNumberFormat="1" applyFont="1" applyFill="1" applyBorder="1">
      <alignment vertical="center"/>
    </xf>
    <xf numFmtId="0" fontId="2" fillId="45" borderId="1" xfId="0" applyFont="1" applyFill="1" applyBorder="1">
      <alignment vertical="center"/>
    </xf>
    <xf numFmtId="0" fontId="2" fillId="45" borderId="52" xfId="0" applyFont="1" applyFill="1" applyBorder="1">
      <alignment vertical="center"/>
    </xf>
    <xf numFmtId="0" fontId="0" fillId="46" borderId="21" xfId="0" applyFill="1" applyBorder="1">
      <alignment vertical="center"/>
    </xf>
    <xf numFmtId="176" fontId="0" fillId="46" borderId="1" xfId="0" applyNumberFormat="1" applyFill="1" applyBorder="1">
      <alignment vertical="center"/>
    </xf>
    <xf numFmtId="0" fontId="18" fillId="47" borderId="57" xfId="41" applyFill="1" applyBorder="1">
      <alignment vertical="center"/>
    </xf>
    <xf numFmtId="176" fontId="0" fillId="47" borderId="1" xfId="0" applyNumberFormat="1" applyFill="1" applyBorder="1">
      <alignment vertical="center"/>
    </xf>
    <xf numFmtId="0" fontId="18" fillId="47" borderId="1" xfId="41" applyFill="1" applyBorder="1">
      <alignment vertical="center"/>
    </xf>
    <xf numFmtId="176" fontId="18" fillId="47" borderId="1" xfId="41" applyNumberFormat="1" applyFill="1" applyBorder="1">
      <alignment vertical="center"/>
    </xf>
    <xf numFmtId="0" fontId="0" fillId="46" borderId="1" xfId="0" applyFill="1" applyBorder="1">
      <alignment vertical="center"/>
    </xf>
    <xf numFmtId="176" fontId="26" fillId="5" borderId="1" xfId="0" applyNumberFormat="1" applyFont="1" applyFill="1" applyBorder="1">
      <alignment vertical="center"/>
    </xf>
    <xf numFmtId="176" fontId="26" fillId="40" borderId="1" xfId="0" applyNumberFormat="1" applyFont="1" applyFill="1" applyBorder="1">
      <alignment vertical="center"/>
    </xf>
    <xf numFmtId="0" fontId="26" fillId="40" borderId="1" xfId="0" applyFont="1" applyFill="1" applyBorder="1">
      <alignment vertical="center"/>
    </xf>
    <xf numFmtId="0" fontId="4" fillId="42" borderId="1" xfId="41" applyFont="1" applyFill="1" applyBorder="1">
      <alignment vertical="center"/>
    </xf>
    <xf numFmtId="176" fontId="26" fillId="42" borderId="1" xfId="41" applyNumberFormat="1" applyFont="1" applyFill="1" applyBorder="1">
      <alignment vertical="center"/>
    </xf>
    <xf numFmtId="176" fontId="26" fillId="40" borderId="1" xfId="41" applyNumberFormat="1" applyFont="1" applyFill="1" applyBorder="1">
      <alignment vertical="center"/>
    </xf>
    <xf numFmtId="3" fontId="0" fillId="0" borderId="21" xfId="0" applyNumberFormat="1" applyBorder="1" applyAlignment="1">
      <alignment horizontal="center" vertical="center" wrapText="1"/>
    </xf>
    <xf numFmtId="179" fontId="0" fillId="40" borderId="1" xfId="0" applyNumberFormat="1" applyFill="1" applyBorder="1">
      <alignment vertical="center"/>
    </xf>
    <xf numFmtId="179" fontId="26" fillId="40" borderId="1" xfId="0" applyNumberFormat="1" applyFont="1" applyFill="1" applyBorder="1">
      <alignment vertical="center"/>
    </xf>
    <xf numFmtId="179" fontId="26" fillId="40" borderId="57" xfId="41" applyNumberFormat="1" applyFont="1" applyFill="1" applyBorder="1">
      <alignment vertical="center"/>
    </xf>
    <xf numFmtId="179" fontId="0" fillId="40" borderId="21" xfId="0" applyNumberFormat="1" applyFill="1" applyBorder="1">
      <alignment vertical="center"/>
    </xf>
    <xf numFmtId="179" fontId="0" fillId="0" borderId="1" xfId="0" applyNumberFormat="1" applyBorder="1">
      <alignment vertical="center"/>
    </xf>
    <xf numFmtId="179" fontId="26" fillId="2" borderId="1" xfId="0" applyNumberFormat="1" applyFont="1" applyFill="1" applyBorder="1">
      <alignment vertical="center"/>
    </xf>
    <xf numFmtId="0" fontId="0" fillId="38" borderId="4" xfId="0" applyFill="1" applyBorder="1">
      <alignment vertical="center"/>
    </xf>
    <xf numFmtId="177" fontId="0" fillId="38" borderId="5" xfId="0" applyNumberFormat="1" applyFill="1" applyBorder="1">
      <alignment vertical="center"/>
    </xf>
    <xf numFmtId="177" fontId="0" fillId="38" borderId="4" xfId="0" applyNumberFormat="1" applyFill="1" applyBorder="1">
      <alignment vertical="center"/>
    </xf>
    <xf numFmtId="177" fontId="0" fillId="38" borderId="1" xfId="0" applyNumberFormat="1" applyFill="1" applyBorder="1">
      <alignment vertical="center"/>
    </xf>
    <xf numFmtId="176" fontId="2" fillId="38" borderId="56" xfId="0" applyNumberFormat="1" applyFont="1" applyFill="1" applyBorder="1">
      <alignment vertical="center"/>
    </xf>
    <xf numFmtId="182" fontId="2" fillId="38" borderId="3" xfId="0" applyNumberFormat="1" applyFont="1" applyFill="1" applyBorder="1">
      <alignment vertical="center"/>
    </xf>
    <xf numFmtId="177" fontId="2" fillId="38" borderId="1" xfId="0" applyNumberFormat="1" applyFont="1" applyFill="1" applyBorder="1">
      <alignment vertical="center"/>
    </xf>
    <xf numFmtId="176" fontId="2" fillId="38" borderId="5" xfId="0" applyNumberFormat="1" applyFont="1" applyFill="1" applyBorder="1">
      <alignment vertical="center"/>
    </xf>
    <xf numFmtId="0" fontId="2" fillId="38" borderId="4" xfId="0" applyFont="1" applyFill="1" applyBorder="1">
      <alignment vertical="center"/>
    </xf>
    <xf numFmtId="176" fontId="2" fillId="38" borderId="1" xfId="0" applyNumberFormat="1" applyFont="1" applyFill="1" applyBorder="1">
      <alignment vertical="center"/>
    </xf>
    <xf numFmtId="0" fontId="0" fillId="38" borderId="5" xfId="0" applyFill="1" applyBorder="1">
      <alignment vertical="center"/>
    </xf>
    <xf numFmtId="179" fontId="0" fillId="42" borderId="1" xfId="0" applyNumberFormat="1" applyFill="1" applyBorder="1">
      <alignment vertical="center"/>
    </xf>
    <xf numFmtId="179" fontId="0" fillId="47" borderId="1" xfId="0" applyNumberFormat="1" applyFill="1" applyBorder="1">
      <alignment vertical="center"/>
    </xf>
    <xf numFmtId="0" fontId="0" fillId="48" borderId="33" xfId="0" applyFill="1" applyBorder="1">
      <alignment vertical="center"/>
    </xf>
    <xf numFmtId="0" fontId="0" fillId="48" borderId="34" xfId="0" applyFill="1" applyBorder="1">
      <alignment vertical="center"/>
    </xf>
    <xf numFmtId="177" fontId="0" fillId="48" borderId="5" xfId="0" applyNumberFormat="1" applyFill="1" applyBorder="1">
      <alignment vertical="center"/>
    </xf>
    <xf numFmtId="177" fontId="0" fillId="48" borderId="4" xfId="0" applyNumberFormat="1" applyFill="1" applyBorder="1">
      <alignment vertical="center"/>
    </xf>
    <xf numFmtId="177" fontId="0" fillId="48" borderId="1" xfId="0" applyNumberFormat="1" applyFill="1" applyBorder="1">
      <alignment vertical="center"/>
    </xf>
    <xf numFmtId="176" fontId="2" fillId="48" borderId="56" xfId="0" applyNumberFormat="1" applyFont="1" applyFill="1" applyBorder="1">
      <alignment vertical="center"/>
    </xf>
    <xf numFmtId="182" fontId="2" fillId="48" borderId="3" xfId="0" applyNumberFormat="1" applyFont="1" applyFill="1" applyBorder="1">
      <alignment vertical="center"/>
    </xf>
    <xf numFmtId="177" fontId="2" fillId="48" borderId="1" xfId="0" applyNumberFormat="1" applyFont="1" applyFill="1" applyBorder="1">
      <alignment vertical="center"/>
    </xf>
    <xf numFmtId="176" fontId="2" fillId="48" borderId="5" xfId="0" applyNumberFormat="1" applyFont="1" applyFill="1" applyBorder="1">
      <alignment vertical="center"/>
    </xf>
    <xf numFmtId="0" fontId="2" fillId="48" borderId="34" xfId="0" applyFont="1" applyFill="1" applyBorder="1">
      <alignment vertical="center"/>
    </xf>
    <xf numFmtId="176" fontId="2" fillId="48" borderId="1" xfId="0" applyNumberFormat="1" applyFont="1" applyFill="1" applyBorder="1">
      <alignment vertical="center"/>
    </xf>
    <xf numFmtId="0" fontId="0" fillId="48" borderId="38" xfId="0" applyFill="1" applyBorder="1">
      <alignment vertical="center"/>
    </xf>
    <xf numFmtId="0" fontId="0" fillId="48" borderId="37" xfId="0" applyFill="1" applyBorder="1">
      <alignment vertical="center"/>
    </xf>
    <xf numFmtId="0" fontId="18" fillId="48" borderId="1" xfId="41" applyFill="1" applyBorder="1">
      <alignment vertical="center"/>
    </xf>
    <xf numFmtId="176" fontId="0" fillId="48" borderId="1" xfId="0" applyNumberFormat="1" applyFill="1" applyBorder="1">
      <alignment vertical="center"/>
    </xf>
    <xf numFmtId="176" fontId="18" fillId="48" borderId="1" xfId="41" applyNumberFormat="1" applyFill="1" applyBorder="1">
      <alignment vertical="center"/>
    </xf>
    <xf numFmtId="0" fontId="18" fillId="48" borderId="57" xfId="41" applyFill="1" applyBorder="1">
      <alignment vertical="center"/>
    </xf>
    <xf numFmtId="0" fontId="0" fillId="48" borderId="1" xfId="0" applyFill="1" applyBorder="1">
      <alignment vertical="center"/>
    </xf>
    <xf numFmtId="179" fontId="0" fillId="5" borderId="1" xfId="0" applyNumberFormat="1" applyFill="1" applyBorder="1">
      <alignment vertical="center"/>
    </xf>
    <xf numFmtId="0" fontId="0" fillId="42" borderId="4" xfId="0" applyFill="1" applyBorder="1">
      <alignment vertical="center"/>
    </xf>
    <xf numFmtId="177" fontId="0" fillId="42" borderId="5" xfId="0" applyNumberFormat="1" applyFill="1" applyBorder="1">
      <alignment vertical="center"/>
    </xf>
    <xf numFmtId="177" fontId="0" fillId="42" borderId="4" xfId="0" applyNumberFormat="1" applyFill="1" applyBorder="1">
      <alignment vertical="center"/>
    </xf>
    <xf numFmtId="177" fontId="0" fillId="42" borderId="1" xfId="0" applyNumberFormat="1" applyFill="1" applyBorder="1">
      <alignment vertical="center"/>
    </xf>
    <xf numFmtId="176" fontId="2" fillId="42" borderId="56" xfId="0" applyNumberFormat="1" applyFont="1" applyFill="1" applyBorder="1">
      <alignment vertical="center"/>
    </xf>
    <xf numFmtId="182" fontId="2" fillId="42" borderId="3" xfId="0" applyNumberFormat="1" applyFont="1" applyFill="1" applyBorder="1">
      <alignment vertical="center"/>
    </xf>
    <xf numFmtId="177" fontId="2" fillId="42" borderId="1" xfId="0" applyNumberFormat="1" applyFont="1" applyFill="1" applyBorder="1">
      <alignment vertical="center"/>
    </xf>
    <xf numFmtId="176" fontId="2" fillId="42" borderId="5" xfId="0" applyNumberFormat="1" applyFont="1" applyFill="1" applyBorder="1">
      <alignment vertical="center"/>
    </xf>
    <xf numFmtId="0" fontId="2" fillId="42" borderId="4" xfId="0" applyFont="1" applyFill="1" applyBorder="1">
      <alignment vertical="center"/>
    </xf>
    <xf numFmtId="176" fontId="2" fillId="42" borderId="1" xfId="0" applyNumberFormat="1" applyFont="1" applyFill="1" applyBorder="1">
      <alignment vertical="center"/>
    </xf>
    <xf numFmtId="0" fontId="0" fillId="42" borderId="5" xfId="0" applyFill="1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41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top"/>
    </xf>
    <xf numFmtId="0" fontId="0" fillId="5" borderId="21" xfId="0" applyFill="1" applyBorder="1" applyAlignment="1">
      <alignment horizontal="left" vertical="top"/>
    </xf>
    <xf numFmtId="179" fontId="2" fillId="39" borderId="24" xfId="0" applyNumberFormat="1" applyFont="1" applyFill="1" applyBorder="1" applyAlignment="1">
      <alignment horizontal="center" vertical="center"/>
    </xf>
    <xf numFmtId="179" fontId="2" fillId="39" borderId="3" xfId="0" applyNumberFormat="1" applyFont="1" applyFill="1" applyBorder="1" applyAlignment="1">
      <alignment horizontal="center" vertical="center"/>
    </xf>
    <xf numFmtId="179" fontId="2" fillId="39" borderId="25" xfId="0" applyNumberFormat="1" applyFont="1" applyFill="1" applyBorder="1" applyAlignment="1">
      <alignment horizontal="center" vertical="center"/>
    </xf>
    <xf numFmtId="0" fontId="0" fillId="42" borderId="1" xfId="0" applyFill="1" applyBorder="1" applyAlignment="1">
      <alignment horizontal="left" vertical="top"/>
    </xf>
    <xf numFmtId="0" fontId="0" fillId="0" borderId="0" xfId="0" applyAlignment="1">
      <alignment horizontal="center" vertical="center"/>
    </xf>
    <xf numFmtId="0" fontId="2" fillId="39" borderId="27" xfId="0" applyFont="1" applyFill="1" applyBorder="1" applyAlignment="1">
      <alignment horizontal="center" vertical="center"/>
    </xf>
    <xf numFmtId="0" fontId="2" fillId="39" borderId="31" xfId="0" applyFont="1" applyFill="1" applyBorder="1" applyAlignment="1">
      <alignment horizontal="center" vertical="center"/>
    </xf>
    <xf numFmtId="0" fontId="2" fillId="2" borderId="53" xfId="0" applyFont="1" applyFill="1" applyBorder="1" applyAlignment="1">
      <alignment horizontal="center" vertical="center"/>
    </xf>
    <xf numFmtId="0" fontId="2" fillId="2" borderId="51" xfId="0" applyFont="1" applyFill="1" applyBorder="1" applyAlignment="1">
      <alignment horizontal="center" vertical="center"/>
    </xf>
    <xf numFmtId="0" fontId="2" fillId="2" borderId="54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39" borderId="1" xfId="0" applyFill="1" applyBorder="1" applyAlignment="1">
      <alignment horizontal="center" vertical="center"/>
    </xf>
    <xf numFmtId="0" fontId="0" fillId="38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3" fontId="0" fillId="0" borderId="17" xfId="0" applyNumberFormat="1" applyBorder="1" applyAlignment="1">
      <alignment horizontal="center" vertical="center"/>
    </xf>
    <xf numFmtId="3" fontId="0" fillId="0" borderId="19" xfId="0" applyNumberFormat="1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3" fontId="0" fillId="0" borderId="41" xfId="0" applyNumberFormat="1" applyBorder="1" applyAlignment="1">
      <alignment horizontal="center" vertical="center"/>
    </xf>
    <xf numFmtId="3" fontId="0" fillId="0" borderId="20" xfId="0" applyNumberFormat="1" applyBorder="1" applyAlignment="1">
      <alignment horizontal="center" vertical="center"/>
    </xf>
    <xf numFmtId="180" fontId="0" fillId="0" borderId="17" xfId="0" applyNumberFormat="1" applyBorder="1" applyAlignment="1">
      <alignment horizontal="center" vertical="center"/>
    </xf>
    <xf numFmtId="180" fontId="0" fillId="0" borderId="19" xfId="0" applyNumberFormat="1" applyBorder="1" applyAlignment="1">
      <alignment horizontal="center" vertical="center"/>
    </xf>
    <xf numFmtId="3" fontId="0" fillId="0" borderId="47" xfId="0" applyNumberFormat="1" applyBorder="1" applyAlignment="1">
      <alignment horizontal="center" vertical="center"/>
    </xf>
    <xf numFmtId="3" fontId="0" fillId="0" borderId="50" xfId="0" applyNumberFormat="1" applyBorder="1" applyAlignment="1">
      <alignment horizontal="center" vertical="center"/>
    </xf>
    <xf numFmtId="3" fontId="0" fillId="0" borderId="48" xfId="0" applyNumberForma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 wrapText="1"/>
    </xf>
    <xf numFmtId="0" fontId="2" fillId="0" borderId="29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 wrapText="1"/>
    </xf>
    <xf numFmtId="0" fontId="2" fillId="0" borderId="42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80" fontId="0" fillId="43" borderId="4" xfId="0" applyNumberFormat="1" applyFill="1" applyBorder="1" applyAlignment="1">
      <alignment horizontal="center" vertical="center"/>
    </xf>
    <xf numFmtId="180" fontId="0" fillId="43" borderId="32" xfId="0" applyNumberFormat="1" applyFill="1" applyBorder="1" applyAlignment="1">
      <alignment horizontal="center" vertical="center"/>
    </xf>
    <xf numFmtId="180" fontId="0" fillId="43" borderId="5" xfId="0" applyNumberFormat="1" applyFill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46" xfId="0" applyFont="1" applyBorder="1" applyAlignment="1">
      <alignment horizontal="center" vertical="center"/>
    </xf>
    <xf numFmtId="0" fontId="2" fillId="0" borderId="47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43">
    <cellStyle name="20% - 강조색1" xfId="18" builtinId="30" customBuiltin="1"/>
    <cellStyle name="20% - 강조색2" xfId="21" builtinId="34" customBuiltin="1"/>
    <cellStyle name="20% - 강조색3" xfId="24" builtinId="38" customBuiltin="1"/>
    <cellStyle name="20% - 강조색4" xfId="27" builtinId="42" customBuiltin="1"/>
    <cellStyle name="20% - 강조색5" xfId="30" builtinId="46" customBuiltin="1"/>
    <cellStyle name="20% - 강조색6" xfId="33" builtinId="50" customBuiltin="1"/>
    <cellStyle name="40% - 강조색1" xfId="19" builtinId="31" customBuiltin="1"/>
    <cellStyle name="40% - 강조색2" xfId="22" builtinId="35" customBuiltin="1"/>
    <cellStyle name="40% - 강조색3" xfId="25" builtinId="39" customBuiltin="1"/>
    <cellStyle name="40% - 강조색4" xfId="28" builtinId="43" customBuiltin="1"/>
    <cellStyle name="40% - 강조색5" xfId="31" builtinId="47" customBuiltin="1"/>
    <cellStyle name="40% - 강조색6" xfId="34" builtinId="51" customBuiltin="1"/>
    <cellStyle name="60% - 강조색1 2" xfId="37" xr:uid="{00000000-0005-0000-0000-000030000000}"/>
    <cellStyle name="60% - 강조색2 2" xfId="38" xr:uid="{00000000-0005-0000-0000-000031000000}"/>
    <cellStyle name="60% - 강조색3 2" xfId="39" xr:uid="{00000000-0005-0000-0000-000032000000}"/>
    <cellStyle name="60% - 강조색4 2" xfId="40" xr:uid="{00000000-0005-0000-0000-000033000000}"/>
    <cellStyle name="60% - 강조색5 2" xfId="41" xr:uid="{00000000-0005-0000-0000-000034000000}"/>
    <cellStyle name="60% - 강조색6 2" xfId="42" xr:uid="{00000000-0005-0000-0000-000035000000}"/>
    <cellStyle name="강조색1" xfId="17" builtinId="29" customBuiltin="1"/>
    <cellStyle name="강조색2" xfId="20" builtinId="33" customBuiltin="1"/>
    <cellStyle name="강조색3" xfId="23" builtinId="37" customBuiltin="1"/>
    <cellStyle name="강조색4" xfId="26" builtinId="41" customBuiltin="1"/>
    <cellStyle name="강조색5" xfId="29" builtinId="45" customBuiltin="1"/>
    <cellStyle name="강조색6" xfId="32" builtinId="49" customBuiltin="1"/>
    <cellStyle name="경고문" xfId="13" builtinId="11" customBuiltin="1"/>
    <cellStyle name="계산" xfId="10" builtinId="22" customBuiltin="1"/>
    <cellStyle name="나쁨" xfId="1" builtinId="27" customBuiltin="1"/>
    <cellStyle name="메모" xfId="14" builtinId="10" customBuiltin="1"/>
    <cellStyle name="보통 2" xfId="36" xr:uid="{00000000-0005-0000-0000-000036000000}"/>
    <cellStyle name="설명 텍스트" xfId="15" builtinId="53" customBuiltin="1"/>
    <cellStyle name="셀 확인" xfId="12" builtinId="23" customBuiltin="1"/>
    <cellStyle name="연결된 셀" xfId="11" builtinId="24" customBuiltin="1"/>
    <cellStyle name="요약" xfId="16" builtinId="25" customBuiltin="1"/>
    <cellStyle name="입력" xfId="8" builtinId="20" customBuiltin="1"/>
    <cellStyle name="제목" xfId="2" builtinId="15" customBuiltin="1"/>
    <cellStyle name="제목 1" xfId="3" builtinId="16" customBuiltin="1"/>
    <cellStyle name="제목 2" xfId="4" builtinId="17" customBuiltin="1"/>
    <cellStyle name="제목 3" xfId="5" builtinId="18" customBuiltin="1"/>
    <cellStyle name="제목 4" xfId="6" builtinId="19" customBuiltin="1"/>
    <cellStyle name="좋음" xfId="7" builtinId="26" customBuiltin="1"/>
    <cellStyle name="출력" xfId="9" builtinId="21" customBuiltin="1"/>
    <cellStyle name="표준" xfId="0" builtinId="0"/>
    <cellStyle name="하이퍼링크" xfId="35" builtinId="8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.png"/><Relationship Id="rId3" Type="http://schemas.openxmlformats.org/officeDocument/2006/relationships/image" Target="../media/image7.png"/><Relationship Id="rId7" Type="http://schemas.openxmlformats.org/officeDocument/2006/relationships/image" Target="../media/image11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6" Type="http://schemas.openxmlformats.org/officeDocument/2006/relationships/image" Target="../media/image10.pn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756285</xdr:colOff>
      <xdr:row>75</xdr:row>
      <xdr:rowOff>0</xdr:rowOff>
    </xdr:from>
    <xdr:to>
      <xdr:col>13</xdr:col>
      <xdr:colOff>271364</xdr:colOff>
      <xdr:row>107</xdr:row>
      <xdr:rowOff>41061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CA13B175-B5F4-474C-9F46-35D090D70E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683365" y="18547080"/>
          <a:ext cx="8438099" cy="6872391"/>
        </a:xfrm>
        <a:prstGeom prst="rect">
          <a:avLst/>
        </a:prstGeom>
      </xdr:spPr>
    </xdr:pic>
    <xdr:clientData/>
  </xdr:twoCellAnchor>
  <xdr:twoCellAnchor editAs="oneCell">
    <xdr:from>
      <xdr:col>2</xdr:col>
      <xdr:colOff>1251585</xdr:colOff>
      <xdr:row>75</xdr:row>
      <xdr:rowOff>207645</xdr:rowOff>
    </xdr:from>
    <xdr:to>
      <xdr:col>7</xdr:col>
      <xdr:colOff>225707</xdr:colOff>
      <xdr:row>105</xdr:row>
      <xdr:rowOff>185892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816211A1-8FBA-4ECA-A80E-5DB04A47E9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225165" y="18754725"/>
          <a:ext cx="7918097" cy="6371427"/>
        </a:xfrm>
        <a:prstGeom prst="rect">
          <a:avLst/>
        </a:prstGeom>
      </xdr:spPr>
    </xdr:pic>
    <xdr:clientData/>
  </xdr:twoCellAnchor>
  <xdr:twoCellAnchor editAs="oneCell">
    <xdr:from>
      <xdr:col>3</xdr:col>
      <xdr:colOff>369570</xdr:colOff>
      <xdr:row>100</xdr:row>
      <xdr:rowOff>49530</xdr:rowOff>
    </xdr:from>
    <xdr:to>
      <xdr:col>7</xdr:col>
      <xdr:colOff>1063887</xdr:colOff>
      <xdr:row>115</xdr:row>
      <xdr:rowOff>41511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A08B4A74-4621-4A3D-AEAB-DA76867F69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928110" y="21172170"/>
          <a:ext cx="8062857" cy="3192381"/>
        </a:xfrm>
        <a:prstGeom prst="rect">
          <a:avLst/>
        </a:prstGeom>
      </xdr:spPr>
    </xdr:pic>
    <xdr:clientData/>
  </xdr:twoCellAnchor>
  <xdr:twoCellAnchor editAs="oneCell">
    <xdr:from>
      <xdr:col>1</xdr:col>
      <xdr:colOff>411480</xdr:colOff>
      <xdr:row>116</xdr:row>
      <xdr:rowOff>198120</xdr:rowOff>
    </xdr:from>
    <xdr:to>
      <xdr:col>5</xdr:col>
      <xdr:colOff>1444896</xdr:colOff>
      <xdr:row>144</xdr:row>
      <xdr:rowOff>117373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A0CD1C9E-B75F-4613-99E7-D662F27944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97280" y="24932640"/>
          <a:ext cx="7994286" cy="589904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304800</xdr:colOff>
      <xdr:row>26</xdr:row>
      <xdr:rowOff>15240</xdr:rowOff>
    </xdr:from>
    <xdr:to>
      <xdr:col>10</xdr:col>
      <xdr:colOff>35478</xdr:colOff>
      <xdr:row>57</xdr:row>
      <xdr:rowOff>60128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F2A66A54-97B2-4468-B755-1B9B777A68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66560" y="5570220"/>
          <a:ext cx="5735238" cy="66552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40</xdr:row>
      <xdr:rowOff>7620</xdr:rowOff>
    </xdr:from>
    <xdr:to>
      <xdr:col>2</xdr:col>
      <xdr:colOff>2422384</xdr:colOff>
      <xdr:row>55</xdr:row>
      <xdr:rowOff>37696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5CF22F5A-1573-4D96-AC07-C09BC0287B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8549640"/>
          <a:ext cx="6213334" cy="323047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59</xdr:row>
      <xdr:rowOff>0</xdr:rowOff>
    </xdr:from>
    <xdr:to>
      <xdr:col>2</xdr:col>
      <xdr:colOff>1885240</xdr:colOff>
      <xdr:row>78</xdr:row>
      <xdr:rowOff>163303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BA21E3FC-BF72-43B6-BF3F-09337CEFF1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2595860"/>
          <a:ext cx="5676190" cy="4219048"/>
        </a:xfrm>
        <a:prstGeom prst="rect">
          <a:avLst/>
        </a:prstGeom>
      </xdr:spPr>
    </xdr:pic>
    <xdr:clientData/>
  </xdr:twoCellAnchor>
  <xdr:twoCellAnchor editAs="oneCell">
    <xdr:from>
      <xdr:col>2</xdr:col>
      <xdr:colOff>2110740</xdr:colOff>
      <xdr:row>58</xdr:row>
      <xdr:rowOff>175260</xdr:rowOff>
    </xdr:from>
    <xdr:to>
      <xdr:col>8</xdr:col>
      <xdr:colOff>250780</xdr:colOff>
      <xdr:row>73</xdr:row>
      <xdr:rowOff>41527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7614FA4B-4023-4AEF-8A90-ADFD83D9F7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905500" y="12557760"/>
          <a:ext cx="5436190" cy="3066667"/>
        </a:xfrm>
        <a:prstGeom prst="rect">
          <a:avLst/>
        </a:prstGeom>
      </xdr:spPr>
    </xdr:pic>
    <xdr:clientData/>
  </xdr:twoCellAnchor>
  <xdr:twoCellAnchor editAs="oneCell">
    <xdr:from>
      <xdr:col>2</xdr:col>
      <xdr:colOff>2026920</xdr:colOff>
      <xdr:row>73</xdr:row>
      <xdr:rowOff>190500</xdr:rowOff>
    </xdr:from>
    <xdr:to>
      <xdr:col>6</xdr:col>
      <xdr:colOff>117608</xdr:colOff>
      <xdr:row>84</xdr:row>
      <xdr:rowOff>18779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419EE76E-FD8D-41E7-A5D7-EE9734B871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821680" y="15773400"/>
          <a:ext cx="4020953" cy="2171429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79</xdr:row>
      <xdr:rowOff>152400</xdr:rowOff>
    </xdr:from>
    <xdr:to>
      <xdr:col>2</xdr:col>
      <xdr:colOff>1938583</xdr:colOff>
      <xdr:row>91</xdr:row>
      <xdr:rowOff>41604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B2884AB0-7344-41B1-93BF-C458CC10C1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6200" y="17015460"/>
          <a:ext cx="5657143" cy="2449524"/>
        </a:xfrm>
        <a:prstGeom prst="rect">
          <a:avLst/>
        </a:prstGeom>
      </xdr:spPr>
    </xdr:pic>
    <xdr:clientData/>
  </xdr:twoCellAnchor>
  <xdr:twoCellAnchor editAs="oneCell">
    <xdr:from>
      <xdr:col>2</xdr:col>
      <xdr:colOff>2065020</xdr:colOff>
      <xdr:row>84</xdr:row>
      <xdr:rowOff>198120</xdr:rowOff>
    </xdr:from>
    <xdr:to>
      <xdr:col>8</xdr:col>
      <xdr:colOff>300298</xdr:colOff>
      <xdr:row>115</xdr:row>
      <xdr:rowOff>183960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E79C339F-AC53-4691-A819-94EF55935B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859780" y="18127980"/>
          <a:ext cx="5535238" cy="6598095"/>
        </a:xfrm>
        <a:prstGeom prst="rect">
          <a:avLst/>
        </a:prstGeom>
      </xdr:spPr>
    </xdr:pic>
    <xdr:clientData/>
  </xdr:twoCellAnchor>
  <xdr:twoCellAnchor editAs="oneCell">
    <xdr:from>
      <xdr:col>0</xdr:col>
      <xdr:colOff>788670</xdr:colOff>
      <xdr:row>117</xdr:row>
      <xdr:rowOff>5715</xdr:rowOff>
    </xdr:from>
    <xdr:to>
      <xdr:col>5</xdr:col>
      <xdr:colOff>564684</xdr:colOff>
      <xdr:row>147</xdr:row>
      <xdr:rowOff>41106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5585AAD9-BFD9-4352-8F95-EB2A5653D2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88670" y="24976455"/>
          <a:ext cx="8813334" cy="643619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kisrating.com/ratingsStatistics/statics_spread.do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houstat.hf.go.kr/research/portal/theme/indexStatPage.do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EAC06-64D1-4C19-A492-4A1709E48BF9}">
  <dimension ref="A1:T147"/>
  <sheetViews>
    <sheetView topLeftCell="B25" workbookViewId="0">
      <selection activeCell="M34" sqref="M34"/>
    </sheetView>
  </sheetViews>
  <sheetFormatPr defaultRowHeight="16.5" x14ac:dyDescent="0.3"/>
  <cols>
    <col min="1" max="1" width="10" bestFit="1" customWidth="1"/>
    <col min="2" max="2" width="5.625" bestFit="1" customWidth="1"/>
    <col min="3" max="3" width="3.625" bestFit="1" customWidth="1"/>
    <col min="4" max="4" width="14.125" style="39" customWidth="1"/>
    <col min="5" max="5" width="12.5" style="19" bestFit="1" customWidth="1"/>
    <col min="6" max="6" width="11.25" style="79" customWidth="1"/>
    <col min="7" max="7" width="14.25" style="136" customWidth="1"/>
    <col min="8" max="8" width="12.5" style="102" bestFit="1" customWidth="1"/>
    <col min="9" max="9" width="13.625" style="102" hidden="1" customWidth="1"/>
    <col min="10" max="10" width="14.25" style="102" hidden="1" customWidth="1"/>
    <col min="11" max="11" width="14.875" style="141" bestFit="1" customWidth="1"/>
    <col min="12" max="12" width="11.25" style="106" bestFit="1" customWidth="1"/>
    <col min="13" max="13" width="14.25" style="120" bestFit="1" customWidth="1"/>
    <col min="14" max="14" width="16.625" style="119" bestFit="1" customWidth="1"/>
    <col min="15" max="15" width="9.125" style="81" bestFit="1" customWidth="1"/>
    <col min="16" max="16" width="14.25" style="196" bestFit="1" customWidth="1"/>
    <col min="17" max="17" width="16.625" style="152" bestFit="1" customWidth="1"/>
    <col min="18" max="18" width="12.5" style="1" bestFit="1" customWidth="1"/>
    <col min="19" max="19" width="15.125" style="1" bestFit="1" customWidth="1"/>
  </cols>
  <sheetData>
    <row r="1" spans="1:20" x14ac:dyDescent="0.3">
      <c r="A1" s="269"/>
      <c r="B1" s="269"/>
      <c r="C1" s="269"/>
      <c r="D1" s="270" t="s">
        <v>84</v>
      </c>
      <c r="E1" s="271"/>
      <c r="F1" s="271"/>
      <c r="G1" s="271"/>
      <c r="H1" s="275" t="s">
        <v>174</v>
      </c>
      <c r="I1" s="275"/>
      <c r="J1" s="272" t="s">
        <v>164</v>
      </c>
      <c r="K1" s="273"/>
      <c r="L1" s="274"/>
      <c r="M1" s="265" t="s">
        <v>165</v>
      </c>
      <c r="N1" s="266"/>
      <c r="O1" s="266"/>
      <c r="P1" s="267"/>
      <c r="Q1" s="262" t="s">
        <v>177</v>
      </c>
      <c r="R1" s="260" t="s">
        <v>178</v>
      </c>
      <c r="S1" s="261" t="s">
        <v>179</v>
      </c>
    </row>
    <row r="2" spans="1:20" ht="33" x14ac:dyDescent="0.3">
      <c r="A2" s="269"/>
      <c r="B2" s="269"/>
      <c r="C2" s="269"/>
      <c r="D2" s="149" t="s">
        <v>161</v>
      </c>
      <c r="E2" s="143" t="s">
        <v>160</v>
      </c>
      <c r="F2" s="98" t="s">
        <v>166</v>
      </c>
      <c r="G2" s="131" t="s">
        <v>167</v>
      </c>
      <c r="H2" s="142" t="s">
        <v>175</v>
      </c>
      <c r="I2" s="142" t="s">
        <v>176</v>
      </c>
      <c r="J2" s="142" t="s">
        <v>173</v>
      </c>
      <c r="K2" s="137" t="s">
        <v>85</v>
      </c>
      <c r="L2" s="115" t="s">
        <v>11</v>
      </c>
      <c r="M2" s="121" t="s">
        <v>170</v>
      </c>
      <c r="N2" s="117" t="s">
        <v>86</v>
      </c>
      <c r="O2" s="99" t="s">
        <v>11</v>
      </c>
      <c r="P2" s="193" t="s">
        <v>171</v>
      </c>
      <c r="Q2" s="262"/>
      <c r="R2" s="260"/>
      <c r="S2" s="261"/>
    </row>
    <row r="3" spans="1:20" s="17" customFormat="1" x14ac:dyDescent="0.3">
      <c r="A3" s="24" t="s">
        <v>12</v>
      </c>
      <c r="B3" s="24"/>
      <c r="C3" s="25"/>
      <c r="D3" s="80">
        <v>0</v>
      </c>
      <c r="E3" s="144"/>
      <c r="F3" s="100"/>
      <c r="G3" s="132"/>
      <c r="H3" s="100"/>
      <c r="I3" s="100"/>
      <c r="J3" s="100"/>
      <c r="K3" s="138">
        <v>800000</v>
      </c>
      <c r="L3" s="116"/>
      <c r="M3" s="38">
        <v>0</v>
      </c>
      <c r="N3" s="118">
        <v>0</v>
      </c>
      <c r="O3" s="25"/>
      <c r="P3" s="194">
        <v>0</v>
      </c>
      <c r="Q3" s="152"/>
      <c r="R3" s="18"/>
      <c r="S3" s="18"/>
    </row>
    <row r="4" spans="1:20" s="22" customFormat="1" hidden="1" x14ac:dyDescent="0.3">
      <c r="A4" s="22">
        <v>1</v>
      </c>
      <c r="B4" s="268">
        <v>2022</v>
      </c>
      <c r="C4" s="113">
        <v>1</v>
      </c>
      <c r="D4" s="150">
        <v>2500000</v>
      </c>
      <c r="E4" s="145">
        <v>0</v>
      </c>
      <c r="F4" s="102"/>
      <c r="G4" s="133">
        <v>400000</v>
      </c>
      <c r="H4" s="102"/>
      <c r="I4" s="102"/>
      <c r="J4" s="102"/>
      <c r="K4" s="138">
        <f t="shared" ref="K4:K15" si="0" xml:space="preserve"> (K3 + G4) + ((K3 + G4) * O4 )</f>
        <v>1212000</v>
      </c>
      <c r="L4" s="116"/>
      <c r="M4" s="38"/>
      <c r="N4" s="118">
        <v>0</v>
      </c>
      <c r="O4" s="25">
        <v>0.01</v>
      </c>
      <c r="P4" s="195"/>
      <c r="Q4" s="152"/>
      <c r="T4" s="84"/>
    </row>
    <row r="5" spans="1:20" s="22" customFormat="1" hidden="1" x14ac:dyDescent="0.3">
      <c r="B5" s="268"/>
      <c r="C5" s="113">
        <v>2</v>
      </c>
      <c r="D5" s="150">
        <v>2500000</v>
      </c>
      <c r="E5" s="145">
        <v>0</v>
      </c>
      <c r="F5" s="102"/>
      <c r="G5" s="133">
        <v>400000</v>
      </c>
      <c r="H5" s="102"/>
      <c r="I5" s="102"/>
      <c r="J5" s="102"/>
      <c r="K5" s="138">
        <f t="shared" si="0"/>
        <v>1628120</v>
      </c>
      <c r="L5" s="116"/>
      <c r="M5" s="38"/>
      <c r="N5" s="118">
        <v>0</v>
      </c>
      <c r="O5" s="25">
        <v>0.01</v>
      </c>
      <c r="P5" s="195"/>
      <c r="Q5" s="152"/>
      <c r="T5" s="84"/>
    </row>
    <row r="6" spans="1:20" s="22" customFormat="1" hidden="1" x14ac:dyDescent="0.3">
      <c r="B6" s="268"/>
      <c r="C6" s="113">
        <v>3</v>
      </c>
      <c r="D6" s="150">
        <v>2500000</v>
      </c>
      <c r="E6" s="145">
        <v>0</v>
      </c>
      <c r="F6" s="102"/>
      <c r="G6" s="133">
        <v>400000</v>
      </c>
      <c r="H6" s="102"/>
      <c r="I6" s="102"/>
      <c r="J6" s="102"/>
      <c r="K6" s="138">
        <f t="shared" si="0"/>
        <v>2048401.2</v>
      </c>
      <c r="L6" s="116"/>
      <c r="M6" s="38"/>
      <c r="N6" s="118">
        <v>0</v>
      </c>
      <c r="O6" s="25">
        <v>0.01</v>
      </c>
      <c r="P6" s="195"/>
      <c r="Q6" s="152"/>
      <c r="T6" s="84"/>
    </row>
    <row r="7" spans="1:20" s="22" customFormat="1" hidden="1" x14ac:dyDescent="0.3">
      <c r="B7" s="268"/>
      <c r="C7" s="113">
        <v>4</v>
      </c>
      <c r="D7" s="150">
        <v>2500000</v>
      </c>
      <c r="E7" s="145">
        <v>0</v>
      </c>
      <c r="F7" s="102"/>
      <c r="G7" s="133">
        <v>400000</v>
      </c>
      <c r="H7" s="102"/>
      <c r="I7" s="102"/>
      <c r="J7" s="102"/>
      <c r="K7" s="138">
        <f t="shared" si="0"/>
        <v>2472885.2120000003</v>
      </c>
      <c r="L7" s="116"/>
      <c r="M7" s="38"/>
      <c r="N7" s="118">
        <v>0</v>
      </c>
      <c r="O7" s="25">
        <v>0.01</v>
      </c>
      <c r="P7" s="195"/>
      <c r="Q7" s="152"/>
      <c r="T7" s="84"/>
    </row>
    <row r="8" spans="1:20" s="22" customFormat="1" hidden="1" x14ac:dyDescent="0.3">
      <c r="B8" s="268"/>
      <c r="C8" s="113">
        <v>5</v>
      </c>
      <c r="D8" s="150">
        <v>2500000</v>
      </c>
      <c r="E8" s="145">
        <v>1000000</v>
      </c>
      <c r="F8" s="102"/>
      <c r="G8" s="133">
        <v>400000</v>
      </c>
      <c r="H8" s="102"/>
      <c r="I8" s="102"/>
      <c r="J8" s="102"/>
      <c r="K8" s="138">
        <f t="shared" si="0"/>
        <v>2901614.0641200002</v>
      </c>
      <c r="L8" s="116"/>
      <c r="M8" s="38"/>
      <c r="N8" s="118">
        <v>0</v>
      </c>
      <c r="O8" s="25">
        <v>0.01</v>
      </c>
      <c r="P8" s="195"/>
      <c r="Q8" s="152"/>
      <c r="T8" s="84"/>
    </row>
    <row r="9" spans="1:20" s="22" customFormat="1" hidden="1" x14ac:dyDescent="0.3">
      <c r="B9" s="268"/>
      <c r="C9" s="113">
        <v>6</v>
      </c>
      <c r="D9" s="150">
        <v>2500000</v>
      </c>
      <c r="E9" s="145">
        <v>0</v>
      </c>
      <c r="F9" s="102"/>
      <c r="G9" s="133">
        <v>400000</v>
      </c>
      <c r="H9" s="102"/>
      <c r="I9" s="102"/>
      <c r="J9" s="102"/>
      <c r="K9" s="138">
        <f t="shared" si="0"/>
        <v>3334630.2047612001</v>
      </c>
      <c r="L9" s="116"/>
      <c r="M9" s="38"/>
      <c r="N9" s="118">
        <v>0</v>
      </c>
      <c r="O9" s="25">
        <v>0.01</v>
      </c>
      <c r="P9" s="195"/>
      <c r="Q9" s="152"/>
      <c r="T9" s="84"/>
    </row>
    <row r="10" spans="1:20" s="22" customFormat="1" hidden="1" x14ac:dyDescent="0.3">
      <c r="B10" s="268"/>
      <c r="C10" s="113">
        <v>7</v>
      </c>
      <c r="D10" s="150">
        <v>2500000</v>
      </c>
      <c r="E10" s="145">
        <v>600000</v>
      </c>
      <c r="F10" s="102"/>
      <c r="G10" s="133">
        <v>400000</v>
      </c>
      <c r="H10" s="102"/>
      <c r="I10" s="102"/>
      <c r="J10" s="102"/>
      <c r="K10" s="138">
        <f t="shared" si="0"/>
        <v>3771976.5068088123</v>
      </c>
      <c r="L10" s="116"/>
      <c r="M10" s="38"/>
      <c r="N10" s="118">
        <v>0</v>
      </c>
      <c r="O10" s="25">
        <v>0.01</v>
      </c>
      <c r="P10" s="195"/>
      <c r="Q10" s="152"/>
      <c r="T10" s="84"/>
    </row>
    <row r="11" spans="1:20" s="22" customFormat="1" hidden="1" x14ac:dyDescent="0.3">
      <c r="B11" s="268"/>
      <c r="C11" s="113">
        <v>8</v>
      </c>
      <c r="D11" s="150">
        <v>2500000</v>
      </c>
      <c r="E11" s="145">
        <v>5056544</v>
      </c>
      <c r="F11" s="102"/>
      <c r="G11" s="133">
        <v>400000</v>
      </c>
      <c r="H11" s="102"/>
      <c r="I11" s="102"/>
      <c r="J11" s="102"/>
      <c r="K11" s="138">
        <f t="shared" si="0"/>
        <v>4213696.2718769005</v>
      </c>
      <c r="L11" s="116"/>
      <c r="M11" s="38"/>
      <c r="N11" s="118">
        <v>0</v>
      </c>
      <c r="O11" s="25">
        <v>0.01</v>
      </c>
      <c r="P11" s="195"/>
      <c r="Q11" s="152"/>
      <c r="T11" s="84"/>
    </row>
    <row r="12" spans="1:20" s="22" customFormat="1" hidden="1" x14ac:dyDescent="0.3">
      <c r="B12" s="268"/>
      <c r="C12" s="113">
        <v>9</v>
      </c>
      <c r="D12" s="150">
        <v>1800000</v>
      </c>
      <c r="E12" s="145">
        <v>1600000</v>
      </c>
      <c r="F12" s="102"/>
      <c r="G12" s="133">
        <v>400000</v>
      </c>
      <c r="H12" s="102"/>
      <c r="I12" s="102"/>
      <c r="J12" s="102"/>
      <c r="K12" s="138">
        <f t="shared" si="0"/>
        <v>4696742.8047706848</v>
      </c>
      <c r="L12" s="116"/>
      <c r="M12" s="38"/>
      <c r="N12" s="118">
        <v>0</v>
      </c>
      <c r="O12" s="25">
        <v>1.7999999999999999E-2</v>
      </c>
      <c r="P12" s="195"/>
      <c r="Q12" s="152"/>
      <c r="T12" s="84"/>
    </row>
    <row r="13" spans="1:20" s="22" customFormat="1" hidden="1" x14ac:dyDescent="0.3">
      <c r="B13" s="268"/>
      <c r="C13" s="113">
        <v>10</v>
      </c>
      <c r="D13" s="150">
        <v>4500000</v>
      </c>
      <c r="E13" s="145">
        <v>3700000</v>
      </c>
      <c r="F13" s="102"/>
      <c r="G13" s="133">
        <v>400000</v>
      </c>
      <c r="H13" s="102"/>
      <c r="I13" s="102"/>
      <c r="J13" s="102"/>
      <c r="K13" s="138">
        <f t="shared" si="0"/>
        <v>4638035.9523413228</v>
      </c>
      <c r="L13" s="116"/>
      <c r="M13" s="38"/>
      <c r="N13" s="118">
        <v>0</v>
      </c>
      <c r="O13" s="25">
        <v>-0.09</v>
      </c>
      <c r="P13" s="195"/>
      <c r="Q13" s="152"/>
      <c r="T13" s="84"/>
    </row>
    <row r="14" spans="1:20" s="23" customFormat="1" ht="15.75" hidden="1" customHeight="1" thickBot="1" x14ac:dyDescent="0.3">
      <c r="A14" s="22"/>
      <c r="B14" s="268"/>
      <c r="C14" s="113">
        <v>11</v>
      </c>
      <c r="D14" s="150">
        <v>3500000</v>
      </c>
      <c r="E14" s="145">
        <v>0</v>
      </c>
      <c r="F14" s="102"/>
      <c r="G14" s="133">
        <v>400000</v>
      </c>
      <c r="H14" s="102"/>
      <c r="I14" s="102"/>
      <c r="J14" s="102"/>
      <c r="K14" s="138">
        <f t="shared" si="0"/>
        <v>5128720.5994834667</v>
      </c>
      <c r="L14" s="116"/>
      <c r="M14" s="38"/>
      <c r="N14" s="118">
        <v>0</v>
      </c>
      <c r="O14" s="25">
        <v>1.7999999999999999E-2</v>
      </c>
      <c r="P14" s="195"/>
      <c r="Q14" s="152"/>
      <c r="R14" s="22"/>
      <c r="S14" s="22"/>
      <c r="T14" s="85"/>
    </row>
    <row r="15" spans="1:20" s="21" customFormat="1" ht="17.25" hidden="1" thickBot="1" x14ac:dyDescent="0.35">
      <c r="A15" s="39"/>
      <c r="B15" s="268"/>
      <c r="C15" s="114">
        <v>12</v>
      </c>
      <c r="D15" s="150">
        <v>2500000</v>
      </c>
      <c r="E15" s="146">
        <v>1000000</v>
      </c>
      <c r="F15" s="103"/>
      <c r="G15" s="134">
        <v>400000</v>
      </c>
      <c r="H15" s="103"/>
      <c r="I15" s="103"/>
      <c r="J15" s="103"/>
      <c r="K15" s="118">
        <f t="shared" si="0"/>
        <v>5241227.1283103265</v>
      </c>
      <c r="L15" s="116"/>
      <c r="M15" s="38"/>
      <c r="N15" s="118">
        <v>0</v>
      </c>
      <c r="O15" s="122">
        <v>-5.1999999999999998E-2</v>
      </c>
      <c r="P15" s="195"/>
      <c r="Q15" s="152"/>
      <c r="R15" s="39"/>
      <c r="S15" s="39"/>
      <c r="T15" s="37"/>
    </row>
    <row r="16" spans="1:20" s="34" customFormat="1" x14ac:dyDescent="0.3">
      <c r="A16" s="22">
        <v>2</v>
      </c>
      <c r="B16" s="263">
        <v>2023</v>
      </c>
      <c r="C16" s="113">
        <v>1</v>
      </c>
      <c r="D16" s="151">
        <v>2500000</v>
      </c>
      <c r="E16" s="145">
        <v>0</v>
      </c>
      <c r="F16" s="101"/>
      <c r="G16" s="135">
        <v>400000</v>
      </c>
      <c r="H16" s="101"/>
      <c r="I16" s="101"/>
      <c r="J16" s="101"/>
      <c r="K16" s="126">
        <f xml:space="preserve"> (K15 + 400000) + ((K15 + 400000) * O16 )</f>
        <v>5906364.8033409119</v>
      </c>
      <c r="L16" s="128"/>
      <c r="M16" s="125">
        <v>0</v>
      </c>
      <c r="N16" s="126">
        <v>0</v>
      </c>
      <c r="O16" s="127">
        <v>4.7E-2</v>
      </c>
      <c r="P16" s="195"/>
      <c r="Q16" s="129"/>
      <c r="R16" s="22"/>
      <c r="S16" s="22"/>
      <c r="T16" s="86"/>
    </row>
    <row r="17" spans="1:20" s="22" customFormat="1" x14ac:dyDescent="0.3">
      <c r="B17" s="263"/>
      <c r="C17" s="113">
        <v>2</v>
      </c>
      <c r="D17" s="151">
        <v>2500000</v>
      </c>
      <c r="E17" s="145">
        <v>0</v>
      </c>
      <c r="F17" s="101"/>
      <c r="G17" s="135">
        <v>400000</v>
      </c>
      <c r="H17" s="101"/>
      <c r="I17" s="101"/>
      <c r="J17" s="101"/>
      <c r="K17" s="126">
        <f xml:space="preserve"> (K16 + 400000) + ((K16 + 400000) * O17 )</f>
        <v>6325283.8977509346</v>
      </c>
      <c r="L17" s="128"/>
      <c r="M17" s="125">
        <v>0</v>
      </c>
      <c r="N17" s="126">
        <v>0</v>
      </c>
      <c r="O17" s="127">
        <v>3.0000000000000001E-3</v>
      </c>
      <c r="P17" s="195"/>
      <c r="Q17" s="129"/>
      <c r="T17" s="84"/>
    </row>
    <row r="18" spans="1:20" s="22" customFormat="1" x14ac:dyDescent="0.3">
      <c r="B18" s="263"/>
      <c r="C18" s="113">
        <v>3</v>
      </c>
      <c r="D18" s="151">
        <v>2500000</v>
      </c>
      <c r="E18" s="145">
        <v>0</v>
      </c>
      <c r="F18" s="101"/>
      <c r="G18" s="135">
        <v>400000</v>
      </c>
      <c r="H18" s="101"/>
      <c r="I18" s="101"/>
      <c r="J18" s="101"/>
      <c r="K18" s="126">
        <f xml:space="preserve"> (K17 + 400000) + ((K17 + 400000) * O18 )</f>
        <v>6557151.8003071612</v>
      </c>
      <c r="L18" s="128"/>
      <c r="M18" s="125">
        <v>0</v>
      </c>
      <c r="N18" s="126">
        <v>7000000</v>
      </c>
      <c r="O18" s="127">
        <v>-2.5000000000000001E-2</v>
      </c>
      <c r="P18" s="195"/>
      <c r="Q18" s="129"/>
      <c r="T18" s="84"/>
    </row>
    <row r="19" spans="1:20" s="22" customFormat="1" x14ac:dyDescent="0.3">
      <c r="B19" s="263"/>
      <c r="C19" s="113">
        <v>4</v>
      </c>
      <c r="D19" s="151">
        <v>500000</v>
      </c>
      <c r="E19" s="145">
        <v>0</v>
      </c>
      <c r="F19" s="101"/>
      <c r="G19" s="135">
        <v>400000</v>
      </c>
      <c r="H19" s="101"/>
      <c r="I19" s="101"/>
      <c r="J19" s="101"/>
      <c r="K19" s="126">
        <f xml:space="preserve"> (K18 + 400000) + ((K18 + 400000) * O19 )</f>
        <v>6365793.8972810525</v>
      </c>
      <c r="L19" s="128"/>
      <c r="M19" s="125">
        <v>0</v>
      </c>
      <c r="N19" s="126">
        <f xml:space="preserve"> (N18 + D19 - E19 - M19) + ((N18 + D19 - E19 - M19) * O19)</f>
        <v>6862500</v>
      </c>
      <c r="O19" s="127">
        <v>-8.5000000000000006E-2</v>
      </c>
      <c r="P19" s="195"/>
      <c r="Q19" s="129"/>
      <c r="T19" s="84"/>
    </row>
    <row r="20" spans="1:20" s="22" customFormat="1" x14ac:dyDescent="0.3">
      <c r="B20" s="263"/>
      <c r="C20" s="113">
        <v>5</v>
      </c>
      <c r="D20" s="151">
        <v>100000</v>
      </c>
      <c r="E20" s="145">
        <v>0</v>
      </c>
      <c r="F20" s="101">
        <v>100000</v>
      </c>
      <c r="G20" s="135">
        <v>400000</v>
      </c>
      <c r="H20" s="101"/>
      <c r="I20" s="101"/>
      <c r="J20" s="101"/>
      <c r="K20" s="126">
        <f xml:space="preserve"> (K19 + G20 + F20) + ((K19 + G20 + F20) * L20 )</f>
        <v>7957455.1269487403</v>
      </c>
      <c r="L20" s="124">
        <v>0.159</v>
      </c>
      <c r="M20" s="125">
        <v>0</v>
      </c>
      <c r="N20" s="126">
        <f xml:space="preserve"> (N19 + D20 - E20 - M20) + ((N19 + D20 - E20 - M20) * O20)</f>
        <v>6266250</v>
      </c>
      <c r="O20" s="127">
        <v>-0.1</v>
      </c>
      <c r="P20" s="194">
        <f xml:space="preserve"> M20 + N20</f>
        <v>6266250</v>
      </c>
      <c r="Q20" s="123">
        <f xml:space="preserve"> K20 + P20</f>
        <v>14223705.12694874</v>
      </c>
      <c r="T20" s="84"/>
    </row>
    <row r="21" spans="1:20" s="22" customFormat="1" x14ac:dyDescent="0.3">
      <c r="B21" s="263"/>
      <c r="C21" s="113">
        <v>6</v>
      </c>
      <c r="D21" s="151">
        <v>15000000</v>
      </c>
      <c r="E21" s="145">
        <v>0</v>
      </c>
      <c r="F21" s="101">
        <v>750000</v>
      </c>
      <c r="G21" s="135">
        <v>500000</v>
      </c>
      <c r="H21" s="101"/>
      <c r="I21" s="101"/>
      <c r="J21" s="101"/>
      <c r="K21" s="126">
        <f xml:space="preserve"> (K20 + G21 + F21) + ((K20 + G21 + F21) * L21 )</f>
        <v>9373189.319233818</v>
      </c>
      <c r="L21" s="124">
        <v>1.7999999999999999E-2</v>
      </c>
      <c r="M21" s="125">
        <v>50000</v>
      </c>
      <c r="N21" s="126">
        <f xml:space="preserve"> (N20 + D21 - E21 - M21) + ((N20 + D21 - E21 - M21) * O21)</f>
        <v>24610850</v>
      </c>
      <c r="O21" s="127">
        <v>0.16</v>
      </c>
      <c r="P21" s="194">
        <f xml:space="preserve"> M21 + N21</f>
        <v>24660850</v>
      </c>
      <c r="Q21" s="123">
        <f xml:space="preserve"> K21 + P21</f>
        <v>34034039.31923382</v>
      </c>
      <c r="T21" s="84"/>
    </row>
    <row r="22" spans="1:20" s="22" customFormat="1" x14ac:dyDescent="0.3">
      <c r="B22" s="263"/>
      <c r="C22" s="113">
        <v>7</v>
      </c>
      <c r="D22" s="151">
        <v>700000</v>
      </c>
      <c r="E22" s="145">
        <v>0</v>
      </c>
      <c r="F22" s="101">
        <v>300000</v>
      </c>
      <c r="G22" s="135">
        <v>500000</v>
      </c>
      <c r="H22" s="101"/>
      <c r="I22" s="101"/>
      <c r="J22" s="101"/>
      <c r="K22" s="126">
        <f t="shared" ref="K22:K85" si="1" xml:space="preserve"> (K21 + G22 + F22) + ((K21 + G22 + F22) * L22 )</f>
        <v>10356306.726980027</v>
      </c>
      <c r="L22" s="124">
        <v>1.7999999999999999E-2</v>
      </c>
      <c r="M22" s="125">
        <v>100000</v>
      </c>
      <c r="N22" s="126">
        <f xml:space="preserve"> (N21 + D22 - E22 - M22) + ((N21 + D22 - E22 - M22) * O22)</f>
        <v>27227718</v>
      </c>
      <c r="O22" s="127">
        <v>0.08</v>
      </c>
      <c r="P22" s="194">
        <f t="shared" ref="P22:P85" si="2" xml:space="preserve"> M22 + N22</f>
        <v>27327718</v>
      </c>
      <c r="Q22" s="123">
        <f t="shared" ref="Q22:Q85" si="3" xml:space="preserve"> K22 + P22</f>
        <v>37684024.726980031</v>
      </c>
      <c r="T22" s="84"/>
    </row>
    <row r="23" spans="1:20" s="22" customFormat="1" x14ac:dyDescent="0.3">
      <c r="B23" s="263"/>
      <c r="C23" s="113">
        <v>8</v>
      </c>
      <c r="D23" s="151">
        <v>1100000</v>
      </c>
      <c r="E23" s="145">
        <v>17450000</v>
      </c>
      <c r="F23" s="101">
        <v>300000</v>
      </c>
      <c r="G23" s="135">
        <v>100000</v>
      </c>
      <c r="H23" s="101"/>
      <c r="I23" s="101"/>
      <c r="J23" s="101"/>
      <c r="K23" s="126">
        <f t="shared" si="1"/>
        <v>10853113.487522848</v>
      </c>
      <c r="L23" s="124">
        <v>8.9999999999999993E-3</v>
      </c>
      <c r="M23" s="125">
        <v>50000</v>
      </c>
      <c r="N23" s="126">
        <f xml:space="preserve"> (N22 + D23 - E23 - M23) + ((N22 + D23 - E23 - M23) * O23)</f>
        <v>9095283.1199999992</v>
      </c>
      <c r="O23" s="127">
        <v>-0.16</v>
      </c>
      <c r="P23" s="194">
        <f t="shared" si="2"/>
        <v>9145283.1199999992</v>
      </c>
      <c r="Q23" s="123">
        <f t="shared" si="3"/>
        <v>19998396.607522845</v>
      </c>
      <c r="T23" s="84"/>
    </row>
    <row r="24" spans="1:20" s="22" customFormat="1" x14ac:dyDescent="0.3">
      <c r="B24" s="263"/>
      <c r="C24" s="113">
        <v>9</v>
      </c>
      <c r="D24" s="151">
        <v>1100000</v>
      </c>
      <c r="E24" s="145">
        <v>0</v>
      </c>
      <c r="F24" s="101">
        <v>300000</v>
      </c>
      <c r="G24" s="135">
        <v>100000</v>
      </c>
      <c r="H24" s="101"/>
      <c r="I24" s="101"/>
      <c r="J24" s="101"/>
      <c r="K24" s="126">
        <f t="shared" si="1"/>
        <v>11050557.444747437</v>
      </c>
      <c r="L24" s="124">
        <v>-1.7999999999999999E-2</v>
      </c>
      <c r="M24" s="125">
        <v>50000</v>
      </c>
      <c r="N24" s="126">
        <f t="shared" ref="N24:N87" si="4" xml:space="preserve"> (N23 + D24 - E24 - M24) + ((N23 + D24 - E24 - M24) * O24)</f>
        <v>7507509.5088</v>
      </c>
      <c r="O24" s="127">
        <v>-0.26</v>
      </c>
      <c r="P24" s="194">
        <f t="shared" si="2"/>
        <v>7557509.5088</v>
      </c>
      <c r="Q24" s="123">
        <f t="shared" si="3"/>
        <v>18608066.953547437</v>
      </c>
      <c r="T24" s="84"/>
    </row>
    <row r="25" spans="1:20" s="22" customFormat="1" x14ac:dyDescent="0.3">
      <c r="B25" s="263"/>
      <c r="C25" s="113">
        <v>10</v>
      </c>
      <c r="D25" s="151">
        <v>7100000</v>
      </c>
      <c r="E25" s="145">
        <v>0</v>
      </c>
      <c r="F25" s="101">
        <v>300000</v>
      </c>
      <c r="G25" s="135">
        <v>100000</v>
      </c>
      <c r="H25" s="101">
        <v>16000000</v>
      </c>
      <c r="I25" s="101">
        <v>70000000</v>
      </c>
      <c r="J25" s="101">
        <v>54000000</v>
      </c>
      <c r="K25" s="126">
        <f t="shared" si="1"/>
        <v>11656667.478752891</v>
      </c>
      <c r="L25" s="124">
        <v>1.7999999999999999E-2</v>
      </c>
      <c r="M25" s="125">
        <v>50000</v>
      </c>
      <c r="N25" s="126">
        <f t="shared" si="4"/>
        <v>9316806.0856320001</v>
      </c>
      <c r="O25" s="127">
        <v>-0.36</v>
      </c>
      <c r="P25" s="194">
        <f t="shared" si="2"/>
        <v>9366806.0856320001</v>
      </c>
      <c r="Q25" s="123">
        <f t="shared" si="3"/>
        <v>21023473.564384893</v>
      </c>
      <c r="R25" s="101">
        <f xml:space="preserve"> H25 + I25</f>
        <v>86000000</v>
      </c>
      <c r="S25" s="101">
        <f xml:space="preserve"> J25 + Q25</f>
        <v>75023473.564384893</v>
      </c>
      <c r="T25" s="84"/>
    </row>
    <row r="26" spans="1:20" s="23" customFormat="1" ht="17.25" thickBot="1" x14ac:dyDescent="0.35">
      <c r="A26" s="22"/>
      <c r="B26" s="263"/>
      <c r="C26" s="113">
        <v>11</v>
      </c>
      <c r="D26" s="151">
        <v>4000000</v>
      </c>
      <c r="E26" s="145">
        <v>0</v>
      </c>
      <c r="F26" s="101">
        <v>300000</v>
      </c>
      <c r="G26" s="135">
        <v>100000</v>
      </c>
      <c r="H26" s="101">
        <v>10600000</v>
      </c>
      <c r="I26" s="101">
        <v>70000000</v>
      </c>
      <c r="J26" s="101">
        <v>54000000</v>
      </c>
      <c r="K26" s="126">
        <f t="shared" si="1"/>
        <v>11839647.464135339</v>
      </c>
      <c r="L26" s="124">
        <v>-1.7999999999999999E-2</v>
      </c>
      <c r="M26" s="125">
        <v>50000</v>
      </c>
      <c r="N26" s="126">
        <f t="shared" si="4"/>
        <v>8623423.9556608014</v>
      </c>
      <c r="O26" s="127">
        <v>-0.35</v>
      </c>
      <c r="P26" s="194">
        <f t="shared" si="2"/>
        <v>8673423.9556608014</v>
      </c>
      <c r="Q26" s="123">
        <f t="shared" si="3"/>
        <v>20513071.419796139</v>
      </c>
      <c r="R26" s="101">
        <f xml:space="preserve"> H26 + I26</f>
        <v>80600000</v>
      </c>
      <c r="S26" s="101">
        <f xml:space="preserve"> J26 + Q26</f>
        <v>74513071.419796139</v>
      </c>
      <c r="T26" s="85"/>
    </row>
    <row r="27" spans="1:20" s="169" customFormat="1" ht="17.25" thickBot="1" x14ac:dyDescent="0.35">
      <c r="A27" s="22"/>
      <c r="B27" s="263"/>
      <c r="C27" s="113">
        <v>12</v>
      </c>
      <c r="D27" s="151">
        <v>1400000</v>
      </c>
      <c r="E27" s="145">
        <v>0</v>
      </c>
      <c r="F27" s="101">
        <v>0</v>
      </c>
      <c r="G27" s="135">
        <v>100000</v>
      </c>
      <c r="H27" s="101">
        <v>10600000</v>
      </c>
      <c r="I27" s="101">
        <v>70000000</v>
      </c>
      <c r="J27" s="101">
        <v>54000000</v>
      </c>
      <c r="K27" s="126">
        <f t="shared" si="1"/>
        <v>12154561.118489776</v>
      </c>
      <c r="L27" s="124">
        <v>1.7999999999999999E-2</v>
      </c>
      <c r="M27" s="125">
        <v>50000</v>
      </c>
      <c r="N27" s="126">
        <f t="shared" si="4"/>
        <v>8377676.122755073</v>
      </c>
      <c r="O27" s="127">
        <v>-0.16</v>
      </c>
      <c r="P27" s="194">
        <f t="shared" si="2"/>
        <v>8427676.122755073</v>
      </c>
      <c r="Q27" s="123">
        <f t="shared" si="3"/>
        <v>20582237.241244849</v>
      </c>
      <c r="R27" s="101">
        <f t="shared" ref="R27:R90" si="5" xml:space="preserve"> H27 + I27</f>
        <v>80600000</v>
      </c>
      <c r="S27" s="101">
        <f t="shared" ref="S27:S90" si="6" xml:space="preserve"> J27 + Q27</f>
        <v>74582237.241244853</v>
      </c>
      <c r="T27" s="168"/>
    </row>
    <row r="28" spans="1:20" s="34" customFormat="1" x14ac:dyDescent="0.3">
      <c r="A28" s="34">
        <v>3</v>
      </c>
      <c r="B28" s="264">
        <v>2024</v>
      </c>
      <c r="C28" s="183">
        <v>1</v>
      </c>
      <c r="D28" s="145">
        <v>0</v>
      </c>
      <c r="E28" s="145">
        <v>8340000</v>
      </c>
      <c r="F28" s="145">
        <v>300000</v>
      </c>
      <c r="G28" s="135">
        <v>100000</v>
      </c>
      <c r="H28" s="101">
        <v>10600000</v>
      </c>
      <c r="I28" s="101">
        <v>70000000</v>
      </c>
      <c r="J28" s="101">
        <v>54000000</v>
      </c>
      <c r="K28" s="184">
        <f t="shared" si="1"/>
        <v>12680106.729674673</v>
      </c>
      <c r="L28" s="185">
        <v>0.01</v>
      </c>
      <c r="M28" s="125">
        <v>0</v>
      </c>
      <c r="N28" s="126">
        <f t="shared" si="4"/>
        <v>29387.375748956947</v>
      </c>
      <c r="O28" s="127">
        <v>-0.22</v>
      </c>
      <c r="P28" s="194">
        <f t="shared" si="2"/>
        <v>29387.375748956947</v>
      </c>
      <c r="Q28" s="123">
        <f t="shared" si="3"/>
        <v>12709494.105423629</v>
      </c>
      <c r="R28" s="101">
        <f t="shared" si="5"/>
        <v>80600000</v>
      </c>
      <c r="S28" s="101">
        <f t="shared" si="6"/>
        <v>66709494.105423629</v>
      </c>
      <c r="T28" s="86"/>
    </row>
    <row r="29" spans="1:20" s="22" customFormat="1" x14ac:dyDescent="0.3">
      <c r="B29" s="263"/>
      <c r="C29" s="113">
        <v>2</v>
      </c>
      <c r="D29" s="145">
        <v>0</v>
      </c>
      <c r="E29" s="145">
        <v>0</v>
      </c>
      <c r="F29" s="145">
        <v>0</v>
      </c>
      <c r="G29" s="135">
        <v>100000</v>
      </c>
      <c r="H29" s="101">
        <v>10600000</v>
      </c>
      <c r="I29" s="101">
        <v>70000000</v>
      </c>
      <c r="J29" s="101">
        <v>54000000</v>
      </c>
      <c r="K29" s="186">
        <f t="shared" si="1"/>
        <v>13010148.650808817</v>
      </c>
      <c r="L29" s="185">
        <v>1.7999999999999999E-2</v>
      </c>
      <c r="M29" s="125">
        <v>0</v>
      </c>
      <c r="N29" s="126">
        <f t="shared" si="4"/>
        <v>29916.348512438173</v>
      </c>
      <c r="O29" s="127">
        <v>1.7999999999999999E-2</v>
      </c>
      <c r="P29" s="194">
        <f t="shared" si="2"/>
        <v>29916.348512438173</v>
      </c>
      <c r="Q29" s="123">
        <f t="shared" si="3"/>
        <v>13040064.999321256</v>
      </c>
      <c r="R29" s="101">
        <f t="shared" si="5"/>
        <v>80600000</v>
      </c>
      <c r="S29" s="101">
        <f t="shared" si="6"/>
        <v>67040064.999321252</v>
      </c>
      <c r="T29" s="84"/>
    </row>
    <row r="30" spans="1:20" s="22" customFormat="1" x14ac:dyDescent="0.3">
      <c r="B30" s="263"/>
      <c r="C30" s="113">
        <v>3</v>
      </c>
      <c r="D30" s="145">
        <v>350000</v>
      </c>
      <c r="E30" s="145">
        <v>0</v>
      </c>
      <c r="F30" s="145">
        <v>0</v>
      </c>
      <c r="G30" s="135">
        <v>100000</v>
      </c>
      <c r="H30" s="101">
        <v>10600000</v>
      </c>
      <c r="I30" s="101">
        <v>70000000</v>
      </c>
      <c r="J30" s="101">
        <v>54000000</v>
      </c>
      <c r="K30" s="186">
        <f t="shared" si="1"/>
        <v>13346131.326523375</v>
      </c>
      <c r="L30" s="185">
        <v>1.7999999999999999E-2</v>
      </c>
      <c r="M30" s="125">
        <v>0</v>
      </c>
      <c r="N30" s="126">
        <f t="shared" si="4"/>
        <v>386754.8427856621</v>
      </c>
      <c r="O30" s="127">
        <v>1.7999999999999999E-2</v>
      </c>
      <c r="P30" s="125">
        <f t="shared" si="2"/>
        <v>386754.8427856621</v>
      </c>
      <c r="Q30" s="123">
        <f t="shared" si="3"/>
        <v>13732886.169309037</v>
      </c>
      <c r="R30" s="101">
        <f t="shared" si="5"/>
        <v>80600000</v>
      </c>
      <c r="S30" s="101">
        <f t="shared" si="6"/>
        <v>67732886.169309035</v>
      </c>
      <c r="T30" s="84"/>
    </row>
    <row r="31" spans="1:20" s="22" customFormat="1" x14ac:dyDescent="0.3">
      <c r="B31" s="263"/>
      <c r="C31" s="113">
        <v>4</v>
      </c>
      <c r="D31" s="145">
        <v>0</v>
      </c>
      <c r="E31" s="145">
        <v>0</v>
      </c>
      <c r="F31" s="145">
        <v>0</v>
      </c>
      <c r="G31" s="135">
        <v>100000</v>
      </c>
      <c r="H31" s="101">
        <v>5600000</v>
      </c>
      <c r="I31" s="101">
        <v>70000000</v>
      </c>
      <c r="J31" s="101">
        <v>54000000</v>
      </c>
      <c r="K31" s="186">
        <f t="shared" si="1"/>
        <v>13688161.690400796</v>
      </c>
      <c r="L31" s="185">
        <v>1.7999999999999999E-2</v>
      </c>
      <c r="M31" s="125">
        <v>0</v>
      </c>
      <c r="N31" s="126">
        <f t="shared" si="4"/>
        <v>421562.77863637172</v>
      </c>
      <c r="O31" s="127">
        <v>0.09</v>
      </c>
      <c r="P31" s="125">
        <f t="shared" si="2"/>
        <v>421562.77863637172</v>
      </c>
      <c r="Q31" s="123">
        <f t="shared" si="3"/>
        <v>14109724.469037168</v>
      </c>
      <c r="R31" s="101">
        <f t="shared" si="5"/>
        <v>75600000</v>
      </c>
      <c r="S31" s="101">
        <f t="shared" si="6"/>
        <v>68109724.469037175</v>
      </c>
      <c r="T31" s="84"/>
    </row>
    <row r="32" spans="1:20" s="22" customFormat="1" x14ac:dyDescent="0.3">
      <c r="B32" s="263"/>
      <c r="C32" s="113">
        <v>5</v>
      </c>
      <c r="D32" s="145">
        <v>14000000</v>
      </c>
      <c r="E32" s="145">
        <v>420000</v>
      </c>
      <c r="F32" s="145">
        <v>0</v>
      </c>
      <c r="G32" s="135">
        <v>100000</v>
      </c>
      <c r="H32" s="101">
        <v>18700000</v>
      </c>
      <c r="I32" s="101">
        <v>70000000</v>
      </c>
      <c r="J32" s="101">
        <v>54000000</v>
      </c>
      <c r="K32" s="186">
        <f t="shared" si="1"/>
        <v>13788161.690400796</v>
      </c>
      <c r="L32" s="185">
        <v>0</v>
      </c>
      <c r="M32" s="125">
        <v>0</v>
      </c>
      <c r="N32" s="126">
        <f t="shared" si="4"/>
        <v>14841656.545354554</v>
      </c>
      <c r="O32" s="127">
        <v>0.06</v>
      </c>
      <c r="P32" s="125">
        <f t="shared" si="2"/>
        <v>14841656.545354554</v>
      </c>
      <c r="Q32" s="123">
        <f t="shared" si="3"/>
        <v>28629818.23575535</v>
      </c>
      <c r="R32" s="101">
        <f t="shared" si="5"/>
        <v>88700000</v>
      </c>
      <c r="S32" s="101">
        <f t="shared" si="6"/>
        <v>82629818.235755354</v>
      </c>
      <c r="T32" s="84"/>
    </row>
    <row r="33" spans="1:20" s="156" customFormat="1" x14ac:dyDescent="0.3">
      <c r="B33" s="263"/>
      <c r="C33" s="249">
        <v>6</v>
      </c>
      <c r="D33" s="250">
        <v>0</v>
      </c>
      <c r="E33" s="250">
        <v>1500000</v>
      </c>
      <c r="F33" s="250">
        <v>300000</v>
      </c>
      <c r="G33" s="251">
        <v>300000</v>
      </c>
      <c r="H33" s="252">
        <f xml:space="preserve"> 18700000 - 1640000</f>
        <v>17060000</v>
      </c>
      <c r="I33" s="252">
        <v>70000000</v>
      </c>
      <c r="J33" s="252">
        <v>54000000</v>
      </c>
      <c r="K33" s="253">
        <f t="shared" si="1"/>
        <v>14244280.073496789</v>
      </c>
      <c r="L33" s="254">
        <v>-0.01</v>
      </c>
      <c r="M33" s="255">
        <v>0</v>
      </c>
      <c r="N33" s="256">
        <f t="shared" si="4"/>
        <v>12007490.890819099</v>
      </c>
      <c r="O33" s="257">
        <v>-0.1</v>
      </c>
      <c r="P33" s="255">
        <f t="shared" si="2"/>
        <v>12007490.890819099</v>
      </c>
      <c r="Q33" s="258">
        <f t="shared" si="3"/>
        <v>26251770.964315888</v>
      </c>
      <c r="R33" s="252">
        <f t="shared" si="5"/>
        <v>87060000</v>
      </c>
      <c r="S33" s="252">
        <f t="shared" si="6"/>
        <v>80251770.964315891</v>
      </c>
      <c r="T33" s="259"/>
    </row>
    <row r="34" spans="1:20" s="18" customFormat="1" x14ac:dyDescent="0.3">
      <c r="B34" s="263"/>
      <c r="C34" s="28">
        <v>7</v>
      </c>
      <c r="D34" s="147">
        <v>0</v>
      </c>
      <c r="E34" s="147">
        <v>12000000</v>
      </c>
      <c r="F34" s="147">
        <v>300000</v>
      </c>
      <c r="G34" s="133">
        <v>300000</v>
      </c>
      <c r="H34" s="102">
        <f t="shared" ref="H34:H40" si="7" xml:space="preserve"> H33 - 1640000</f>
        <v>15420000</v>
      </c>
      <c r="I34" s="102">
        <v>70000000</v>
      </c>
      <c r="J34" s="102">
        <v>54000000</v>
      </c>
      <c r="K34" s="139">
        <f t="shared" si="1"/>
        <v>15111477.114819732</v>
      </c>
      <c r="L34" s="105">
        <v>1.7999999999999999E-2</v>
      </c>
      <c r="M34" s="38">
        <v>0</v>
      </c>
      <c r="N34" s="118">
        <f t="shared" si="4"/>
        <v>7625.7268538425787</v>
      </c>
      <c r="O34" s="25">
        <v>1.7999999999999999E-2</v>
      </c>
      <c r="P34" s="194">
        <f t="shared" si="2"/>
        <v>7625.7268538425787</v>
      </c>
      <c r="Q34" s="153">
        <f t="shared" si="3"/>
        <v>15119102.841673573</v>
      </c>
      <c r="R34" s="104">
        <f t="shared" si="5"/>
        <v>85420000</v>
      </c>
      <c r="S34" s="104">
        <f t="shared" si="6"/>
        <v>69119102.841673568</v>
      </c>
      <c r="T34" s="87"/>
    </row>
    <row r="35" spans="1:20" s="18" customFormat="1" x14ac:dyDescent="0.3">
      <c r="B35" s="263"/>
      <c r="C35" s="28">
        <v>8</v>
      </c>
      <c r="D35" s="147">
        <v>0</v>
      </c>
      <c r="E35" s="147">
        <v>0</v>
      </c>
      <c r="F35" s="147">
        <v>300000</v>
      </c>
      <c r="G35" s="133">
        <v>300000</v>
      </c>
      <c r="H35" s="102">
        <f t="shared" si="7"/>
        <v>13780000</v>
      </c>
      <c r="I35" s="102">
        <v>70000000</v>
      </c>
      <c r="J35" s="102">
        <v>54000000</v>
      </c>
      <c r="K35" s="139">
        <f t="shared" si="1"/>
        <v>15994283.702886486</v>
      </c>
      <c r="L35" s="105">
        <v>1.7999999999999999E-2</v>
      </c>
      <c r="M35" s="38">
        <v>0</v>
      </c>
      <c r="N35" s="118">
        <f t="shared" si="4"/>
        <v>7762.9899372117452</v>
      </c>
      <c r="O35" s="25">
        <v>1.7999999999999999E-2</v>
      </c>
      <c r="P35" s="194">
        <f t="shared" si="2"/>
        <v>7762.9899372117452</v>
      </c>
      <c r="Q35" s="153">
        <f t="shared" si="3"/>
        <v>16002046.692823699</v>
      </c>
      <c r="R35" s="104">
        <f t="shared" si="5"/>
        <v>83780000</v>
      </c>
      <c r="S35" s="104">
        <f t="shared" si="6"/>
        <v>70002046.692823693</v>
      </c>
      <c r="T35" s="87"/>
    </row>
    <row r="36" spans="1:20" s="18" customFormat="1" x14ac:dyDescent="0.3">
      <c r="B36" s="263"/>
      <c r="C36" s="28">
        <v>9</v>
      </c>
      <c r="D36" s="147">
        <v>0</v>
      </c>
      <c r="E36" s="147">
        <v>0</v>
      </c>
      <c r="F36" s="147">
        <v>300000</v>
      </c>
      <c r="G36" s="133">
        <v>300000</v>
      </c>
      <c r="H36" s="102">
        <f t="shared" si="7"/>
        <v>12140000</v>
      </c>
      <c r="I36" s="102">
        <v>70000000</v>
      </c>
      <c r="J36" s="102">
        <v>54000000</v>
      </c>
      <c r="K36" s="139">
        <f t="shared" si="1"/>
        <v>16892980.809538443</v>
      </c>
      <c r="L36" s="105">
        <v>1.7999999999999999E-2</v>
      </c>
      <c r="M36" s="38">
        <v>0</v>
      </c>
      <c r="N36" s="118">
        <f t="shared" si="4"/>
        <v>7902.7237560815565</v>
      </c>
      <c r="O36" s="25">
        <v>1.7999999999999999E-2</v>
      </c>
      <c r="P36" s="194">
        <f t="shared" si="2"/>
        <v>7902.7237560815565</v>
      </c>
      <c r="Q36" s="153">
        <f t="shared" si="3"/>
        <v>16900883.533294525</v>
      </c>
      <c r="R36" s="104">
        <f t="shared" si="5"/>
        <v>82140000</v>
      </c>
      <c r="S36" s="104">
        <f t="shared" si="6"/>
        <v>70900883.533294529</v>
      </c>
      <c r="T36" s="87"/>
    </row>
    <row r="37" spans="1:20" s="155" customFormat="1" x14ac:dyDescent="0.3">
      <c r="B37" s="263"/>
      <c r="C37" s="217">
        <v>10</v>
      </c>
      <c r="D37" s="218">
        <v>0</v>
      </c>
      <c r="E37" s="147">
        <v>0</v>
      </c>
      <c r="F37" s="147">
        <v>300000</v>
      </c>
      <c r="G37" s="133">
        <v>300000</v>
      </c>
      <c r="H37" s="102">
        <f t="shared" si="7"/>
        <v>10500000</v>
      </c>
      <c r="I37" s="220">
        <v>70000000</v>
      </c>
      <c r="J37" s="220">
        <v>54000000</v>
      </c>
      <c r="K37" s="221">
        <f t="shared" si="1"/>
        <v>17807854.464110136</v>
      </c>
      <c r="L37" s="222">
        <v>1.7999999999999999E-2</v>
      </c>
      <c r="M37" s="223">
        <v>0</v>
      </c>
      <c r="N37" s="224">
        <f t="shared" si="4"/>
        <v>8044.9727836910242</v>
      </c>
      <c r="O37" s="225">
        <v>1.7999999999999999E-2</v>
      </c>
      <c r="P37" s="223">
        <f t="shared" si="2"/>
        <v>8044.9727836910242</v>
      </c>
      <c r="Q37" s="226">
        <f t="shared" si="3"/>
        <v>17815899.436893828</v>
      </c>
      <c r="R37" s="220">
        <f t="shared" si="5"/>
        <v>80500000</v>
      </c>
      <c r="S37" s="220">
        <f t="shared" si="6"/>
        <v>71815899.436893821</v>
      </c>
      <c r="T37" s="227"/>
    </row>
    <row r="38" spans="1:20" s="29" customFormat="1" ht="17.25" thickBot="1" x14ac:dyDescent="0.35">
      <c r="B38" s="263"/>
      <c r="C38" s="30">
        <v>11</v>
      </c>
      <c r="D38" s="147">
        <v>0</v>
      </c>
      <c r="E38" s="147">
        <v>0</v>
      </c>
      <c r="F38" s="147">
        <v>300000</v>
      </c>
      <c r="G38" s="133">
        <v>300000</v>
      </c>
      <c r="H38" s="102">
        <f t="shared" si="7"/>
        <v>8860000</v>
      </c>
      <c r="I38" s="102">
        <v>70000000</v>
      </c>
      <c r="J38" s="102">
        <v>54000000</v>
      </c>
      <c r="K38" s="139">
        <f t="shared" si="1"/>
        <v>18739195.84446412</v>
      </c>
      <c r="L38" s="105">
        <v>1.7999999999999999E-2</v>
      </c>
      <c r="M38" s="38">
        <v>0</v>
      </c>
      <c r="N38" s="118">
        <f t="shared" si="4"/>
        <v>8189.7822937974624</v>
      </c>
      <c r="O38" s="83">
        <v>1.7999999999999999E-2</v>
      </c>
      <c r="P38" s="194">
        <f t="shared" si="2"/>
        <v>8189.7822937974624</v>
      </c>
      <c r="Q38" s="153">
        <f t="shared" si="3"/>
        <v>18747385.626757916</v>
      </c>
      <c r="R38" s="104">
        <f t="shared" si="5"/>
        <v>78860000</v>
      </c>
      <c r="S38" s="104">
        <f t="shared" si="6"/>
        <v>72747385.62675792</v>
      </c>
      <c r="T38" s="88"/>
    </row>
    <row r="39" spans="1:20" s="242" customFormat="1" ht="17.25" thickBot="1" x14ac:dyDescent="0.35">
      <c r="A39" s="230"/>
      <c r="B39" s="263"/>
      <c r="C39" s="231">
        <v>12</v>
      </c>
      <c r="D39" s="232">
        <v>0</v>
      </c>
      <c r="E39" s="232">
        <v>0</v>
      </c>
      <c r="F39" s="232">
        <v>300000</v>
      </c>
      <c r="G39" s="233">
        <v>300000</v>
      </c>
      <c r="H39" s="234">
        <f t="shared" si="7"/>
        <v>7220000</v>
      </c>
      <c r="I39" s="234">
        <v>70000000</v>
      </c>
      <c r="J39" s="234">
        <v>54000000</v>
      </c>
      <c r="K39" s="235">
        <f t="shared" si="1"/>
        <v>19687301.369664475</v>
      </c>
      <c r="L39" s="236">
        <v>1.7999999999999999E-2</v>
      </c>
      <c r="M39" s="237">
        <v>0</v>
      </c>
      <c r="N39" s="238">
        <f t="shared" si="4"/>
        <v>8337.1983750858162</v>
      </c>
      <c r="O39" s="239">
        <v>1.7999999999999999E-2</v>
      </c>
      <c r="P39" s="237">
        <f t="shared" si="2"/>
        <v>8337.1983750858162</v>
      </c>
      <c r="Q39" s="240">
        <f t="shared" si="3"/>
        <v>19695638.568039563</v>
      </c>
      <c r="R39" s="234">
        <f t="shared" si="5"/>
        <v>77220000</v>
      </c>
      <c r="S39" s="234">
        <f t="shared" si="6"/>
        <v>73695638.568039566</v>
      </c>
      <c r="T39" s="241"/>
    </row>
    <row r="40" spans="1:20" s="26" customFormat="1" x14ac:dyDescent="0.3">
      <c r="A40" s="26">
        <v>4</v>
      </c>
      <c r="B40" s="263">
        <v>2025</v>
      </c>
      <c r="C40" s="27">
        <v>1</v>
      </c>
      <c r="D40" s="147">
        <v>0</v>
      </c>
      <c r="E40" s="147">
        <v>0</v>
      </c>
      <c r="F40" s="147">
        <v>300000</v>
      </c>
      <c r="G40" s="133">
        <v>300000</v>
      </c>
      <c r="H40" s="102">
        <f t="shared" si="7"/>
        <v>5580000</v>
      </c>
      <c r="I40" s="102">
        <v>70000000</v>
      </c>
      <c r="J40" s="102">
        <v>54000000</v>
      </c>
      <c r="K40" s="139">
        <f t="shared" si="1"/>
        <v>20652472.794318438</v>
      </c>
      <c r="L40" s="105">
        <v>1.7999999999999999E-2</v>
      </c>
      <c r="M40" s="38">
        <v>0</v>
      </c>
      <c r="N40" s="118">
        <f t="shared" si="4"/>
        <v>8370.5471685861594</v>
      </c>
      <c r="O40" s="82">
        <v>4.0000000000000001E-3</v>
      </c>
      <c r="P40" s="194">
        <f t="shared" si="2"/>
        <v>8370.5471685861594</v>
      </c>
      <c r="Q40" s="153">
        <f t="shared" si="3"/>
        <v>20660843.341487024</v>
      </c>
      <c r="R40" s="104">
        <f t="shared" si="5"/>
        <v>75580000</v>
      </c>
      <c r="S40" s="104">
        <f t="shared" si="6"/>
        <v>74660843.34148702</v>
      </c>
      <c r="T40" s="89"/>
    </row>
    <row r="41" spans="1:20" s="18" customFormat="1" x14ac:dyDescent="0.3">
      <c r="B41" s="263"/>
      <c r="C41" s="28">
        <v>2</v>
      </c>
      <c r="D41" s="147">
        <v>0</v>
      </c>
      <c r="E41" s="147">
        <v>0</v>
      </c>
      <c r="F41" s="147">
        <v>300000</v>
      </c>
      <c r="G41" s="133">
        <v>300000</v>
      </c>
      <c r="H41" s="102">
        <v>0</v>
      </c>
      <c r="I41" s="102">
        <v>70000000</v>
      </c>
      <c r="J41" s="102">
        <v>54000000</v>
      </c>
      <c r="K41" s="139">
        <f t="shared" si="1"/>
        <v>21635017.304616168</v>
      </c>
      <c r="L41" s="105">
        <v>1.7999999999999999E-2</v>
      </c>
      <c r="M41" s="38">
        <v>0</v>
      </c>
      <c r="N41" s="118">
        <f t="shared" si="4"/>
        <v>8521.217017620711</v>
      </c>
      <c r="O41" s="25">
        <v>1.7999999999999999E-2</v>
      </c>
      <c r="P41" s="194">
        <f t="shared" si="2"/>
        <v>8521.217017620711</v>
      </c>
      <c r="Q41" s="153">
        <f t="shared" si="3"/>
        <v>21643538.521633789</v>
      </c>
      <c r="R41" s="104">
        <f t="shared" si="5"/>
        <v>70000000</v>
      </c>
      <c r="S41" s="104">
        <f t="shared" si="6"/>
        <v>75643538.521633789</v>
      </c>
      <c r="T41" s="87"/>
    </row>
    <row r="42" spans="1:20" s="18" customFormat="1" x14ac:dyDescent="0.3">
      <c r="B42" s="263"/>
      <c r="C42" s="28">
        <v>3</v>
      </c>
      <c r="D42" s="147">
        <v>0</v>
      </c>
      <c r="E42" s="147">
        <v>0</v>
      </c>
      <c r="F42" s="147">
        <v>300000</v>
      </c>
      <c r="G42" s="133">
        <v>300000</v>
      </c>
      <c r="H42" s="102">
        <v>0</v>
      </c>
      <c r="I42" s="102">
        <v>70000000</v>
      </c>
      <c r="J42" s="102">
        <v>54000000</v>
      </c>
      <c r="K42" s="139">
        <f t="shared" si="1"/>
        <v>22635247.616099261</v>
      </c>
      <c r="L42" s="105">
        <v>1.7999999999999999E-2</v>
      </c>
      <c r="M42" s="38">
        <v>0</v>
      </c>
      <c r="N42" s="118">
        <f t="shared" si="4"/>
        <v>8674.5989239378832</v>
      </c>
      <c r="O42" s="25">
        <v>1.7999999999999999E-2</v>
      </c>
      <c r="P42" s="194">
        <f t="shared" si="2"/>
        <v>8674.5989239378832</v>
      </c>
      <c r="Q42" s="153">
        <f t="shared" si="3"/>
        <v>22643922.215023197</v>
      </c>
      <c r="R42" s="104">
        <f t="shared" si="5"/>
        <v>70000000</v>
      </c>
      <c r="S42" s="104">
        <f t="shared" si="6"/>
        <v>76643922.21502319</v>
      </c>
      <c r="T42" s="87"/>
    </row>
    <row r="43" spans="1:20" s="18" customFormat="1" x14ac:dyDescent="0.3">
      <c r="B43" s="263"/>
      <c r="C43" s="28">
        <v>4</v>
      </c>
      <c r="D43" s="147">
        <v>0</v>
      </c>
      <c r="E43" s="147">
        <v>0</v>
      </c>
      <c r="F43" s="147">
        <v>300000</v>
      </c>
      <c r="G43" s="133">
        <v>300000</v>
      </c>
      <c r="H43" s="102">
        <v>0</v>
      </c>
      <c r="I43" s="102">
        <v>70000000</v>
      </c>
      <c r="J43" s="102">
        <v>54000000</v>
      </c>
      <c r="K43" s="139">
        <f t="shared" si="1"/>
        <v>23653482.073189046</v>
      </c>
      <c r="L43" s="105">
        <v>1.7999999999999999E-2</v>
      </c>
      <c r="M43" s="38">
        <v>0</v>
      </c>
      <c r="N43" s="118">
        <f t="shared" si="4"/>
        <v>8830.7417045687653</v>
      </c>
      <c r="O43" s="25">
        <v>1.7999999999999999E-2</v>
      </c>
      <c r="P43" s="194">
        <f t="shared" si="2"/>
        <v>8830.7417045687653</v>
      </c>
      <c r="Q43" s="153">
        <f t="shared" si="3"/>
        <v>23662312.814893615</v>
      </c>
      <c r="R43" s="104">
        <f t="shared" si="5"/>
        <v>70000000</v>
      </c>
      <c r="S43" s="104">
        <f t="shared" si="6"/>
        <v>77662312.814893618</v>
      </c>
      <c r="T43" s="87"/>
    </row>
    <row r="44" spans="1:20" s="18" customFormat="1" x14ac:dyDescent="0.3">
      <c r="B44" s="263"/>
      <c r="C44" s="28">
        <v>5</v>
      </c>
      <c r="D44" s="147">
        <v>0</v>
      </c>
      <c r="E44" s="147">
        <v>0</v>
      </c>
      <c r="F44" s="147">
        <v>300000</v>
      </c>
      <c r="G44" s="133">
        <v>300000</v>
      </c>
      <c r="H44" s="102">
        <v>0</v>
      </c>
      <c r="I44" s="102">
        <v>70000000</v>
      </c>
      <c r="J44" s="102">
        <v>54000000</v>
      </c>
      <c r="K44" s="139">
        <f t="shared" si="1"/>
        <v>24690044.750506449</v>
      </c>
      <c r="L44" s="105">
        <v>1.7999999999999999E-2</v>
      </c>
      <c r="M44" s="38">
        <v>0</v>
      </c>
      <c r="N44" s="118">
        <f t="shared" si="4"/>
        <v>8989.6950552510025</v>
      </c>
      <c r="O44" s="25">
        <v>1.7999999999999999E-2</v>
      </c>
      <c r="P44" s="194">
        <f t="shared" si="2"/>
        <v>8989.6950552510025</v>
      </c>
      <c r="Q44" s="153">
        <f t="shared" si="3"/>
        <v>24699034.4455617</v>
      </c>
      <c r="R44" s="104">
        <f t="shared" si="5"/>
        <v>70000000</v>
      </c>
      <c r="S44" s="104">
        <f t="shared" si="6"/>
        <v>78699034.445561707</v>
      </c>
      <c r="T44" s="87"/>
    </row>
    <row r="45" spans="1:20" s="18" customFormat="1" x14ac:dyDescent="0.3">
      <c r="B45" s="263"/>
      <c r="C45" s="28">
        <v>6</v>
      </c>
      <c r="D45" s="147">
        <v>0</v>
      </c>
      <c r="E45" s="147">
        <v>0</v>
      </c>
      <c r="F45" s="102">
        <v>300000</v>
      </c>
      <c r="G45" s="133">
        <v>300000</v>
      </c>
      <c r="H45" s="102">
        <v>0</v>
      </c>
      <c r="I45" s="102">
        <v>70000000</v>
      </c>
      <c r="J45" s="102">
        <v>54000000</v>
      </c>
      <c r="K45" s="139">
        <f t="shared" si="1"/>
        <v>25745265.556015566</v>
      </c>
      <c r="L45" s="105">
        <v>1.7999999999999999E-2</v>
      </c>
      <c r="M45" s="38">
        <v>0</v>
      </c>
      <c r="N45" s="118">
        <f t="shared" si="4"/>
        <v>9151.5095662455205</v>
      </c>
      <c r="O45" s="25">
        <v>1.7999999999999999E-2</v>
      </c>
      <c r="P45" s="194">
        <f t="shared" si="2"/>
        <v>9151.5095662455205</v>
      </c>
      <c r="Q45" s="153">
        <f t="shared" si="3"/>
        <v>25754417.06558181</v>
      </c>
      <c r="R45" s="104">
        <f t="shared" si="5"/>
        <v>70000000</v>
      </c>
      <c r="S45" s="104">
        <f t="shared" si="6"/>
        <v>79754417.065581813</v>
      </c>
      <c r="T45" s="87"/>
    </row>
    <row r="46" spans="1:20" s="18" customFormat="1" x14ac:dyDescent="0.3">
      <c r="B46" s="263"/>
      <c r="C46" s="28">
        <v>7</v>
      </c>
      <c r="D46" s="147">
        <v>0</v>
      </c>
      <c r="E46" s="147">
        <v>0</v>
      </c>
      <c r="F46" s="102">
        <v>300000</v>
      </c>
      <c r="G46" s="133">
        <v>300000</v>
      </c>
      <c r="H46" s="102">
        <v>0</v>
      </c>
      <c r="I46" s="102">
        <v>70000000</v>
      </c>
      <c r="J46" s="102">
        <v>54000000</v>
      </c>
      <c r="K46" s="139">
        <f t="shared" si="1"/>
        <v>26819480.336023845</v>
      </c>
      <c r="L46" s="105">
        <v>1.7999999999999999E-2</v>
      </c>
      <c r="M46" s="38">
        <v>0</v>
      </c>
      <c r="N46" s="118">
        <f t="shared" si="4"/>
        <v>9316.2367384379395</v>
      </c>
      <c r="O46" s="25">
        <v>1.7999999999999999E-2</v>
      </c>
      <c r="P46" s="194">
        <f t="shared" si="2"/>
        <v>9316.2367384379395</v>
      </c>
      <c r="Q46" s="153">
        <f t="shared" si="3"/>
        <v>26828796.572762284</v>
      </c>
      <c r="R46" s="104">
        <f t="shared" si="5"/>
        <v>70000000</v>
      </c>
      <c r="S46" s="104">
        <f t="shared" si="6"/>
        <v>80828796.572762281</v>
      </c>
      <c r="T46" s="87"/>
    </row>
    <row r="47" spans="1:20" s="18" customFormat="1" x14ac:dyDescent="0.3">
      <c r="B47" s="263"/>
      <c r="C47" s="28">
        <v>8</v>
      </c>
      <c r="D47" s="147">
        <v>0</v>
      </c>
      <c r="E47" s="147">
        <v>0</v>
      </c>
      <c r="F47" s="102">
        <v>300000</v>
      </c>
      <c r="G47" s="133">
        <v>300000</v>
      </c>
      <c r="H47" s="102">
        <v>0</v>
      </c>
      <c r="I47" s="102">
        <v>70000000</v>
      </c>
      <c r="J47" s="102">
        <v>54000000</v>
      </c>
      <c r="K47" s="139">
        <f t="shared" si="1"/>
        <v>27913030.982072275</v>
      </c>
      <c r="L47" s="105">
        <v>1.7999999999999999E-2</v>
      </c>
      <c r="M47" s="38">
        <v>0</v>
      </c>
      <c r="N47" s="118">
        <f t="shared" si="4"/>
        <v>9483.928999729822</v>
      </c>
      <c r="O47" s="25">
        <v>1.7999999999999999E-2</v>
      </c>
      <c r="P47" s="194">
        <f t="shared" si="2"/>
        <v>9483.928999729822</v>
      </c>
      <c r="Q47" s="153">
        <f t="shared" si="3"/>
        <v>27922514.911072005</v>
      </c>
      <c r="R47" s="104">
        <f t="shared" si="5"/>
        <v>70000000</v>
      </c>
      <c r="S47" s="104">
        <f t="shared" si="6"/>
        <v>81922514.911072001</v>
      </c>
      <c r="T47" s="87"/>
    </row>
    <row r="48" spans="1:20" s="78" customFormat="1" x14ac:dyDescent="0.3">
      <c r="B48" s="263"/>
      <c r="C48" s="107">
        <v>9</v>
      </c>
      <c r="D48" s="147">
        <v>0</v>
      </c>
      <c r="E48" s="147">
        <v>0</v>
      </c>
      <c r="F48" s="102">
        <v>300000</v>
      </c>
      <c r="G48" s="133">
        <v>300000</v>
      </c>
      <c r="H48" s="102">
        <v>0</v>
      </c>
      <c r="I48" s="102">
        <v>70000000</v>
      </c>
      <c r="J48" s="102">
        <v>54000000</v>
      </c>
      <c r="K48" s="139">
        <f t="shared" si="1"/>
        <v>29026265.539749578</v>
      </c>
      <c r="L48" s="77">
        <v>1.7999999999999999E-2</v>
      </c>
      <c r="M48" s="38">
        <v>0</v>
      </c>
      <c r="N48" s="118">
        <f t="shared" si="4"/>
        <v>9654.6397217249596</v>
      </c>
      <c r="O48" s="108">
        <v>1.7999999999999999E-2</v>
      </c>
      <c r="P48" s="194">
        <f t="shared" si="2"/>
        <v>9654.6397217249596</v>
      </c>
      <c r="Q48" s="153">
        <f t="shared" si="3"/>
        <v>29035920.179471303</v>
      </c>
      <c r="R48" s="104">
        <f t="shared" si="5"/>
        <v>70000000</v>
      </c>
      <c r="S48" s="104">
        <f t="shared" si="6"/>
        <v>83035920.179471299</v>
      </c>
      <c r="T48" s="109"/>
    </row>
    <row r="49" spans="1:20" s="155" customFormat="1" x14ac:dyDescent="0.3">
      <c r="B49" s="263"/>
      <c r="C49" s="217">
        <v>10</v>
      </c>
      <c r="D49" s="218">
        <v>0</v>
      </c>
      <c r="E49" s="218">
        <v>0</v>
      </c>
      <c r="F49" s="220">
        <v>300000</v>
      </c>
      <c r="G49" s="219">
        <v>300000</v>
      </c>
      <c r="H49" s="220">
        <v>0</v>
      </c>
      <c r="I49" s="220">
        <v>230000000</v>
      </c>
      <c r="J49" s="220">
        <v>70000000</v>
      </c>
      <c r="K49" s="221">
        <f t="shared" si="1"/>
        <v>30159538.319465071</v>
      </c>
      <c r="L49" s="222">
        <v>1.7999999999999999E-2</v>
      </c>
      <c r="M49" s="223">
        <v>0</v>
      </c>
      <c r="N49" s="224">
        <f t="shared" si="4"/>
        <v>9828.4232367160093</v>
      </c>
      <c r="O49" s="225">
        <v>1.7999999999999999E-2</v>
      </c>
      <c r="P49" s="223">
        <f t="shared" si="2"/>
        <v>9828.4232367160093</v>
      </c>
      <c r="Q49" s="226">
        <f t="shared" si="3"/>
        <v>30169366.742701788</v>
      </c>
      <c r="R49" s="220">
        <f t="shared" si="5"/>
        <v>230000000</v>
      </c>
      <c r="S49" s="220">
        <f t="shared" si="6"/>
        <v>100169366.74270178</v>
      </c>
      <c r="T49" s="227"/>
    </row>
    <row r="50" spans="1:20" s="29" customFormat="1" ht="17.25" thickBot="1" x14ac:dyDescent="0.35">
      <c r="B50" s="263"/>
      <c r="C50" s="30">
        <v>11</v>
      </c>
      <c r="D50" s="147">
        <v>0</v>
      </c>
      <c r="E50" s="147">
        <v>0</v>
      </c>
      <c r="F50" s="102">
        <v>300000</v>
      </c>
      <c r="G50" s="133">
        <v>300000</v>
      </c>
      <c r="H50" s="102">
        <v>0</v>
      </c>
      <c r="I50" s="102">
        <v>230000000</v>
      </c>
      <c r="J50" s="102">
        <v>70000000</v>
      </c>
      <c r="K50" s="139">
        <f t="shared" si="1"/>
        <v>31313210.009215441</v>
      </c>
      <c r="L50" s="105">
        <v>1.7999999999999999E-2</v>
      </c>
      <c r="M50" s="38">
        <v>0</v>
      </c>
      <c r="N50" s="118">
        <f t="shared" si="4"/>
        <v>10005.334854976898</v>
      </c>
      <c r="O50" s="83">
        <v>1.7999999999999999E-2</v>
      </c>
      <c r="P50" s="194">
        <f t="shared" si="2"/>
        <v>10005.334854976898</v>
      </c>
      <c r="Q50" s="153">
        <f t="shared" si="3"/>
        <v>31323215.344070416</v>
      </c>
      <c r="R50" s="104">
        <f t="shared" si="5"/>
        <v>230000000</v>
      </c>
      <c r="S50" s="104">
        <f t="shared" si="6"/>
        <v>101323215.34407042</v>
      </c>
      <c r="T50" s="88"/>
    </row>
    <row r="51" spans="1:20" s="96" customFormat="1" ht="17.25" thickBot="1" x14ac:dyDescent="0.35">
      <c r="A51" s="91"/>
      <c r="B51" s="263"/>
      <c r="C51" s="92">
        <v>12</v>
      </c>
      <c r="D51" s="147">
        <v>0</v>
      </c>
      <c r="E51" s="218">
        <v>0</v>
      </c>
      <c r="F51" s="102">
        <v>300000</v>
      </c>
      <c r="G51" s="133">
        <v>300000</v>
      </c>
      <c r="H51" s="102">
        <v>0</v>
      </c>
      <c r="I51" s="102">
        <v>230000000</v>
      </c>
      <c r="J51" s="102">
        <v>70000000</v>
      </c>
      <c r="K51" s="140">
        <f t="shared" si="1"/>
        <v>32487647.789381318</v>
      </c>
      <c r="L51" s="93">
        <v>1.7999999999999999E-2</v>
      </c>
      <c r="M51" s="38">
        <v>0</v>
      </c>
      <c r="N51" s="118">
        <f t="shared" si="4"/>
        <v>10185.430882366481</v>
      </c>
      <c r="O51" s="94">
        <v>1.7999999999999999E-2</v>
      </c>
      <c r="P51" s="194">
        <f t="shared" si="2"/>
        <v>10185.430882366481</v>
      </c>
      <c r="Q51" s="153">
        <f t="shared" si="3"/>
        <v>32497833.220263686</v>
      </c>
      <c r="R51" s="104">
        <f t="shared" si="5"/>
        <v>230000000</v>
      </c>
      <c r="S51" s="104">
        <f t="shared" si="6"/>
        <v>102497833.22026369</v>
      </c>
      <c r="T51" s="95"/>
    </row>
    <row r="52" spans="1:20" s="26" customFormat="1" x14ac:dyDescent="0.3">
      <c r="A52" s="26">
        <v>4</v>
      </c>
      <c r="B52" s="263">
        <v>2026</v>
      </c>
      <c r="C52" s="27">
        <v>1</v>
      </c>
      <c r="D52" s="147">
        <v>0</v>
      </c>
      <c r="E52" s="147">
        <v>0</v>
      </c>
      <c r="F52" s="102">
        <v>300000</v>
      </c>
      <c r="G52" s="133">
        <v>300000</v>
      </c>
      <c r="H52" s="102">
        <v>0</v>
      </c>
      <c r="I52" s="102">
        <v>230000000</v>
      </c>
      <c r="J52" s="102">
        <v>70000000</v>
      </c>
      <c r="K52" s="139">
        <f t="shared" si="1"/>
        <v>33683225.449590184</v>
      </c>
      <c r="L52" s="105">
        <v>1.7999999999999999E-2</v>
      </c>
      <c r="M52" s="38">
        <v>0</v>
      </c>
      <c r="N52" s="118">
        <f t="shared" si="4"/>
        <v>10226.172605895947</v>
      </c>
      <c r="O52" s="82">
        <v>4.0000000000000001E-3</v>
      </c>
      <c r="P52" s="194">
        <f t="shared" si="2"/>
        <v>10226.172605895947</v>
      </c>
      <c r="Q52" s="153">
        <f t="shared" si="3"/>
        <v>33693451.622196078</v>
      </c>
      <c r="R52" s="104">
        <f t="shared" si="5"/>
        <v>230000000</v>
      </c>
      <c r="S52" s="104">
        <f t="shared" si="6"/>
        <v>103693451.62219608</v>
      </c>
      <c r="T52" s="89"/>
    </row>
    <row r="53" spans="1:20" s="31" customFormat="1" x14ac:dyDescent="0.3">
      <c r="B53" s="263"/>
      <c r="C53" s="32">
        <v>2</v>
      </c>
      <c r="D53" s="147">
        <v>0</v>
      </c>
      <c r="E53" s="147">
        <v>0</v>
      </c>
      <c r="F53" s="102">
        <v>300000</v>
      </c>
      <c r="G53" s="133">
        <v>300000</v>
      </c>
      <c r="H53" s="102">
        <v>0</v>
      </c>
      <c r="I53" s="102">
        <v>230000000</v>
      </c>
      <c r="J53" s="102">
        <v>70000000</v>
      </c>
      <c r="K53" s="139">
        <f t="shared" si="1"/>
        <v>34900323.507682808</v>
      </c>
      <c r="L53" s="105">
        <v>1.7999999999999999E-2</v>
      </c>
      <c r="M53" s="38">
        <v>0</v>
      </c>
      <c r="N53" s="118">
        <f t="shared" si="4"/>
        <v>10410.243712802074</v>
      </c>
      <c r="O53" s="25">
        <v>1.7999999999999999E-2</v>
      </c>
      <c r="P53" s="194">
        <f t="shared" si="2"/>
        <v>10410.243712802074</v>
      </c>
      <c r="Q53" s="153">
        <f t="shared" si="3"/>
        <v>34910733.751395613</v>
      </c>
      <c r="R53" s="104">
        <f t="shared" si="5"/>
        <v>230000000</v>
      </c>
      <c r="S53" s="104">
        <f t="shared" si="6"/>
        <v>104910733.75139561</v>
      </c>
      <c r="T53" s="90"/>
    </row>
    <row r="54" spans="1:20" s="18" customFormat="1" x14ac:dyDescent="0.3">
      <c r="B54" s="263"/>
      <c r="C54" s="28">
        <v>3</v>
      </c>
      <c r="D54" s="147">
        <v>0</v>
      </c>
      <c r="E54" s="147">
        <v>0</v>
      </c>
      <c r="F54" s="102">
        <v>300000</v>
      </c>
      <c r="G54" s="133">
        <v>300000</v>
      </c>
      <c r="H54" s="102">
        <v>0</v>
      </c>
      <c r="I54" s="102">
        <v>230000000</v>
      </c>
      <c r="J54" s="102">
        <v>70000000</v>
      </c>
      <c r="K54" s="139">
        <f t="shared" si="1"/>
        <v>36139329.330821097</v>
      </c>
      <c r="L54" s="105">
        <v>1.7999999999999999E-2</v>
      </c>
      <c r="M54" s="38">
        <v>0</v>
      </c>
      <c r="N54" s="118">
        <f t="shared" si="4"/>
        <v>10597.628099632511</v>
      </c>
      <c r="O54" s="25">
        <v>1.7999999999999999E-2</v>
      </c>
      <c r="P54" s="194">
        <f t="shared" si="2"/>
        <v>10597.628099632511</v>
      </c>
      <c r="Q54" s="153">
        <f t="shared" si="3"/>
        <v>36149926.958920732</v>
      </c>
      <c r="R54" s="104">
        <f t="shared" si="5"/>
        <v>230000000</v>
      </c>
      <c r="S54" s="104">
        <f t="shared" si="6"/>
        <v>106149926.95892073</v>
      </c>
      <c r="T54" s="87"/>
    </row>
    <row r="55" spans="1:20" s="18" customFormat="1" x14ac:dyDescent="0.3">
      <c r="B55" s="263"/>
      <c r="C55" s="28">
        <v>4</v>
      </c>
      <c r="D55" s="147">
        <v>0</v>
      </c>
      <c r="E55" s="147">
        <v>0</v>
      </c>
      <c r="F55" s="102">
        <v>300000</v>
      </c>
      <c r="G55" s="133">
        <v>300000</v>
      </c>
      <c r="H55" s="102">
        <v>0</v>
      </c>
      <c r="I55" s="102">
        <v>230000000</v>
      </c>
      <c r="J55" s="102">
        <v>70000000</v>
      </c>
      <c r="K55" s="139">
        <f t="shared" si="1"/>
        <v>37400637.258775875</v>
      </c>
      <c r="L55" s="105">
        <v>1.7999999999999999E-2</v>
      </c>
      <c r="M55" s="38">
        <v>0</v>
      </c>
      <c r="N55" s="118">
        <f t="shared" si="4"/>
        <v>10788.385405425897</v>
      </c>
      <c r="O55" s="25">
        <v>1.7999999999999999E-2</v>
      </c>
      <c r="P55" s="194">
        <f t="shared" si="2"/>
        <v>10788.385405425897</v>
      </c>
      <c r="Q55" s="153">
        <f t="shared" si="3"/>
        <v>37411425.644181304</v>
      </c>
      <c r="R55" s="104">
        <f t="shared" si="5"/>
        <v>230000000</v>
      </c>
      <c r="S55" s="104">
        <f t="shared" si="6"/>
        <v>107411425.64418131</v>
      </c>
      <c r="T55" s="87"/>
    </row>
    <row r="56" spans="1:20" s="18" customFormat="1" x14ac:dyDescent="0.3">
      <c r="B56" s="263"/>
      <c r="C56" s="28">
        <v>5</v>
      </c>
      <c r="D56" s="147">
        <v>0</v>
      </c>
      <c r="E56" s="147">
        <v>0</v>
      </c>
      <c r="F56" s="102">
        <v>300000</v>
      </c>
      <c r="G56" s="133">
        <v>300000</v>
      </c>
      <c r="H56" s="102">
        <v>0</v>
      </c>
      <c r="I56" s="102">
        <v>230000000</v>
      </c>
      <c r="J56" s="102">
        <v>70000000</v>
      </c>
      <c r="K56" s="139">
        <f t="shared" si="1"/>
        <v>38684648.729433842</v>
      </c>
      <c r="L56" s="105">
        <v>1.7999999999999999E-2</v>
      </c>
      <c r="M56" s="38">
        <v>0</v>
      </c>
      <c r="N56" s="118">
        <f t="shared" si="4"/>
        <v>10982.576342723563</v>
      </c>
      <c r="O56" s="25">
        <v>1.7999999999999999E-2</v>
      </c>
      <c r="P56" s="194">
        <f t="shared" si="2"/>
        <v>10982.576342723563</v>
      </c>
      <c r="Q56" s="153">
        <f t="shared" si="3"/>
        <v>38695631.305776566</v>
      </c>
      <c r="R56" s="104">
        <f t="shared" si="5"/>
        <v>230000000</v>
      </c>
      <c r="S56" s="104">
        <f t="shared" si="6"/>
        <v>108695631.30577657</v>
      </c>
      <c r="T56" s="87"/>
    </row>
    <row r="57" spans="1:20" s="18" customFormat="1" x14ac:dyDescent="0.3">
      <c r="B57" s="263"/>
      <c r="C57" s="28">
        <v>6</v>
      </c>
      <c r="D57" s="147">
        <v>0</v>
      </c>
      <c r="E57" s="147">
        <v>0</v>
      </c>
      <c r="F57" s="102">
        <v>300000</v>
      </c>
      <c r="G57" s="133">
        <v>300000</v>
      </c>
      <c r="H57" s="102">
        <v>0</v>
      </c>
      <c r="I57" s="102">
        <v>230000000</v>
      </c>
      <c r="J57" s="102">
        <v>70000000</v>
      </c>
      <c r="K57" s="139">
        <f t="shared" si="1"/>
        <v>39991772.406563655</v>
      </c>
      <c r="L57" s="105">
        <v>1.7999999999999999E-2</v>
      </c>
      <c r="M57" s="38">
        <v>0</v>
      </c>
      <c r="N57" s="118">
        <f t="shared" si="4"/>
        <v>11180.262716892588</v>
      </c>
      <c r="O57" s="25">
        <v>1.7999999999999999E-2</v>
      </c>
      <c r="P57" s="194">
        <f t="shared" si="2"/>
        <v>11180.262716892588</v>
      </c>
      <c r="Q57" s="153">
        <f t="shared" si="3"/>
        <v>40002952.669280544</v>
      </c>
      <c r="R57" s="104">
        <f t="shared" si="5"/>
        <v>230000000</v>
      </c>
      <c r="S57" s="104">
        <f t="shared" si="6"/>
        <v>110002952.66928054</v>
      </c>
      <c r="T57" s="87"/>
    </row>
    <row r="58" spans="1:20" s="18" customFormat="1" x14ac:dyDescent="0.3">
      <c r="B58" s="263"/>
      <c r="C58" s="28">
        <v>7</v>
      </c>
      <c r="D58" s="147">
        <v>0</v>
      </c>
      <c r="E58" s="147">
        <v>0</v>
      </c>
      <c r="F58" s="102">
        <v>300000</v>
      </c>
      <c r="G58" s="133">
        <v>300000</v>
      </c>
      <c r="H58" s="102">
        <v>0</v>
      </c>
      <c r="I58" s="102">
        <v>230000000</v>
      </c>
      <c r="J58" s="102">
        <v>70000000</v>
      </c>
      <c r="K58" s="139">
        <f t="shared" si="1"/>
        <v>41322424.309881799</v>
      </c>
      <c r="L58" s="105">
        <v>1.7999999999999999E-2</v>
      </c>
      <c r="M58" s="38">
        <v>0</v>
      </c>
      <c r="N58" s="118">
        <f t="shared" si="4"/>
        <v>11381.507445796655</v>
      </c>
      <c r="O58" s="25">
        <v>1.7999999999999999E-2</v>
      </c>
      <c r="P58" s="194">
        <f t="shared" si="2"/>
        <v>11381.507445796655</v>
      </c>
      <c r="Q58" s="153">
        <f t="shared" si="3"/>
        <v>41333805.817327596</v>
      </c>
      <c r="R58" s="104">
        <f t="shared" si="5"/>
        <v>230000000</v>
      </c>
      <c r="S58" s="104">
        <f t="shared" si="6"/>
        <v>111333805.81732759</v>
      </c>
      <c r="T58" s="87"/>
    </row>
    <row r="59" spans="1:20" s="18" customFormat="1" x14ac:dyDescent="0.3">
      <c r="B59" s="263"/>
      <c r="C59" s="28">
        <v>8</v>
      </c>
      <c r="D59" s="147">
        <v>0</v>
      </c>
      <c r="E59" s="147">
        <v>0</v>
      </c>
      <c r="F59" s="102">
        <v>300000</v>
      </c>
      <c r="G59" s="133">
        <v>300000</v>
      </c>
      <c r="H59" s="102">
        <v>0</v>
      </c>
      <c r="I59" s="102">
        <v>230000000</v>
      </c>
      <c r="J59" s="102">
        <v>70000000</v>
      </c>
      <c r="K59" s="139">
        <f t="shared" si="1"/>
        <v>42677027.947459668</v>
      </c>
      <c r="L59" s="105">
        <v>1.7999999999999999E-2</v>
      </c>
      <c r="M59" s="38">
        <v>0</v>
      </c>
      <c r="N59" s="118">
        <f t="shared" si="4"/>
        <v>11586.374579820995</v>
      </c>
      <c r="O59" s="25">
        <v>1.7999999999999999E-2</v>
      </c>
      <c r="P59" s="194">
        <f t="shared" si="2"/>
        <v>11586.374579820995</v>
      </c>
      <c r="Q59" s="153">
        <f t="shared" si="3"/>
        <v>42688614.322039492</v>
      </c>
      <c r="R59" s="104">
        <f t="shared" si="5"/>
        <v>230000000</v>
      </c>
      <c r="S59" s="104">
        <f t="shared" si="6"/>
        <v>112688614.32203948</v>
      </c>
      <c r="T59" s="87"/>
    </row>
    <row r="60" spans="1:20" s="18" customFormat="1" x14ac:dyDescent="0.3">
      <c r="B60" s="263"/>
      <c r="C60" s="28">
        <v>9</v>
      </c>
      <c r="D60" s="147">
        <v>0</v>
      </c>
      <c r="E60" s="147">
        <v>0</v>
      </c>
      <c r="F60" s="102">
        <v>300000</v>
      </c>
      <c r="G60" s="133">
        <v>300000</v>
      </c>
      <c r="H60" s="102">
        <v>0</v>
      </c>
      <c r="I60" s="102">
        <v>230000000</v>
      </c>
      <c r="J60" s="102">
        <v>70000000</v>
      </c>
      <c r="K60" s="139">
        <f t="shared" si="1"/>
        <v>44056014.450513944</v>
      </c>
      <c r="L60" s="105">
        <v>1.7999999999999999E-2</v>
      </c>
      <c r="M60" s="38">
        <v>0</v>
      </c>
      <c r="N60" s="118">
        <f t="shared" si="4"/>
        <v>11794.929322257773</v>
      </c>
      <c r="O60" s="25">
        <v>1.7999999999999999E-2</v>
      </c>
      <c r="P60" s="194">
        <f t="shared" si="2"/>
        <v>11794.929322257773</v>
      </c>
      <c r="Q60" s="153">
        <f t="shared" si="3"/>
        <v>44067809.379836202</v>
      </c>
      <c r="R60" s="104">
        <f t="shared" si="5"/>
        <v>230000000</v>
      </c>
      <c r="S60" s="104">
        <f t="shared" si="6"/>
        <v>114067809.3798362</v>
      </c>
      <c r="T60" s="87"/>
    </row>
    <row r="61" spans="1:20" s="18" customFormat="1" x14ac:dyDescent="0.3">
      <c r="B61" s="263"/>
      <c r="C61" s="28">
        <v>10</v>
      </c>
      <c r="D61" s="147">
        <v>0</v>
      </c>
      <c r="E61" s="147">
        <v>0</v>
      </c>
      <c r="F61" s="102">
        <v>300000</v>
      </c>
      <c r="G61" s="133">
        <v>300000</v>
      </c>
      <c r="H61" s="102">
        <v>0</v>
      </c>
      <c r="I61" s="102">
        <v>230000000</v>
      </c>
      <c r="J61" s="102">
        <v>70000000</v>
      </c>
      <c r="K61" s="139">
        <f t="shared" si="1"/>
        <v>45459822.710623197</v>
      </c>
      <c r="L61" s="105">
        <v>1.7999999999999999E-2</v>
      </c>
      <c r="M61" s="38">
        <v>0</v>
      </c>
      <c r="N61" s="118">
        <f t="shared" si="4"/>
        <v>12007.238050058413</v>
      </c>
      <c r="O61" s="25">
        <v>1.7999999999999999E-2</v>
      </c>
      <c r="P61" s="194">
        <f t="shared" si="2"/>
        <v>12007.238050058413</v>
      </c>
      <c r="Q61" s="153">
        <f t="shared" si="3"/>
        <v>45471829.948673256</v>
      </c>
      <c r="R61" s="104">
        <f t="shared" si="5"/>
        <v>230000000</v>
      </c>
      <c r="S61" s="104">
        <f t="shared" si="6"/>
        <v>115471829.94867325</v>
      </c>
      <c r="T61" s="87"/>
    </row>
    <row r="62" spans="1:20" s="29" customFormat="1" ht="17.25" thickBot="1" x14ac:dyDescent="0.35">
      <c r="B62" s="263"/>
      <c r="C62" s="30">
        <v>11</v>
      </c>
      <c r="D62" s="147">
        <v>0</v>
      </c>
      <c r="E62" s="147">
        <v>0</v>
      </c>
      <c r="F62" s="102">
        <v>300000</v>
      </c>
      <c r="G62" s="133">
        <v>300000</v>
      </c>
      <c r="H62" s="102">
        <v>0</v>
      </c>
      <c r="I62" s="102">
        <v>230000000</v>
      </c>
      <c r="J62" s="102">
        <v>70000000</v>
      </c>
      <c r="K62" s="139">
        <f t="shared" si="1"/>
        <v>46888899.519414417</v>
      </c>
      <c r="L62" s="105">
        <v>1.7999999999999999E-2</v>
      </c>
      <c r="M62" s="38">
        <v>0</v>
      </c>
      <c r="N62" s="118">
        <f t="shared" si="4"/>
        <v>12223.368334959465</v>
      </c>
      <c r="O62" s="83">
        <v>1.7999999999999999E-2</v>
      </c>
      <c r="P62" s="194">
        <f t="shared" si="2"/>
        <v>12223.368334959465</v>
      </c>
      <c r="Q62" s="153">
        <f t="shared" si="3"/>
        <v>46901122.887749374</v>
      </c>
      <c r="R62" s="104">
        <f t="shared" si="5"/>
        <v>230000000</v>
      </c>
      <c r="S62" s="104">
        <f t="shared" si="6"/>
        <v>116901122.88774937</v>
      </c>
      <c r="T62" s="88"/>
    </row>
    <row r="63" spans="1:20" s="96" customFormat="1" ht="17.25" thickBot="1" x14ac:dyDescent="0.35">
      <c r="A63" s="91"/>
      <c r="B63" s="263"/>
      <c r="C63" s="92">
        <v>12</v>
      </c>
      <c r="D63" s="147">
        <v>0</v>
      </c>
      <c r="E63" s="148">
        <v>0</v>
      </c>
      <c r="F63" s="102">
        <v>300000</v>
      </c>
      <c r="G63" s="133">
        <v>300000</v>
      </c>
      <c r="H63" s="102">
        <v>0</v>
      </c>
      <c r="I63" s="102">
        <v>230000000</v>
      </c>
      <c r="J63" s="102">
        <v>70000000</v>
      </c>
      <c r="K63" s="140">
        <f t="shared" si="1"/>
        <v>48343699.710763879</v>
      </c>
      <c r="L63" s="93">
        <v>1.7999999999999999E-2</v>
      </c>
      <c r="M63" s="38">
        <v>0</v>
      </c>
      <c r="N63" s="118">
        <f t="shared" si="4"/>
        <v>12443.388964988735</v>
      </c>
      <c r="O63" s="94">
        <v>1.7999999999999999E-2</v>
      </c>
      <c r="P63" s="194">
        <f t="shared" si="2"/>
        <v>12443.388964988735</v>
      </c>
      <c r="Q63" s="153">
        <f t="shared" si="3"/>
        <v>48356143.099728867</v>
      </c>
      <c r="R63" s="104">
        <f t="shared" si="5"/>
        <v>230000000</v>
      </c>
      <c r="S63" s="104">
        <f t="shared" si="6"/>
        <v>118356143.09972887</v>
      </c>
      <c r="T63" s="95"/>
    </row>
    <row r="64" spans="1:20" s="26" customFormat="1" x14ac:dyDescent="0.3">
      <c r="A64" s="26">
        <v>6</v>
      </c>
      <c r="B64" s="263">
        <v>2027</v>
      </c>
      <c r="C64" s="27">
        <v>1</v>
      </c>
      <c r="D64" s="147">
        <v>0</v>
      </c>
      <c r="E64" s="147">
        <v>0</v>
      </c>
      <c r="F64" s="102">
        <v>300000</v>
      </c>
      <c r="G64" s="133">
        <v>300000</v>
      </c>
      <c r="H64" s="102">
        <v>0</v>
      </c>
      <c r="I64" s="102">
        <v>230000000</v>
      </c>
      <c r="J64" s="102">
        <v>70000000</v>
      </c>
      <c r="K64" s="139">
        <f t="shared" si="1"/>
        <v>49824686.305557631</v>
      </c>
      <c r="L64" s="105">
        <v>1.7999999999999999E-2</v>
      </c>
      <c r="M64" s="38">
        <v>0</v>
      </c>
      <c r="N64" s="118">
        <f t="shared" si="4"/>
        <v>12493.162520848689</v>
      </c>
      <c r="O64" s="82">
        <v>4.0000000000000001E-3</v>
      </c>
      <c r="P64" s="194">
        <f t="shared" si="2"/>
        <v>12493.162520848689</v>
      </c>
      <c r="Q64" s="153">
        <f t="shared" si="3"/>
        <v>49837179.468078479</v>
      </c>
      <c r="R64" s="104">
        <f t="shared" si="5"/>
        <v>230000000</v>
      </c>
      <c r="S64" s="104">
        <f t="shared" si="6"/>
        <v>119837179.46807848</v>
      </c>
      <c r="T64" s="89"/>
    </row>
    <row r="65" spans="1:20" s="18" customFormat="1" x14ac:dyDescent="0.3">
      <c r="B65" s="263"/>
      <c r="C65" s="28">
        <v>2</v>
      </c>
      <c r="D65" s="147">
        <v>0</v>
      </c>
      <c r="E65" s="147">
        <v>0</v>
      </c>
      <c r="F65" s="102">
        <v>300000</v>
      </c>
      <c r="G65" s="133">
        <v>300000</v>
      </c>
      <c r="H65" s="102">
        <v>0</v>
      </c>
      <c r="I65" s="102">
        <v>230000000</v>
      </c>
      <c r="J65" s="102">
        <v>70000000</v>
      </c>
      <c r="K65" s="139">
        <f t="shared" si="1"/>
        <v>51332330.659057669</v>
      </c>
      <c r="L65" s="105">
        <v>1.7999999999999999E-2</v>
      </c>
      <c r="M65" s="38">
        <v>0</v>
      </c>
      <c r="N65" s="118">
        <f t="shared" si="4"/>
        <v>12718.039446223966</v>
      </c>
      <c r="O65" s="25">
        <v>1.7999999999999999E-2</v>
      </c>
      <c r="P65" s="194">
        <f t="shared" si="2"/>
        <v>12718.039446223966</v>
      </c>
      <c r="Q65" s="153">
        <f t="shared" si="3"/>
        <v>51345048.698503897</v>
      </c>
      <c r="R65" s="104">
        <f t="shared" si="5"/>
        <v>230000000</v>
      </c>
      <c r="S65" s="104">
        <f t="shared" si="6"/>
        <v>121345048.6985039</v>
      </c>
      <c r="T65" s="87"/>
    </row>
    <row r="66" spans="1:20" s="18" customFormat="1" x14ac:dyDescent="0.3">
      <c r="B66" s="263"/>
      <c r="C66" s="28">
        <v>3</v>
      </c>
      <c r="D66" s="147">
        <v>0</v>
      </c>
      <c r="E66" s="147">
        <v>0</v>
      </c>
      <c r="F66" s="102">
        <v>300000</v>
      </c>
      <c r="G66" s="133">
        <v>300000</v>
      </c>
      <c r="H66" s="102">
        <v>0</v>
      </c>
      <c r="I66" s="102">
        <v>230000000</v>
      </c>
      <c r="J66" s="102">
        <v>70000000</v>
      </c>
      <c r="K66" s="139">
        <f t="shared" si="1"/>
        <v>52867112.610920705</v>
      </c>
      <c r="L66" s="105">
        <v>1.7999999999999999E-2</v>
      </c>
      <c r="M66" s="38">
        <v>0</v>
      </c>
      <c r="N66" s="118">
        <f t="shared" si="4"/>
        <v>12946.964156255997</v>
      </c>
      <c r="O66" s="25">
        <v>1.7999999999999999E-2</v>
      </c>
      <c r="P66" s="194">
        <f t="shared" si="2"/>
        <v>12946.964156255997</v>
      </c>
      <c r="Q66" s="153">
        <f t="shared" si="3"/>
        <v>52880059.57507696</v>
      </c>
      <c r="R66" s="104">
        <f t="shared" si="5"/>
        <v>230000000</v>
      </c>
      <c r="S66" s="104">
        <f t="shared" si="6"/>
        <v>122880059.57507697</v>
      </c>
      <c r="T66" s="87"/>
    </row>
    <row r="67" spans="1:20" s="18" customFormat="1" x14ac:dyDescent="0.3">
      <c r="B67" s="263"/>
      <c r="C67" s="28">
        <v>4</v>
      </c>
      <c r="D67" s="147">
        <v>0</v>
      </c>
      <c r="E67" s="147">
        <v>0</v>
      </c>
      <c r="F67" s="102">
        <v>300000</v>
      </c>
      <c r="G67" s="133">
        <v>300000</v>
      </c>
      <c r="H67" s="102">
        <v>0</v>
      </c>
      <c r="I67" s="102">
        <v>230000000</v>
      </c>
      <c r="J67" s="102">
        <v>70000000</v>
      </c>
      <c r="K67" s="139">
        <f t="shared" si="1"/>
        <v>54429520.63791728</v>
      </c>
      <c r="L67" s="105">
        <v>1.7999999999999999E-2</v>
      </c>
      <c r="M67" s="38">
        <v>0</v>
      </c>
      <c r="N67" s="118">
        <f t="shared" si="4"/>
        <v>13180.009511068605</v>
      </c>
      <c r="O67" s="25">
        <v>1.7999999999999999E-2</v>
      </c>
      <c r="P67" s="194">
        <f t="shared" si="2"/>
        <v>13180.009511068605</v>
      </c>
      <c r="Q67" s="153">
        <f t="shared" si="3"/>
        <v>54442700.647428349</v>
      </c>
      <c r="R67" s="104">
        <f t="shared" si="5"/>
        <v>230000000</v>
      </c>
      <c r="S67" s="104">
        <f t="shared" si="6"/>
        <v>124442700.64742835</v>
      </c>
      <c r="T67" s="87"/>
    </row>
    <row r="68" spans="1:20" s="18" customFormat="1" x14ac:dyDescent="0.3">
      <c r="B68" s="263"/>
      <c r="C68" s="28">
        <v>5</v>
      </c>
      <c r="D68" s="147">
        <v>0</v>
      </c>
      <c r="E68" s="147">
        <v>0</v>
      </c>
      <c r="F68" s="102">
        <v>300000</v>
      </c>
      <c r="G68" s="133">
        <v>300000</v>
      </c>
      <c r="H68" s="102">
        <v>0</v>
      </c>
      <c r="I68" s="102">
        <v>230000000</v>
      </c>
      <c r="J68" s="102">
        <v>70000000</v>
      </c>
      <c r="K68" s="139">
        <f t="shared" si="1"/>
        <v>56020052.009399794</v>
      </c>
      <c r="L68" s="105">
        <v>1.7999999999999999E-2</v>
      </c>
      <c r="M68" s="38">
        <v>0</v>
      </c>
      <c r="N68" s="118">
        <f t="shared" si="4"/>
        <v>13417.24968226784</v>
      </c>
      <c r="O68" s="25">
        <v>1.7999999999999999E-2</v>
      </c>
      <c r="P68" s="194">
        <f t="shared" si="2"/>
        <v>13417.24968226784</v>
      </c>
      <c r="Q68" s="153">
        <f t="shared" si="3"/>
        <v>56033469.259082064</v>
      </c>
      <c r="R68" s="104">
        <f t="shared" si="5"/>
        <v>230000000</v>
      </c>
      <c r="S68" s="104">
        <f t="shared" si="6"/>
        <v>126033469.25908206</v>
      </c>
      <c r="T68" s="87"/>
    </row>
    <row r="69" spans="1:20" s="18" customFormat="1" x14ac:dyDescent="0.3">
      <c r="B69" s="263"/>
      <c r="C69" s="28">
        <v>6</v>
      </c>
      <c r="D69" s="147">
        <v>0</v>
      </c>
      <c r="E69" s="147">
        <v>0</v>
      </c>
      <c r="F69" s="102">
        <v>300000</v>
      </c>
      <c r="G69" s="133">
        <v>300000</v>
      </c>
      <c r="H69" s="102">
        <v>0</v>
      </c>
      <c r="I69" s="102">
        <v>230000000</v>
      </c>
      <c r="J69" s="102">
        <v>70000000</v>
      </c>
      <c r="K69" s="139">
        <f t="shared" si="1"/>
        <v>57639212.945568994</v>
      </c>
      <c r="L69" s="105">
        <v>1.7999999999999999E-2</v>
      </c>
      <c r="M69" s="38">
        <v>0</v>
      </c>
      <c r="N69" s="118">
        <f t="shared" si="4"/>
        <v>13658.760176548662</v>
      </c>
      <c r="O69" s="25">
        <v>1.7999999999999999E-2</v>
      </c>
      <c r="P69" s="194">
        <f t="shared" si="2"/>
        <v>13658.760176548662</v>
      </c>
      <c r="Q69" s="153">
        <f t="shared" si="3"/>
        <v>57652871.705745541</v>
      </c>
      <c r="R69" s="104">
        <f t="shared" si="5"/>
        <v>230000000</v>
      </c>
      <c r="S69" s="104">
        <f t="shared" si="6"/>
        <v>127652871.70574555</v>
      </c>
      <c r="T69" s="87"/>
    </row>
    <row r="70" spans="1:20" s="18" customFormat="1" x14ac:dyDescent="0.3">
      <c r="B70" s="263"/>
      <c r="C70" s="28">
        <v>7</v>
      </c>
      <c r="D70" s="147">
        <v>0</v>
      </c>
      <c r="E70" s="147">
        <v>0</v>
      </c>
      <c r="F70" s="102">
        <v>300000</v>
      </c>
      <c r="G70" s="133">
        <v>300000</v>
      </c>
      <c r="H70" s="102">
        <v>0</v>
      </c>
      <c r="I70" s="102">
        <v>230000000</v>
      </c>
      <c r="J70" s="102">
        <v>70000000</v>
      </c>
      <c r="K70" s="139">
        <f t="shared" si="1"/>
        <v>59287518.778589234</v>
      </c>
      <c r="L70" s="105">
        <v>1.7999999999999999E-2</v>
      </c>
      <c r="M70" s="38">
        <v>0</v>
      </c>
      <c r="N70" s="118">
        <f t="shared" si="4"/>
        <v>13904.617859726537</v>
      </c>
      <c r="O70" s="25">
        <v>1.7999999999999999E-2</v>
      </c>
      <c r="P70" s="194">
        <f t="shared" si="2"/>
        <v>13904.617859726537</v>
      </c>
      <c r="Q70" s="153">
        <f t="shared" si="3"/>
        <v>59301423.396448962</v>
      </c>
      <c r="R70" s="104">
        <f t="shared" si="5"/>
        <v>230000000</v>
      </c>
      <c r="S70" s="104">
        <f t="shared" si="6"/>
        <v>129301423.39644897</v>
      </c>
      <c r="T70" s="87"/>
    </row>
    <row r="71" spans="1:20" s="18" customFormat="1" x14ac:dyDescent="0.3">
      <c r="B71" s="263"/>
      <c r="C71" s="28">
        <v>8</v>
      </c>
      <c r="D71" s="147">
        <v>0</v>
      </c>
      <c r="E71" s="147">
        <v>0</v>
      </c>
      <c r="F71" s="102">
        <v>300000</v>
      </c>
      <c r="G71" s="133">
        <v>300000</v>
      </c>
      <c r="H71" s="102">
        <v>0</v>
      </c>
      <c r="I71" s="102">
        <v>230000000</v>
      </c>
      <c r="J71" s="102">
        <v>70000000</v>
      </c>
      <c r="K71" s="139">
        <f t="shared" si="1"/>
        <v>60965494.116603836</v>
      </c>
      <c r="L71" s="105">
        <v>1.7999999999999999E-2</v>
      </c>
      <c r="M71" s="38">
        <v>0</v>
      </c>
      <c r="N71" s="118">
        <f t="shared" si="4"/>
        <v>14154.900981201614</v>
      </c>
      <c r="O71" s="25">
        <v>1.7999999999999999E-2</v>
      </c>
      <c r="P71" s="194">
        <f t="shared" si="2"/>
        <v>14154.900981201614</v>
      </c>
      <c r="Q71" s="153">
        <f t="shared" si="3"/>
        <v>60979649.017585039</v>
      </c>
      <c r="R71" s="104">
        <f t="shared" si="5"/>
        <v>230000000</v>
      </c>
      <c r="S71" s="104">
        <f t="shared" si="6"/>
        <v>130979649.01758504</v>
      </c>
      <c r="T71" s="87"/>
    </row>
    <row r="72" spans="1:20" s="18" customFormat="1" x14ac:dyDescent="0.3">
      <c r="B72" s="263"/>
      <c r="C72" s="28">
        <v>9</v>
      </c>
      <c r="D72" s="147">
        <v>0</v>
      </c>
      <c r="E72" s="147">
        <v>0</v>
      </c>
      <c r="F72" s="102">
        <v>300000</v>
      </c>
      <c r="G72" s="133">
        <v>300000</v>
      </c>
      <c r="H72" s="102">
        <v>0</v>
      </c>
      <c r="I72" s="102">
        <v>230000000</v>
      </c>
      <c r="J72" s="102">
        <v>70000000</v>
      </c>
      <c r="K72" s="139">
        <f t="shared" si="1"/>
        <v>62673673.010702707</v>
      </c>
      <c r="L72" s="105">
        <v>1.7999999999999999E-2</v>
      </c>
      <c r="M72" s="38">
        <v>0</v>
      </c>
      <c r="N72" s="118">
        <f t="shared" si="4"/>
        <v>14409.689198863243</v>
      </c>
      <c r="O72" s="25">
        <v>1.7999999999999999E-2</v>
      </c>
      <c r="P72" s="194">
        <f t="shared" si="2"/>
        <v>14409.689198863243</v>
      </c>
      <c r="Q72" s="153">
        <f t="shared" si="3"/>
        <v>62688082.699901573</v>
      </c>
      <c r="R72" s="104">
        <f t="shared" si="5"/>
        <v>230000000</v>
      </c>
      <c r="S72" s="104">
        <f t="shared" si="6"/>
        <v>132688082.69990158</v>
      </c>
      <c r="T72" s="87"/>
    </row>
    <row r="73" spans="1:20" s="170" customFormat="1" x14ac:dyDescent="0.3">
      <c r="B73" s="263"/>
      <c r="C73" s="171">
        <v>10</v>
      </c>
      <c r="D73" s="147">
        <v>0</v>
      </c>
      <c r="E73" s="172">
        <v>0</v>
      </c>
      <c r="F73" s="173">
        <v>300000</v>
      </c>
      <c r="G73" s="133">
        <v>300000</v>
      </c>
      <c r="H73" s="102">
        <v>0</v>
      </c>
      <c r="I73" s="102">
        <v>230000000</v>
      </c>
      <c r="J73" s="102">
        <v>70000000</v>
      </c>
      <c r="K73" s="174">
        <f t="shared" si="1"/>
        <v>64412599.124895357</v>
      </c>
      <c r="L73" s="175">
        <v>1.7999999999999999E-2</v>
      </c>
      <c r="M73" s="176">
        <v>0</v>
      </c>
      <c r="N73" s="177">
        <f t="shared" si="4"/>
        <v>14669.063604442781</v>
      </c>
      <c r="O73" s="178">
        <v>1.7999999999999999E-2</v>
      </c>
      <c r="P73" s="194">
        <f t="shared" si="2"/>
        <v>14669.063604442781</v>
      </c>
      <c r="Q73" s="179">
        <f t="shared" si="3"/>
        <v>64427268.188499801</v>
      </c>
      <c r="R73" s="173">
        <f t="shared" si="5"/>
        <v>230000000</v>
      </c>
      <c r="S73" s="173">
        <f t="shared" si="6"/>
        <v>134427268.18849981</v>
      </c>
      <c r="T73" s="180"/>
    </row>
    <row r="74" spans="1:20" s="29" customFormat="1" ht="17.25" thickBot="1" x14ac:dyDescent="0.35">
      <c r="B74" s="263"/>
      <c r="C74" s="30">
        <v>11</v>
      </c>
      <c r="D74" s="147">
        <v>0</v>
      </c>
      <c r="E74" s="147">
        <v>0</v>
      </c>
      <c r="F74" s="102">
        <v>300000</v>
      </c>
      <c r="G74" s="133">
        <v>300000</v>
      </c>
      <c r="H74" s="102">
        <v>0</v>
      </c>
      <c r="I74" s="102">
        <v>230000000</v>
      </c>
      <c r="J74" s="102">
        <v>70000000</v>
      </c>
      <c r="K74" s="139">
        <f t="shared" si="1"/>
        <v>66182825.90914347</v>
      </c>
      <c r="L74" s="105">
        <v>1.7999999999999999E-2</v>
      </c>
      <c r="M74" s="38">
        <v>0</v>
      </c>
      <c r="N74" s="118">
        <f t="shared" si="4"/>
        <v>14933.106749322751</v>
      </c>
      <c r="O74" s="83">
        <v>1.7999999999999999E-2</v>
      </c>
      <c r="P74" s="194">
        <f t="shared" si="2"/>
        <v>14933.106749322751</v>
      </c>
      <c r="Q74" s="153">
        <f t="shared" si="3"/>
        <v>66197759.015892796</v>
      </c>
      <c r="R74" s="104">
        <f t="shared" si="5"/>
        <v>230000000</v>
      </c>
      <c r="S74" s="104">
        <f t="shared" si="6"/>
        <v>136197759.0158928</v>
      </c>
      <c r="T74" s="88"/>
    </row>
    <row r="75" spans="1:20" s="96" customFormat="1" ht="17.25" thickBot="1" x14ac:dyDescent="0.35">
      <c r="A75" s="91"/>
      <c r="B75" s="263"/>
      <c r="C75" s="92">
        <v>12</v>
      </c>
      <c r="D75" s="147">
        <v>0</v>
      </c>
      <c r="E75" s="148">
        <v>0</v>
      </c>
      <c r="F75" s="102">
        <v>300000</v>
      </c>
      <c r="G75" s="133">
        <v>300000</v>
      </c>
      <c r="H75" s="102">
        <v>0</v>
      </c>
      <c r="I75" s="102">
        <v>230000000</v>
      </c>
      <c r="J75" s="102">
        <v>70000000</v>
      </c>
      <c r="K75" s="140">
        <f t="shared" si="1"/>
        <v>67984916.775508046</v>
      </c>
      <c r="L75" s="93">
        <v>1.7999999999999999E-2</v>
      </c>
      <c r="M75" s="38">
        <v>0</v>
      </c>
      <c r="N75" s="118">
        <f t="shared" si="4"/>
        <v>15201.902670810561</v>
      </c>
      <c r="O75" s="94">
        <v>1.7999999999999999E-2</v>
      </c>
      <c r="P75" s="194">
        <f t="shared" si="2"/>
        <v>15201.902670810561</v>
      </c>
      <c r="Q75" s="153">
        <f t="shared" si="3"/>
        <v>68000118.678178862</v>
      </c>
      <c r="R75" s="104">
        <f t="shared" si="5"/>
        <v>230000000</v>
      </c>
      <c r="S75" s="104">
        <f t="shared" si="6"/>
        <v>138000118.67817885</v>
      </c>
      <c r="T75" s="95"/>
    </row>
    <row r="76" spans="1:20" s="26" customFormat="1" x14ac:dyDescent="0.3">
      <c r="A76" s="26">
        <v>7</v>
      </c>
      <c r="B76" s="263">
        <v>2028</v>
      </c>
      <c r="C76" s="27">
        <v>1</v>
      </c>
      <c r="D76" s="147">
        <v>0</v>
      </c>
      <c r="E76" s="147">
        <v>0</v>
      </c>
      <c r="F76" s="102">
        <v>300000</v>
      </c>
      <c r="G76" s="133">
        <v>300000</v>
      </c>
      <c r="H76" s="102">
        <v>0</v>
      </c>
      <c r="I76" s="102">
        <v>230000000</v>
      </c>
      <c r="J76" s="102">
        <v>70000000</v>
      </c>
      <c r="K76" s="139">
        <f t="shared" si="1"/>
        <v>69819445.277467191</v>
      </c>
      <c r="L76" s="105">
        <v>1.7999999999999999E-2</v>
      </c>
      <c r="M76" s="38">
        <v>0</v>
      </c>
      <c r="N76" s="118">
        <f t="shared" si="4"/>
        <v>15262.710281493803</v>
      </c>
      <c r="O76" s="82">
        <v>4.0000000000000001E-3</v>
      </c>
      <c r="P76" s="194">
        <f t="shared" si="2"/>
        <v>15262.710281493803</v>
      </c>
      <c r="Q76" s="153">
        <f t="shared" si="3"/>
        <v>69834707.987748682</v>
      </c>
      <c r="R76" s="104">
        <f t="shared" si="5"/>
        <v>230000000</v>
      </c>
      <c r="S76" s="104">
        <f t="shared" si="6"/>
        <v>139834707.98774868</v>
      </c>
      <c r="T76" s="89"/>
    </row>
    <row r="77" spans="1:20" s="18" customFormat="1" x14ac:dyDescent="0.3">
      <c r="B77" s="263"/>
      <c r="C77" s="28">
        <v>2</v>
      </c>
      <c r="D77" s="147">
        <v>0</v>
      </c>
      <c r="E77" s="147">
        <v>0</v>
      </c>
      <c r="F77" s="102">
        <v>300000</v>
      </c>
      <c r="G77" s="133">
        <v>300000</v>
      </c>
      <c r="H77" s="102">
        <v>0</v>
      </c>
      <c r="I77" s="102">
        <v>230000000</v>
      </c>
      <c r="J77" s="102">
        <v>70000000</v>
      </c>
      <c r="K77" s="139">
        <f t="shared" si="1"/>
        <v>71686995.292461604</v>
      </c>
      <c r="L77" s="105">
        <v>1.7999999999999999E-2</v>
      </c>
      <c r="M77" s="38">
        <v>0</v>
      </c>
      <c r="N77" s="118">
        <f t="shared" si="4"/>
        <v>15537.439066560692</v>
      </c>
      <c r="O77" s="25">
        <v>1.7999999999999999E-2</v>
      </c>
      <c r="P77" s="194">
        <f t="shared" si="2"/>
        <v>15537.439066560692</v>
      </c>
      <c r="Q77" s="153">
        <f t="shared" si="3"/>
        <v>71702532.731528163</v>
      </c>
      <c r="R77" s="104">
        <f t="shared" si="5"/>
        <v>230000000</v>
      </c>
      <c r="S77" s="104">
        <f t="shared" si="6"/>
        <v>141702532.73152816</v>
      </c>
      <c r="T77" s="87"/>
    </row>
    <row r="78" spans="1:20" s="18" customFormat="1" x14ac:dyDescent="0.3">
      <c r="B78" s="263"/>
      <c r="C78" s="28">
        <v>3</v>
      </c>
      <c r="D78" s="147">
        <v>0</v>
      </c>
      <c r="E78" s="147">
        <v>0</v>
      </c>
      <c r="F78" s="102">
        <v>300000</v>
      </c>
      <c r="G78" s="133">
        <v>300000</v>
      </c>
      <c r="H78" s="102">
        <v>0</v>
      </c>
      <c r="I78" s="102">
        <v>230000000</v>
      </c>
      <c r="J78" s="102">
        <v>70000000</v>
      </c>
      <c r="K78" s="139">
        <f t="shared" si="1"/>
        <v>73588161.207725912</v>
      </c>
      <c r="L78" s="105">
        <v>1.7999999999999999E-2</v>
      </c>
      <c r="M78" s="38">
        <v>0</v>
      </c>
      <c r="N78" s="118">
        <f t="shared" si="4"/>
        <v>15817.112969758784</v>
      </c>
      <c r="O78" s="25">
        <v>1.7999999999999999E-2</v>
      </c>
      <c r="P78" s="194">
        <f t="shared" si="2"/>
        <v>15817.112969758784</v>
      </c>
      <c r="Q78" s="153">
        <f t="shared" si="3"/>
        <v>73603978.320695668</v>
      </c>
      <c r="R78" s="104">
        <f t="shared" si="5"/>
        <v>230000000</v>
      </c>
      <c r="S78" s="104">
        <f t="shared" si="6"/>
        <v>143603978.32069567</v>
      </c>
      <c r="T78" s="87"/>
    </row>
    <row r="79" spans="1:20" s="18" customFormat="1" x14ac:dyDescent="0.3">
      <c r="B79" s="263"/>
      <c r="C79" s="28">
        <v>4</v>
      </c>
      <c r="D79" s="147">
        <v>0</v>
      </c>
      <c r="E79" s="147">
        <v>0</v>
      </c>
      <c r="F79" s="102">
        <v>300000</v>
      </c>
      <c r="G79" s="133">
        <v>300000</v>
      </c>
      <c r="H79" s="102">
        <v>0</v>
      </c>
      <c r="I79" s="102">
        <v>230000000</v>
      </c>
      <c r="J79" s="102">
        <v>70000000</v>
      </c>
      <c r="K79" s="139">
        <f t="shared" si="1"/>
        <v>75523548.109464973</v>
      </c>
      <c r="L79" s="105">
        <v>1.7999999999999999E-2</v>
      </c>
      <c r="M79" s="38">
        <v>0</v>
      </c>
      <c r="N79" s="118">
        <f t="shared" si="4"/>
        <v>16101.821003214442</v>
      </c>
      <c r="O79" s="25">
        <v>1.7999999999999999E-2</v>
      </c>
      <c r="P79" s="194">
        <f t="shared" si="2"/>
        <v>16101.821003214442</v>
      </c>
      <c r="Q79" s="153">
        <f t="shared" si="3"/>
        <v>75539649.930468187</v>
      </c>
      <c r="R79" s="104">
        <f t="shared" si="5"/>
        <v>230000000</v>
      </c>
      <c r="S79" s="104">
        <f t="shared" si="6"/>
        <v>145539649.9304682</v>
      </c>
      <c r="T79" s="87"/>
    </row>
    <row r="80" spans="1:20" s="18" customFormat="1" x14ac:dyDescent="0.3">
      <c r="B80" s="263"/>
      <c r="C80" s="28">
        <v>5</v>
      </c>
      <c r="D80" s="147">
        <v>0</v>
      </c>
      <c r="E80" s="147">
        <v>0</v>
      </c>
      <c r="F80" s="102">
        <v>300000</v>
      </c>
      <c r="G80" s="133">
        <v>300000</v>
      </c>
      <c r="H80" s="102">
        <v>0</v>
      </c>
      <c r="I80" s="102">
        <v>230000000</v>
      </c>
      <c r="J80" s="102">
        <v>70000000</v>
      </c>
      <c r="K80" s="139">
        <f t="shared" si="1"/>
        <v>77493771.975435346</v>
      </c>
      <c r="L80" s="105">
        <v>1.7999999999999999E-2</v>
      </c>
      <c r="M80" s="38">
        <v>0</v>
      </c>
      <c r="N80" s="118">
        <f t="shared" si="4"/>
        <v>16391.6537812723</v>
      </c>
      <c r="O80" s="25">
        <v>1.7999999999999999E-2</v>
      </c>
      <c r="P80" s="194">
        <f t="shared" si="2"/>
        <v>16391.6537812723</v>
      </c>
      <c r="Q80" s="153">
        <f t="shared" si="3"/>
        <v>77510163.629216611</v>
      </c>
      <c r="R80" s="104">
        <f t="shared" si="5"/>
        <v>230000000</v>
      </c>
      <c r="S80" s="104">
        <f t="shared" si="6"/>
        <v>147510163.62921661</v>
      </c>
      <c r="T80" s="87"/>
    </row>
    <row r="81" spans="1:20" s="18" customFormat="1" x14ac:dyDescent="0.3">
      <c r="B81" s="263"/>
      <c r="C81" s="28">
        <v>6</v>
      </c>
      <c r="D81" s="147">
        <v>0</v>
      </c>
      <c r="E81" s="147">
        <v>0</v>
      </c>
      <c r="F81" s="102">
        <v>300000</v>
      </c>
      <c r="G81" s="133">
        <v>300000</v>
      </c>
      <c r="H81" s="102">
        <v>0</v>
      </c>
      <c r="I81" s="102">
        <v>230000000</v>
      </c>
      <c r="J81" s="102">
        <v>70000000</v>
      </c>
      <c r="K81" s="139">
        <f t="shared" si="1"/>
        <v>79499459.870993182</v>
      </c>
      <c r="L81" s="105">
        <v>1.7999999999999999E-2</v>
      </c>
      <c r="M81" s="38">
        <v>0</v>
      </c>
      <c r="N81" s="118">
        <f t="shared" si="4"/>
        <v>16686.703549335201</v>
      </c>
      <c r="O81" s="25">
        <v>1.7999999999999999E-2</v>
      </c>
      <c r="P81" s="194">
        <f t="shared" si="2"/>
        <v>16686.703549335201</v>
      </c>
      <c r="Q81" s="153">
        <f t="shared" si="3"/>
        <v>79516146.574542522</v>
      </c>
      <c r="R81" s="104">
        <f t="shared" si="5"/>
        <v>230000000</v>
      </c>
      <c r="S81" s="104">
        <f t="shared" si="6"/>
        <v>149516146.57454252</v>
      </c>
      <c r="T81" s="87"/>
    </row>
    <row r="82" spans="1:20" s="18" customFormat="1" x14ac:dyDescent="0.3">
      <c r="B82" s="263"/>
      <c r="C82" s="28">
        <v>7</v>
      </c>
      <c r="D82" s="147">
        <v>0</v>
      </c>
      <c r="E82" s="147">
        <v>0</v>
      </c>
      <c r="F82" s="102">
        <v>300000</v>
      </c>
      <c r="G82" s="133">
        <v>300000</v>
      </c>
      <c r="H82" s="102">
        <v>0</v>
      </c>
      <c r="I82" s="102">
        <v>230000000</v>
      </c>
      <c r="J82" s="102">
        <v>70000000</v>
      </c>
      <c r="K82" s="139">
        <f t="shared" si="1"/>
        <v>81541250.148671061</v>
      </c>
      <c r="L82" s="105">
        <v>1.7999999999999999E-2</v>
      </c>
      <c r="M82" s="38">
        <v>0</v>
      </c>
      <c r="N82" s="118">
        <f t="shared" si="4"/>
        <v>16987.064213223235</v>
      </c>
      <c r="O82" s="25">
        <v>1.7999999999999999E-2</v>
      </c>
      <c r="P82" s="194">
        <f t="shared" si="2"/>
        <v>16987.064213223235</v>
      </c>
      <c r="Q82" s="153">
        <f t="shared" si="3"/>
        <v>81558237.212884277</v>
      </c>
      <c r="R82" s="104">
        <f t="shared" si="5"/>
        <v>230000000</v>
      </c>
      <c r="S82" s="104">
        <f t="shared" si="6"/>
        <v>151558237.21288428</v>
      </c>
      <c r="T82" s="87"/>
    </row>
    <row r="83" spans="1:20" s="18" customFormat="1" x14ac:dyDescent="0.3">
      <c r="B83" s="263"/>
      <c r="C83" s="28">
        <v>8</v>
      </c>
      <c r="D83" s="147">
        <v>0</v>
      </c>
      <c r="E83" s="147">
        <v>0</v>
      </c>
      <c r="F83" s="102">
        <v>300000</v>
      </c>
      <c r="G83" s="133">
        <v>300000</v>
      </c>
      <c r="H83" s="102">
        <v>0</v>
      </c>
      <c r="I83" s="102">
        <v>230000000</v>
      </c>
      <c r="J83" s="102">
        <v>70000000</v>
      </c>
      <c r="K83" s="139">
        <f t="shared" si="1"/>
        <v>83619792.651347145</v>
      </c>
      <c r="L83" s="105">
        <v>1.7999999999999999E-2</v>
      </c>
      <c r="M83" s="38">
        <v>0</v>
      </c>
      <c r="N83" s="118">
        <f t="shared" si="4"/>
        <v>17292.831369061252</v>
      </c>
      <c r="O83" s="25">
        <v>1.7999999999999999E-2</v>
      </c>
      <c r="P83" s="194">
        <f t="shared" si="2"/>
        <v>17292.831369061252</v>
      </c>
      <c r="Q83" s="153">
        <f t="shared" si="3"/>
        <v>83637085.482716203</v>
      </c>
      <c r="R83" s="104">
        <f t="shared" si="5"/>
        <v>230000000</v>
      </c>
      <c r="S83" s="104">
        <f t="shared" si="6"/>
        <v>153637085.4827162</v>
      </c>
      <c r="T83" s="87"/>
    </row>
    <row r="84" spans="1:20" s="18" customFormat="1" x14ac:dyDescent="0.3">
      <c r="B84" s="263"/>
      <c r="C84" s="28">
        <v>9</v>
      </c>
      <c r="D84" s="147">
        <v>0</v>
      </c>
      <c r="E84" s="147">
        <v>0</v>
      </c>
      <c r="F84" s="102">
        <v>300000</v>
      </c>
      <c r="G84" s="133">
        <v>300000</v>
      </c>
      <c r="H84" s="102">
        <v>0</v>
      </c>
      <c r="I84" s="102">
        <v>230000000</v>
      </c>
      <c r="J84" s="102">
        <v>70000000</v>
      </c>
      <c r="K84" s="139">
        <f t="shared" si="1"/>
        <v>85735748.919071391</v>
      </c>
      <c r="L84" s="105">
        <v>1.7999999999999999E-2</v>
      </c>
      <c r="M84" s="38">
        <v>0</v>
      </c>
      <c r="N84" s="118">
        <f t="shared" si="4"/>
        <v>17604.102333704355</v>
      </c>
      <c r="O84" s="25">
        <v>1.7999999999999999E-2</v>
      </c>
      <c r="P84" s="194">
        <f t="shared" si="2"/>
        <v>17604.102333704355</v>
      </c>
      <c r="Q84" s="153">
        <f t="shared" si="3"/>
        <v>85753353.021405101</v>
      </c>
      <c r="R84" s="104">
        <f t="shared" si="5"/>
        <v>230000000</v>
      </c>
      <c r="S84" s="104">
        <f t="shared" si="6"/>
        <v>155753353.0214051</v>
      </c>
      <c r="T84" s="87"/>
    </row>
    <row r="85" spans="1:20" s="18" customFormat="1" x14ac:dyDescent="0.3">
      <c r="B85" s="263"/>
      <c r="C85" s="28">
        <v>10</v>
      </c>
      <c r="D85" s="147">
        <v>0</v>
      </c>
      <c r="E85" s="147">
        <v>0</v>
      </c>
      <c r="F85" s="102">
        <v>300000</v>
      </c>
      <c r="G85" s="133">
        <v>300000</v>
      </c>
      <c r="H85" s="102">
        <v>0</v>
      </c>
      <c r="I85" s="102">
        <v>230000000</v>
      </c>
      <c r="J85" s="102">
        <v>70000000</v>
      </c>
      <c r="K85" s="139">
        <f t="shared" si="1"/>
        <v>87889792.399614677</v>
      </c>
      <c r="L85" s="105">
        <v>1.7999999999999999E-2</v>
      </c>
      <c r="M85" s="38">
        <v>0</v>
      </c>
      <c r="N85" s="118">
        <f t="shared" si="4"/>
        <v>17920.976175711032</v>
      </c>
      <c r="O85" s="25">
        <v>1.7999999999999999E-2</v>
      </c>
      <c r="P85" s="194">
        <f t="shared" si="2"/>
        <v>17920.976175711032</v>
      </c>
      <c r="Q85" s="153">
        <f t="shared" si="3"/>
        <v>87907713.375790387</v>
      </c>
      <c r="R85" s="104">
        <f t="shared" si="5"/>
        <v>230000000</v>
      </c>
      <c r="S85" s="104">
        <f t="shared" si="6"/>
        <v>157907713.37579039</v>
      </c>
      <c r="T85" s="87"/>
    </row>
    <row r="86" spans="1:20" s="18" customFormat="1" ht="17.25" thickBot="1" x14ac:dyDescent="0.35">
      <c r="B86" s="263"/>
      <c r="C86" s="30">
        <v>11</v>
      </c>
      <c r="D86" s="147">
        <v>0</v>
      </c>
      <c r="E86" s="147">
        <v>0</v>
      </c>
      <c r="F86" s="102">
        <v>300000</v>
      </c>
      <c r="G86" s="133">
        <v>300000</v>
      </c>
      <c r="H86" s="102">
        <v>0</v>
      </c>
      <c r="I86" s="102">
        <v>230000000</v>
      </c>
      <c r="J86" s="102">
        <v>70000000</v>
      </c>
      <c r="K86" s="139">
        <f t="shared" ref="K86:K147" si="8" xml:space="preserve"> (K85 + G86 + F86) + ((K85 + G86 + F86) * L86 )</f>
        <v>90082608.662807748</v>
      </c>
      <c r="L86" s="105">
        <v>1.7999999999999999E-2</v>
      </c>
      <c r="M86" s="38">
        <v>0</v>
      </c>
      <c r="N86" s="118">
        <f t="shared" si="4"/>
        <v>18243.553746873829</v>
      </c>
      <c r="O86" s="83">
        <v>1.7999999999999999E-2</v>
      </c>
      <c r="P86" s="194">
        <f t="shared" ref="P86:P147" si="9" xml:space="preserve"> M86 + N86</f>
        <v>18243.553746873829</v>
      </c>
      <c r="Q86" s="153">
        <f t="shared" ref="Q86:Q147" si="10" xml:space="preserve"> K86 + P86</f>
        <v>90100852.216554627</v>
      </c>
      <c r="R86" s="104">
        <f t="shared" si="5"/>
        <v>230000000</v>
      </c>
      <c r="S86" s="104">
        <f t="shared" si="6"/>
        <v>160100852.21655464</v>
      </c>
      <c r="T86" s="87"/>
    </row>
    <row r="87" spans="1:20" s="97" customFormat="1" ht="17.25" thickBot="1" x14ac:dyDescent="0.35">
      <c r="B87" s="263"/>
      <c r="C87" s="92">
        <v>12</v>
      </c>
      <c r="D87" s="147">
        <v>0</v>
      </c>
      <c r="E87" s="148">
        <v>0</v>
      </c>
      <c r="F87" s="102">
        <v>300000</v>
      </c>
      <c r="G87" s="133">
        <v>300000</v>
      </c>
      <c r="H87" s="102">
        <v>0</v>
      </c>
      <c r="I87" s="102">
        <v>230000000</v>
      </c>
      <c r="J87" s="102">
        <v>70000000</v>
      </c>
      <c r="K87" s="140">
        <f t="shared" si="8"/>
        <v>92314895.618738294</v>
      </c>
      <c r="L87" s="93">
        <v>1.7999999999999999E-2</v>
      </c>
      <c r="M87" s="38">
        <v>0</v>
      </c>
      <c r="N87" s="118">
        <f t="shared" si="4"/>
        <v>18571.937714317559</v>
      </c>
      <c r="O87" s="94">
        <v>1.7999999999999999E-2</v>
      </c>
      <c r="P87" s="194">
        <f t="shared" si="9"/>
        <v>18571.937714317559</v>
      </c>
      <c r="Q87" s="153">
        <f t="shared" si="10"/>
        <v>92333467.556452617</v>
      </c>
      <c r="R87" s="104">
        <f t="shared" si="5"/>
        <v>230000000</v>
      </c>
      <c r="S87" s="104">
        <f t="shared" si="6"/>
        <v>162333467.55645263</v>
      </c>
      <c r="T87" s="110"/>
    </row>
    <row r="88" spans="1:20" s="18" customFormat="1" x14ac:dyDescent="0.3">
      <c r="A88" s="18">
        <v>8</v>
      </c>
      <c r="B88" s="263">
        <v>2029</v>
      </c>
      <c r="C88" s="27">
        <v>1</v>
      </c>
      <c r="D88" s="147">
        <v>0</v>
      </c>
      <c r="E88" s="147">
        <v>0</v>
      </c>
      <c r="F88" s="102">
        <v>300000</v>
      </c>
      <c r="G88" s="133">
        <v>300000</v>
      </c>
      <c r="H88" s="102">
        <v>0</v>
      </c>
      <c r="I88" s="102">
        <v>230000000</v>
      </c>
      <c r="J88" s="102">
        <v>70000000</v>
      </c>
      <c r="K88" s="139">
        <f t="shared" si="8"/>
        <v>94587363.739875585</v>
      </c>
      <c r="L88" s="105">
        <v>1.7999999999999999E-2</v>
      </c>
      <c r="M88" s="38">
        <v>0</v>
      </c>
      <c r="N88" s="118">
        <f t="shared" ref="N88:N147" si="11" xml:space="preserve"> (N87 + D88 - E88 - M88) + ((N87 + D88 - E88 - M88) * O88)</f>
        <v>18646.22546517483</v>
      </c>
      <c r="O88" s="82">
        <v>4.0000000000000001E-3</v>
      </c>
      <c r="P88" s="194">
        <f t="shared" si="9"/>
        <v>18646.22546517483</v>
      </c>
      <c r="Q88" s="153">
        <f t="shared" si="10"/>
        <v>94606009.965340763</v>
      </c>
      <c r="R88" s="104">
        <f t="shared" si="5"/>
        <v>230000000</v>
      </c>
      <c r="S88" s="104">
        <f t="shared" si="6"/>
        <v>164606009.96534076</v>
      </c>
      <c r="T88" s="87"/>
    </row>
    <row r="89" spans="1:20" s="18" customFormat="1" x14ac:dyDescent="0.3">
      <c r="B89" s="263"/>
      <c r="C89" s="28">
        <v>2</v>
      </c>
      <c r="D89" s="147">
        <v>0</v>
      </c>
      <c r="E89" s="147">
        <v>0</v>
      </c>
      <c r="F89" s="102">
        <v>300000</v>
      </c>
      <c r="G89" s="133">
        <v>300000</v>
      </c>
      <c r="H89" s="102">
        <v>0</v>
      </c>
      <c r="I89" s="102">
        <v>230000000</v>
      </c>
      <c r="J89" s="102">
        <v>70000000</v>
      </c>
      <c r="K89" s="139">
        <f t="shared" si="8"/>
        <v>96900736.287193343</v>
      </c>
      <c r="L89" s="105">
        <v>1.7999999999999999E-2</v>
      </c>
      <c r="M89" s="38">
        <v>0</v>
      </c>
      <c r="N89" s="118">
        <f t="shared" si="11"/>
        <v>18981.857523547977</v>
      </c>
      <c r="O89" s="25">
        <v>1.7999999999999999E-2</v>
      </c>
      <c r="P89" s="194">
        <f t="shared" si="9"/>
        <v>18981.857523547977</v>
      </c>
      <c r="Q89" s="153">
        <f t="shared" si="10"/>
        <v>96919718.144716889</v>
      </c>
      <c r="R89" s="104">
        <f t="shared" si="5"/>
        <v>230000000</v>
      </c>
      <c r="S89" s="104">
        <f t="shared" si="6"/>
        <v>166919718.14471689</v>
      </c>
      <c r="T89" s="87"/>
    </row>
    <row r="90" spans="1:20" s="18" customFormat="1" x14ac:dyDescent="0.3">
      <c r="B90" s="263"/>
      <c r="C90" s="28">
        <v>3</v>
      </c>
      <c r="D90" s="147">
        <v>0</v>
      </c>
      <c r="E90" s="147">
        <v>0</v>
      </c>
      <c r="F90" s="102">
        <v>300000</v>
      </c>
      <c r="G90" s="133">
        <v>300000</v>
      </c>
      <c r="H90" s="102">
        <v>0</v>
      </c>
      <c r="I90" s="102">
        <v>230000000</v>
      </c>
      <c r="J90" s="102">
        <v>70000000</v>
      </c>
      <c r="K90" s="139">
        <f t="shared" si="8"/>
        <v>99255749.54036282</v>
      </c>
      <c r="L90" s="105">
        <v>1.7999999999999999E-2</v>
      </c>
      <c r="M90" s="38">
        <v>0</v>
      </c>
      <c r="N90" s="118">
        <f t="shared" si="11"/>
        <v>19323.530958971842</v>
      </c>
      <c r="O90" s="25">
        <v>1.7999999999999999E-2</v>
      </c>
      <c r="P90" s="194">
        <f t="shared" si="9"/>
        <v>19323.530958971842</v>
      </c>
      <c r="Q90" s="153">
        <f t="shared" si="10"/>
        <v>99275073.071321785</v>
      </c>
      <c r="R90" s="104">
        <f t="shared" si="5"/>
        <v>230000000</v>
      </c>
      <c r="S90" s="104">
        <f t="shared" si="6"/>
        <v>169275073.07132179</v>
      </c>
      <c r="T90" s="87"/>
    </row>
    <row r="91" spans="1:20" s="18" customFormat="1" x14ac:dyDescent="0.3">
      <c r="B91" s="263"/>
      <c r="C91" s="28">
        <v>4</v>
      </c>
      <c r="D91" s="147">
        <v>0</v>
      </c>
      <c r="E91" s="147">
        <v>0</v>
      </c>
      <c r="F91" s="102">
        <v>300000</v>
      </c>
      <c r="G91" s="133">
        <v>300000</v>
      </c>
      <c r="H91" s="102">
        <v>0</v>
      </c>
      <c r="I91" s="102">
        <v>230000000</v>
      </c>
      <c r="J91" s="102">
        <v>70000000</v>
      </c>
      <c r="K91" s="139">
        <f t="shared" si="8"/>
        <v>101653153.03208935</v>
      </c>
      <c r="L91" s="105">
        <v>1.7999999999999999E-2</v>
      </c>
      <c r="M91" s="38">
        <v>0</v>
      </c>
      <c r="N91" s="118">
        <f t="shared" si="11"/>
        <v>19671.354516233336</v>
      </c>
      <c r="O91" s="25">
        <v>1.7999999999999999E-2</v>
      </c>
      <c r="P91" s="194">
        <f t="shared" si="9"/>
        <v>19671.354516233336</v>
      </c>
      <c r="Q91" s="153">
        <f t="shared" si="10"/>
        <v>101672824.38660559</v>
      </c>
      <c r="R91" s="104">
        <f t="shared" ref="R91:R147" si="12" xml:space="preserve"> H91 + I91</f>
        <v>230000000</v>
      </c>
      <c r="S91" s="104">
        <f t="shared" ref="S91:S147" si="13" xml:space="preserve"> J91 + Q91</f>
        <v>171672824.38660559</v>
      </c>
      <c r="T91" s="87"/>
    </row>
    <row r="92" spans="1:20" s="18" customFormat="1" x14ac:dyDescent="0.3">
      <c r="B92" s="263"/>
      <c r="C92" s="28">
        <v>5</v>
      </c>
      <c r="D92" s="147">
        <v>0</v>
      </c>
      <c r="E92" s="147">
        <v>0</v>
      </c>
      <c r="F92" s="102">
        <v>300000</v>
      </c>
      <c r="G92" s="133">
        <v>300000</v>
      </c>
      <c r="H92" s="102">
        <v>0</v>
      </c>
      <c r="I92" s="102">
        <v>230000000</v>
      </c>
      <c r="J92" s="102">
        <v>70000000</v>
      </c>
      <c r="K92" s="139">
        <f t="shared" si="8"/>
        <v>104093709.78666696</v>
      </c>
      <c r="L92" s="105">
        <v>1.7999999999999999E-2</v>
      </c>
      <c r="M92" s="38">
        <v>0</v>
      </c>
      <c r="N92" s="118">
        <f t="shared" si="11"/>
        <v>20025.438897525535</v>
      </c>
      <c r="O92" s="25">
        <v>1.7999999999999999E-2</v>
      </c>
      <c r="P92" s="194">
        <f t="shared" si="9"/>
        <v>20025.438897525535</v>
      </c>
      <c r="Q92" s="153">
        <f t="shared" si="10"/>
        <v>104113735.22556448</v>
      </c>
      <c r="R92" s="104">
        <f t="shared" si="12"/>
        <v>230000000</v>
      </c>
      <c r="S92" s="104">
        <f t="shared" si="13"/>
        <v>174113735.22556448</v>
      </c>
      <c r="T92" s="87"/>
    </row>
    <row r="93" spans="1:20" s="18" customFormat="1" x14ac:dyDescent="0.3">
      <c r="B93" s="263"/>
      <c r="C93" s="28">
        <v>6</v>
      </c>
      <c r="D93" s="147">
        <v>0</v>
      </c>
      <c r="E93" s="147">
        <v>0</v>
      </c>
      <c r="F93" s="102">
        <v>300000</v>
      </c>
      <c r="G93" s="133">
        <v>300000</v>
      </c>
      <c r="H93" s="102">
        <v>0</v>
      </c>
      <c r="I93" s="102">
        <v>230000000</v>
      </c>
      <c r="J93" s="102">
        <v>70000000</v>
      </c>
      <c r="K93" s="139">
        <f t="shared" si="8"/>
        <v>106578196.56282696</v>
      </c>
      <c r="L93" s="105">
        <v>1.7999999999999999E-2</v>
      </c>
      <c r="M93" s="38">
        <v>0</v>
      </c>
      <c r="N93" s="118">
        <f t="shared" si="11"/>
        <v>20385.896797680994</v>
      </c>
      <c r="O93" s="25">
        <v>1.7999999999999999E-2</v>
      </c>
      <c r="P93" s="194">
        <f t="shared" si="9"/>
        <v>20385.896797680994</v>
      </c>
      <c r="Q93" s="153">
        <f t="shared" si="10"/>
        <v>106598582.45962465</v>
      </c>
      <c r="R93" s="104">
        <f t="shared" si="12"/>
        <v>230000000</v>
      </c>
      <c r="S93" s="104">
        <f t="shared" si="13"/>
        <v>176598582.45962465</v>
      </c>
      <c r="T93" s="87"/>
    </row>
    <row r="94" spans="1:20" s="18" customFormat="1" x14ac:dyDescent="0.3">
      <c r="B94" s="263"/>
      <c r="C94" s="28">
        <v>7</v>
      </c>
      <c r="D94" s="147">
        <v>0</v>
      </c>
      <c r="E94" s="147">
        <v>0</v>
      </c>
      <c r="F94" s="102">
        <v>300000</v>
      </c>
      <c r="G94" s="133">
        <v>300000</v>
      </c>
      <c r="H94" s="102">
        <v>0</v>
      </c>
      <c r="I94" s="102">
        <v>230000000</v>
      </c>
      <c r="J94" s="102">
        <v>70000000</v>
      </c>
      <c r="K94" s="139">
        <f t="shared" si="8"/>
        <v>109107404.10095784</v>
      </c>
      <c r="L94" s="105">
        <v>1.7999999999999999E-2</v>
      </c>
      <c r="M94" s="38">
        <v>0</v>
      </c>
      <c r="N94" s="118">
        <f t="shared" si="11"/>
        <v>20752.842940039252</v>
      </c>
      <c r="O94" s="25">
        <v>1.7999999999999999E-2</v>
      </c>
      <c r="P94" s="194">
        <f t="shared" si="9"/>
        <v>20752.842940039252</v>
      </c>
      <c r="Q94" s="153">
        <f t="shared" si="10"/>
        <v>109128156.94389787</v>
      </c>
      <c r="R94" s="104">
        <f t="shared" si="12"/>
        <v>230000000</v>
      </c>
      <c r="S94" s="104">
        <f t="shared" si="13"/>
        <v>179128156.94389787</v>
      </c>
      <c r="T94" s="87"/>
    </row>
    <row r="95" spans="1:20" s="18" customFormat="1" x14ac:dyDescent="0.3">
      <c r="B95" s="263"/>
      <c r="C95" s="28">
        <v>8</v>
      </c>
      <c r="D95" s="147">
        <v>0</v>
      </c>
      <c r="E95" s="147">
        <v>0</v>
      </c>
      <c r="F95" s="102">
        <v>300000</v>
      </c>
      <c r="G95" s="133">
        <v>300000</v>
      </c>
      <c r="H95" s="102">
        <v>0</v>
      </c>
      <c r="I95" s="102">
        <v>230000000</v>
      </c>
      <c r="J95" s="102">
        <v>70000000</v>
      </c>
      <c r="K95" s="139">
        <f t="shared" si="8"/>
        <v>111682137.37477508</v>
      </c>
      <c r="L95" s="105">
        <v>1.7999999999999999E-2</v>
      </c>
      <c r="M95" s="38">
        <v>0</v>
      </c>
      <c r="N95" s="118">
        <f t="shared" si="11"/>
        <v>21126.394112959959</v>
      </c>
      <c r="O95" s="25">
        <v>1.7999999999999999E-2</v>
      </c>
      <c r="P95" s="194">
        <f t="shared" si="9"/>
        <v>21126.394112959959</v>
      </c>
      <c r="Q95" s="153">
        <f t="shared" si="10"/>
        <v>111703263.76888804</v>
      </c>
      <c r="R95" s="104">
        <f t="shared" si="12"/>
        <v>230000000</v>
      </c>
      <c r="S95" s="104">
        <f t="shared" si="13"/>
        <v>181703263.76888806</v>
      </c>
      <c r="T95" s="87"/>
    </row>
    <row r="96" spans="1:20" s="18" customFormat="1" x14ac:dyDescent="0.3">
      <c r="B96" s="263"/>
      <c r="C96" s="28">
        <v>9</v>
      </c>
      <c r="D96" s="147">
        <v>0</v>
      </c>
      <c r="E96" s="147">
        <v>0</v>
      </c>
      <c r="F96" s="102">
        <v>300000</v>
      </c>
      <c r="G96" s="133">
        <v>300000</v>
      </c>
      <c r="H96" s="102">
        <v>0</v>
      </c>
      <c r="I96" s="102">
        <v>230000000</v>
      </c>
      <c r="J96" s="102">
        <v>70000000</v>
      </c>
      <c r="K96" s="139">
        <f t="shared" si="8"/>
        <v>114303215.84752104</v>
      </c>
      <c r="L96" s="105">
        <v>1.7999999999999999E-2</v>
      </c>
      <c r="M96" s="38">
        <v>0</v>
      </c>
      <c r="N96" s="118">
        <f t="shared" si="11"/>
        <v>21506.66920699324</v>
      </c>
      <c r="O96" s="25">
        <v>1.7999999999999999E-2</v>
      </c>
      <c r="P96" s="194">
        <f t="shared" si="9"/>
        <v>21506.66920699324</v>
      </c>
      <c r="Q96" s="153">
        <f t="shared" si="10"/>
        <v>114324722.51672803</v>
      </c>
      <c r="R96" s="104">
        <f t="shared" si="12"/>
        <v>230000000</v>
      </c>
      <c r="S96" s="104">
        <f t="shared" si="13"/>
        <v>184324722.51672804</v>
      </c>
      <c r="T96" s="87"/>
    </row>
    <row r="97" spans="1:20" s="18" customFormat="1" x14ac:dyDescent="0.3">
      <c r="B97" s="263"/>
      <c r="C97" s="28">
        <v>10</v>
      </c>
      <c r="D97" s="147">
        <v>0</v>
      </c>
      <c r="E97" s="147">
        <v>0</v>
      </c>
      <c r="F97" s="102">
        <v>300000</v>
      </c>
      <c r="G97" s="133">
        <v>300000</v>
      </c>
      <c r="H97" s="102">
        <v>0</v>
      </c>
      <c r="I97" s="102">
        <v>230000000</v>
      </c>
      <c r="J97" s="102">
        <v>70000000</v>
      </c>
      <c r="K97" s="139">
        <f t="shared" si="8"/>
        <v>116971473.73277642</v>
      </c>
      <c r="L97" s="105">
        <v>1.7999999999999999E-2</v>
      </c>
      <c r="M97" s="38">
        <v>0</v>
      </c>
      <c r="N97" s="118">
        <f t="shared" si="11"/>
        <v>21893.789252719118</v>
      </c>
      <c r="O97" s="25">
        <v>1.7999999999999999E-2</v>
      </c>
      <c r="P97" s="194">
        <f t="shared" si="9"/>
        <v>21893.789252719118</v>
      </c>
      <c r="Q97" s="153">
        <f t="shared" si="10"/>
        <v>116993367.52202913</v>
      </c>
      <c r="R97" s="104">
        <f t="shared" si="12"/>
        <v>230000000</v>
      </c>
      <c r="S97" s="104">
        <f t="shared" si="13"/>
        <v>186993367.52202913</v>
      </c>
      <c r="T97" s="87"/>
    </row>
    <row r="98" spans="1:20" s="18" customFormat="1" ht="17.25" thickBot="1" x14ac:dyDescent="0.35">
      <c r="B98" s="263"/>
      <c r="C98" s="30">
        <v>11</v>
      </c>
      <c r="D98" s="147">
        <v>0</v>
      </c>
      <c r="E98" s="147">
        <v>0</v>
      </c>
      <c r="F98" s="102">
        <v>300000</v>
      </c>
      <c r="G98" s="133">
        <v>300000</v>
      </c>
      <c r="H98" s="102">
        <v>0</v>
      </c>
      <c r="I98" s="102">
        <v>230000000</v>
      </c>
      <c r="J98" s="102">
        <v>70000000</v>
      </c>
      <c r="K98" s="139">
        <f t="shared" si="8"/>
        <v>119687760.25996639</v>
      </c>
      <c r="L98" s="105">
        <v>1.7999999999999999E-2</v>
      </c>
      <c r="M98" s="38">
        <v>0</v>
      </c>
      <c r="N98" s="118">
        <f t="shared" si="11"/>
        <v>22287.877459268064</v>
      </c>
      <c r="O98" s="83">
        <v>1.7999999999999999E-2</v>
      </c>
      <c r="P98" s="194">
        <f t="shared" si="9"/>
        <v>22287.877459268064</v>
      </c>
      <c r="Q98" s="153">
        <f t="shared" si="10"/>
        <v>119710048.13742566</v>
      </c>
      <c r="R98" s="104">
        <f t="shared" si="12"/>
        <v>230000000</v>
      </c>
      <c r="S98" s="104">
        <f t="shared" si="13"/>
        <v>189710048.13742566</v>
      </c>
      <c r="T98" s="87"/>
    </row>
    <row r="99" spans="1:20" s="97" customFormat="1" ht="17.25" thickBot="1" x14ac:dyDescent="0.35">
      <c r="B99" s="263"/>
      <c r="C99" s="92">
        <v>12</v>
      </c>
      <c r="D99" s="147">
        <v>0</v>
      </c>
      <c r="E99" s="148">
        <v>0</v>
      </c>
      <c r="F99" s="102">
        <v>300000</v>
      </c>
      <c r="G99" s="133">
        <v>300000</v>
      </c>
      <c r="H99" s="102">
        <v>0</v>
      </c>
      <c r="I99" s="102">
        <v>230000000</v>
      </c>
      <c r="J99" s="102">
        <v>70000000</v>
      </c>
      <c r="K99" s="140">
        <f t="shared" si="8"/>
        <v>122452939.94464578</v>
      </c>
      <c r="L99" s="93">
        <v>1.7999999999999999E-2</v>
      </c>
      <c r="M99" s="38">
        <v>0</v>
      </c>
      <c r="N99" s="118">
        <f t="shared" si="11"/>
        <v>22689.059253534888</v>
      </c>
      <c r="O99" s="94">
        <v>1.7999999999999999E-2</v>
      </c>
      <c r="P99" s="194">
        <f t="shared" si="9"/>
        <v>22689.059253534888</v>
      </c>
      <c r="Q99" s="153">
        <f t="shared" si="10"/>
        <v>122475629.00389931</v>
      </c>
      <c r="R99" s="104">
        <f t="shared" si="12"/>
        <v>230000000</v>
      </c>
      <c r="S99" s="104">
        <f t="shared" si="13"/>
        <v>192475629.00389931</v>
      </c>
      <c r="T99" s="110"/>
    </row>
    <row r="100" spans="1:20" s="18" customFormat="1" x14ac:dyDescent="0.3">
      <c r="A100" s="18">
        <v>9</v>
      </c>
      <c r="B100" s="263">
        <v>2030</v>
      </c>
      <c r="C100" s="27">
        <v>1</v>
      </c>
      <c r="D100" s="147">
        <v>0</v>
      </c>
      <c r="E100" s="147">
        <v>0</v>
      </c>
      <c r="F100" s="102">
        <v>300000</v>
      </c>
      <c r="G100" s="133">
        <v>300000</v>
      </c>
      <c r="H100" s="102">
        <v>0</v>
      </c>
      <c r="I100" s="102">
        <v>230000000</v>
      </c>
      <c r="J100" s="102">
        <v>70000000</v>
      </c>
      <c r="K100" s="139">
        <f t="shared" si="8"/>
        <v>125267892.8636494</v>
      </c>
      <c r="L100" s="105">
        <v>1.7999999999999999E-2</v>
      </c>
      <c r="M100" s="38">
        <v>0</v>
      </c>
      <c r="N100" s="118">
        <f t="shared" si="11"/>
        <v>22779.815490549026</v>
      </c>
      <c r="O100" s="82">
        <v>4.0000000000000001E-3</v>
      </c>
      <c r="P100" s="194">
        <f t="shared" si="9"/>
        <v>22779.815490549026</v>
      </c>
      <c r="Q100" s="153">
        <f t="shared" si="10"/>
        <v>125290672.67913994</v>
      </c>
      <c r="R100" s="104">
        <f t="shared" si="12"/>
        <v>230000000</v>
      </c>
      <c r="S100" s="104">
        <f t="shared" si="13"/>
        <v>195290672.67913994</v>
      </c>
      <c r="T100" s="87"/>
    </row>
    <row r="101" spans="1:20" s="18" customFormat="1" x14ac:dyDescent="0.3">
      <c r="B101" s="263"/>
      <c r="C101" s="28">
        <v>2</v>
      </c>
      <c r="D101" s="147">
        <v>0</v>
      </c>
      <c r="E101" s="147">
        <v>0</v>
      </c>
      <c r="F101" s="102">
        <v>300000</v>
      </c>
      <c r="G101" s="133">
        <v>300000</v>
      </c>
      <c r="H101" s="102">
        <v>0</v>
      </c>
      <c r="I101" s="102">
        <v>230000000</v>
      </c>
      <c r="J101" s="102">
        <v>70000000</v>
      </c>
      <c r="K101" s="139">
        <f t="shared" si="8"/>
        <v>128133514.93519509</v>
      </c>
      <c r="L101" s="105">
        <v>1.7999999999999999E-2</v>
      </c>
      <c r="M101" s="38">
        <v>0</v>
      </c>
      <c r="N101" s="118">
        <f t="shared" si="11"/>
        <v>23189.852169378908</v>
      </c>
      <c r="O101" s="25">
        <v>1.7999999999999999E-2</v>
      </c>
      <c r="P101" s="194">
        <f t="shared" si="9"/>
        <v>23189.852169378908</v>
      </c>
      <c r="Q101" s="153">
        <f t="shared" si="10"/>
        <v>128156704.78736447</v>
      </c>
      <c r="R101" s="104">
        <f t="shared" si="12"/>
        <v>230000000</v>
      </c>
      <c r="S101" s="104">
        <f t="shared" si="13"/>
        <v>198156704.78736448</v>
      </c>
      <c r="T101" s="87"/>
    </row>
    <row r="102" spans="1:20" s="18" customFormat="1" x14ac:dyDescent="0.3">
      <c r="B102" s="263"/>
      <c r="C102" s="28">
        <v>3</v>
      </c>
      <c r="D102" s="147">
        <v>0</v>
      </c>
      <c r="E102" s="147">
        <v>0</v>
      </c>
      <c r="F102" s="102">
        <v>300000</v>
      </c>
      <c r="G102" s="133">
        <v>300000</v>
      </c>
      <c r="H102" s="102">
        <v>0</v>
      </c>
      <c r="I102" s="102">
        <v>230000000</v>
      </c>
      <c r="J102" s="102">
        <v>70000000</v>
      </c>
      <c r="K102" s="139">
        <f t="shared" si="8"/>
        <v>131050718.20402861</v>
      </c>
      <c r="L102" s="105">
        <v>1.7999999999999999E-2</v>
      </c>
      <c r="M102" s="38">
        <v>0</v>
      </c>
      <c r="N102" s="118">
        <f t="shared" si="11"/>
        <v>23607.269508427729</v>
      </c>
      <c r="O102" s="25">
        <v>1.7999999999999999E-2</v>
      </c>
      <c r="P102" s="194">
        <f t="shared" si="9"/>
        <v>23607.269508427729</v>
      </c>
      <c r="Q102" s="153">
        <f t="shared" si="10"/>
        <v>131074325.47353703</v>
      </c>
      <c r="R102" s="104">
        <f t="shared" si="12"/>
        <v>230000000</v>
      </c>
      <c r="S102" s="104">
        <f t="shared" si="13"/>
        <v>201074325.47353703</v>
      </c>
      <c r="T102" s="87"/>
    </row>
    <row r="103" spans="1:20" s="18" customFormat="1" x14ac:dyDescent="0.3">
      <c r="B103" s="263"/>
      <c r="C103" s="28">
        <v>4</v>
      </c>
      <c r="D103" s="147">
        <v>0</v>
      </c>
      <c r="E103" s="147">
        <v>0</v>
      </c>
      <c r="F103" s="102">
        <v>300000</v>
      </c>
      <c r="G103" s="133">
        <v>300000</v>
      </c>
      <c r="H103" s="102">
        <v>0</v>
      </c>
      <c r="I103" s="102">
        <v>230000000</v>
      </c>
      <c r="J103" s="102">
        <v>70000000</v>
      </c>
      <c r="K103" s="139">
        <f t="shared" si="8"/>
        <v>134020431.13170113</v>
      </c>
      <c r="L103" s="105">
        <v>1.7999999999999999E-2</v>
      </c>
      <c r="M103" s="38">
        <v>0</v>
      </c>
      <c r="N103" s="118">
        <f t="shared" si="11"/>
        <v>24032.200359579427</v>
      </c>
      <c r="O103" s="25">
        <v>1.7999999999999999E-2</v>
      </c>
      <c r="P103" s="194">
        <f t="shared" si="9"/>
        <v>24032.200359579427</v>
      </c>
      <c r="Q103" s="153">
        <f t="shared" si="10"/>
        <v>134044463.33206071</v>
      </c>
      <c r="R103" s="104">
        <f t="shared" si="12"/>
        <v>230000000</v>
      </c>
      <c r="S103" s="104">
        <f t="shared" si="13"/>
        <v>204044463.33206069</v>
      </c>
      <c r="T103" s="87"/>
    </row>
    <row r="104" spans="1:20" s="18" customFormat="1" x14ac:dyDescent="0.3">
      <c r="B104" s="263"/>
      <c r="C104" s="28">
        <v>5</v>
      </c>
      <c r="D104" s="147">
        <v>0</v>
      </c>
      <c r="E104" s="147">
        <v>0</v>
      </c>
      <c r="F104" s="102">
        <v>300000</v>
      </c>
      <c r="G104" s="133">
        <v>300000</v>
      </c>
      <c r="H104" s="102">
        <v>0</v>
      </c>
      <c r="I104" s="102">
        <v>230000000</v>
      </c>
      <c r="J104" s="102">
        <v>70000000</v>
      </c>
      <c r="K104" s="139">
        <f t="shared" si="8"/>
        <v>137043598.89207172</v>
      </c>
      <c r="L104" s="105">
        <v>1.7999999999999999E-2</v>
      </c>
      <c r="M104" s="38">
        <v>0</v>
      </c>
      <c r="N104" s="118">
        <f t="shared" si="11"/>
        <v>24464.779966051858</v>
      </c>
      <c r="O104" s="25">
        <v>1.7999999999999999E-2</v>
      </c>
      <c r="P104" s="194">
        <f t="shared" si="9"/>
        <v>24464.779966051858</v>
      </c>
      <c r="Q104" s="153">
        <f t="shared" si="10"/>
        <v>137068063.67203778</v>
      </c>
      <c r="R104" s="104">
        <f t="shared" si="12"/>
        <v>230000000</v>
      </c>
      <c r="S104" s="104">
        <f t="shared" si="13"/>
        <v>207068063.67203778</v>
      </c>
      <c r="T104" s="87"/>
    </row>
    <row r="105" spans="1:20" s="18" customFormat="1" x14ac:dyDescent="0.3">
      <c r="B105" s="263"/>
      <c r="C105" s="28">
        <v>6</v>
      </c>
      <c r="D105" s="147">
        <v>0</v>
      </c>
      <c r="E105" s="147">
        <v>0</v>
      </c>
      <c r="F105" s="102">
        <v>300000</v>
      </c>
      <c r="G105" s="133">
        <v>300000</v>
      </c>
      <c r="H105" s="102">
        <v>0</v>
      </c>
      <c r="I105" s="102">
        <v>230000000</v>
      </c>
      <c r="J105" s="102">
        <v>70000000</v>
      </c>
      <c r="K105" s="139">
        <f t="shared" si="8"/>
        <v>140121183.67212901</v>
      </c>
      <c r="L105" s="105">
        <v>1.7999999999999999E-2</v>
      </c>
      <c r="M105" s="38">
        <v>0</v>
      </c>
      <c r="N105" s="118">
        <f t="shared" si="11"/>
        <v>24905.146005440791</v>
      </c>
      <c r="O105" s="25">
        <v>1.7999999999999999E-2</v>
      </c>
      <c r="P105" s="194">
        <f t="shared" si="9"/>
        <v>24905.146005440791</v>
      </c>
      <c r="Q105" s="153">
        <f t="shared" si="10"/>
        <v>140146088.81813446</v>
      </c>
      <c r="R105" s="104">
        <f t="shared" si="12"/>
        <v>230000000</v>
      </c>
      <c r="S105" s="104">
        <f t="shared" si="13"/>
        <v>210146088.81813446</v>
      </c>
      <c r="T105" s="87"/>
    </row>
    <row r="106" spans="1:20" s="18" customFormat="1" x14ac:dyDescent="0.3">
      <c r="B106" s="263"/>
      <c r="C106" s="28">
        <v>7</v>
      </c>
      <c r="D106" s="147">
        <v>0</v>
      </c>
      <c r="E106" s="147">
        <v>0</v>
      </c>
      <c r="F106" s="102">
        <v>300000</v>
      </c>
      <c r="G106" s="133">
        <v>300000</v>
      </c>
      <c r="H106" s="102">
        <v>0</v>
      </c>
      <c r="I106" s="102">
        <v>230000000</v>
      </c>
      <c r="J106" s="102">
        <v>70000000</v>
      </c>
      <c r="K106" s="139">
        <f t="shared" si="8"/>
        <v>143254164.97822732</v>
      </c>
      <c r="L106" s="105">
        <v>1.7999999999999999E-2</v>
      </c>
      <c r="M106" s="38">
        <v>0</v>
      </c>
      <c r="N106" s="118">
        <f t="shared" si="11"/>
        <v>25353.438633538724</v>
      </c>
      <c r="O106" s="25">
        <v>1.7999999999999999E-2</v>
      </c>
      <c r="P106" s="194">
        <f t="shared" si="9"/>
        <v>25353.438633538724</v>
      </c>
      <c r="Q106" s="153">
        <f t="shared" si="10"/>
        <v>143279518.41686085</v>
      </c>
      <c r="R106" s="104">
        <f t="shared" si="12"/>
        <v>230000000</v>
      </c>
      <c r="S106" s="104">
        <f t="shared" si="13"/>
        <v>213279518.41686085</v>
      </c>
      <c r="T106" s="87"/>
    </row>
    <row r="107" spans="1:20" s="18" customFormat="1" x14ac:dyDescent="0.3">
      <c r="B107" s="263"/>
      <c r="C107" s="28">
        <v>8</v>
      </c>
      <c r="D107" s="147">
        <v>0</v>
      </c>
      <c r="E107" s="147">
        <v>0</v>
      </c>
      <c r="F107" s="102">
        <v>300000</v>
      </c>
      <c r="G107" s="133">
        <v>300000</v>
      </c>
      <c r="H107" s="102">
        <v>0</v>
      </c>
      <c r="I107" s="102">
        <v>230000000</v>
      </c>
      <c r="J107" s="102">
        <v>70000000</v>
      </c>
      <c r="K107" s="139">
        <f t="shared" si="8"/>
        <v>146443539.94783542</v>
      </c>
      <c r="L107" s="105">
        <v>1.7999999999999999E-2</v>
      </c>
      <c r="M107" s="38">
        <v>0</v>
      </c>
      <c r="N107" s="118">
        <f t="shared" si="11"/>
        <v>25809.800528942422</v>
      </c>
      <c r="O107" s="25">
        <v>1.7999999999999999E-2</v>
      </c>
      <c r="P107" s="194">
        <f t="shared" si="9"/>
        <v>25809.800528942422</v>
      </c>
      <c r="Q107" s="153">
        <f t="shared" si="10"/>
        <v>146469349.74836436</v>
      </c>
      <c r="R107" s="104">
        <f t="shared" si="12"/>
        <v>230000000</v>
      </c>
      <c r="S107" s="104">
        <f t="shared" si="13"/>
        <v>216469349.74836436</v>
      </c>
      <c r="T107" s="87"/>
    </row>
    <row r="108" spans="1:20" s="18" customFormat="1" x14ac:dyDescent="0.3">
      <c r="B108" s="263"/>
      <c r="C108" s="28">
        <v>9</v>
      </c>
      <c r="D108" s="147">
        <v>0</v>
      </c>
      <c r="E108" s="147">
        <v>0</v>
      </c>
      <c r="F108" s="102">
        <v>300000</v>
      </c>
      <c r="G108" s="133">
        <v>300000</v>
      </c>
      <c r="H108" s="102">
        <v>0</v>
      </c>
      <c r="I108" s="102">
        <v>230000000</v>
      </c>
      <c r="J108" s="102">
        <v>70000000</v>
      </c>
      <c r="K108" s="139">
        <f t="shared" si="8"/>
        <v>149690323.66689646</v>
      </c>
      <c r="L108" s="105">
        <v>1.7999999999999999E-2</v>
      </c>
      <c r="M108" s="38">
        <v>0</v>
      </c>
      <c r="N108" s="118">
        <f t="shared" si="11"/>
        <v>26274.376938463385</v>
      </c>
      <c r="O108" s="25">
        <v>1.7999999999999999E-2</v>
      </c>
      <c r="P108" s="194">
        <f t="shared" si="9"/>
        <v>26274.376938463385</v>
      </c>
      <c r="Q108" s="153">
        <f t="shared" si="10"/>
        <v>149716598.04383492</v>
      </c>
      <c r="R108" s="104">
        <f t="shared" si="12"/>
        <v>230000000</v>
      </c>
      <c r="S108" s="104">
        <f t="shared" si="13"/>
        <v>219716598.04383492</v>
      </c>
      <c r="T108" s="87"/>
    </row>
    <row r="109" spans="1:20" s="18" customFormat="1" x14ac:dyDescent="0.3">
      <c r="B109" s="263"/>
      <c r="C109" s="28">
        <v>10</v>
      </c>
      <c r="D109" s="147">
        <v>0</v>
      </c>
      <c r="E109" s="147">
        <v>0</v>
      </c>
      <c r="F109" s="102">
        <v>300000</v>
      </c>
      <c r="G109" s="133">
        <v>300000</v>
      </c>
      <c r="H109" s="102">
        <v>0</v>
      </c>
      <c r="I109" s="102">
        <v>230000000</v>
      </c>
      <c r="J109" s="102">
        <v>70000000</v>
      </c>
      <c r="K109" s="139">
        <f t="shared" si="8"/>
        <v>152995549.49290061</v>
      </c>
      <c r="L109" s="105">
        <v>1.7999999999999999E-2</v>
      </c>
      <c r="M109" s="38">
        <v>0</v>
      </c>
      <c r="N109" s="118">
        <f t="shared" si="11"/>
        <v>26747.315723355725</v>
      </c>
      <c r="O109" s="25">
        <v>1.7999999999999999E-2</v>
      </c>
      <c r="P109" s="194">
        <f t="shared" si="9"/>
        <v>26747.315723355725</v>
      </c>
      <c r="Q109" s="153">
        <f t="shared" si="10"/>
        <v>153022296.80862397</v>
      </c>
      <c r="R109" s="104">
        <f t="shared" si="12"/>
        <v>230000000</v>
      </c>
      <c r="S109" s="104">
        <f t="shared" si="13"/>
        <v>223022296.80862397</v>
      </c>
      <c r="T109" s="87"/>
    </row>
    <row r="110" spans="1:20" s="18" customFormat="1" ht="17.25" thickBot="1" x14ac:dyDescent="0.35">
      <c r="B110" s="263"/>
      <c r="C110" s="30">
        <v>11</v>
      </c>
      <c r="D110" s="147">
        <v>0</v>
      </c>
      <c r="E110" s="147">
        <v>0</v>
      </c>
      <c r="F110" s="102">
        <v>300000</v>
      </c>
      <c r="G110" s="133">
        <v>300000</v>
      </c>
      <c r="H110" s="102">
        <v>0</v>
      </c>
      <c r="I110" s="102">
        <v>230000000</v>
      </c>
      <c r="J110" s="102">
        <v>70000000</v>
      </c>
      <c r="K110" s="139">
        <f t="shared" si="8"/>
        <v>156360269.38377282</v>
      </c>
      <c r="L110" s="105">
        <v>1.7999999999999999E-2</v>
      </c>
      <c r="M110" s="38">
        <v>0</v>
      </c>
      <c r="N110" s="118">
        <f t="shared" si="11"/>
        <v>27228.76740637613</v>
      </c>
      <c r="O110" s="83">
        <v>1.7999999999999999E-2</v>
      </c>
      <c r="P110" s="194">
        <f t="shared" si="9"/>
        <v>27228.76740637613</v>
      </c>
      <c r="Q110" s="153">
        <f t="shared" si="10"/>
        <v>156387498.15117919</v>
      </c>
      <c r="R110" s="104">
        <f t="shared" si="12"/>
        <v>230000000</v>
      </c>
      <c r="S110" s="104">
        <f t="shared" si="13"/>
        <v>226387498.15117919</v>
      </c>
      <c r="T110" s="87"/>
    </row>
    <row r="111" spans="1:20" s="97" customFormat="1" ht="17.25" thickBot="1" x14ac:dyDescent="0.35">
      <c r="B111" s="263"/>
      <c r="C111" s="92">
        <v>12</v>
      </c>
      <c r="D111" s="147">
        <v>0</v>
      </c>
      <c r="E111" s="148">
        <v>0</v>
      </c>
      <c r="F111" s="102">
        <v>300000</v>
      </c>
      <c r="G111" s="133">
        <v>300000</v>
      </c>
      <c r="H111" s="102">
        <v>0</v>
      </c>
      <c r="I111" s="102">
        <v>230000000</v>
      </c>
      <c r="J111" s="102">
        <v>70000000</v>
      </c>
      <c r="K111" s="140">
        <f t="shared" si="8"/>
        <v>159785554.23268074</v>
      </c>
      <c r="L111" s="93">
        <v>1.7999999999999999E-2</v>
      </c>
      <c r="M111" s="38">
        <v>0</v>
      </c>
      <c r="N111" s="118">
        <f t="shared" si="11"/>
        <v>27718.885219690899</v>
      </c>
      <c r="O111" s="94">
        <v>1.7999999999999999E-2</v>
      </c>
      <c r="P111" s="194">
        <f t="shared" si="9"/>
        <v>27718.885219690899</v>
      </c>
      <c r="Q111" s="153">
        <f t="shared" si="10"/>
        <v>159813273.11790043</v>
      </c>
      <c r="R111" s="104">
        <f t="shared" si="12"/>
        <v>230000000</v>
      </c>
      <c r="S111" s="104">
        <f t="shared" si="13"/>
        <v>229813273.11790043</v>
      </c>
      <c r="T111" s="110"/>
    </row>
    <row r="112" spans="1:20" s="18" customFormat="1" x14ac:dyDescent="0.3">
      <c r="A112" s="18">
        <v>10</v>
      </c>
      <c r="B112" s="263">
        <v>2031</v>
      </c>
      <c r="C112" s="27">
        <v>1</v>
      </c>
      <c r="D112" s="147">
        <v>0</v>
      </c>
      <c r="E112" s="147">
        <v>0</v>
      </c>
      <c r="F112" s="102">
        <v>300000</v>
      </c>
      <c r="G112" s="133">
        <v>300000</v>
      </c>
      <c r="H112" s="102">
        <v>0</v>
      </c>
      <c r="I112" s="102">
        <v>230000000</v>
      </c>
      <c r="J112" s="102">
        <v>70000000</v>
      </c>
      <c r="K112" s="139">
        <f t="shared" si="8"/>
        <v>163272494.20886898</v>
      </c>
      <c r="L112" s="105">
        <v>1.7999999999999999E-2</v>
      </c>
      <c r="M112" s="38">
        <v>0</v>
      </c>
      <c r="N112" s="118">
        <f t="shared" si="11"/>
        <v>27829.760760569661</v>
      </c>
      <c r="O112" s="82">
        <v>4.0000000000000001E-3</v>
      </c>
      <c r="P112" s="194">
        <f t="shared" si="9"/>
        <v>27829.760760569661</v>
      </c>
      <c r="Q112" s="153">
        <f t="shared" si="10"/>
        <v>163300323.96962956</v>
      </c>
      <c r="R112" s="104">
        <f t="shared" si="12"/>
        <v>230000000</v>
      </c>
      <c r="S112" s="104">
        <f t="shared" si="13"/>
        <v>233300323.96962956</v>
      </c>
      <c r="T112" s="87"/>
    </row>
    <row r="113" spans="1:20" s="18" customFormat="1" x14ac:dyDescent="0.3">
      <c r="B113" s="263"/>
      <c r="C113" s="28">
        <v>2</v>
      </c>
      <c r="D113" s="147">
        <v>0</v>
      </c>
      <c r="E113" s="147">
        <v>0</v>
      </c>
      <c r="F113" s="102">
        <v>300000</v>
      </c>
      <c r="G113" s="133">
        <v>300000</v>
      </c>
      <c r="H113" s="102">
        <v>0</v>
      </c>
      <c r="I113" s="102">
        <v>230000000</v>
      </c>
      <c r="J113" s="102">
        <v>70000000</v>
      </c>
      <c r="K113" s="139">
        <f t="shared" si="8"/>
        <v>166822199.10462862</v>
      </c>
      <c r="L113" s="105">
        <v>1.7999999999999999E-2</v>
      </c>
      <c r="M113" s="38">
        <v>0</v>
      </c>
      <c r="N113" s="118">
        <f t="shared" si="11"/>
        <v>28330.696454259916</v>
      </c>
      <c r="O113" s="25">
        <v>1.7999999999999999E-2</v>
      </c>
      <c r="P113" s="194">
        <f t="shared" si="9"/>
        <v>28330.696454259916</v>
      </c>
      <c r="Q113" s="153">
        <f t="shared" si="10"/>
        <v>166850529.80108288</v>
      </c>
      <c r="R113" s="104">
        <f t="shared" si="12"/>
        <v>230000000</v>
      </c>
      <c r="S113" s="104">
        <f t="shared" si="13"/>
        <v>236850529.80108288</v>
      </c>
      <c r="T113" s="87"/>
    </row>
    <row r="114" spans="1:20" s="18" customFormat="1" x14ac:dyDescent="0.3">
      <c r="B114" s="263"/>
      <c r="C114" s="28">
        <v>3</v>
      </c>
      <c r="D114" s="147">
        <v>0</v>
      </c>
      <c r="E114" s="147">
        <v>0</v>
      </c>
      <c r="F114" s="102">
        <v>300000</v>
      </c>
      <c r="G114" s="133">
        <v>300000</v>
      </c>
      <c r="H114" s="102">
        <v>0</v>
      </c>
      <c r="I114" s="102">
        <v>230000000</v>
      </c>
      <c r="J114" s="102">
        <v>70000000</v>
      </c>
      <c r="K114" s="139">
        <f t="shared" si="8"/>
        <v>170435798.68851194</v>
      </c>
      <c r="L114" s="105">
        <v>1.7999999999999999E-2</v>
      </c>
      <c r="M114" s="38">
        <v>0</v>
      </c>
      <c r="N114" s="118">
        <f t="shared" si="11"/>
        <v>28840.648990436595</v>
      </c>
      <c r="O114" s="25">
        <v>1.7999999999999999E-2</v>
      </c>
      <c r="P114" s="194">
        <f t="shared" si="9"/>
        <v>28840.648990436595</v>
      </c>
      <c r="Q114" s="153">
        <f t="shared" si="10"/>
        <v>170464639.33750236</v>
      </c>
      <c r="R114" s="104">
        <f t="shared" si="12"/>
        <v>230000000</v>
      </c>
      <c r="S114" s="104">
        <f t="shared" si="13"/>
        <v>240464639.33750236</v>
      </c>
      <c r="T114" s="87"/>
    </row>
    <row r="115" spans="1:20" s="18" customFormat="1" x14ac:dyDescent="0.3">
      <c r="B115" s="263"/>
      <c r="C115" s="28">
        <v>4</v>
      </c>
      <c r="D115" s="147">
        <v>0</v>
      </c>
      <c r="E115" s="147">
        <v>0</v>
      </c>
      <c r="F115" s="102">
        <v>300000</v>
      </c>
      <c r="G115" s="133">
        <v>300000</v>
      </c>
      <c r="H115" s="102">
        <v>0</v>
      </c>
      <c r="I115" s="102">
        <v>230000000</v>
      </c>
      <c r="J115" s="102">
        <v>70000000</v>
      </c>
      <c r="K115" s="139">
        <f t="shared" si="8"/>
        <v>174114443.06490517</v>
      </c>
      <c r="L115" s="105">
        <v>1.7999999999999999E-2</v>
      </c>
      <c r="M115" s="38">
        <v>0</v>
      </c>
      <c r="N115" s="118">
        <f t="shared" si="11"/>
        <v>29359.780672264453</v>
      </c>
      <c r="O115" s="25">
        <v>1.7999999999999999E-2</v>
      </c>
      <c r="P115" s="194">
        <f t="shared" si="9"/>
        <v>29359.780672264453</v>
      </c>
      <c r="Q115" s="153">
        <f t="shared" si="10"/>
        <v>174143802.84557742</v>
      </c>
      <c r="R115" s="104">
        <f t="shared" si="12"/>
        <v>230000000</v>
      </c>
      <c r="S115" s="104">
        <f t="shared" si="13"/>
        <v>244143802.84557742</v>
      </c>
      <c r="T115" s="87"/>
    </row>
    <row r="116" spans="1:20" s="18" customFormat="1" x14ac:dyDescent="0.3">
      <c r="B116" s="263"/>
      <c r="C116" s="28">
        <v>5</v>
      </c>
      <c r="D116" s="147">
        <v>0</v>
      </c>
      <c r="E116" s="147">
        <v>0</v>
      </c>
      <c r="F116" s="102">
        <v>300000</v>
      </c>
      <c r="G116" s="133">
        <v>300000</v>
      </c>
      <c r="H116" s="102">
        <v>0</v>
      </c>
      <c r="I116" s="102">
        <v>230000000</v>
      </c>
      <c r="J116" s="102">
        <v>70000000</v>
      </c>
      <c r="K116" s="139">
        <f t="shared" si="8"/>
        <v>177859303.04007345</v>
      </c>
      <c r="L116" s="105">
        <v>1.7999999999999999E-2</v>
      </c>
      <c r="M116" s="38">
        <v>0</v>
      </c>
      <c r="N116" s="118">
        <f t="shared" si="11"/>
        <v>29888.256724365212</v>
      </c>
      <c r="O116" s="25">
        <v>1.7999999999999999E-2</v>
      </c>
      <c r="P116" s="194">
        <f t="shared" si="9"/>
        <v>29888.256724365212</v>
      </c>
      <c r="Q116" s="153">
        <f t="shared" si="10"/>
        <v>177889191.29679781</v>
      </c>
      <c r="R116" s="104">
        <f t="shared" si="12"/>
        <v>230000000</v>
      </c>
      <c r="S116" s="104">
        <f t="shared" si="13"/>
        <v>247889191.29679781</v>
      </c>
      <c r="T116" s="87"/>
    </row>
    <row r="117" spans="1:20" s="18" customFormat="1" x14ac:dyDescent="0.3">
      <c r="B117" s="263"/>
      <c r="C117" s="28">
        <v>6</v>
      </c>
      <c r="D117" s="147">
        <v>0</v>
      </c>
      <c r="E117" s="147">
        <v>0</v>
      </c>
      <c r="F117" s="102">
        <v>300000</v>
      </c>
      <c r="G117" s="133">
        <v>300000</v>
      </c>
      <c r="H117" s="102">
        <v>0</v>
      </c>
      <c r="I117" s="102">
        <v>230000000</v>
      </c>
      <c r="J117" s="102">
        <v>70000000</v>
      </c>
      <c r="K117" s="139">
        <f t="shared" si="8"/>
        <v>181671570.49479479</v>
      </c>
      <c r="L117" s="105">
        <v>1.7999999999999999E-2</v>
      </c>
      <c r="M117" s="38">
        <v>0</v>
      </c>
      <c r="N117" s="118">
        <f t="shared" si="11"/>
        <v>30426.245345403786</v>
      </c>
      <c r="O117" s="25">
        <v>1.7999999999999999E-2</v>
      </c>
      <c r="P117" s="194">
        <f t="shared" si="9"/>
        <v>30426.245345403786</v>
      </c>
      <c r="Q117" s="153">
        <f t="shared" si="10"/>
        <v>181701996.7401402</v>
      </c>
      <c r="R117" s="104">
        <f t="shared" si="12"/>
        <v>230000000</v>
      </c>
      <c r="S117" s="104">
        <f t="shared" si="13"/>
        <v>251701996.7401402</v>
      </c>
      <c r="T117" s="87"/>
    </row>
    <row r="118" spans="1:20" s="18" customFormat="1" x14ac:dyDescent="0.3">
      <c r="B118" s="263"/>
      <c r="C118" s="28">
        <v>7</v>
      </c>
      <c r="D118" s="147">
        <v>0</v>
      </c>
      <c r="E118" s="147">
        <v>0</v>
      </c>
      <c r="F118" s="102">
        <v>300000</v>
      </c>
      <c r="G118" s="133">
        <v>300000</v>
      </c>
      <c r="H118" s="102">
        <v>0</v>
      </c>
      <c r="I118" s="102">
        <v>230000000</v>
      </c>
      <c r="J118" s="102">
        <v>70000000</v>
      </c>
      <c r="K118" s="139">
        <f t="shared" si="8"/>
        <v>185552458.76370108</v>
      </c>
      <c r="L118" s="105">
        <v>1.7999999999999999E-2</v>
      </c>
      <c r="M118" s="38">
        <v>0</v>
      </c>
      <c r="N118" s="118">
        <f t="shared" si="11"/>
        <v>30973.917761621055</v>
      </c>
      <c r="O118" s="25">
        <v>1.7999999999999999E-2</v>
      </c>
      <c r="P118" s="194">
        <f t="shared" si="9"/>
        <v>30973.917761621055</v>
      </c>
      <c r="Q118" s="153">
        <f t="shared" si="10"/>
        <v>185583432.68146271</v>
      </c>
      <c r="R118" s="104">
        <f t="shared" si="12"/>
        <v>230000000</v>
      </c>
      <c r="S118" s="104">
        <f t="shared" si="13"/>
        <v>255583432.68146271</v>
      </c>
      <c r="T118" s="87"/>
    </row>
    <row r="119" spans="1:20" s="18" customFormat="1" x14ac:dyDescent="0.3">
      <c r="B119" s="263"/>
      <c r="C119" s="28">
        <v>8</v>
      </c>
      <c r="D119" s="147">
        <v>0</v>
      </c>
      <c r="E119" s="147">
        <v>0</v>
      </c>
      <c r="F119" s="102">
        <v>300000</v>
      </c>
      <c r="G119" s="133">
        <v>300000</v>
      </c>
      <c r="H119" s="102">
        <v>0</v>
      </c>
      <c r="I119" s="102">
        <v>230000000</v>
      </c>
      <c r="J119" s="102">
        <v>70000000</v>
      </c>
      <c r="K119" s="139">
        <f t="shared" si="8"/>
        <v>189503203.02144769</v>
      </c>
      <c r="L119" s="105">
        <v>1.7999999999999999E-2</v>
      </c>
      <c r="M119" s="38">
        <v>0</v>
      </c>
      <c r="N119" s="118">
        <f t="shared" si="11"/>
        <v>31531.448281330235</v>
      </c>
      <c r="O119" s="25">
        <v>1.7999999999999999E-2</v>
      </c>
      <c r="P119" s="194">
        <f t="shared" si="9"/>
        <v>31531.448281330235</v>
      </c>
      <c r="Q119" s="153">
        <f t="shared" si="10"/>
        <v>189534734.46972901</v>
      </c>
      <c r="R119" s="104">
        <f t="shared" si="12"/>
        <v>230000000</v>
      </c>
      <c r="S119" s="104">
        <f t="shared" si="13"/>
        <v>259534734.46972901</v>
      </c>
      <c r="T119" s="87"/>
    </row>
    <row r="120" spans="1:20" s="18" customFormat="1" x14ac:dyDescent="0.3">
      <c r="B120" s="263"/>
      <c r="C120" s="28">
        <v>9</v>
      </c>
      <c r="D120" s="147">
        <v>0</v>
      </c>
      <c r="E120" s="147">
        <v>0</v>
      </c>
      <c r="F120" s="102">
        <v>300000</v>
      </c>
      <c r="G120" s="133">
        <v>300000</v>
      </c>
      <c r="H120" s="102">
        <v>0</v>
      </c>
      <c r="I120" s="102">
        <v>230000000</v>
      </c>
      <c r="J120" s="102">
        <v>70000000</v>
      </c>
      <c r="K120" s="139">
        <f t="shared" si="8"/>
        <v>193525060.67583373</v>
      </c>
      <c r="L120" s="105">
        <v>1.7999999999999999E-2</v>
      </c>
      <c r="M120" s="38">
        <v>0</v>
      </c>
      <c r="N120" s="118">
        <f t="shared" si="11"/>
        <v>32099.01435039418</v>
      </c>
      <c r="O120" s="25">
        <v>1.7999999999999999E-2</v>
      </c>
      <c r="P120" s="194">
        <f t="shared" si="9"/>
        <v>32099.01435039418</v>
      </c>
      <c r="Q120" s="153">
        <f t="shared" si="10"/>
        <v>193557159.69018412</v>
      </c>
      <c r="R120" s="104">
        <f t="shared" si="12"/>
        <v>230000000</v>
      </c>
      <c r="S120" s="104">
        <f t="shared" si="13"/>
        <v>263557159.69018412</v>
      </c>
      <c r="T120" s="87"/>
    </row>
    <row r="121" spans="1:20" s="18" customFormat="1" x14ac:dyDescent="0.3">
      <c r="B121" s="263"/>
      <c r="C121" s="28">
        <v>10</v>
      </c>
      <c r="D121" s="147">
        <v>0</v>
      </c>
      <c r="E121" s="147">
        <v>0</v>
      </c>
      <c r="F121" s="102">
        <v>300000</v>
      </c>
      <c r="G121" s="133">
        <v>300000</v>
      </c>
      <c r="H121" s="102">
        <v>0</v>
      </c>
      <c r="I121" s="102">
        <v>230000000</v>
      </c>
      <c r="J121" s="102">
        <v>70000000</v>
      </c>
      <c r="K121" s="139">
        <f t="shared" si="8"/>
        <v>197619311.76799873</v>
      </c>
      <c r="L121" s="105">
        <v>1.7999999999999999E-2</v>
      </c>
      <c r="M121" s="38">
        <v>0</v>
      </c>
      <c r="N121" s="118">
        <f t="shared" si="11"/>
        <v>32676.796608701276</v>
      </c>
      <c r="O121" s="25">
        <v>1.7999999999999999E-2</v>
      </c>
      <c r="P121" s="194">
        <f t="shared" si="9"/>
        <v>32676.796608701276</v>
      </c>
      <c r="Q121" s="153">
        <f t="shared" si="10"/>
        <v>197651988.56460741</v>
      </c>
      <c r="R121" s="104">
        <f t="shared" si="12"/>
        <v>230000000</v>
      </c>
      <c r="S121" s="104">
        <f t="shared" si="13"/>
        <v>267651988.56460741</v>
      </c>
      <c r="T121" s="87"/>
    </row>
    <row r="122" spans="1:20" s="18" customFormat="1" ht="17.25" thickBot="1" x14ac:dyDescent="0.35">
      <c r="B122" s="263"/>
      <c r="C122" s="30">
        <v>11</v>
      </c>
      <c r="D122" s="147">
        <v>0</v>
      </c>
      <c r="E122" s="147">
        <v>0</v>
      </c>
      <c r="F122" s="102">
        <v>300000</v>
      </c>
      <c r="G122" s="133">
        <v>300000</v>
      </c>
      <c r="H122" s="102">
        <v>0</v>
      </c>
      <c r="I122" s="102">
        <v>230000000</v>
      </c>
      <c r="J122" s="102">
        <v>70000000</v>
      </c>
      <c r="K122" s="139">
        <f t="shared" si="8"/>
        <v>201787259.3798227</v>
      </c>
      <c r="L122" s="105">
        <v>1.7999999999999999E-2</v>
      </c>
      <c r="M122" s="38">
        <v>0</v>
      </c>
      <c r="N122" s="118">
        <f t="shared" si="11"/>
        <v>33264.978947657895</v>
      </c>
      <c r="O122" s="83">
        <v>1.7999999999999999E-2</v>
      </c>
      <c r="P122" s="194">
        <f t="shared" si="9"/>
        <v>33264.978947657895</v>
      </c>
      <c r="Q122" s="153">
        <f t="shared" si="10"/>
        <v>201820524.35877037</v>
      </c>
      <c r="R122" s="104">
        <f t="shared" si="12"/>
        <v>230000000</v>
      </c>
      <c r="S122" s="104">
        <f t="shared" si="13"/>
        <v>271820524.35877037</v>
      </c>
      <c r="T122" s="87"/>
    </row>
    <row r="123" spans="1:20" s="97" customFormat="1" ht="17.25" thickBot="1" x14ac:dyDescent="0.35">
      <c r="B123" s="263"/>
      <c r="C123" s="92">
        <v>12</v>
      </c>
      <c r="D123" s="147">
        <v>0</v>
      </c>
      <c r="E123" s="148">
        <v>0</v>
      </c>
      <c r="F123" s="102">
        <v>300000</v>
      </c>
      <c r="G123" s="133">
        <v>300000</v>
      </c>
      <c r="H123" s="102">
        <v>0</v>
      </c>
      <c r="I123" s="102">
        <v>230000000</v>
      </c>
      <c r="J123" s="102">
        <v>70000000</v>
      </c>
      <c r="K123" s="140">
        <f t="shared" si="8"/>
        <v>206030230.0486595</v>
      </c>
      <c r="L123" s="93">
        <v>1.7999999999999999E-2</v>
      </c>
      <c r="M123" s="38">
        <v>0</v>
      </c>
      <c r="N123" s="118">
        <f t="shared" si="11"/>
        <v>33863.748568715739</v>
      </c>
      <c r="O123" s="94">
        <v>1.7999999999999999E-2</v>
      </c>
      <c r="P123" s="194">
        <f t="shared" si="9"/>
        <v>33863.748568715739</v>
      </c>
      <c r="Q123" s="153">
        <f t="shared" si="10"/>
        <v>206064093.79722822</v>
      </c>
      <c r="R123" s="104">
        <f t="shared" si="12"/>
        <v>230000000</v>
      </c>
      <c r="S123" s="104">
        <f t="shared" si="13"/>
        <v>276064093.79722822</v>
      </c>
      <c r="T123" s="110"/>
    </row>
    <row r="124" spans="1:20" s="18" customFormat="1" x14ac:dyDescent="0.3">
      <c r="A124" s="18">
        <v>11</v>
      </c>
      <c r="B124" s="263">
        <v>2032</v>
      </c>
      <c r="C124" s="27">
        <v>1</v>
      </c>
      <c r="D124" s="147">
        <v>0</v>
      </c>
      <c r="E124" s="147">
        <v>0</v>
      </c>
      <c r="F124" s="102">
        <v>300000</v>
      </c>
      <c r="G124" s="133">
        <v>300000</v>
      </c>
      <c r="H124" s="102">
        <v>0</v>
      </c>
      <c r="I124" s="102">
        <v>230000000</v>
      </c>
      <c r="J124" s="102">
        <v>70000000</v>
      </c>
      <c r="K124" s="139">
        <f t="shared" si="8"/>
        <v>210349574.18953538</v>
      </c>
      <c r="L124" s="105">
        <v>1.7999999999999999E-2</v>
      </c>
      <c r="M124" s="38">
        <v>0</v>
      </c>
      <c r="N124" s="118">
        <f t="shared" si="11"/>
        <v>33999.203562990602</v>
      </c>
      <c r="O124" s="82">
        <v>4.0000000000000001E-3</v>
      </c>
      <c r="P124" s="194">
        <f t="shared" si="9"/>
        <v>33999.203562990602</v>
      </c>
      <c r="Q124" s="153">
        <f t="shared" si="10"/>
        <v>210383573.39309838</v>
      </c>
      <c r="R124" s="104">
        <f t="shared" si="12"/>
        <v>230000000</v>
      </c>
      <c r="S124" s="104">
        <f t="shared" si="13"/>
        <v>280383573.39309835</v>
      </c>
      <c r="T124" s="87"/>
    </row>
    <row r="125" spans="1:20" s="18" customFormat="1" x14ac:dyDescent="0.3">
      <c r="B125" s="263"/>
      <c r="C125" s="28">
        <v>2</v>
      </c>
      <c r="D125" s="147">
        <v>0</v>
      </c>
      <c r="E125" s="147">
        <v>0</v>
      </c>
      <c r="F125" s="102">
        <v>300000</v>
      </c>
      <c r="G125" s="133">
        <v>300000</v>
      </c>
      <c r="H125" s="102">
        <v>0</v>
      </c>
      <c r="I125" s="102">
        <v>230000000</v>
      </c>
      <c r="J125" s="102">
        <v>70000000</v>
      </c>
      <c r="K125" s="139">
        <f t="shared" si="8"/>
        <v>214746666.52494702</v>
      </c>
      <c r="L125" s="105">
        <v>1.7999999999999999E-2</v>
      </c>
      <c r="M125" s="38">
        <v>0</v>
      </c>
      <c r="N125" s="118">
        <f t="shared" si="11"/>
        <v>34611.189227124436</v>
      </c>
      <c r="O125" s="25">
        <v>1.7999999999999999E-2</v>
      </c>
      <c r="P125" s="194">
        <f t="shared" si="9"/>
        <v>34611.189227124436</v>
      </c>
      <c r="Q125" s="153">
        <f t="shared" si="10"/>
        <v>214781277.71417415</v>
      </c>
      <c r="R125" s="104">
        <f t="shared" si="12"/>
        <v>230000000</v>
      </c>
      <c r="S125" s="104">
        <f t="shared" si="13"/>
        <v>284781277.71417415</v>
      </c>
      <c r="T125" s="87"/>
    </row>
    <row r="126" spans="1:20" s="18" customFormat="1" x14ac:dyDescent="0.3">
      <c r="B126" s="263"/>
      <c r="C126" s="28">
        <v>3</v>
      </c>
      <c r="D126" s="147">
        <v>0</v>
      </c>
      <c r="E126" s="147">
        <v>0</v>
      </c>
      <c r="F126" s="102">
        <v>300000</v>
      </c>
      <c r="G126" s="133">
        <v>300000</v>
      </c>
      <c r="H126" s="102">
        <v>0</v>
      </c>
      <c r="I126" s="102">
        <v>230000000</v>
      </c>
      <c r="J126" s="102">
        <v>70000000</v>
      </c>
      <c r="K126" s="139">
        <f t="shared" si="8"/>
        <v>219222906.52239606</v>
      </c>
      <c r="L126" s="105">
        <v>1.7999999999999999E-2</v>
      </c>
      <c r="M126" s="38">
        <v>0</v>
      </c>
      <c r="N126" s="118">
        <f t="shared" si="11"/>
        <v>35234.190633212675</v>
      </c>
      <c r="O126" s="25">
        <v>1.7999999999999999E-2</v>
      </c>
      <c r="P126" s="194">
        <f t="shared" si="9"/>
        <v>35234.190633212675</v>
      </c>
      <c r="Q126" s="153">
        <f t="shared" si="10"/>
        <v>219258140.71302927</v>
      </c>
      <c r="R126" s="104">
        <f t="shared" si="12"/>
        <v>230000000</v>
      </c>
      <c r="S126" s="104">
        <f t="shared" si="13"/>
        <v>289258140.71302927</v>
      </c>
      <c r="T126" s="87"/>
    </row>
    <row r="127" spans="1:20" s="18" customFormat="1" x14ac:dyDescent="0.3">
      <c r="B127" s="263"/>
      <c r="C127" s="28">
        <v>4</v>
      </c>
      <c r="D127" s="147">
        <v>0</v>
      </c>
      <c r="E127" s="147">
        <v>0</v>
      </c>
      <c r="F127" s="102">
        <v>300000</v>
      </c>
      <c r="G127" s="133">
        <v>300000</v>
      </c>
      <c r="H127" s="102">
        <v>0</v>
      </c>
      <c r="I127" s="102">
        <v>230000000</v>
      </c>
      <c r="J127" s="102">
        <v>70000000</v>
      </c>
      <c r="K127" s="139">
        <f t="shared" si="8"/>
        <v>223779718.8397992</v>
      </c>
      <c r="L127" s="105">
        <v>1.7999999999999999E-2</v>
      </c>
      <c r="M127" s="38">
        <v>0</v>
      </c>
      <c r="N127" s="118">
        <f t="shared" si="11"/>
        <v>35868.406064610506</v>
      </c>
      <c r="O127" s="25">
        <v>1.7999999999999999E-2</v>
      </c>
      <c r="P127" s="194">
        <f t="shared" si="9"/>
        <v>35868.406064610506</v>
      </c>
      <c r="Q127" s="153">
        <f t="shared" si="10"/>
        <v>223815587.2458638</v>
      </c>
      <c r="R127" s="104">
        <f t="shared" si="12"/>
        <v>230000000</v>
      </c>
      <c r="S127" s="104">
        <f t="shared" si="13"/>
        <v>293815587.2458638</v>
      </c>
      <c r="T127" s="87"/>
    </row>
    <row r="128" spans="1:20" s="18" customFormat="1" x14ac:dyDescent="0.3">
      <c r="B128" s="263"/>
      <c r="C128" s="28">
        <v>5</v>
      </c>
      <c r="D128" s="147">
        <v>0</v>
      </c>
      <c r="E128" s="147">
        <v>0</v>
      </c>
      <c r="F128" s="102">
        <v>300000</v>
      </c>
      <c r="G128" s="133">
        <v>300000</v>
      </c>
      <c r="H128" s="102">
        <v>0</v>
      </c>
      <c r="I128" s="102">
        <v>230000000</v>
      </c>
      <c r="J128" s="102">
        <v>70000000</v>
      </c>
      <c r="K128" s="139">
        <f t="shared" si="8"/>
        <v>228418553.77891558</v>
      </c>
      <c r="L128" s="105">
        <v>1.7999999999999999E-2</v>
      </c>
      <c r="M128" s="38">
        <v>0</v>
      </c>
      <c r="N128" s="118">
        <f t="shared" si="11"/>
        <v>36514.037373773492</v>
      </c>
      <c r="O128" s="25">
        <v>1.7999999999999999E-2</v>
      </c>
      <c r="P128" s="194">
        <f t="shared" si="9"/>
        <v>36514.037373773492</v>
      </c>
      <c r="Q128" s="153">
        <f t="shared" si="10"/>
        <v>228455067.81628937</v>
      </c>
      <c r="R128" s="104">
        <f t="shared" si="12"/>
        <v>230000000</v>
      </c>
      <c r="S128" s="104">
        <f t="shared" si="13"/>
        <v>298455067.81628937</v>
      </c>
      <c r="T128" s="87"/>
    </row>
    <row r="129" spans="1:20" s="18" customFormat="1" x14ac:dyDescent="0.3">
      <c r="B129" s="263"/>
      <c r="C129" s="28">
        <v>6</v>
      </c>
      <c r="D129" s="147">
        <v>0</v>
      </c>
      <c r="E129" s="147">
        <v>0</v>
      </c>
      <c r="F129" s="102">
        <v>300000</v>
      </c>
      <c r="G129" s="133">
        <v>300000</v>
      </c>
      <c r="H129" s="102">
        <v>0</v>
      </c>
      <c r="I129" s="102">
        <v>230000000</v>
      </c>
      <c r="J129" s="102">
        <v>70000000</v>
      </c>
      <c r="K129" s="139">
        <f t="shared" si="8"/>
        <v>233140887.74693605</v>
      </c>
      <c r="L129" s="105">
        <v>1.7999999999999999E-2</v>
      </c>
      <c r="M129" s="38">
        <v>0</v>
      </c>
      <c r="N129" s="118">
        <f t="shared" si="11"/>
        <v>37171.290046501417</v>
      </c>
      <c r="O129" s="25">
        <v>1.7999999999999999E-2</v>
      </c>
      <c r="P129" s="194">
        <f t="shared" si="9"/>
        <v>37171.290046501417</v>
      </c>
      <c r="Q129" s="153">
        <f t="shared" si="10"/>
        <v>233178059.03698257</v>
      </c>
      <c r="R129" s="104">
        <f t="shared" si="12"/>
        <v>230000000</v>
      </c>
      <c r="S129" s="104">
        <f t="shared" si="13"/>
        <v>303178059.03698254</v>
      </c>
      <c r="T129" s="87"/>
    </row>
    <row r="130" spans="1:20" s="18" customFormat="1" x14ac:dyDescent="0.3">
      <c r="B130" s="263"/>
      <c r="C130" s="28">
        <v>7</v>
      </c>
      <c r="D130" s="147">
        <v>0</v>
      </c>
      <c r="E130" s="147">
        <v>0</v>
      </c>
      <c r="F130" s="102">
        <v>300000</v>
      </c>
      <c r="G130" s="133">
        <v>300000</v>
      </c>
      <c r="H130" s="102">
        <v>0</v>
      </c>
      <c r="I130" s="102">
        <v>230000000</v>
      </c>
      <c r="J130" s="102">
        <v>70000000</v>
      </c>
      <c r="K130" s="139">
        <f t="shared" si="8"/>
        <v>237948223.72638091</v>
      </c>
      <c r="L130" s="105">
        <v>1.7999999999999999E-2</v>
      </c>
      <c r="M130" s="38">
        <v>0</v>
      </c>
      <c r="N130" s="118">
        <f t="shared" si="11"/>
        <v>37840.373267338444</v>
      </c>
      <c r="O130" s="25">
        <v>1.7999999999999999E-2</v>
      </c>
      <c r="P130" s="194">
        <f t="shared" si="9"/>
        <v>37840.373267338444</v>
      </c>
      <c r="Q130" s="153">
        <f t="shared" si="10"/>
        <v>237986064.09964827</v>
      </c>
      <c r="R130" s="104">
        <f t="shared" si="12"/>
        <v>230000000</v>
      </c>
      <c r="S130" s="104">
        <f t="shared" si="13"/>
        <v>307986064.09964824</v>
      </c>
      <c r="T130" s="87"/>
    </row>
    <row r="131" spans="1:20" s="18" customFormat="1" x14ac:dyDescent="0.3">
      <c r="B131" s="263"/>
      <c r="C131" s="28">
        <v>8</v>
      </c>
      <c r="D131" s="147">
        <v>0</v>
      </c>
      <c r="E131" s="147">
        <v>0</v>
      </c>
      <c r="F131" s="102">
        <v>300000</v>
      </c>
      <c r="G131" s="133">
        <v>300000</v>
      </c>
      <c r="H131" s="102">
        <v>0</v>
      </c>
      <c r="I131" s="102">
        <v>230000000</v>
      </c>
      <c r="J131" s="102">
        <v>70000000</v>
      </c>
      <c r="K131" s="139">
        <f t="shared" si="8"/>
        <v>242842091.75345576</v>
      </c>
      <c r="L131" s="105">
        <v>1.7999999999999999E-2</v>
      </c>
      <c r="M131" s="38">
        <v>0</v>
      </c>
      <c r="N131" s="118">
        <f t="shared" si="11"/>
        <v>38521.499986150535</v>
      </c>
      <c r="O131" s="25">
        <v>1.7999999999999999E-2</v>
      </c>
      <c r="P131" s="194">
        <f t="shared" si="9"/>
        <v>38521.499986150535</v>
      </c>
      <c r="Q131" s="153">
        <f t="shared" si="10"/>
        <v>242880613.2534419</v>
      </c>
      <c r="R131" s="104">
        <f t="shared" si="12"/>
        <v>230000000</v>
      </c>
      <c r="S131" s="104">
        <f t="shared" si="13"/>
        <v>312880613.25344193</v>
      </c>
      <c r="T131" s="87"/>
    </row>
    <row r="132" spans="1:20" s="18" customFormat="1" x14ac:dyDescent="0.3">
      <c r="B132" s="263"/>
      <c r="C132" s="28">
        <v>9</v>
      </c>
      <c r="D132" s="147">
        <v>0</v>
      </c>
      <c r="E132" s="147">
        <v>0</v>
      </c>
      <c r="F132" s="102">
        <v>300000</v>
      </c>
      <c r="G132" s="133">
        <v>300000</v>
      </c>
      <c r="H132" s="102">
        <v>0</v>
      </c>
      <c r="I132" s="102">
        <v>230000000</v>
      </c>
      <c r="J132" s="102">
        <v>70000000</v>
      </c>
      <c r="K132" s="139">
        <f t="shared" si="8"/>
        <v>247824049.40501797</v>
      </c>
      <c r="L132" s="105">
        <v>1.7999999999999999E-2</v>
      </c>
      <c r="M132" s="38">
        <v>0</v>
      </c>
      <c r="N132" s="118">
        <f t="shared" si="11"/>
        <v>39214.886985901241</v>
      </c>
      <c r="O132" s="25">
        <v>1.7999999999999999E-2</v>
      </c>
      <c r="P132" s="194">
        <f t="shared" si="9"/>
        <v>39214.886985901241</v>
      </c>
      <c r="Q132" s="153">
        <f t="shared" si="10"/>
        <v>247863264.29200387</v>
      </c>
      <c r="R132" s="104">
        <f t="shared" si="12"/>
        <v>230000000</v>
      </c>
      <c r="S132" s="104">
        <f t="shared" si="13"/>
        <v>317863264.29200387</v>
      </c>
      <c r="T132" s="87"/>
    </row>
    <row r="133" spans="1:20" s="18" customFormat="1" x14ac:dyDescent="0.3">
      <c r="B133" s="263"/>
      <c r="C133" s="28">
        <v>10</v>
      </c>
      <c r="D133" s="147">
        <v>0</v>
      </c>
      <c r="E133" s="147">
        <v>0</v>
      </c>
      <c r="F133" s="102">
        <v>300000</v>
      </c>
      <c r="G133" s="133">
        <v>300000</v>
      </c>
      <c r="H133" s="102">
        <v>0</v>
      </c>
      <c r="I133" s="102">
        <v>230000000</v>
      </c>
      <c r="J133" s="102">
        <v>70000000</v>
      </c>
      <c r="K133" s="139">
        <f t="shared" si="8"/>
        <v>252895682.2943083</v>
      </c>
      <c r="L133" s="105">
        <v>1.7999999999999999E-2</v>
      </c>
      <c r="M133" s="38">
        <v>0</v>
      </c>
      <c r="N133" s="118">
        <f t="shared" si="11"/>
        <v>39920.754951647461</v>
      </c>
      <c r="O133" s="25">
        <v>1.7999999999999999E-2</v>
      </c>
      <c r="P133" s="194">
        <f t="shared" si="9"/>
        <v>39920.754951647461</v>
      </c>
      <c r="Q133" s="153">
        <f t="shared" si="10"/>
        <v>252935603.04925996</v>
      </c>
      <c r="R133" s="104">
        <f t="shared" si="12"/>
        <v>230000000</v>
      </c>
      <c r="S133" s="104">
        <f t="shared" si="13"/>
        <v>322935603.04925996</v>
      </c>
      <c r="T133" s="87"/>
    </row>
    <row r="134" spans="1:20" s="18" customFormat="1" ht="18" customHeight="1" thickBot="1" x14ac:dyDescent="0.35">
      <c r="B134" s="263"/>
      <c r="C134" s="30">
        <v>11</v>
      </c>
      <c r="D134" s="147">
        <v>0</v>
      </c>
      <c r="E134" s="147">
        <v>0</v>
      </c>
      <c r="F134" s="102">
        <v>300000</v>
      </c>
      <c r="G134" s="133">
        <v>300000</v>
      </c>
      <c r="H134" s="102">
        <v>0</v>
      </c>
      <c r="I134" s="102">
        <v>230000000</v>
      </c>
      <c r="J134" s="102">
        <v>70000000</v>
      </c>
      <c r="K134" s="139">
        <f t="shared" si="8"/>
        <v>258058604.57560587</v>
      </c>
      <c r="L134" s="105">
        <v>1.7999999999999999E-2</v>
      </c>
      <c r="M134" s="38">
        <v>0</v>
      </c>
      <c r="N134" s="118">
        <f t="shared" si="11"/>
        <v>40639.328540777118</v>
      </c>
      <c r="O134" s="83">
        <v>1.7999999999999999E-2</v>
      </c>
      <c r="P134" s="194">
        <f t="shared" si="9"/>
        <v>40639.328540777118</v>
      </c>
      <c r="Q134" s="153">
        <f t="shared" si="10"/>
        <v>258099243.90414664</v>
      </c>
      <c r="R134" s="104">
        <f t="shared" si="12"/>
        <v>230000000</v>
      </c>
      <c r="S134" s="104">
        <f t="shared" si="13"/>
        <v>328099243.90414667</v>
      </c>
      <c r="T134" s="87"/>
    </row>
    <row r="135" spans="1:20" s="39" customFormat="1" ht="17.25" thickBot="1" x14ac:dyDescent="0.35">
      <c r="B135" s="263"/>
      <c r="C135" s="20">
        <v>12</v>
      </c>
      <c r="D135" s="147">
        <v>0</v>
      </c>
      <c r="E135" s="146">
        <v>0</v>
      </c>
      <c r="F135" s="103">
        <v>300000</v>
      </c>
      <c r="G135" s="133">
        <v>300000</v>
      </c>
      <c r="H135" s="103">
        <v>0</v>
      </c>
      <c r="I135" s="102">
        <v>230000000</v>
      </c>
      <c r="J135" s="102">
        <v>70000000</v>
      </c>
      <c r="K135" s="187">
        <f t="shared" si="8"/>
        <v>263314459.45796677</v>
      </c>
      <c r="L135" s="188">
        <v>1.7999999999999999E-2</v>
      </c>
      <c r="M135" s="189">
        <v>0</v>
      </c>
      <c r="N135" s="118">
        <f t="shared" si="11"/>
        <v>41370.836454511104</v>
      </c>
      <c r="O135" s="190">
        <v>1.7999999999999999E-2</v>
      </c>
      <c r="P135" s="194">
        <f t="shared" si="9"/>
        <v>41370.836454511104</v>
      </c>
      <c r="Q135" s="191">
        <f t="shared" si="10"/>
        <v>263355830.29442129</v>
      </c>
      <c r="R135" s="103">
        <f t="shared" si="12"/>
        <v>230000000</v>
      </c>
      <c r="S135" s="103">
        <f t="shared" si="13"/>
        <v>333355830.29442132</v>
      </c>
      <c r="T135" s="192"/>
    </row>
    <row r="136" spans="1:20" s="36" customFormat="1" x14ac:dyDescent="0.3">
      <c r="A136" s="31">
        <v>12</v>
      </c>
      <c r="B136" s="263">
        <v>2033</v>
      </c>
      <c r="C136" s="35">
        <v>1</v>
      </c>
      <c r="D136" s="147">
        <v>0</v>
      </c>
      <c r="E136" s="147">
        <v>0</v>
      </c>
      <c r="F136" s="102">
        <v>300000</v>
      </c>
      <c r="G136" s="133">
        <v>300000</v>
      </c>
      <c r="H136" s="102">
        <v>0</v>
      </c>
      <c r="I136" s="102">
        <v>230000000</v>
      </c>
      <c r="J136" s="102">
        <v>70000000</v>
      </c>
      <c r="K136" s="139">
        <f t="shared" si="8"/>
        <v>268664919.72821015</v>
      </c>
      <c r="L136" s="105">
        <v>1.7999999999999999E-2</v>
      </c>
      <c r="M136" s="38">
        <v>0</v>
      </c>
      <c r="N136" s="118">
        <f t="shared" si="11"/>
        <v>41536.319800329147</v>
      </c>
      <c r="O136" s="82">
        <v>4.0000000000000001E-3</v>
      </c>
      <c r="P136" s="194">
        <f t="shared" si="9"/>
        <v>41536.319800329147</v>
      </c>
      <c r="Q136" s="153">
        <f t="shared" si="10"/>
        <v>268706456.04801047</v>
      </c>
      <c r="R136" s="104">
        <f t="shared" si="12"/>
        <v>230000000</v>
      </c>
      <c r="S136" s="104">
        <f t="shared" si="13"/>
        <v>338706456.04801047</v>
      </c>
    </row>
    <row r="137" spans="1:20" x14ac:dyDescent="0.3">
      <c r="A137" s="18"/>
      <c r="B137" s="263"/>
      <c r="C137" s="28">
        <v>2</v>
      </c>
      <c r="D137" s="147">
        <v>0</v>
      </c>
      <c r="E137" s="147">
        <v>0</v>
      </c>
      <c r="F137" s="102">
        <v>300000</v>
      </c>
      <c r="G137" s="133">
        <v>300000</v>
      </c>
      <c r="H137" s="102">
        <v>0</v>
      </c>
      <c r="I137" s="102">
        <v>230000000</v>
      </c>
      <c r="J137" s="102">
        <v>70000000</v>
      </c>
      <c r="K137" s="139">
        <f t="shared" si="8"/>
        <v>274111688.28331792</v>
      </c>
      <c r="L137" s="105">
        <v>1.7999999999999999E-2</v>
      </c>
      <c r="M137" s="38">
        <v>0</v>
      </c>
      <c r="N137" s="118">
        <f t="shared" si="11"/>
        <v>42283.973556735073</v>
      </c>
      <c r="O137" s="25">
        <v>1.7999999999999999E-2</v>
      </c>
      <c r="P137" s="194">
        <f t="shared" si="9"/>
        <v>42283.973556735073</v>
      </c>
      <c r="Q137" s="153">
        <f t="shared" si="10"/>
        <v>274153972.25687468</v>
      </c>
      <c r="R137" s="104">
        <f t="shared" si="12"/>
        <v>230000000</v>
      </c>
      <c r="S137" s="104">
        <f t="shared" si="13"/>
        <v>344153972.25687468</v>
      </c>
    </row>
    <row r="138" spans="1:20" x14ac:dyDescent="0.3">
      <c r="A138" s="18"/>
      <c r="B138" s="263"/>
      <c r="C138" s="28">
        <v>3</v>
      </c>
      <c r="D138" s="147">
        <v>0</v>
      </c>
      <c r="E138" s="147">
        <v>0</v>
      </c>
      <c r="F138" s="102">
        <v>300000</v>
      </c>
      <c r="G138" s="133">
        <v>300000</v>
      </c>
      <c r="H138" s="102">
        <v>0</v>
      </c>
      <c r="I138" s="102">
        <v>230000000</v>
      </c>
      <c r="J138" s="102">
        <v>70000000</v>
      </c>
      <c r="K138" s="139">
        <f t="shared" si="8"/>
        <v>279656498.67241764</v>
      </c>
      <c r="L138" s="105">
        <v>1.7999999999999999E-2</v>
      </c>
      <c r="M138" s="38">
        <v>0</v>
      </c>
      <c r="N138" s="118">
        <f t="shared" si="11"/>
        <v>43045.085080756304</v>
      </c>
      <c r="O138" s="25">
        <v>1.7999999999999999E-2</v>
      </c>
      <c r="P138" s="194">
        <f t="shared" si="9"/>
        <v>43045.085080756304</v>
      </c>
      <c r="Q138" s="153">
        <f t="shared" si="10"/>
        <v>279699543.75749838</v>
      </c>
      <c r="R138" s="104">
        <f t="shared" si="12"/>
        <v>230000000</v>
      </c>
      <c r="S138" s="104">
        <f t="shared" si="13"/>
        <v>349699543.75749838</v>
      </c>
    </row>
    <row r="139" spans="1:20" x14ac:dyDescent="0.3">
      <c r="A139" s="18"/>
      <c r="B139" s="263"/>
      <c r="C139" s="28">
        <v>4</v>
      </c>
      <c r="D139" s="147">
        <v>0</v>
      </c>
      <c r="E139" s="147">
        <v>0</v>
      </c>
      <c r="F139" s="102">
        <v>300000</v>
      </c>
      <c r="G139" s="133">
        <v>300000</v>
      </c>
      <c r="H139" s="102">
        <v>0</v>
      </c>
      <c r="I139" s="102">
        <v>230000000</v>
      </c>
      <c r="J139" s="102">
        <v>70000000</v>
      </c>
      <c r="K139" s="139">
        <f t="shared" si="8"/>
        <v>285301115.64852118</v>
      </c>
      <c r="L139" s="105">
        <v>1.7999999999999999E-2</v>
      </c>
      <c r="M139" s="38">
        <v>0</v>
      </c>
      <c r="N139" s="118">
        <f t="shared" si="11"/>
        <v>43819.896612209915</v>
      </c>
      <c r="O139" s="25">
        <v>1.7999999999999999E-2</v>
      </c>
      <c r="P139" s="194">
        <f t="shared" si="9"/>
        <v>43819.896612209915</v>
      </c>
      <c r="Q139" s="153">
        <f t="shared" si="10"/>
        <v>285344935.54513341</v>
      </c>
      <c r="R139" s="104">
        <f t="shared" si="12"/>
        <v>230000000</v>
      </c>
      <c r="S139" s="104">
        <f t="shared" si="13"/>
        <v>355344935.54513341</v>
      </c>
    </row>
    <row r="140" spans="1:20" x14ac:dyDescent="0.3">
      <c r="A140" s="18"/>
      <c r="B140" s="263"/>
      <c r="C140" s="28">
        <v>5</v>
      </c>
      <c r="D140" s="147">
        <v>0</v>
      </c>
      <c r="E140" s="147">
        <v>0</v>
      </c>
      <c r="F140" s="102">
        <v>300000</v>
      </c>
      <c r="G140" s="133">
        <v>300000</v>
      </c>
      <c r="H140" s="102">
        <v>0</v>
      </c>
      <c r="I140" s="102">
        <v>230000000</v>
      </c>
      <c r="J140" s="102">
        <v>70000000</v>
      </c>
      <c r="K140" s="139">
        <f t="shared" si="8"/>
        <v>291047335.73019457</v>
      </c>
      <c r="L140" s="105">
        <v>1.7999999999999999E-2</v>
      </c>
      <c r="M140" s="38">
        <v>0</v>
      </c>
      <c r="N140" s="118">
        <f t="shared" si="11"/>
        <v>44608.654751229697</v>
      </c>
      <c r="O140" s="25">
        <v>1.7999999999999999E-2</v>
      </c>
      <c r="P140" s="194">
        <f t="shared" si="9"/>
        <v>44608.654751229697</v>
      </c>
      <c r="Q140" s="153">
        <f t="shared" si="10"/>
        <v>291091944.38494581</v>
      </c>
      <c r="R140" s="104">
        <f t="shared" si="12"/>
        <v>230000000</v>
      </c>
      <c r="S140" s="104">
        <f t="shared" si="13"/>
        <v>361091944.38494581</v>
      </c>
    </row>
    <row r="141" spans="1:20" x14ac:dyDescent="0.3">
      <c r="A141" s="18"/>
      <c r="B141" s="263"/>
      <c r="C141" s="28">
        <v>6</v>
      </c>
      <c r="D141" s="147">
        <v>0</v>
      </c>
      <c r="E141" s="147">
        <v>0</v>
      </c>
      <c r="F141" s="102">
        <v>300000</v>
      </c>
      <c r="G141" s="133">
        <v>300000</v>
      </c>
      <c r="H141" s="102">
        <v>0</v>
      </c>
      <c r="I141" s="102">
        <v>230000000</v>
      </c>
      <c r="J141" s="102">
        <v>70000000</v>
      </c>
      <c r="K141" s="139">
        <f t="shared" si="8"/>
        <v>296896987.77333808</v>
      </c>
      <c r="L141" s="105">
        <v>1.7999999999999999E-2</v>
      </c>
      <c r="M141" s="38">
        <v>0</v>
      </c>
      <c r="N141" s="118">
        <f t="shared" si="11"/>
        <v>45411.610536751832</v>
      </c>
      <c r="O141" s="25">
        <v>1.7999999999999999E-2</v>
      </c>
      <c r="P141" s="194">
        <f t="shared" si="9"/>
        <v>45411.610536751832</v>
      </c>
      <c r="Q141" s="153">
        <f t="shared" si="10"/>
        <v>296942399.38387483</v>
      </c>
      <c r="R141" s="104">
        <f t="shared" si="12"/>
        <v>230000000</v>
      </c>
      <c r="S141" s="104">
        <f t="shared" si="13"/>
        <v>366942399.38387483</v>
      </c>
    </row>
    <row r="142" spans="1:20" x14ac:dyDescent="0.3">
      <c r="A142" s="18"/>
      <c r="B142" s="263"/>
      <c r="C142" s="28">
        <v>7</v>
      </c>
      <c r="D142" s="147">
        <v>0</v>
      </c>
      <c r="E142" s="147">
        <v>0</v>
      </c>
      <c r="F142" s="102">
        <v>300000</v>
      </c>
      <c r="G142" s="133">
        <v>300000</v>
      </c>
      <c r="H142" s="102">
        <v>0</v>
      </c>
      <c r="I142" s="102">
        <v>230000000</v>
      </c>
      <c r="J142" s="102">
        <v>70000000</v>
      </c>
      <c r="K142" s="139">
        <f t="shared" si="8"/>
        <v>302851933.55325818</v>
      </c>
      <c r="L142" s="105">
        <v>1.7999999999999999E-2</v>
      </c>
      <c r="M142" s="38">
        <v>0</v>
      </c>
      <c r="N142" s="118">
        <f t="shared" si="11"/>
        <v>46229.019526413365</v>
      </c>
      <c r="O142" s="25">
        <v>1.7999999999999999E-2</v>
      </c>
      <c r="P142" s="194">
        <f t="shared" si="9"/>
        <v>46229.019526413365</v>
      </c>
      <c r="Q142" s="153">
        <f t="shared" si="10"/>
        <v>302898162.5727846</v>
      </c>
      <c r="R142" s="104">
        <f t="shared" si="12"/>
        <v>230000000</v>
      </c>
      <c r="S142" s="104">
        <f t="shared" si="13"/>
        <v>372898162.5727846</v>
      </c>
    </row>
    <row r="143" spans="1:20" x14ac:dyDescent="0.3">
      <c r="A143" s="18"/>
      <c r="B143" s="263"/>
      <c r="C143" s="28">
        <v>8</v>
      </c>
      <c r="D143" s="147">
        <v>0</v>
      </c>
      <c r="E143" s="147">
        <v>0</v>
      </c>
      <c r="F143" s="102">
        <v>300000</v>
      </c>
      <c r="G143" s="133">
        <v>300000</v>
      </c>
      <c r="H143" s="102">
        <v>0</v>
      </c>
      <c r="I143" s="102">
        <v>230000000</v>
      </c>
      <c r="J143" s="102">
        <v>70000000</v>
      </c>
      <c r="K143" s="139">
        <f t="shared" si="8"/>
        <v>308914068.35721684</v>
      </c>
      <c r="L143" s="105">
        <v>1.7999999999999999E-2</v>
      </c>
      <c r="M143" s="38">
        <v>0</v>
      </c>
      <c r="N143" s="118">
        <f t="shared" si="11"/>
        <v>47061.141877888804</v>
      </c>
      <c r="O143" s="25">
        <v>1.7999999999999999E-2</v>
      </c>
      <c r="P143" s="194">
        <f t="shared" si="9"/>
        <v>47061.141877888804</v>
      </c>
      <c r="Q143" s="153">
        <f t="shared" si="10"/>
        <v>308961129.49909472</v>
      </c>
      <c r="R143" s="104">
        <f t="shared" si="12"/>
        <v>230000000</v>
      </c>
      <c r="S143" s="104">
        <f t="shared" si="13"/>
        <v>378961129.49909472</v>
      </c>
    </row>
    <row r="144" spans="1:20" x14ac:dyDescent="0.3">
      <c r="A144" s="18"/>
      <c r="B144" s="263"/>
      <c r="C144" s="28">
        <v>9</v>
      </c>
      <c r="D144" s="147">
        <v>0</v>
      </c>
      <c r="E144" s="147">
        <v>0</v>
      </c>
      <c r="F144" s="102">
        <v>300000</v>
      </c>
      <c r="G144" s="133">
        <v>300000</v>
      </c>
      <c r="H144" s="102">
        <v>0</v>
      </c>
      <c r="I144" s="102">
        <v>230000000</v>
      </c>
      <c r="J144" s="102">
        <v>70000000</v>
      </c>
      <c r="K144" s="139">
        <f t="shared" si="8"/>
        <v>315085321.58764672</v>
      </c>
      <c r="L144" s="105">
        <v>1.7999999999999999E-2</v>
      </c>
      <c r="M144" s="38">
        <v>0</v>
      </c>
      <c r="N144" s="118">
        <f t="shared" si="11"/>
        <v>47908.2424316908</v>
      </c>
      <c r="O144" s="25">
        <v>1.7999999999999999E-2</v>
      </c>
      <c r="P144" s="194">
        <f t="shared" si="9"/>
        <v>47908.2424316908</v>
      </c>
      <c r="Q144" s="153">
        <f t="shared" si="10"/>
        <v>315133229.83007842</v>
      </c>
      <c r="R144" s="104">
        <f t="shared" si="12"/>
        <v>230000000</v>
      </c>
      <c r="S144" s="104">
        <f t="shared" si="13"/>
        <v>385133229.83007842</v>
      </c>
    </row>
    <row r="145" spans="1:19" x14ac:dyDescent="0.3">
      <c r="A145" s="18"/>
      <c r="B145" s="263"/>
      <c r="C145" s="28">
        <v>10</v>
      </c>
      <c r="D145" s="147">
        <v>0</v>
      </c>
      <c r="E145" s="147">
        <v>0</v>
      </c>
      <c r="F145" s="102">
        <v>300000</v>
      </c>
      <c r="G145" s="133">
        <v>300000</v>
      </c>
      <c r="H145" s="102">
        <v>0</v>
      </c>
      <c r="I145" s="102">
        <v>230000000</v>
      </c>
      <c r="J145" s="102">
        <v>70000000</v>
      </c>
      <c r="K145" s="139">
        <f t="shared" si="8"/>
        <v>321367657.37622434</v>
      </c>
      <c r="L145" s="105">
        <v>1.7999999999999999E-2</v>
      </c>
      <c r="M145" s="38">
        <v>0</v>
      </c>
      <c r="N145" s="118">
        <f t="shared" si="11"/>
        <v>48770.590795461234</v>
      </c>
      <c r="O145" s="25">
        <v>1.7999999999999999E-2</v>
      </c>
      <c r="P145" s="194">
        <f t="shared" si="9"/>
        <v>48770.590795461234</v>
      </c>
      <c r="Q145" s="153">
        <f t="shared" si="10"/>
        <v>321416427.9670198</v>
      </c>
      <c r="R145" s="104">
        <f t="shared" si="12"/>
        <v>230000000</v>
      </c>
      <c r="S145" s="104">
        <f t="shared" si="13"/>
        <v>391416427.9670198</v>
      </c>
    </row>
    <row r="146" spans="1:19" ht="17.25" thickBot="1" x14ac:dyDescent="0.35">
      <c r="A146" s="18"/>
      <c r="B146" s="263"/>
      <c r="C146" s="30">
        <v>11</v>
      </c>
      <c r="D146" s="147">
        <v>0</v>
      </c>
      <c r="E146" s="147">
        <v>0</v>
      </c>
      <c r="F146" s="102">
        <v>300000</v>
      </c>
      <c r="G146" s="133">
        <v>300000</v>
      </c>
      <c r="H146" s="102">
        <v>0</v>
      </c>
      <c r="I146" s="102">
        <v>230000000</v>
      </c>
      <c r="J146" s="102">
        <v>70000000</v>
      </c>
      <c r="K146" s="139">
        <f t="shared" si="8"/>
        <v>327763075.20899636</v>
      </c>
      <c r="L146" s="105">
        <v>1.7999999999999999E-2</v>
      </c>
      <c r="M146" s="38">
        <v>0</v>
      </c>
      <c r="N146" s="118">
        <f t="shared" si="11"/>
        <v>49648.461429779534</v>
      </c>
      <c r="O146" s="83">
        <v>1.7999999999999999E-2</v>
      </c>
      <c r="P146" s="194">
        <f t="shared" si="9"/>
        <v>49648.461429779534</v>
      </c>
      <c r="Q146" s="153">
        <f t="shared" si="10"/>
        <v>327812723.67042613</v>
      </c>
      <c r="R146" s="104">
        <f t="shared" si="12"/>
        <v>230000000</v>
      </c>
      <c r="S146" s="104">
        <f t="shared" si="13"/>
        <v>397812723.67042613</v>
      </c>
    </row>
    <row r="147" spans="1:19" s="111" customFormat="1" ht="17.25" thickBot="1" x14ac:dyDescent="0.35">
      <c r="A147" s="97"/>
      <c r="B147" s="263"/>
      <c r="C147" s="92">
        <v>12</v>
      </c>
      <c r="D147" s="147">
        <v>0</v>
      </c>
      <c r="E147" s="148">
        <v>0</v>
      </c>
      <c r="F147" s="102">
        <v>300000</v>
      </c>
      <c r="G147" s="133">
        <v>300000</v>
      </c>
      <c r="H147" s="102">
        <v>0</v>
      </c>
      <c r="I147" s="102">
        <v>230000000</v>
      </c>
      <c r="J147" s="102">
        <v>70000000</v>
      </c>
      <c r="K147" s="140">
        <f t="shared" si="8"/>
        <v>334273610.56275827</v>
      </c>
      <c r="L147" s="93">
        <v>1.7999999999999999E-2</v>
      </c>
      <c r="M147" s="38">
        <v>0</v>
      </c>
      <c r="N147" s="118">
        <f t="shared" si="11"/>
        <v>50542.133735515563</v>
      </c>
      <c r="O147" s="94">
        <v>1.7999999999999999E-2</v>
      </c>
      <c r="P147" s="194">
        <f t="shared" si="9"/>
        <v>50542.133735515563</v>
      </c>
      <c r="Q147" s="153">
        <f t="shared" si="10"/>
        <v>334324152.6964938</v>
      </c>
      <c r="R147" s="104">
        <f t="shared" si="12"/>
        <v>230000000</v>
      </c>
      <c r="S147" s="104">
        <f t="shared" si="13"/>
        <v>404324152.6964938</v>
      </c>
    </row>
  </sheetData>
  <mergeCells count="20">
    <mergeCell ref="B100:B111"/>
    <mergeCell ref="B112:B123"/>
    <mergeCell ref="B124:B135"/>
    <mergeCell ref="B136:B147"/>
    <mergeCell ref="B76:B87"/>
    <mergeCell ref="R1:R2"/>
    <mergeCell ref="S1:S2"/>
    <mergeCell ref="Q1:Q2"/>
    <mergeCell ref="B88:B99"/>
    <mergeCell ref="B16:B27"/>
    <mergeCell ref="B28:B39"/>
    <mergeCell ref="B40:B51"/>
    <mergeCell ref="B52:B63"/>
    <mergeCell ref="B64:B75"/>
    <mergeCell ref="M1:P1"/>
    <mergeCell ref="B4:B15"/>
    <mergeCell ref="A1:C2"/>
    <mergeCell ref="D1:G1"/>
    <mergeCell ref="J1:L1"/>
    <mergeCell ref="H1:I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123"/>
  <sheetViews>
    <sheetView tabSelected="1" topLeftCell="A4" zoomScale="70" zoomScaleNormal="70" workbookViewId="0">
      <selection activeCell="Q22" sqref="Q22"/>
    </sheetView>
  </sheetViews>
  <sheetFormatPr defaultRowHeight="16.5" x14ac:dyDescent="0.3"/>
  <cols>
    <col min="1" max="1" width="5.5" style="1" bestFit="1" customWidth="1"/>
    <col min="2" max="2" width="11.125" style="1" bestFit="1" customWidth="1"/>
    <col min="3" max="3" width="12.875" style="1" bestFit="1" customWidth="1"/>
    <col min="4" max="4" width="11" style="18" customWidth="1"/>
    <col min="5" max="5" width="11.75" style="78" bestFit="1" customWidth="1"/>
    <col min="6" max="6" width="12.125" style="1" customWidth="1"/>
    <col min="7" max="7" width="13.875" style="1" bestFit="1" customWidth="1"/>
    <col min="8" max="8" width="9.875" style="78" bestFit="1" customWidth="1"/>
    <col min="9" max="9" width="11.75" style="1" bestFit="1" customWidth="1"/>
    <col min="10" max="10" width="11.375" style="1" bestFit="1" customWidth="1"/>
    <col min="11" max="11" width="9.25" style="1" bestFit="1" customWidth="1"/>
    <col min="12" max="12" width="14.75" style="1" customWidth="1"/>
    <col min="13" max="13" width="10.75" style="1" bestFit="1" customWidth="1"/>
    <col min="14" max="14" width="7" style="1" customWidth="1"/>
    <col min="15" max="15" width="11.5" style="1" bestFit="1" customWidth="1"/>
    <col min="16" max="16" width="10.75" style="1" bestFit="1" customWidth="1"/>
    <col min="17" max="17" width="16.75" style="1" customWidth="1"/>
    <col min="18" max="18" width="12.625" style="18" bestFit="1" customWidth="1"/>
    <col min="19" max="19" width="16.25" style="1" bestFit="1" customWidth="1"/>
    <col min="20" max="20" width="11.75" style="1" bestFit="1" customWidth="1"/>
    <col min="21" max="21" width="12.875" style="1" bestFit="1" customWidth="1"/>
    <col min="22" max="22" width="29.875" style="1" bestFit="1" customWidth="1"/>
    <col min="23" max="16384" width="9" style="1"/>
  </cols>
  <sheetData>
    <row r="1" spans="1:22" x14ac:dyDescent="0.3">
      <c r="G1" s="277" t="s">
        <v>159</v>
      </c>
      <c r="H1" s="277"/>
    </row>
    <row r="2" spans="1:22" s="121" customFormat="1" x14ac:dyDescent="0.3">
      <c r="C2" s="121" t="s">
        <v>180</v>
      </c>
      <c r="D2" s="121" t="s">
        <v>0</v>
      </c>
      <c r="E2" s="121" t="s">
        <v>1</v>
      </c>
      <c r="F2" s="121" t="s">
        <v>162</v>
      </c>
      <c r="G2" s="121" t="s">
        <v>163</v>
      </c>
      <c r="H2" s="121" t="s">
        <v>158</v>
      </c>
      <c r="I2" s="121" t="s">
        <v>2</v>
      </c>
      <c r="J2" s="121" t="s">
        <v>182</v>
      </c>
      <c r="K2" s="121" t="s">
        <v>3</v>
      </c>
      <c r="L2" s="121" t="s">
        <v>183</v>
      </c>
      <c r="M2" s="121" t="s">
        <v>4</v>
      </c>
      <c r="N2" s="121" t="s">
        <v>5</v>
      </c>
      <c r="O2" s="121" t="s">
        <v>8</v>
      </c>
      <c r="P2" s="121" t="s">
        <v>6</v>
      </c>
      <c r="Q2" s="121" t="s">
        <v>184</v>
      </c>
      <c r="R2" s="121" t="s">
        <v>186</v>
      </c>
      <c r="S2" s="121" t="s">
        <v>185</v>
      </c>
      <c r="T2" s="121" t="s">
        <v>9</v>
      </c>
      <c r="U2" s="121" t="s">
        <v>7</v>
      </c>
      <c r="V2" s="121" t="s">
        <v>188</v>
      </c>
    </row>
    <row r="3" spans="1:22" s="156" customFormat="1" x14ac:dyDescent="0.3">
      <c r="A3" s="278">
        <v>2023</v>
      </c>
      <c r="B3" s="156" t="s">
        <v>72</v>
      </c>
      <c r="C3" s="157">
        <v>8340000</v>
      </c>
      <c r="D3" s="157">
        <v>0</v>
      </c>
      <c r="E3" s="157">
        <v>2500000</v>
      </c>
      <c r="F3" s="157"/>
      <c r="G3" s="151"/>
      <c r="H3" s="151"/>
      <c r="I3" s="151">
        <v>300000</v>
      </c>
      <c r="J3" s="151">
        <v>100000</v>
      </c>
      <c r="K3" s="151">
        <v>450000</v>
      </c>
      <c r="L3" s="151">
        <v>100000</v>
      </c>
      <c r="M3" s="151">
        <v>170000</v>
      </c>
      <c r="N3" s="151">
        <v>0</v>
      </c>
      <c r="O3" s="151">
        <v>100000</v>
      </c>
      <c r="P3" s="151">
        <v>0</v>
      </c>
      <c r="Q3" s="151">
        <v>3300000</v>
      </c>
      <c r="R3" s="151">
        <v>0</v>
      </c>
      <c r="S3" s="151">
        <v>1300000</v>
      </c>
      <c r="T3" s="151">
        <f t="shared" ref="T3:T34" si="0">SUM(D3:S3)</f>
        <v>8320000</v>
      </c>
      <c r="U3" s="151">
        <f xml:space="preserve"> C3 - T3</f>
        <v>20000</v>
      </c>
      <c r="V3" s="211"/>
    </row>
    <row r="4" spans="1:22" s="156" customFormat="1" x14ac:dyDescent="0.3">
      <c r="A4" s="278"/>
      <c r="B4" s="156" t="s">
        <v>73</v>
      </c>
      <c r="C4" s="157"/>
      <c r="D4" s="157">
        <v>0</v>
      </c>
      <c r="E4" s="157">
        <v>2500000</v>
      </c>
      <c r="F4" s="157"/>
      <c r="G4" s="151"/>
      <c r="H4" s="151"/>
      <c r="I4" s="151">
        <v>300000</v>
      </c>
      <c r="J4" s="151">
        <v>100000</v>
      </c>
      <c r="K4" s="151">
        <v>450000</v>
      </c>
      <c r="L4" s="151">
        <v>100000</v>
      </c>
      <c r="M4" s="151">
        <v>170000</v>
      </c>
      <c r="N4" s="151">
        <v>0</v>
      </c>
      <c r="O4" s="151">
        <v>100000</v>
      </c>
      <c r="P4" s="151">
        <v>0</v>
      </c>
      <c r="Q4" s="151">
        <v>3500000</v>
      </c>
      <c r="R4" s="151">
        <v>0</v>
      </c>
      <c r="S4" s="151">
        <v>0</v>
      </c>
      <c r="T4" s="151">
        <f t="shared" si="0"/>
        <v>7220000</v>
      </c>
      <c r="U4" s="22"/>
      <c r="V4" s="211"/>
    </row>
    <row r="5" spans="1:22" s="158" customFormat="1" x14ac:dyDescent="0.3">
      <c r="A5" s="278"/>
      <c r="B5" s="158" t="s">
        <v>74</v>
      </c>
      <c r="C5" s="159"/>
      <c r="D5" s="159">
        <v>650000</v>
      </c>
      <c r="E5" s="159">
        <v>2500000</v>
      </c>
      <c r="F5" s="159"/>
      <c r="G5" s="205"/>
      <c r="H5" s="205"/>
      <c r="I5" s="205">
        <v>300000</v>
      </c>
      <c r="J5" s="205">
        <v>100000</v>
      </c>
      <c r="K5" s="205">
        <v>450000</v>
      </c>
      <c r="L5" s="205">
        <v>100000</v>
      </c>
      <c r="M5" s="205">
        <v>170000</v>
      </c>
      <c r="N5" s="205">
        <v>0</v>
      </c>
      <c r="O5" s="205">
        <v>100000</v>
      </c>
      <c r="P5" s="205">
        <v>0</v>
      </c>
      <c r="Q5" s="205">
        <v>2500000</v>
      </c>
      <c r="R5" s="205">
        <v>0</v>
      </c>
      <c r="S5" s="205">
        <v>0</v>
      </c>
      <c r="T5" s="205">
        <f t="shared" si="0"/>
        <v>6870000</v>
      </c>
      <c r="U5" s="206"/>
      <c r="V5" s="212"/>
    </row>
    <row r="6" spans="1:22" s="156" customFormat="1" x14ac:dyDescent="0.3">
      <c r="A6" s="278"/>
      <c r="B6" s="156" t="s">
        <v>75</v>
      </c>
      <c r="C6" s="157"/>
      <c r="D6" s="157">
        <v>1885000</v>
      </c>
      <c r="E6" s="157">
        <v>500000</v>
      </c>
      <c r="F6" s="157"/>
      <c r="G6" s="151"/>
      <c r="H6" s="151"/>
      <c r="I6" s="151">
        <v>500000</v>
      </c>
      <c r="J6" s="151">
        <v>100000</v>
      </c>
      <c r="K6" s="151">
        <v>450000</v>
      </c>
      <c r="L6" s="151">
        <v>100000</v>
      </c>
      <c r="M6" s="151">
        <v>170000</v>
      </c>
      <c r="N6" s="151">
        <v>0</v>
      </c>
      <c r="O6" s="151">
        <v>100000</v>
      </c>
      <c r="P6" s="151">
        <v>0</v>
      </c>
      <c r="Q6" s="151">
        <v>2550000</v>
      </c>
      <c r="R6" s="151">
        <v>0</v>
      </c>
      <c r="S6" s="151">
        <v>0</v>
      </c>
      <c r="T6" s="151">
        <f t="shared" si="0"/>
        <v>6355000</v>
      </c>
      <c r="U6" s="22"/>
      <c r="V6" s="211"/>
    </row>
    <row r="7" spans="1:22" s="156" customFormat="1" x14ac:dyDescent="0.3">
      <c r="A7" s="278"/>
      <c r="B7" s="156" t="s">
        <v>76</v>
      </c>
      <c r="C7" s="157"/>
      <c r="D7" s="157">
        <v>1000000</v>
      </c>
      <c r="E7" s="157">
        <v>100000</v>
      </c>
      <c r="F7" s="157">
        <v>420000</v>
      </c>
      <c r="G7" s="151">
        <v>100000</v>
      </c>
      <c r="H7" s="151">
        <v>400000</v>
      </c>
      <c r="I7" s="151">
        <v>500000</v>
      </c>
      <c r="J7" s="151">
        <v>100000</v>
      </c>
      <c r="K7" s="151">
        <v>630000</v>
      </c>
      <c r="L7" s="151">
        <v>100000</v>
      </c>
      <c r="M7" s="151">
        <v>170000</v>
      </c>
      <c r="N7" s="151">
        <v>0</v>
      </c>
      <c r="O7" s="151">
        <v>100000</v>
      </c>
      <c r="P7" s="151">
        <v>0</v>
      </c>
      <c r="Q7" s="151">
        <v>2800000</v>
      </c>
      <c r="R7" s="151">
        <v>0</v>
      </c>
      <c r="S7" s="151">
        <v>400000</v>
      </c>
      <c r="T7" s="151">
        <f t="shared" si="0"/>
        <v>6820000</v>
      </c>
      <c r="U7" s="22"/>
      <c r="V7" s="211"/>
    </row>
    <row r="8" spans="1:22" s="156" customFormat="1" x14ac:dyDescent="0.3">
      <c r="A8" s="278"/>
      <c r="B8" s="156" t="s">
        <v>77</v>
      </c>
      <c r="C8" s="157"/>
      <c r="D8" s="157">
        <v>1000000</v>
      </c>
      <c r="E8" s="157">
        <v>1000000</v>
      </c>
      <c r="F8" s="157">
        <v>420000</v>
      </c>
      <c r="G8" s="151">
        <v>750000</v>
      </c>
      <c r="H8" s="151">
        <v>500000</v>
      </c>
      <c r="I8" s="151">
        <v>500000</v>
      </c>
      <c r="J8" s="151">
        <v>100000</v>
      </c>
      <c r="K8" s="151">
        <v>630000</v>
      </c>
      <c r="L8" s="151">
        <v>100000</v>
      </c>
      <c r="M8" s="151">
        <v>170000</v>
      </c>
      <c r="N8" s="151">
        <v>0</v>
      </c>
      <c r="O8" s="151">
        <v>100000</v>
      </c>
      <c r="P8" s="151">
        <v>0</v>
      </c>
      <c r="Q8" s="151">
        <v>2900000</v>
      </c>
      <c r="R8" s="151">
        <v>0</v>
      </c>
      <c r="S8" s="151">
        <v>0</v>
      </c>
      <c r="T8" s="151">
        <f t="shared" si="0"/>
        <v>8170000</v>
      </c>
      <c r="U8" s="22"/>
      <c r="V8" s="211"/>
    </row>
    <row r="9" spans="1:22" s="156" customFormat="1" x14ac:dyDescent="0.3">
      <c r="A9" s="278"/>
      <c r="B9" s="156" t="s">
        <v>78</v>
      </c>
      <c r="C9" s="157"/>
      <c r="D9" s="157">
        <v>1000000</v>
      </c>
      <c r="E9" s="157">
        <v>1000000</v>
      </c>
      <c r="F9" s="157">
        <v>420000</v>
      </c>
      <c r="G9" s="151">
        <v>750000</v>
      </c>
      <c r="H9" s="151">
        <v>500000</v>
      </c>
      <c r="I9" s="151">
        <v>500000</v>
      </c>
      <c r="J9" s="151">
        <v>100000</v>
      </c>
      <c r="K9" s="151">
        <v>630000</v>
      </c>
      <c r="L9" s="151">
        <v>100000</v>
      </c>
      <c r="M9" s="151">
        <v>170000</v>
      </c>
      <c r="N9" s="151">
        <v>0</v>
      </c>
      <c r="O9" s="151">
        <v>100000</v>
      </c>
      <c r="P9" s="151">
        <v>0</v>
      </c>
      <c r="Q9" s="151">
        <v>2000000</v>
      </c>
      <c r="R9" s="151">
        <v>0</v>
      </c>
      <c r="S9" s="151">
        <v>0</v>
      </c>
      <c r="T9" s="151">
        <f t="shared" si="0"/>
        <v>7270000</v>
      </c>
      <c r="U9" s="22"/>
      <c r="V9" s="211"/>
    </row>
    <row r="10" spans="1:22" s="156" customFormat="1" x14ac:dyDescent="0.3">
      <c r="A10" s="278"/>
      <c r="B10" s="156" t="s">
        <v>79</v>
      </c>
      <c r="C10" s="157"/>
      <c r="D10" s="157">
        <v>1000000</v>
      </c>
      <c r="E10" s="157">
        <v>1000000</v>
      </c>
      <c r="F10" s="157">
        <v>420000</v>
      </c>
      <c r="G10" s="151">
        <v>750000</v>
      </c>
      <c r="H10" s="151">
        <v>500000</v>
      </c>
      <c r="I10" s="151">
        <v>500000</v>
      </c>
      <c r="J10" s="151">
        <v>100000</v>
      </c>
      <c r="K10" s="151">
        <v>630000</v>
      </c>
      <c r="L10" s="151">
        <v>100000</v>
      </c>
      <c r="M10" s="151">
        <v>170000</v>
      </c>
      <c r="N10" s="151">
        <v>0</v>
      </c>
      <c r="O10" s="151">
        <v>100000</v>
      </c>
      <c r="P10" s="151">
        <v>0</v>
      </c>
      <c r="Q10" s="151">
        <v>2000000</v>
      </c>
      <c r="R10" s="151">
        <v>0</v>
      </c>
      <c r="S10" s="151">
        <v>0</v>
      </c>
      <c r="T10" s="151">
        <f t="shared" si="0"/>
        <v>7270000</v>
      </c>
      <c r="U10" s="22"/>
      <c r="V10" s="211"/>
    </row>
    <row r="11" spans="1:22" s="156" customFormat="1" x14ac:dyDescent="0.3">
      <c r="A11" s="278"/>
      <c r="B11" s="156" t="s">
        <v>80</v>
      </c>
      <c r="C11" s="157"/>
      <c r="D11" s="157">
        <v>1000000</v>
      </c>
      <c r="E11" s="157">
        <v>1000000</v>
      </c>
      <c r="F11" s="157">
        <v>420000</v>
      </c>
      <c r="G11" s="151">
        <v>400000</v>
      </c>
      <c r="H11" s="151">
        <v>100000</v>
      </c>
      <c r="I11" s="151">
        <v>400000</v>
      </c>
      <c r="J11" s="151">
        <v>100000</v>
      </c>
      <c r="K11" s="151">
        <v>630000</v>
      </c>
      <c r="L11" s="151">
        <v>100000</v>
      </c>
      <c r="M11" s="151">
        <v>150000</v>
      </c>
      <c r="N11" s="151">
        <v>0</v>
      </c>
      <c r="O11" s="151">
        <v>100000</v>
      </c>
      <c r="P11" s="151">
        <v>0</v>
      </c>
      <c r="Q11" s="151">
        <v>3000000</v>
      </c>
      <c r="R11" s="151">
        <v>0</v>
      </c>
      <c r="S11" s="151">
        <v>3580000</v>
      </c>
      <c r="T11" s="151">
        <f t="shared" si="0"/>
        <v>10980000</v>
      </c>
      <c r="U11" s="22"/>
      <c r="V11" s="211"/>
    </row>
    <row r="12" spans="1:22" s="156" customFormat="1" x14ac:dyDescent="0.3">
      <c r="A12" s="278"/>
      <c r="B12" s="156" t="s">
        <v>81</v>
      </c>
      <c r="C12" s="157"/>
      <c r="D12" s="157">
        <v>0</v>
      </c>
      <c r="E12" s="157">
        <v>7000000</v>
      </c>
      <c r="F12" s="157">
        <v>420000</v>
      </c>
      <c r="G12" s="151">
        <v>400000</v>
      </c>
      <c r="H12" s="151">
        <v>100000</v>
      </c>
      <c r="I12" s="151">
        <v>400000</v>
      </c>
      <c r="J12" s="151">
        <v>100000</v>
      </c>
      <c r="K12" s="151">
        <v>630000</v>
      </c>
      <c r="L12" s="151">
        <v>100000</v>
      </c>
      <c r="M12" s="151">
        <v>1000000</v>
      </c>
      <c r="N12" s="151">
        <v>0</v>
      </c>
      <c r="O12" s="151">
        <v>100000</v>
      </c>
      <c r="P12" s="151">
        <v>0</v>
      </c>
      <c r="Q12" s="151">
        <v>3000000</v>
      </c>
      <c r="R12" s="151">
        <v>0</v>
      </c>
      <c r="S12" s="151">
        <v>580000</v>
      </c>
      <c r="T12" s="151">
        <f t="shared" si="0"/>
        <v>13830000</v>
      </c>
      <c r="U12" s="151">
        <v>11500000</v>
      </c>
      <c r="V12" s="211"/>
    </row>
    <row r="13" spans="1:22" s="156" customFormat="1" x14ac:dyDescent="0.3">
      <c r="A13" s="278"/>
      <c r="B13" s="156" t="s">
        <v>82</v>
      </c>
      <c r="C13" s="157">
        <f xml:space="preserve"> U12 + 7150000</f>
        <v>18650000</v>
      </c>
      <c r="D13" s="157">
        <v>0</v>
      </c>
      <c r="E13" s="157">
        <v>4000000</v>
      </c>
      <c r="F13" s="157">
        <v>420000</v>
      </c>
      <c r="G13" s="151">
        <v>300000</v>
      </c>
      <c r="H13" s="151">
        <v>100000</v>
      </c>
      <c r="I13" s="151">
        <v>200000</v>
      </c>
      <c r="J13" s="151">
        <v>100000</v>
      </c>
      <c r="K13" s="151">
        <v>630000</v>
      </c>
      <c r="L13" s="151">
        <v>100000</v>
      </c>
      <c r="M13" s="151">
        <v>1000000</v>
      </c>
      <c r="N13" s="151">
        <v>0</v>
      </c>
      <c r="O13" s="151">
        <v>100000</v>
      </c>
      <c r="P13" s="151">
        <v>750000</v>
      </c>
      <c r="Q13" s="151">
        <v>3000000</v>
      </c>
      <c r="R13" s="205">
        <v>0</v>
      </c>
      <c r="S13" s="151">
        <f xml:space="preserve"> 580000 + 5400000 +700000</f>
        <v>6680000</v>
      </c>
      <c r="T13" s="151">
        <f t="shared" si="0"/>
        <v>17380000</v>
      </c>
      <c r="U13" s="151">
        <f t="shared" ref="U13:U44" si="1" xml:space="preserve"> C13 - T13</f>
        <v>1270000</v>
      </c>
      <c r="V13" s="211"/>
    </row>
    <row r="14" spans="1:22" s="181" customFormat="1" ht="17.25" thickBot="1" x14ac:dyDescent="0.35">
      <c r="A14" s="278"/>
      <c r="B14" s="207" t="s">
        <v>83</v>
      </c>
      <c r="C14" s="208">
        <f xml:space="preserve"> U13 + 7150000</f>
        <v>8420000</v>
      </c>
      <c r="D14" s="208">
        <v>0</v>
      </c>
      <c r="E14" s="208">
        <v>1400000</v>
      </c>
      <c r="F14" s="208">
        <v>420000</v>
      </c>
      <c r="G14" s="209">
        <v>0</v>
      </c>
      <c r="H14" s="209">
        <v>100000</v>
      </c>
      <c r="I14" s="209">
        <v>200000</v>
      </c>
      <c r="J14" s="209">
        <v>100000</v>
      </c>
      <c r="K14" s="209">
        <v>630000</v>
      </c>
      <c r="L14" s="209">
        <v>100000</v>
      </c>
      <c r="M14" s="209">
        <v>600000</v>
      </c>
      <c r="N14" s="209">
        <v>0</v>
      </c>
      <c r="O14" s="209">
        <v>100000</v>
      </c>
      <c r="P14" s="209">
        <v>300000</v>
      </c>
      <c r="Q14" s="209">
        <v>3000000</v>
      </c>
      <c r="R14" s="205">
        <v>0</v>
      </c>
      <c r="S14" s="209">
        <v>1580000</v>
      </c>
      <c r="T14" s="209">
        <f t="shared" si="0"/>
        <v>8530000</v>
      </c>
      <c r="U14" s="209">
        <f xml:space="preserve"> C14 - T14 +1000000</f>
        <v>890000</v>
      </c>
      <c r="V14" s="213"/>
    </row>
    <row r="15" spans="1:22" s="182" customFormat="1" x14ac:dyDescent="0.3">
      <c r="A15" s="278">
        <v>2024</v>
      </c>
      <c r="B15" s="156" t="s">
        <v>72</v>
      </c>
      <c r="C15" s="157">
        <f xml:space="preserve"> U14 + 7150000 +340000</f>
        <v>8380000</v>
      </c>
      <c r="D15" s="157">
        <v>0</v>
      </c>
      <c r="E15" s="157">
        <v>0</v>
      </c>
      <c r="F15" s="157">
        <v>420000</v>
      </c>
      <c r="G15" s="151">
        <v>300000</v>
      </c>
      <c r="H15" s="151">
        <v>100000</v>
      </c>
      <c r="I15" s="151">
        <v>200000</v>
      </c>
      <c r="J15" s="151">
        <v>100000</v>
      </c>
      <c r="K15" s="151">
        <v>630000</v>
      </c>
      <c r="L15" s="151">
        <v>100000</v>
      </c>
      <c r="M15" s="151">
        <v>230000</v>
      </c>
      <c r="N15" s="151">
        <v>0</v>
      </c>
      <c r="O15" s="151">
        <v>100000</v>
      </c>
      <c r="P15" s="151">
        <v>1500000</v>
      </c>
      <c r="Q15" s="151">
        <v>3100000</v>
      </c>
      <c r="R15" s="151">
        <v>0</v>
      </c>
      <c r="S15" s="151">
        <v>890000</v>
      </c>
      <c r="T15" s="151">
        <f t="shared" si="0"/>
        <v>7670000</v>
      </c>
      <c r="U15" s="151">
        <f t="shared" si="1"/>
        <v>710000</v>
      </c>
      <c r="V15" s="214"/>
    </row>
    <row r="16" spans="1:22" s="156" customFormat="1" x14ac:dyDescent="0.3">
      <c r="A16" s="278"/>
      <c r="B16" s="156" t="s">
        <v>73</v>
      </c>
      <c r="C16" s="157">
        <f xml:space="preserve"> U15 + 7370000 + 1800000 + 1500000</f>
        <v>11380000</v>
      </c>
      <c r="D16" s="157">
        <v>0</v>
      </c>
      <c r="E16" s="157">
        <v>0</v>
      </c>
      <c r="F16" s="157">
        <v>420000</v>
      </c>
      <c r="G16" s="151">
        <v>0</v>
      </c>
      <c r="H16" s="151">
        <v>100000</v>
      </c>
      <c r="I16" s="151">
        <v>200000</v>
      </c>
      <c r="J16" s="151">
        <v>100000</v>
      </c>
      <c r="K16" s="151">
        <v>630000</v>
      </c>
      <c r="L16" s="151">
        <v>100000</v>
      </c>
      <c r="M16" s="151">
        <v>150000</v>
      </c>
      <c r="N16" s="151">
        <v>0</v>
      </c>
      <c r="O16" s="151">
        <v>100000</v>
      </c>
      <c r="P16" s="151">
        <v>2000000</v>
      </c>
      <c r="Q16" s="151">
        <v>3000000</v>
      </c>
      <c r="R16" s="151">
        <v>0</v>
      </c>
      <c r="S16" s="151">
        <v>0</v>
      </c>
      <c r="T16" s="151">
        <f t="shared" si="0"/>
        <v>6800000</v>
      </c>
      <c r="U16" s="151">
        <f t="shared" si="1"/>
        <v>4580000</v>
      </c>
      <c r="V16" s="211"/>
    </row>
    <row r="17" spans="1:22" s="156" customFormat="1" x14ac:dyDescent="0.3">
      <c r="A17" s="278"/>
      <c r="B17" s="156" t="s">
        <v>74</v>
      </c>
      <c r="C17" s="157">
        <f xml:space="preserve"> U16 + 7370000</f>
        <v>11950000</v>
      </c>
      <c r="D17" s="157">
        <v>0</v>
      </c>
      <c r="E17" s="157">
        <v>350000</v>
      </c>
      <c r="F17" s="157">
        <v>420000</v>
      </c>
      <c r="G17" s="151">
        <v>0</v>
      </c>
      <c r="H17" s="151">
        <v>100000</v>
      </c>
      <c r="I17" s="151">
        <v>200000</v>
      </c>
      <c r="J17" s="151">
        <v>100000</v>
      </c>
      <c r="K17" s="151">
        <v>630000</v>
      </c>
      <c r="L17" s="151">
        <v>100000</v>
      </c>
      <c r="M17" s="151">
        <v>190000</v>
      </c>
      <c r="N17" s="151">
        <v>0</v>
      </c>
      <c r="O17" s="151">
        <v>100000</v>
      </c>
      <c r="P17" s="151">
        <v>0</v>
      </c>
      <c r="Q17" s="151">
        <v>2000000</v>
      </c>
      <c r="R17" s="151">
        <v>0</v>
      </c>
      <c r="S17" s="151">
        <f xml:space="preserve"> 5000000</f>
        <v>5000000</v>
      </c>
      <c r="T17" s="151">
        <f t="shared" si="0"/>
        <v>9190000</v>
      </c>
      <c r="U17" s="151">
        <f t="shared" si="1"/>
        <v>2760000</v>
      </c>
      <c r="V17" s="211"/>
    </row>
    <row r="18" spans="1:22" s="156" customFormat="1" ht="17.25" customHeight="1" x14ac:dyDescent="0.3">
      <c r="A18" s="278"/>
      <c r="B18" s="156" t="s">
        <v>75</v>
      </c>
      <c r="C18" s="157">
        <f xml:space="preserve"> U17 + 7370000</f>
        <v>10130000</v>
      </c>
      <c r="D18" s="157">
        <v>0</v>
      </c>
      <c r="E18" s="157">
        <v>0</v>
      </c>
      <c r="F18" s="157">
        <v>420000</v>
      </c>
      <c r="G18" s="151">
        <v>0</v>
      </c>
      <c r="H18" s="151">
        <v>100000</v>
      </c>
      <c r="I18" s="151">
        <v>200000</v>
      </c>
      <c r="J18" s="151">
        <v>100000</v>
      </c>
      <c r="K18" s="151">
        <v>630000</v>
      </c>
      <c r="L18" s="151">
        <v>100000</v>
      </c>
      <c r="M18" s="151">
        <v>190000</v>
      </c>
      <c r="N18" s="151">
        <v>0</v>
      </c>
      <c r="O18" s="151">
        <v>100000</v>
      </c>
      <c r="P18" s="151">
        <v>400000</v>
      </c>
      <c r="Q18" s="151">
        <v>4500000</v>
      </c>
      <c r="R18" s="151">
        <v>0</v>
      </c>
      <c r="S18" s="151">
        <v>1500000</v>
      </c>
      <c r="T18" s="151">
        <f t="shared" si="0"/>
        <v>8240000</v>
      </c>
      <c r="U18" s="151">
        <f t="shared" si="1"/>
        <v>1890000</v>
      </c>
      <c r="V18" s="211"/>
    </row>
    <row r="19" spans="1:22" s="156" customFormat="1" x14ac:dyDescent="0.3">
      <c r="A19" s="278"/>
      <c r="B19" s="156" t="s">
        <v>76</v>
      </c>
      <c r="C19" s="157">
        <f xml:space="preserve"> U18 + 7370000 +18700000</f>
        <v>27960000</v>
      </c>
      <c r="D19" s="157">
        <v>1900000</v>
      </c>
      <c r="E19" s="157">
        <v>14000000</v>
      </c>
      <c r="F19" s="157">
        <v>420000</v>
      </c>
      <c r="G19" s="157">
        <v>0</v>
      </c>
      <c r="H19" s="157">
        <v>100000</v>
      </c>
      <c r="I19" s="157">
        <v>200000</v>
      </c>
      <c r="J19" s="157">
        <v>100000</v>
      </c>
      <c r="K19" s="157">
        <v>630000</v>
      </c>
      <c r="L19" s="157">
        <v>100000</v>
      </c>
      <c r="M19" s="157">
        <v>190000</v>
      </c>
      <c r="N19" s="157">
        <v>0</v>
      </c>
      <c r="O19" s="157">
        <v>100000</v>
      </c>
      <c r="P19" s="157">
        <v>0</v>
      </c>
      <c r="Q19" s="157">
        <v>3100000</v>
      </c>
      <c r="R19" s="157">
        <v>400000</v>
      </c>
      <c r="S19" s="157">
        <v>5800000</v>
      </c>
      <c r="T19" s="157">
        <f t="shared" si="0"/>
        <v>27040000</v>
      </c>
      <c r="U19" s="157">
        <f t="shared" si="1"/>
        <v>920000</v>
      </c>
      <c r="V19" s="228">
        <v>18700000</v>
      </c>
    </row>
    <row r="20" spans="1:22" s="156" customFormat="1" ht="15.75" customHeight="1" x14ac:dyDescent="0.3">
      <c r="A20" s="278"/>
      <c r="B20" s="156" t="s">
        <v>77</v>
      </c>
      <c r="C20" s="157">
        <f xml:space="preserve"> U19 + 7370000 +1000000 + 900000 + 12000000</f>
        <v>22190000</v>
      </c>
      <c r="D20" s="157">
        <v>0</v>
      </c>
      <c r="E20" s="157">
        <v>0</v>
      </c>
      <c r="F20" s="157">
        <v>420000</v>
      </c>
      <c r="G20" s="157">
        <v>0</v>
      </c>
      <c r="H20" s="157">
        <v>100000</v>
      </c>
      <c r="I20" s="157">
        <v>200000</v>
      </c>
      <c r="J20" s="157">
        <v>100000</v>
      </c>
      <c r="K20" s="157">
        <v>630000</v>
      </c>
      <c r="L20" s="157">
        <v>100000</v>
      </c>
      <c r="M20" s="157">
        <v>190000</v>
      </c>
      <c r="N20" s="157">
        <v>0</v>
      </c>
      <c r="O20" s="157">
        <v>100000</v>
      </c>
      <c r="P20" s="157">
        <v>500000</v>
      </c>
      <c r="Q20" s="157">
        <v>3000000</v>
      </c>
      <c r="R20" s="157">
        <v>0</v>
      </c>
      <c r="S20" s="157">
        <v>1640000</v>
      </c>
      <c r="T20" s="157">
        <f>SUM(D20:S20)</f>
        <v>6980000</v>
      </c>
      <c r="U20" s="157">
        <f t="shared" si="1"/>
        <v>15210000</v>
      </c>
      <c r="V20" s="228">
        <f xml:space="preserve"> V19 - 1640000</f>
        <v>17060000</v>
      </c>
    </row>
    <row r="21" spans="1:22" s="31" customFormat="1" x14ac:dyDescent="0.3">
      <c r="A21" s="278"/>
      <c r="B21" s="31" t="s">
        <v>78</v>
      </c>
      <c r="C21" s="160">
        <f t="shared" ref="C21:C25" si="2" xml:space="preserve"> U20 + 7370000</f>
        <v>22580000</v>
      </c>
      <c r="D21" s="161">
        <v>1800000</v>
      </c>
      <c r="E21" s="161">
        <v>0</v>
      </c>
      <c r="F21" s="160">
        <v>420000</v>
      </c>
      <c r="G21" s="161">
        <v>300000</v>
      </c>
      <c r="H21" s="162">
        <v>300000</v>
      </c>
      <c r="I21" s="160">
        <v>200000</v>
      </c>
      <c r="J21" s="160">
        <v>100000</v>
      </c>
      <c r="K21" s="160">
        <v>630000</v>
      </c>
      <c r="L21" s="160">
        <v>100000</v>
      </c>
      <c r="M21" s="157">
        <v>190000</v>
      </c>
      <c r="N21" s="160">
        <v>0</v>
      </c>
      <c r="O21" s="160">
        <v>100000</v>
      </c>
      <c r="P21" s="2">
        <v>0</v>
      </c>
      <c r="Q21" s="2">
        <v>2500000</v>
      </c>
      <c r="R21" s="204">
        <v>2000000</v>
      </c>
      <c r="S21" s="164">
        <v>1640000</v>
      </c>
      <c r="T21" s="160">
        <f t="shared" si="0"/>
        <v>10280000</v>
      </c>
      <c r="U21" s="160">
        <f t="shared" si="1"/>
        <v>12300000</v>
      </c>
      <c r="V21" s="215">
        <f xml:space="preserve"> V20 - 1640000</f>
        <v>15420000</v>
      </c>
    </row>
    <row r="22" spans="1:22" x14ac:dyDescent="0.3">
      <c r="A22" s="278"/>
      <c r="B22" s="1" t="s">
        <v>79</v>
      </c>
      <c r="C22" s="160">
        <f t="shared" si="2"/>
        <v>19670000</v>
      </c>
      <c r="D22" s="161">
        <v>0</v>
      </c>
      <c r="E22" s="161">
        <v>0</v>
      </c>
      <c r="F22" s="2">
        <v>420000</v>
      </c>
      <c r="G22" s="161">
        <v>300000</v>
      </c>
      <c r="H22" s="162">
        <v>300000</v>
      </c>
      <c r="I22" s="2">
        <v>200000</v>
      </c>
      <c r="J22" s="2">
        <v>100000</v>
      </c>
      <c r="K22" s="2">
        <v>630000</v>
      </c>
      <c r="L22" s="2">
        <v>100000</v>
      </c>
      <c r="M22" s="163">
        <v>190000</v>
      </c>
      <c r="N22" s="2">
        <v>0</v>
      </c>
      <c r="O22" s="2">
        <v>100000</v>
      </c>
      <c r="P22" s="2">
        <v>0</v>
      </c>
      <c r="Q22" s="2">
        <v>1000000</v>
      </c>
      <c r="R22" s="161">
        <v>7000000</v>
      </c>
      <c r="S22" s="164">
        <v>1640000</v>
      </c>
      <c r="T22" s="2">
        <f t="shared" si="0"/>
        <v>11980000</v>
      </c>
      <c r="U22" s="2">
        <f t="shared" si="1"/>
        <v>7690000</v>
      </c>
      <c r="V22" s="215">
        <f t="shared" ref="V22:V27" si="3" xml:space="preserve"> V21 - 1640000</f>
        <v>13780000</v>
      </c>
    </row>
    <row r="23" spans="1:22" x14ac:dyDescent="0.3">
      <c r="A23" s="278"/>
      <c r="B23" s="1" t="s">
        <v>80</v>
      </c>
      <c r="C23" s="160">
        <f t="shared" si="2"/>
        <v>15060000</v>
      </c>
      <c r="D23" s="161">
        <v>0</v>
      </c>
      <c r="E23" s="161">
        <v>0</v>
      </c>
      <c r="F23" s="2">
        <v>420000</v>
      </c>
      <c r="G23" s="161">
        <v>300000</v>
      </c>
      <c r="H23" s="162">
        <v>300000</v>
      </c>
      <c r="I23" s="2">
        <v>200000</v>
      </c>
      <c r="J23" s="2">
        <v>100000</v>
      </c>
      <c r="K23" s="2">
        <v>630000</v>
      </c>
      <c r="L23" s="2">
        <v>100000</v>
      </c>
      <c r="M23" s="157">
        <v>190000</v>
      </c>
      <c r="N23" s="2">
        <v>0</v>
      </c>
      <c r="O23" s="2">
        <v>100000</v>
      </c>
      <c r="P23" s="2">
        <v>650000</v>
      </c>
      <c r="Q23" s="2">
        <v>1000000</v>
      </c>
      <c r="R23" s="161">
        <v>500000</v>
      </c>
      <c r="S23" s="164">
        <v>1640000</v>
      </c>
      <c r="T23" s="2">
        <f t="shared" si="0"/>
        <v>6130000</v>
      </c>
      <c r="U23" s="2">
        <f t="shared" si="1"/>
        <v>8930000</v>
      </c>
      <c r="V23" s="215">
        <f t="shared" si="3"/>
        <v>12140000</v>
      </c>
    </row>
    <row r="24" spans="1:22" s="18" customFormat="1" x14ac:dyDescent="0.3">
      <c r="A24" s="278"/>
      <c r="B24" s="18" t="s">
        <v>81</v>
      </c>
      <c r="C24" s="161">
        <f xml:space="preserve"> U23 + 7370000</f>
        <v>16300000</v>
      </c>
      <c r="D24" s="161">
        <v>1800000</v>
      </c>
      <c r="E24" s="161">
        <v>0</v>
      </c>
      <c r="F24" s="161">
        <v>420000</v>
      </c>
      <c r="G24" s="161">
        <v>300000</v>
      </c>
      <c r="H24" s="161">
        <v>300000</v>
      </c>
      <c r="I24" s="161">
        <v>200000</v>
      </c>
      <c r="J24" s="161">
        <v>100000</v>
      </c>
      <c r="K24" s="161">
        <v>630000</v>
      </c>
      <c r="L24" s="161">
        <v>100000</v>
      </c>
      <c r="M24" s="161">
        <v>190000</v>
      </c>
      <c r="N24" s="161">
        <v>0</v>
      </c>
      <c r="O24" s="161">
        <v>100000</v>
      </c>
      <c r="P24" s="161">
        <v>650000</v>
      </c>
      <c r="Q24" s="2">
        <v>1000000</v>
      </c>
      <c r="R24" s="161">
        <v>500000</v>
      </c>
      <c r="S24" s="161">
        <v>1640000</v>
      </c>
      <c r="T24" s="161">
        <f>SUM(D24:S24)</f>
        <v>7930000</v>
      </c>
      <c r="U24" s="161">
        <f t="shared" si="1"/>
        <v>8370000</v>
      </c>
      <c r="V24" s="248">
        <f t="shared" si="3"/>
        <v>10500000</v>
      </c>
    </row>
    <row r="25" spans="1:22" x14ac:dyDescent="0.3">
      <c r="A25" s="278"/>
      <c r="B25" s="1" t="s">
        <v>82</v>
      </c>
      <c r="C25" s="160">
        <f t="shared" si="2"/>
        <v>15740000</v>
      </c>
      <c r="D25" s="161">
        <v>0</v>
      </c>
      <c r="E25" s="161">
        <v>0</v>
      </c>
      <c r="F25" s="2">
        <v>420000</v>
      </c>
      <c r="G25" s="161">
        <v>300000</v>
      </c>
      <c r="H25" s="162">
        <v>300000</v>
      </c>
      <c r="I25" s="2">
        <v>200000</v>
      </c>
      <c r="J25" s="2">
        <v>100000</v>
      </c>
      <c r="K25" s="2">
        <v>630000</v>
      </c>
      <c r="L25" s="2">
        <v>100000</v>
      </c>
      <c r="M25" s="157">
        <v>190000</v>
      </c>
      <c r="N25" s="2">
        <v>0</v>
      </c>
      <c r="O25" s="2">
        <v>100000</v>
      </c>
      <c r="P25" s="2">
        <v>500000</v>
      </c>
      <c r="Q25" s="2">
        <v>1000000</v>
      </c>
      <c r="R25" s="161">
        <v>500000</v>
      </c>
      <c r="S25" s="164">
        <v>1640000</v>
      </c>
      <c r="T25" s="2">
        <f t="shared" si="0"/>
        <v>5980000</v>
      </c>
      <c r="U25" s="2">
        <f t="shared" si="1"/>
        <v>9760000</v>
      </c>
      <c r="V25" s="215">
        <f t="shared" si="3"/>
        <v>8860000</v>
      </c>
    </row>
    <row r="26" spans="1:22" s="199" customFormat="1" ht="17.25" thickBot="1" x14ac:dyDescent="0.35">
      <c r="A26" s="278"/>
      <c r="B26" s="201" t="s">
        <v>83</v>
      </c>
      <c r="C26" s="202">
        <f xml:space="preserve"> U25 + 7370000 +5000000</f>
        <v>22130000</v>
      </c>
      <c r="D26" s="202">
        <v>0</v>
      </c>
      <c r="E26" s="200">
        <v>0</v>
      </c>
      <c r="F26" s="202">
        <v>420000</v>
      </c>
      <c r="G26" s="161">
        <v>300000</v>
      </c>
      <c r="H26" s="162">
        <v>300000</v>
      </c>
      <c r="I26" s="202">
        <v>200000</v>
      </c>
      <c r="J26" s="202">
        <v>100000</v>
      </c>
      <c r="K26" s="200">
        <v>800000</v>
      </c>
      <c r="L26" s="200">
        <v>150000</v>
      </c>
      <c r="M26" s="200">
        <v>250000</v>
      </c>
      <c r="N26" s="202">
        <v>0</v>
      </c>
      <c r="O26" s="200">
        <v>100000</v>
      </c>
      <c r="P26" s="200">
        <v>0</v>
      </c>
      <c r="Q26" s="2">
        <v>1000000</v>
      </c>
      <c r="R26" s="200">
        <v>5000000</v>
      </c>
      <c r="S26" s="200">
        <v>1640000</v>
      </c>
      <c r="T26" s="202">
        <f t="shared" si="0"/>
        <v>10260000</v>
      </c>
      <c r="U26" s="202">
        <f t="shared" si="1"/>
        <v>11870000</v>
      </c>
      <c r="V26" s="229">
        <f t="shared" si="3"/>
        <v>7220000</v>
      </c>
    </row>
    <row r="27" spans="1:22" s="68" customFormat="1" x14ac:dyDescent="0.3">
      <c r="A27" s="278">
        <v>2025</v>
      </c>
      <c r="B27" s="1" t="s">
        <v>72</v>
      </c>
      <c r="C27" s="160">
        <f xml:space="preserve"> U26 + 7590000</f>
        <v>19460000</v>
      </c>
      <c r="D27" s="2">
        <v>1800000</v>
      </c>
      <c r="E27" s="161">
        <v>0</v>
      </c>
      <c r="F27" s="2">
        <v>420000</v>
      </c>
      <c r="G27" s="161">
        <v>300000</v>
      </c>
      <c r="H27" s="162">
        <v>300000</v>
      </c>
      <c r="I27" s="2">
        <v>200000</v>
      </c>
      <c r="J27" s="2">
        <v>100000</v>
      </c>
      <c r="K27" s="2">
        <v>800000</v>
      </c>
      <c r="L27" s="2">
        <v>150000</v>
      </c>
      <c r="M27" s="200">
        <v>250000</v>
      </c>
      <c r="N27" s="2">
        <v>0</v>
      </c>
      <c r="O27" s="2">
        <v>200000</v>
      </c>
      <c r="P27" s="2">
        <v>500000</v>
      </c>
      <c r="Q27" s="2">
        <v>2000000</v>
      </c>
      <c r="R27" s="2">
        <v>0</v>
      </c>
      <c r="S27" s="164">
        <v>7500000</v>
      </c>
      <c r="T27" s="2">
        <f>SUM(D27:S27)</f>
        <v>14520000</v>
      </c>
      <c r="U27" s="2">
        <f t="shared" si="1"/>
        <v>4940000</v>
      </c>
      <c r="V27" s="215">
        <f t="shared" si="3"/>
        <v>5580000</v>
      </c>
    </row>
    <row r="28" spans="1:22" x14ac:dyDescent="0.3">
      <c r="A28" s="278"/>
      <c r="B28" s="1" t="s">
        <v>73</v>
      </c>
      <c r="C28" s="160">
        <f xml:space="preserve"> U27 + 7590000</f>
        <v>12530000</v>
      </c>
      <c r="D28" s="161">
        <v>0</v>
      </c>
      <c r="E28" s="161">
        <v>0</v>
      </c>
      <c r="F28" s="2">
        <v>420000</v>
      </c>
      <c r="G28" s="161">
        <v>300000</v>
      </c>
      <c r="H28" s="162">
        <v>300000</v>
      </c>
      <c r="I28" s="2">
        <v>200000</v>
      </c>
      <c r="J28" s="2">
        <v>100000</v>
      </c>
      <c r="K28" s="2">
        <v>800000</v>
      </c>
      <c r="L28" s="2">
        <v>150000</v>
      </c>
      <c r="M28" s="200">
        <v>250000</v>
      </c>
      <c r="N28" s="2">
        <v>0</v>
      </c>
      <c r="O28" s="2">
        <v>200000</v>
      </c>
      <c r="P28" s="2">
        <v>500000</v>
      </c>
      <c r="Q28" s="2">
        <v>2000000</v>
      </c>
      <c r="R28" s="2">
        <v>600000</v>
      </c>
      <c r="S28" s="2">
        <v>0</v>
      </c>
      <c r="T28" s="2">
        <f t="shared" si="0"/>
        <v>5820000</v>
      </c>
      <c r="U28" s="2">
        <f t="shared" si="1"/>
        <v>6710000</v>
      </c>
      <c r="V28" s="215"/>
    </row>
    <row r="29" spans="1:22" x14ac:dyDescent="0.3">
      <c r="A29" s="278"/>
      <c r="B29" s="1" t="s">
        <v>74</v>
      </c>
      <c r="C29" s="160">
        <f t="shared" ref="C29:C92" si="4" xml:space="preserve"> U28 + 7590000</f>
        <v>14300000</v>
      </c>
      <c r="D29" s="161">
        <v>0</v>
      </c>
      <c r="E29" s="161">
        <v>0</v>
      </c>
      <c r="F29" s="2">
        <v>420000</v>
      </c>
      <c r="G29" s="161">
        <v>300000</v>
      </c>
      <c r="H29" s="162">
        <v>300000</v>
      </c>
      <c r="I29" s="2">
        <v>200000</v>
      </c>
      <c r="J29" s="2">
        <v>100000</v>
      </c>
      <c r="K29" s="2">
        <v>800000</v>
      </c>
      <c r="L29" s="2">
        <v>150000</v>
      </c>
      <c r="M29" s="200">
        <v>250000</v>
      </c>
      <c r="N29" s="2">
        <v>0</v>
      </c>
      <c r="O29" s="2">
        <v>200000</v>
      </c>
      <c r="P29" s="2">
        <v>500000</v>
      </c>
      <c r="Q29" s="2">
        <v>2000000</v>
      </c>
      <c r="R29" s="2">
        <v>0</v>
      </c>
      <c r="S29" s="2">
        <v>0</v>
      </c>
      <c r="T29" s="2">
        <f t="shared" si="0"/>
        <v>5220000</v>
      </c>
      <c r="U29" s="2">
        <f t="shared" si="1"/>
        <v>9080000</v>
      </c>
      <c r="V29" s="215"/>
    </row>
    <row r="30" spans="1:22" x14ac:dyDescent="0.3">
      <c r="A30" s="278"/>
      <c r="B30" s="1" t="s">
        <v>75</v>
      </c>
      <c r="C30" s="160">
        <f t="shared" si="4"/>
        <v>16670000</v>
      </c>
      <c r="D30" s="2">
        <v>1800000</v>
      </c>
      <c r="E30" s="161">
        <v>0</v>
      </c>
      <c r="F30" s="2">
        <v>420000</v>
      </c>
      <c r="G30" s="161">
        <v>300000</v>
      </c>
      <c r="H30" s="162">
        <v>300000</v>
      </c>
      <c r="I30" s="2">
        <v>200000</v>
      </c>
      <c r="J30" s="2">
        <v>100000</v>
      </c>
      <c r="K30" s="2">
        <v>800000</v>
      </c>
      <c r="L30" s="2">
        <v>150000</v>
      </c>
      <c r="M30" s="200">
        <v>250000</v>
      </c>
      <c r="N30" s="2">
        <v>0</v>
      </c>
      <c r="O30" s="2">
        <v>200000</v>
      </c>
      <c r="P30" s="2">
        <v>500000</v>
      </c>
      <c r="Q30" s="2">
        <v>2000000</v>
      </c>
      <c r="R30" s="2">
        <v>0</v>
      </c>
      <c r="S30" s="2">
        <v>0</v>
      </c>
      <c r="T30" s="2">
        <f t="shared" si="0"/>
        <v>7020000</v>
      </c>
      <c r="U30" s="2">
        <f t="shared" si="1"/>
        <v>9650000</v>
      </c>
      <c r="V30" s="215"/>
    </row>
    <row r="31" spans="1:22" x14ac:dyDescent="0.3">
      <c r="A31" s="278"/>
      <c r="B31" s="1" t="s">
        <v>76</v>
      </c>
      <c r="C31" s="160">
        <f t="shared" si="4"/>
        <v>17240000</v>
      </c>
      <c r="D31" s="161">
        <v>2000000</v>
      </c>
      <c r="E31" s="161">
        <v>0</v>
      </c>
      <c r="F31" s="2">
        <v>420000</v>
      </c>
      <c r="G31" s="161">
        <v>300000</v>
      </c>
      <c r="H31" s="162">
        <v>300000</v>
      </c>
      <c r="I31" s="2">
        <v>200000</v>
      </c>
      <c r="J31" s="2">
        <v>100000</v>
      </c>
      <c r="K31" s="2">
        <v>800000</v>
      </c>
      <c r="L31" s="2">
        <v>150000</v>
      </c>
      <c r="M31" s="200">
        <v>250000</v>
      </c>
      <c r="N31" s="2">
        <v>0</v>
      </c>
      <c r="O31" s="2">
        <v>200000</v>
      </c>
      <c r="P31" s="2">
        <v>500000</v>
      </c>
      <c r="Q31" s="2">
        <v>2000000</v>
      </c>
      <c r="R31" s="2">
        <v>600000</v>
      </c>
      <c r="S31" s="2">
        <v>0</v>
      </c>
      <c r="T31" s="2">
        <f t="shared" si="0"/>
        <v>7820000</v>
      </c>
      <c r="U31" s="2">
        <f t="shared" si="1"/>
        <v>9420000</v>
      </c>
      <c r="V31" s="215"/>
    </row>
    <row r="32" spans="1:22" x14ac:dyDescent="0.3">
      <c r="A32" s="278"/>
      <c r="B32" s="1" t="s">
        <v>77</v>
      </c>
      <c r="C32" s="160">
        <f t="shared" si="4"/>
        <v>17010000</v>
      </c>
      <c r="D32" s="161">
        <v>0</v>
      </c>
      <c r="E32" s="161">
        <v>0</v>
      </c>
      <c r="F32" s="2">
        <v>420000</v>
      </c>
      <c r="G32" s="161">
        <v>300000</v>
      </c>
      <c r="H32" s="162">
        <v>300000</v>
      </c>
      <c r="I32" s="2">
        <v>200000</v>
      </c>
      <c r="J32" s="2">
        <v>100000</v>
      </c>
      <c r="K32" s="2">
        <v>800000</v>
      </c>
      <c r="L32" s="2">
        <v>150000</v>
      </c>
      <c r="M32" s="200">
        <v>250000</v>
      </c>
      <c r="N32" s="2">
        <v>0</v>
      </c>
      <c r="O32" s="2">
        <v>200000</v>
      </c>
      <c r="P32" s="2">
        <v>500000</v>
      </c>
      <c r="Q32" s="2">
        <v>2000000</v>
      </c>
      <c r="R32" s="2">
        <v>0</v>
      </c>
      <c r="S32" s="2">
        <v>0</v>
      </c>
      <c r="T32" s="2">
        <f t="shared" si="0"/>
        <v>5220000</v>
      </c>
      <c r="U32" s="2">
        <f t="shared" si="1"/>
        <v>11790000</v>
      </c>
      <c r="V32" s="215"/>
    </row>
    <row r="33" spans="1:22" x14ac:dyDescent="0.3">
      <c r="A33" s="278"/>
      <c r="B33" s="1" t="s">
        <v>78</v>
      </c>
      <c r="C33" s="160">
        <f t="shared" si="4"/>
        <v>19380000</v>
      </c>
      <c r="D33" s="161">
        <v>1800000</v>
      </c>
      <c r="E33" s="161">
        <v>0</v>
      </c>
      <c r="F33" s="2">
        <v>420000</v>
      </c>
      <c r="G33" s="161">
        <v>300000</v>
      </c>
      <c r="H33" s="162">
        <v>300000</v>
      </c>
      <c r="I33" s="2">
        <v>200000</v>
      </c>
      <c r="J33" s="2">
        <v>100000</v>
      </c>
      <c r="K33" s="2">
        <v>800000</v>
      </c>
      <c r="L33" s="2">
        <v>150000</v>
      </c>
      <c r="M33" s="200">
        <v>250000</v>
      </c>
      <c r="N33" s="2">
        <v>0</v>
      </c>
      <c r="O33" s="2">
        <v>200000</v>
      </c>
      <c r="P33" s="2">
        <v>500000</v>
      </c>
      <c r="Q33" s="2">
        <v>2000000</v>
      </c>
      <c r="R33" s="2">
        <v>0</v>
      </c>
      <c r="S33" s="2">
        <v>0</v>
      </c>
      <c r="T33" s="2">
        <f t="shared" si="0"/>
        <v>7020000</v>
      </c>
      <c r="U33" s="2">
        <f t="shared" si="1"/>
        <v>12360000</v>
      </c>
      <c r="V33" s="215"/>
    </row>
    <row r="34" spans="1:22" x14ac:dyDescent="0.3">
      <c r="A34" s="278"/>
      <c r="B34" s="1" t="s">
        <v>79</v>
      </c>
      <c r="C34" s="160">
        <f t="shared" si="4"/>
        <v>19950000</v>
      </c>
      <c r="D34" s="161">
        <v>0</v>
      </c>
      <c r="E34" s="161">
        <v>0</v>
      </c>
      <c r="F34" s="2">
        <v>420000</v>
      </c>
      <c r="G34" s="161">
        <v>300000</v>
      </c>
      <c r="H34" s="162">
        <v>300000</v>
      </c>
      <c r="I34" s="2">
        <v>200000</v>
      </c>
      <c r="J34" s="2">
        <v>100000</v>
      </c>
      <c r="K34" s="2">
        <v>800000</v>
      </c>
      <c r="L34" s="2">
        <v>150000</v>
      </c>
      <c r="M34" s="200">
        <v>250000</v>
      </c>
      <c r="N34" s="2">
        <v>0</v>
      </c>
      <c r="O34" s="2">
        <v>200000</v>
      </c>
      <c r="P34" s="2">
        <v>500000</v>
      </c>
      <c r="Q34" s="2">
        <v>2000000</v>
      </c>
      <c r="R34" s="2">
        <v>600000</v>
      </c>
      <c r="S34" s="2">
        <v>0</v>
      </c>
      <c r="T34" s="2">
        <f t="shared" si="0"/>
        <v>5820000</v>
      </c>
      <c r="U34" s="2">
        <f t="shared" si="1"/>
        <v>14130000</v>
      </c>
      <c r="V34" s="215"/>
    </row>
    <row r="35" spans="1:22" s="165" customFormat="1" ht="17.25" customHeight="1" x14ac:dyDescent="0.3">
      <c r="A35" s="278"/>
      <c r="B35" s="165" t="s">
        <v>80</v>
      </c>
      <c r="C35" s="160">
        <f t="shared" si="4"/>
        <v>21720000</v>
      </c>
      <c r="D35" s="161">
        <v>0</v>
      </c>
      <c r="E35" s="161">
        <v>0</v>
      </c>
      <c r="F35" s="2">
        <v>420000</v>
      </c>
      <c r="G35" s="161">
        <v>300000</v>
      </c>
      <c r="H35" s="162">
        <v>300000</v>
      </c>
      <c r="I35" s="2">
        <v>200000</v>
      </c>
      <c r="J35" s="2">
        <v>100000</v>
      </c>
      <c r="K35" s="2">
        <v>800000</v>
      </c>
      <c r="L35" s="2">
        <v>150000</v>
      </c>
      <c r="M35" s="200">
        <v>250000</v>
      </c>
      <c r="N35" s="2">
        <v>0</v>
      </c>
      <c r="O35" s="2">
        <v>200000</v>
      </c>
      <c r="P35" s="2">
        <v>500000</v>
      </c>
      <c r="Q35" s="2">
        <v>2000000</v>
      </c>
      <c r="R35" s="2">
        <v>0</v>
      </c>
      <c r="S35" s="2">
        <v>0</v>
      </c>
      <c r="T35" s="166">
        <f t="shared" ref="T35:T66" si="5">SUM(D35:S35)</f>
        <v>5220000</v>
      </c>
      <c r="U35" s="166">
        <f t="shared" si="1"/>
        <v>16500000</v>
      </c>
      <c r="V35" s="216"/>
    </row>
    <row r="36" spans="1:22" s="78" customFormat="1" x14ac:dyDescent="0.3">
      <c r="A36" s="278"/>
      <c r="B36" s="78" t="s">
        <v>81</v>
      </c>
      <c r="C36" s="162">
        <f xml:space="preserve"> U35 + 7590000 + 7000000</f>
        <v>31090000</v>
      </c>
      <c r="D36" s="162">
        <v>1800000</v>
      </c>
      <c r="E36" s="162">
        <v>0</v>
      </c>
      <c r="F36" s="162">
        <v>420000</v>
      </c>
      <c r="G36" s="162">
        <v>300000</v>
      </c>
      <c r="H36" s="162">
        <v>300000</v>
      </c>
      <c r="I36" s="162">
        <v>200000</v>
      </c>
      <c r="J36" s="162">
        <v>100000</v>
      </c>
      <c r="K36" s="162">
        <v>800000</v>
      </c>
      <c r="L36" s="162">
        <v>150000</v>
      </c>
      <c r="M36" s="200">
        <v>250000</v>
      </c>
      <c r="N36" s="162">
        <v>0</v>
      </c>
      <c r="O36" s="162">
        <v>200000</v>
      </c>
      <c r="P36" s="162">
        <v>500000</v>
      </c>
      <c r="Q36" s="2">
        <v>2000000</v>
      </c>
      <c r="R36" s="162">
        <v>20000000</v>
      </c>
      <c r="S36" s="162">
        <v>0</v>
      </c>
      <c r="T36" s="162">
        <f t="shared" si="5"/>
        <v>27020000</v>
      </c>
      <c r="U36" s="162">
        <f t="shared" si="1"/>
        <v>4070000</v>
      </c>
      <c r="V36" s="78" t="s">
        <v>189</v>
      </c>
    </row>
    <row r="37" spans="1:22" x14ac:dyDescent="0.3">
      <c r="A37" s="278"/>
      <c r="B37" s="1">
        <v>3000</v>
      </c>
      <c r="C37" s="160">
        <f t="shared" si="4"/>
        <v>11660000</v>
      </c>
      <c r="D37" s="161">
        <v>0</v>
      </c>
      <c r="E37" s="161">
        <v>0</v>
      </c>
      <c r="F37" s="2">
        <v>420000</v>
      </c>
      <c r="G37" s="161">
        <v>300000</v>
      </c>
      <c r="H37" s="162">
        <v>300000</v>
      </c>
      <c r="I37" s="2">
        <v>900000</v>
      </c>
      <c r="J37" s="2">
        <v>0</v>
      </c>
      <c r="K37" s="2">
        <v>800000</v>
      </c>
      <c r="L37" s="2">
        <v>150000</v>
      </c>
      <c r="M37" s="200">
        <v>250000</v>
      </c>
      <c r="N37" s="2">
        <v>0</v>
      </c>
      <c r="O37" s="2">
        <v>200000</v>
      </c>
      <c r="P37" s="2">
        <v>500000</v>
      </c>
      <c r="Q37" s="2">
        <v>2000000</v>
      </c>
      <c r="R37" s="161">
        <v>0</v>
      </c>
      <c r="S37" s="2">
        <v>0</v>
      </c>
      <c r="T37" s="2">
        <f t="shared" si="5"/>
        <v>5820000</v>
      </c>
      <c r="U37" s="2">
        <f t="shared" si="1"/>
        <v>5840000</v>
      </c>
    </row>
    <row r="38" spans="1:22" s="246" customFormat="1" ht="17.25" thickBot="1" x14ac:dyDescent="0.35">
      <c r="A38" s="278"/>
      <c r="B38" s="243" t="s">
        <v>83</v>
      </c>
      <c r="C38" s="244">
        <f xml:space="preserve"> U37 + 7590000</f>
        <v>13430000</v>
      </c>
      <c r="D38" s="245">
        <v>0</v>
      </c>
      <c r="E38" s="244">
        <v>0</v>
      </c>
      <c r="F38" s="245">
        <v>420000</v>
      </c>
      <c r="G38" s="244">
        <v>300000</v>
      </c>
      <c r="H38" s="245">
        <v>300000</v>
      </c>
      <c r="I38" s="2">
        <v>900000</v>
      </c>
      <c r="J38" s="244">
        <v>0</v>
      </c>
      <c r="K38" s="244">
        <v>800000</v>
      </c>
      <c r="L38" s="244">
        <v>150000</v>
      </c>
      <c r="M38" s="200">
        <v>250000</v>
      </c>
      <c r="N38" s="245">
        <v>0</v>
      </c>
      <c r="O38" s="244">
        <v>200000</v>
      </c>
      <c r="P38" s="244">
        <v>500000</v>
      </c>
      <c r="Q38" s="244">
        <v>2000000</v>
      </c>
      <c r="R38" s="244">
        <v>1000000</v>
      </c>
      <c r="S38" s="2">
        <v>0</v>
      </c>
      <c r="T38" s="245">
        <f t="shared" si="5"/>
        <v>6820000</v>
      </c>
      <c r="U38" s="245">
        <f t="shared" si="1"/>
        <v>6610000</v>
      </c>
    </row>
    <row r="39" spans="1:22" s="197" customFormat="1" x14ac:dyDescent="0.3">
      <c r="A39" s="278">
        <v>2026</v>
      </c>
      <c r="B39" s="203" t="s">
        <v>72</v>
      </c>
      <c r="C39" s="198">
        <f t="shared" si="4"/>
        <v>14200000</v>
      </c>
      <c r="D39" s="2">
        <v>1800000</v>
      </c>
      <c r="E39" s="161">
        <v>0</v>
      </c>
      <c r="F39" s="198">
        <v>420000</v>
      </c>
      <c r="G39" s="198">
        <v>300000</v>
      </c>
      <c r="H39" s="198">
        <v>300000</v>
      </c>
      <c r="I39" s="2">
        <v>900000</v>
      </c>
      <c r="J39" s="198">
        <v>0</v>
      </c>
      <c r="K39" s="198">
        <v>800000</v>
      </c>
      <c r="L39" s="2">
        <v>150000</v>
      </c>
      <c r="M39" s="200">
        <v>250000</v>
      </c>
      <c r="N39" s="198">
        <v>0</v>
      </c>
      <c r="O39" s="2">
        <v>200000</v>
      </c>
      <c r="P39" s="2">
        <v>500000</v>
      </c>
      <c r="Q39" s="2">
        <v>2000000</v>
      </c>
      <c r="R39" s="161">
        <v>0</v>
      </c>
      <c r="S39" s="2">
        <v>0</v>
      </c>
      <c r="T39" s="198">
        <f t="shared" si="5"/>
        <v>7620000</v>
      </c>
      <c r="U39" s="198">
        <f t="shared" si="1"/>
        <v>6580000</v>
      </c>
    </row>
    <row r="40" spans="1:22" s="78" customFormat="1" x14ac:dyDescent="0.3">
      <c r="A40" s="278"/>
      <c r="B40" s="78" t="s">
        <v>73</v>
      </c>
      <c r="C40" s="162">
        <f xml:space="preserve"> U39 + 7590000</f>
        <v>14170000</v>
      </c>
      <c r="D40" s="162">
        <v>0</v>
      </c>
      <c r="E40" s="162">
        <v>0</v>
      </c>
      <c r="F40" s="162">
        <v>420000</v>
      </c>
      <c r="G40" s="162">
        <v>300000</v>
      </c>
      <c r="H40" s="162">
        <v>300000</v>
      </c>
      <c r="I40" s="2">
        <v>900000</v>
      </c>
      <c r="J40" s="162">
        <v>0</v>
      </c>
      <c r="K40" s="162">
        <v>800000</v>
      </c>
      <c r="L40" s="162">
        <v>150000</v>
      </c>
      <c r="M40" s="200">
        <v>250000</v>
      </c>
      <c r="N40" s="162">
        <v>0</v>
      </c>
      <c r="O40" s="162">
        <v>200000</v>
      </c>
      <c r="P40" s="162">
        <v>500000</v>
      </c>
      <c r="Q40" s="2">
        <v>2000000</v>
      </c>
      <c r="R40" s="2">
        <v>600000</v>
      </c>
      <c r="S40" s="2">
        <v>0</v>
      </c>
      <c r="T40" s="162">
        <f t="shared" si="5"/>
        <v>6420000</v>
      </c>
      <c r="U40" s="162">
        <f t="shared" si="1"/>
        <v>7750000</v>
      </c>
    </row>
    <row r="41" spans="1:22" s="167" customFormat="1" x14ac:dyDescent="0.3">
      <c r="A41" s="278"/>
      <c r="B41" s="167" t="s">
        <v>74</v>
      </c>
      <c r="C41" s="160">
        <f t="shared" si="4"/>
        <v>15340000</v>
      </c>
      <c r="D41" s="161">
        <v>0</v>
      </c>
      <c r="E41" s="161">
        <v>0</v>
      </c>
      <c r="F41" s="2">
        <v>420000</v>
      </c>
      <c r="G41" s="161">
        <v>300000</v>
      </c>
      <c r="H41" s="162">
        <v>300000</v>
      </c>
      <c r="I41" s="2">
        <v>900000</v>
      </c>
      <c r="J41" s="2">
        <v>0</v>
      </c>
      <c r="K41" s="2">
        <v>800000</v>
      </c>
      <c r="L41" s="2">
        <v>150000</v>
      </c>
      <c r="M41" s="200">
        <v>250000</v>
      </c>
      <c r="N41" s="164">
        <v>0</v>
      </c>
      <c r="O41" s="2">
        <v>200000</v>
      </c>
      <c r="P41" s="2">
        <v>500000</v>
      </c>
      <c r="Q41" s="2">
        <v>2000000</v>
      </c>
      <c r="R41" s="2">
        <v>0</v>
      </c>
      <c r="S41" s="2">
        <v>0</v>
      </c>
      <c r="T41" s="164">
        <f t="shared" si="5"/>
        <v>5820000</v>
      </c>
      <c r="U41" s="164">
        <f t="shared" si="1"/>
        <v>9520000</v>
      </c>
    </row>
    <row r="42" spans="1:22" s="167" customFormat="1" x14ac:dyDescent="0.3">
      <c r="A42" s="278"/>
      <c r="B42" s="167" t="s">
        <v>75</v>
      </c>
      <c r="C42" s="160">
        <f t="shared" si="4"/>
        <v>17110000</v>
      </c>
      <c r="D42" s="2">
        <v>1800000</v>
      </c>
      <c r="E42" s="161">
        <v>0</v>
      </c>
      <c r="F42" s="2">
        <v>420000</v>
      </c>
      <c r="G42" s="161">
        <v>300000</v>
      </c>
      <c r="H42" s="162">
        <v>300000</v>
      </c>
      <c r="I42" s="2">
        <v>900000</v>
      </c>
      <c r="J42" s="2">
        <v>0</v>
      </c>
      <c r="K42" s="2">
        <v>800000</v>
      </c>
      <c r="L42" s="2">
        <v>150000</v>
      </c>
      <c r="M42" s="200">
        <v>250000</v>
      </c>
      <c r="N42" s="164">
        <v>0</v>
      </c>
      <c r="O42" s="2">
        <v>200000</v>
      </c>
      <c r="P42" s="2">
        <v>500000</v>
      </c>
      <c r="Q42" s="2">
        <v>2000000</v>
      </c>
      <c r="R42" s="2">
        <v>0</v>
      </c>
      <c r="S42" s="2">
        <v>0</v>
      </c>
      <c r="T42" s="164">
        <f t="shared" si="5"/>
        <v>7620000</v>
      </c>
      <c r="U42" s="164">
        <f t="shared" si="1"/>
        <v>9490000</v>
      </c>
    </row>
    <row r="43" spans="1:22" s="167" customFormat="1" x14ac:dyDescent="0.3">
      <c r="A43" s="278"/>
      <c r="B43" s="167" t="s">
        <v>76</v>
      </c>
      <c r="C43" s="160">
        <f t="shared" si="4"/>
        <v>17080000</v>
      </c>
      <c r="D43" s="161">
        <v>2000000</v>
      </c>
      <c r="E43" s="161">
        <v>0</v>
      </c>
      <c r="F43" s="2">
        <v>420000</v>
      </c>
      <c r="G43" s="161">
        <v>300000</v>
      </c>
      <c r="H43" s="162">
        <v>300000</v>
      </c>
      <c r="I43" s="2">
        <v>900000</v>
      </c>
      <c r="J43" s="2">
        <v>0</v>
      </c>
      <c r="K43" s="2">
        <v>800000</v>
      </c>
      <c r="L43" s="2">
        <v>150000</v>
      </c>
      <c r="M43" s="200">
        <v>250000</v>
      </c>
      <c r="N43" s="164">
        <v>0</v>
      </c>
      <c r="O43" s="2">
        <v>200000</v>
      </c>
      <c r="P43" s="2">
        <v>500000</v>
      </c>
      <c r="Q43" s="2">
        <v>2000000</v>
      </c>
      <c r="R43" s="2">
        <v>600000</v>
      </c>
      <c r="S43" s="2">
        <v>0</v>
      </c>
      <c r="T43" s="164">
        <f t="shared" si="5"/>
        <v>8420000</v>
      </c>
      <c r="U43" s="164">
        <f t="shared" si="1"/>
        <v>8660000</v>
      </c>
    </row>
    <row r="44" spans="1:22" s="167" customFormat="1" x14ac:dyDescent="0.3">
      <c r="A44" s="278"/>
      <c r="B44" s="167" t="s">
        <v>77</v>
      </c>
      <c r="C44" s="160">
        <f t="shared" si="4"/>
        <v>16250000</v>
      </c>
      <c r="D44" s="161">
        <v>0</v>
      </c>
      <c r="E44" s="161">
        <v>0</v>
      </c>
      <c r="F44" s="2">
        <v>420000</v>
      </c>
      <c r="G44" s="161">
        <v>300000</v>
      </c>
      <c r="H44" s="162">
        <v>300000</v>
      </c>
      <c r="I44" s="2">
        <v>900000</v>
      </c>
      <c r="J44" s="2">
        <v>0</v>
      </c>
      <c r="K44" s="2">
        <v>800000</v>
      </c>
      <c r="L44" s="2">
        <v>150000</v>
      </c>
      <c r="M44" s="200">
        <v>250000</v>
      </c>
      <c r="N44" s="164">
        <v>0</v>
      </c>
      <c r="O44" s="2">
        <v>200000</v>
      </c>
      <c r="P44" s="2">
        <v>500000</v>
      </c>
      <c r="Q44" s="2">
        <v>2000000</v>
      </c>
      <c r="R44" s="2">
        <v>0</v>
      </c>
      <c r="S44" s="2">
        <v>0</v>
      </c>
      <c r="T44" s="164">
        <f t="shared" si="5"/>
        <v>5820000</v>
      </c>
      <c r="U44" s="164">
        <f t="shared" si="1"/>
        <v>10430000</v>
      </c>
    </row>
    <row r="45" spans="1:22" s="167" customFormat="1" x14ac:dyDescent="0.3">
      <c r="A45" s="278"/>
      <c r="B45" s="167" t="s">
        <v>78</v>
      </c>
      <c r="C45" s="160">
        <f t="shared" si="4"/>
        <v>18020000</v>
      </c>
      <c r="D45" s="161">
        <v>1800000</v>
      </c>
      <c r="E45" s="161">
        <v>0</v>
      </c>
      <c r="F45" s="2">
        <v>420000</v>
      </c>
      <c r="G45" s="161">
        <v>300000</v>
      </c>
      <c r="H45" s="162">
        <v>300000</v>
      </c>
      <c r="I45" s="2">
        <v>900000</v>
      </c>
      <c r="J45" s="2">
        <v>0</v>
      </c>
      <c r="K45" s="2">
        <v>800000</v>
      </c>
      <c r="L45" s="2">
        <v>150000</v>
      </c>
      <c r="M45" s="200">
        <v>250000</v>
      </c>
      <c r="N45" s="164">
        <v>0</v>
      </c>
      <c r="O45" s="2">
        <v>200000</v>
      </c>
      <c r="P45" s="2">
        <v>500000</v>
      </c>
      <c r="Q45" s="2">
        <v>2000000</v>
      </c>
      <c r="R45" s="2">
        <v>0</v>
      </c>
      <c r="S45" s="2">
        <v>0</v>
      </c>
      <c r="T45" s="164">
        <f t="shared" si="5"/>
        <v>7620000</v>
      </c>
      <c r="U45" s="164">
        <f t="shared" ref="U45:U76" si="6" xml:space="preserve"> C45 - T45</f>
        <v>10400000</v>
      </c>
    </row>
    <row r="46" spans="1:22" s="167" customFormat="1" x14ac:dyDescent="0.3">
      <c r="A46" s="278"/>
      <c r="B46" s="167" t="s">
        <v>79</v>
      </c>
      <c r="C46" s="160">
        <f t="shared" si="4"/>
        <v>17990000</v>
      </c>
      <c r="D46" s="161">
        <v>0</v>
      </c>
      <c r="E46" s="161">
        <v>0</v>
      </c>
      <c r="F46" s="2">
        <v>420000</v>
      </c>
      <c r="G46" s="161">
        <v>300000</v>
      </c>
      <c r="H46" s="162">
        <v>300000</v>
      </c>
      <c r="I46" s="2">
        <v>900000</v>
      </c>
      <c r="J46" s="2">
        <v>0</v>
      </c>
      <c r="K46" s="2">
        <v>800000</v>
      </c>
      <c r="L46" s="2">
        <v>150000</v>
      </c>
      <c r="M46" s="200">
        <v>250000</v>
      </c>
      <c r="N46" s="164">
        <v>0</v>
      </c>
      <c r="O46" s="2">
        <v>200000</v>
      </c>
      <c r="P46" s="2">
        <v>500000</v>
      </c>
      <c r="Q46" s="2">
        <v>2000000</v>
      </c>
      <c r="R46" s="2">
        <v>0</v>
      </c>
      <c r="S46" s="2">
        <v>0</v>
      </c>
      <c r="T46" s="164">
        <f t="shared" si="5"/>
        <v>5820000</v>
      </c>
      <c r="U46" s="164">
        <f t="shared" si="6"/>
        <v>12170000</v>
      </c>
    </row>
    <row r="47" spans="1:22" s="167" customFormat="1" x14ac:dyDescent="0.3">
      <c r="A47" s="278"/>
      <c r="B47" s="167" t="s">
        <v>80</v>
      </c>
      <c r="C47" s="160">
        <f t="shared" si="4"/>
        <v>19760000</v>
      </c>
      <c r="D47" s="161">
        <v>0</v>
      </c>
      <c r="E47" s="161">
        <v>0</v>
      </c>
      <c r="F47" s="2">
        <v>420000</v>
      </c>
      <c r="G47" s="161">
        <v>300000</v>
      </c>
      <c r="H47" s="162">
        <v>300000</v>
      </c>
      <c r="I47" s="2">
        <v>900000</v>
      </c>
      <c r="J47" s="2">
        <v>0</v>
      </c>
      <c r="K47" s="2">
        <v>800000</v>
      </c>
      <c r="L47" s="2">
        <v>150000</v>
      </c>
      <c r="M47" s="200">
        <v>250000</v>
      </c>
      <c r="N47" s="164">
        <v>0</v>
      </c>
      <c r="O47" s="2">
        <v>200000</v>
      </c>
      <c r="P47" s="2">
        <v>500000</v>
      </c>
      <c r="Q47" s="2">
        <v>2000000</v>
      </c>
      <c r="R47" s="2">
        <v>600000</v>
      </c>
      <c r="S47" s="2">
        <v>0</v>
      </c>
      <c r="T47" s="164">
        <f t="shared" si="5"/>
        <v>6420000</v>
      </c>
      <c r="U47" s="164">
        <f t="shared" si="6"/>
        <v>13340000</v>
      </c>
    </row>
    <row r="48" spans="1:22" s="167" customFormat="1" x14ac:dyDescent="0.3">
      <c r="A48" s="278"/>
      <c r="B48" s="167" t="s">
        <v>81</v>
      </c>
      <c r="C48" s="160">
        <f t="shared" si="4"/>
        <v>20930000</v>
      </c>
      <c r="D48" s="198">
        <v>1800000</v>
      </c>
      <c r="E48" s="161">
        <v>0</v>
      </c>
      <c r="F48" s="2">
        <v>420000</v>
      </c>
      <c r="G48" s="161">
        <v>300000</v>
      </c>
      <c r="H48" s="162">
        <v>300000</v>
      </c>
      <c r="I48" s="2">
        <v>900000</v>
      </c>
      <c r="J48" s="2">
        <v>0</v>
      </c>
      <c r="K48" s="2">
        <v>800000</v>
      </c>
      <c r="L48" s="2">
        <v>150000</v>
      </c>
      <c r="M48" s="200">
        <v>250000</v>
      </c>
      <c r="N48" s="164">
        <v>0</v>
      </c>
      <c r="O48" s="2">
        <v>200000</v>
      </c>
      <c r="P48" s="2">
        <v>500000</v>
      </c>
      <c r="Q48" s="2">
        <v>2000000</v>
      </c>
      <c r="R48" s="2">
        <v>0</v>
      </c>
      <c r="S48" s="2">
        <v>0</v>
      </c>
      <c r="T48" s="164">
        <f t="shared" si="5"/>
        <v>7620000</v>
      </c>
      <c r="U48" s="164">
        <f t="shared" si="6"/>
        <v>13310000</v>
      </c>
    </row>
    <row r="49" spans="1:22" s="167" customFormat="1" x14ac:dyDescent="0.3">
      <c r="A49" s="278"/>
      <c r="B49" s="167" t="s">
        <v>82</v>
      </c>
      <c r="C49" s="160">
        <f t="shared" si="4"/>
        <v>20900000</v>
      </c>
      <c r="D49" s="161">
        <v>0</v>
      </c>
      <c r="E49" s="161">
        <v>0</v>
      </c>
      <c r="F49" s="2">
        <v>420000</v>
      </c>
      <c r="G49" s="161">
        <v>300000</v>
      </c>
      <c r="H49" s="162">
        <v>300000</v>
      </c>
      <c r="I49" s="2">
        <v>900000</v>
      </c>
      <c r="J49" s="2">
        <v>0</v>
      </c>
      <c r="K49" s="2">
        <v>800000</v>
      </c>
      <c r="L49" s="2">
        <v>150000</v>
      </c>
      <c r="M49" s="200">
        <v>250000</v>
      </c>
      <c r="N49" s="164">
        <v>0</v>
      </c>
      <c r="O49" s="2">
        <v>200000</v>
      </c>
      <c r="P49" s="2">
        <v>500000</v>
      </c>
      <c r="Q49" s="2">
        <v>2000000</v>
      </c>
      <c r="R49" s="2">
        <v>0</v>
      </c>
      <c r="S49" s="2">
        <v>0</v>
      </c>
      <c r="T49" s="164">
        <f t="shared" si="5"/>
        <v>5820000</v>
      </c>
      <c r="U49" s="164">
        <f t="shared" si="6"/>
        <v>15080000</v>
      </c>
    </row>
    <row r="50" spans="1:22" s="246" customFormat="1" ht="17.25" thickBot="1" x14ac:dyDescent="0.35">
      <c r="A50" s="278"/>
      <c r="B50" s="243" t="s">
        <v>83</v>
      </c>
      <c r="C50" s="244">
        <f t="shared" si="4"/>
        <v>22670000</v>
      </c>
      <c r="D50" s="245">
        <v>0</v>
      </c>
      <c r="E50" s="244">
        <v>0</v>
      </c>
      <c r="F50" s="245">
        <v>420000</v>
      </c>
      <c r="G50" s="244">
        <v>300000</v>
      </c>
      <c r="H50" s="245">
        <v>300000</v>
      </c>
      <c r="I50" s="2">
        <v>900000</v>
      </c>
      <c r="J50" s="244">
        <v>0</v>
      </c>
      <c r="K50" s="244">
        <v>800000</v>
      </c>
      <c r="L50" s="244">
        <v>150000</v>
      </c>
      <c r="M50" s="200">
        <v>250000</v>
      </c>
      <c r="N50" s="245">
        <v>0</v>
      </c>
      <c r="O50" s="244">
        <v>200000</v>
      </c>
      <c r="P50" s="244">
        <v>500000</v>
      </c>
      <c r="Q50" s="244">
        <v>2000000</v>
      </c>
      <c r="R50" s="244">
        <v>1000000</v>
      </c>
      <c r="S50" s="245">
        <v>0</v>
      </c>
      <c r="T50" s="245">
        <f t="shared" si="5"/>
        <v>6820000</v>
      </c>
      <c r="U50" s="245">
        <f t="shared" si="6"/>
        <v>15850000</v>
      </c>
    </row>
    <row r="51" spans="1:22" s="197" customFormat="1" x14ac:dyDescent="0.3">
      <c r="A51" s="276">
        <v>2027</v>
      </c>
      <c r="B51" s="203" t="s">
        <v>72</v>
      </c>
      <c r="C51" s="198">
        <f t="shared" si="4"/>
        <v>23440000</v>
      </c>
      <c r="D51" s="2">
        <v>1800000</v>
      </c>
      <c r="E51" s="198">
        <v>0</v>
      </c>
      <c r="F51" s="198">
        <v>420000</v>
      </c>
      <c r="G51" s="198">
        <v>300000</v>
      </c>
      <c r="H51" s="198">
        <v>100000</v>
      </c>
      <c r="I51" s="2">
        <v>900000</v>
      </c>
      <c r="J51" s="198">
        <v>0</v>
      </c>
      <c r="K51" s="198">
        <v>800000</v>
      </c>
      <c r="L51" s="198">
        <v>150000</v>
      </c>
      <c r="M51" s="200">
        <v>250000</v>
      </c>
      <c r="N51" s="198">
        <v>0</v>
      </c>
      <c r="O51" s="2">
        <v>200000</v>
      </c>
      <c r="P51" s="2">
        <v>500000</v>
      </c>
      <c r="Q51" s="2">
        <v>2000000</v>
      </c>
      <c r="R51" s="198">
        <v>0</v>
      </c>
      <c r="S51" s="198">
        <v>0</v>
      </c>
      <c r="T51" s="198">
        <f t="shared" si="5"/>
        <v>7420000</v>
      </c>
      <c r="U51" s="198">
        <f t="shared" si="6"/>
        <v>16020000</v>
      </c>
    </row>
    <row r="52" spans="1:22" s="167" customFormat="1" x14ac:dyDescent="0.3">
      <c r="A52" s="276"/>
      <c r="B52" s="167" t="s">
        <v>73</v>
      </c>
      <c r="C52" s="160">
        <f t="shared" si="4"/>
        <v>23610000</v>
      </c>
      <c r="D52" s="161">
        <v>0</v>
      </c>
      <c r="E52" s="161">
        <v>0</v>
      </c>
      <c r="F52" s="2">
        <v>420000</v>
      </c>
      <c r="G52" s="161">
        <v>300000</v>
      </c>
      <c r="H52" s="162">
        <v>100000</v>
      </c>
      <c r="I52" s="2">
        <v>900000</v>
      </c>
      <c r="J52" s="2">
        <v>0</v>
      </c>
      <c r="K52" s="2">
        <v>800000</v>
      </c>
      <c r="L52" s="2">
        <v>150000</v>
      </c>
      <c r="M52" s="200">
        <v>250000</v>
      </c>
      <c r="N52" s="164">
        <v>0</v>
      </c>
      <c r="O52" s="2">
        <v>200000</v>
      </c>
      <c r="P52" s="2">
        <v>500000</v>
      </c>
      <c r="Q52" s="2">
        <v>2000000</v>
      </c>
      <c r="R52" s="2">
        <v>600000</v>
      </c>
      <c r="S52" s="161">
        <v>0</v>
      </c>
      <c r="T52" s="164">
        <f t="shared" si="5"/>
        <v>6220000</v>
      </c>
      <c r="U52" s="164">
        <f t="shared" si="6"/>
        <v>17390000</v>
      </c>
    </row>
    <row r="53" spans="1:22" s="167" customFormat="1" x14ac:dyDescent="0.3">
      <c r="A53" s="276"/>
      <c r="B53" s="167" t="s">
        <v>74</v>
      </c>
      <c r="C53" s="160">
        <f t="shared" si="4"/>
        <v>24980000</v>
      </c>
      <c r="D53" s="161">
        <v>0</v>
      </c>
      <c r="E53" s="161">
        <v>0</v>
      </c>
      <c r="F53" s="2">
        <v>420000</v>
      </c>
      <c r="G53" s="161">
        <v>300000</v>
      </c>
      <c r="H53" s="162">
        <v>100000</v>
      </c>
      <c r="I53" s="2">
        <v>900000</v>
      </c>
      <c r="J53" s="2">
        <v>0</v>
      </c>
      <c r="K53" s="2">
        <v>800000</v>
      </c>
      <c r="L53" s="2">
        <v>150000</v>
      </c>
      <c r="M53" s="200">
        <v>250000</v>
      </c>
      <c r="N53" s="164">
        <v>0</v>
      </c>
      <c r="O53" s="2">
        <v>200000</v>
      </c>
      <c r="P53" s="2">
        <v>500000</v>
      </c>
      <c r="Q53" s="2">
        <v>2000000</v>
      </c>
      <c r="R53" s="2">
        <v>0</v>
      </c>
      <c r="S53" s="2">
        <v>0</v>
      </c>
      <c r="T53" s="164">
        <f t="shared" si="5"/>
        <v>5620000</v>
      </c>
      <c r="U53" s="164">
        <f t="shared" si="6"/>
        <v>19360000</v>
      </c>
    </row>
    <row r="54" spans="1:22" s="167" customFormat="1" x14ac:dyDescent="0.3">
      <c r="A54" s="276"/>
      <c r="B54" s="167" t="s">
        <v>75</v>
      </c>
      <c r="C54" s="160">
        <f t="shared" si="4"/>
        <v>26950000</v>
      </c>
      <c r="D54" s="2">
        <v>1800000</v>
      </c>
      <c r="E54" s="161">
        <v>0</v>
      </c>
      <c r="F54" s="2">
        <v>420000</v>
      </c>
      <c r="G54" s="161">
        <v>300000</v>
      </c>
      <c r="H54" s="162">
        <v>100000</v>
      </c>
      <c r="I54" s="2">
        <v>900000</v>
      </c>
      <c r="J54" s="2">
        <v>0</v>
      </c>
      <c r="K54" s="2">
        <v>800000</v>
      </c>
      <c r="L54" s="2">
        <v>150000</v>
      </c>
      <c r="M54" s="200">
        <v>250000</v>
      </c>
      <c r="N54" s="164">
        <v>0</v>
      </c>
      <c r="O54" s="2">
        <v>200000</v>
      </c>
      <c r="P54" s="2">
        <v>500000</v>
      </c>
      <c r="Q54" s="2">
        <v>2000000</v>
      </c>
      <c r="R54" s="2">
        <v>0</v>
      </c>
      <c r="S54" s="161">
        <v>0</v>
      </c>
      <c r="T54" s="164">
        <f t="shared" si="5"/>
        <v>7420000</v>
      </c>
      <c r="U54" s="164">
        <f t="shared" si="6"/>
        <v>19530000</v>
      </c>
    </row>
    <row r="55" spans="1:22" s="167" customFormat="1" x14ac:dyDescent="0.3">
      <c r="A55" s="276"/>
      <c r="B55" s="167" t="s">
        <v>76</v>
      </c>
      <c r="C55" s="160">
        <f t="shared" si="4"/>
        <v>27120000</v>
      </c>
      <c r="D55" s="161">
        <v>2000000</v>
      </c>
      <c r="E55" s="161">
        <v>0</v>
      </c>
      <c r="F55" s="2">
        <v>420000</v>
      </c>
      <c r="G55" s="161">
        <v>300000</v>
      </c>
      <c r="H55" s="162">
        <v>100000</v>
      </c>
      <c r="I55" s="2">
        <v>900000</v>
      </c>
      <c r="J55" s="2">
        <v>0</v>
      </c>
      <c r="K55" s="2">
        <v>800000</v>
      </c>
      <c r="L55" s="2">
        <v>150000</v>
      </c>
      <c r="M55" s="200">
        <v>250000</v>
      </c>
      <c r="N55" s="164">
        <v>0</v>
      </c>
      <c r="O55" s="2">
        <v>200000</v>
      </c>
      <c r="P55" s="2">
        <v>500000</v>
      </c>
      <c r="Q55" s="2">
        <v>2000000</v>
      </c>
      <c r="R55" s="2">
        <v>600000</v>
      </c>
      <c r="S55" s="161">
        <v>0</v>
      </c>
      <c r="T55" s="164">
        <f t="shared" si="5"/>
        <v>8220000</v>
      </c>
      <c r="U55" s="164">
        <f t="shared" si="6"/>
        <v>18900000</v>
      </c>
    </row>
    <row r="56" spans="1:22" s="167" customFormat="1" x14ac:dyDescent="0.3">
      <c r="A56" s="276"/>
      <c r="B56" s="167" t="s">
        <v>77</v>
      </c>
      <c r="C56" s="160">
        <f t="shared" si="4"/>
        <v>26490000</v>
      </c>
      <c r="D56" s="161">
        <v>0</v>
      </c>
      <c r="E56" s="161">
        <v>0</v>
      </c>
      <c r="F56" s="2">
        <v>420000</v>
      </c>
      <c r="G56" s="161">
        <v>300000</v>
      </c>
      <c r="H56" s="162">
        <v>100000</v>
      </c>
      <c r="I56" s="2">
        <v>900000</v>
      </c>
      <c r="J56" s="2">
        <v>0</v>
      </c>
      <c r="K56" s="2">
        <v>800000</v>
      </c>
      <c r="L56" s="2">
        <v>150000</v>
      </c>
      <c r="M56" s="200">
        <v>250000</v>
      </c>
      <c r="N56" s="164">
        <v>0</v>
      </c>
      <c r="O56" s="2">
        <v>200000</v>
      </c>
      <c r="P56" s="2">
        <v>500000</v>
      </c>
      <c r="Q56" s="2">
        <v>2000000</v>
      </c>
      <c r="R56" s="2">
        <v>0</v>
      </c>
      <c r="S56" s="2">
        <v>0</v>
      </c>
      <c r="T56" s="164">
        <f t="shared" si="5"/>
        <v>5620000</v>
      </c>
      <c r="U56" s="164">
        <f t="shared" si="6"/>
        <v>20870000</v>
      </c>
    </row>
    <row r="57" spans="1:22" s="167" customFormat="1" x14ac:dyDescent="0.3">
      <c r="A57" s="276"/>
      <c r="B57" s="167" t="s">
        <v>78</v>
      </c>
      <c r="C57" s="160">
        <f t="shared" si="4"/>
        <v>28460000</v>
      </c>
      <c r="D57" s="161">
        <v>1800000</v>
      </c>
      <c r="E57" s="161">
        <v>0</v>
      </c>
      <c r="F57" s="2">
        <v>420000</v>
      </c>
      <c r="G57" s="161">
        <v>300000</v>
      </c>
      <c r="H57" s="162">
        <v>100000</v>
      </c>
      <c r="I57" s="2">
        <v>900000</v>
      </c>
      <c r="J57" s="2">
        <v>0</v>
      </c>
      <c r="K57" s="2">
        <v>800000</v>
      </c>
      <c r="L57" s="2">
        <v>150000</v>
      </c>
      <c r="M57" s="200">
        <v>250000</v>
      </c>
      <c r="N57" s="164">
        <v>0</v>
      </c>
      <c r="O57" s="2">
        <v>200000</v>
      </c>
      <c r="P57" s="2">
        <v>500000</v>
      </c>
      <c r="Q57" s="2">
        <v>2000000</v>
      </c>
      <c r="R57" s="2">
        <v>0</v>
      </c>
      <c r="S57" s="161">
        <v>0</v>
      </c>
      <c r="T57" s="164">
        <f t="shared" si="5"/>
        <v>7420000</v>
      </c>
      <c r="U57" s="164">
        <f t="shared" si="6"/>
        <v>21040000</v>
      </c>
    </row>
    <row r="58" spans="1:22" s="167" customFormat="1" x14ac:dyDescent="0.3">
      <c r="A58" s="276"/>
      <c r="B58" s="167" t="s">
        <v>79</v>
      </c>
      <c r="C58" s="160">
        <f t="shared" si="4"/>
        <v>28630000</v>
      </c>
      <c r="D58" s="161">
        <v>0</v>
      </c>
      <c r="E58" s="161">
        <v>0</v>
      </c>
      <c r="F58" s="2">
        <v>420000</v>
      </c>
      <c r="G58" s="161">
        <v>300000</v>
      </c>
      <c r="H58" s="162">
        <v>100000</v>
      </c>
      <c r="I58" s="2">
        <v>900000</v>
      </c>
      <c r="J58" s="2">
        <v>0</v>
      </c>
      <c r="K58" s="2">
        <v>800000</v>
      </c>
      <c r="L58" s="2">
        <v>150000</v>
      </c>
      <c r="M58" s="200">
        <v>250000</v>
      </c>
      <c r="N58" s="164">
        <v>0</v>
      </c>
      <c r="O58" s="2">
        <v>200000</v>
      </c>
      <c r="P58" s="2">
        <v>500000</v>
      </c>
      <c r="Q58" s="2">
        <v>2000000</v>
      </c>
      <c r="R58" s="2">
        <v>0</v>
      </c>
      <c r="S58" s="161">
        <v>0</v>
      </c>
      <c r="T58" s="164">
        <f t="shared" si="5"/>
        <v>5620000</v>
      </c>
      <c r="U58" s="164">
        <f t="shared" si="6"/>
        <v>23010000</v>
      </c>
    </row>
    <row r="59" spans="1:22" s="167" customFormat="1" x14ac:dyDescent="0.3">
      <c r="A59" s="276"/>
      <c r="B59" s="167" t="s">
        <v>80</v>
      </c>
      <c r="C59" s="160">
        <f t="shared" si="4"/>
        <v>30600000</v>
      </c>
      <c r="D59" s="161">
        <v>0</v>
      </c>
      <c r="E59" s="161">
        <v>0</v>
      </c>
      <c r="F59" s="2">
        <v>420000</v>
      </c>
      <c r="G59" s="161">
        <v>300000</v>
      </c>
      <c r="H59" s="162">
        <v>100000</v>
      </c>
      <c r="I59" s="2">
        <v>900000</v>
      </c>
      <c r="J59" s="2">
        <v>0</v>
      </c>
      <c r="K59" s="2">
        <v>800000</v>
      </c>
      <c r="L59" s="2">
        <v>150000</v>
      </c>
      <c r="M59" s="200">
        <v>250000</v>
      </c>
      <c r="N59" s="164">
        <v>0</v>
      </c>
      <c r="O59" s="2">
        <v>200000</v>
      </c>
      <c r="P59" s="2">
        <v>500000</v>
      </c>
      <c r="Q59" s="2">
        <v>2000000</v>
      </c>
      <c r="R59" s="2">
        <v>600000</v>
      </c>
      <c r="S59" s="2">
        <v>0</v>
      </c>
      <c r="T59" s="164">
        <f t="shared" si="5"/>
        <v>6220000</v>
      </c>
      <c r="U59" s="164">
        <f t="shared" si="6"/>
        <v>24380000</v>
      </c>
    </row>
    <row r="60" spans="1:22" s="167" customFormat="1" x14ac:dyDescent="0.3">
      <c r="A60" s="276"/>
      <c r="B60" s="167" t="s">
        <v>81</v>
      </c>
      <c r="C60" s="160">
        <f t="shared" si="4"/>
        <v>31970000</v>
      </c>
      <c r="D60" s="198">
        <v>1800000</v>
      </c>
      <c r="E60" s="161">
        <v>0</v>
      </c>
      <c r="F60" s="2">
        <v>420000</v>
      </c>
      <c r="G60" s="161">
        <v>300000</v>
      </c>
      <c r="H60" s="162">
        <v>100000</v>
      </c>
      <c r="I60" s="2">
        <v>900000</v>
      </c>
      <c r="J60" s="2">
        <v>0</v>
      </c>
      <c r="K60" s="2">
        <v>800000</v>
      </c>
      <c r="L60" s="2">
        <v>150000</v>
      </c>
      <c r="M60" s="200">
        <v>250000</v>
      </c>
      <c r="N60" s="164">
        <v>0</v>
      </c>
      <c r="O60" s="2">
        <v>200000</v>
      </c>
      <c r="P60" s="2">
        <v>500000</v>
      </c>
      <c r="Q60" s="2">
        <v>2000000</v>
      </c>
      <c r="R60" s="2">
        <v>0</v>
      </c>
      <c r="S60" s="2">
        <v>0</v>
      </c>
      <c r="T60" s="164">
        <f>SUM(D60:S60)</f>
        <v>7420000</v>
      </c>
      <c r="U60" s="164">
        <f t="shared" si="6"/>
        <v>24550000</v>
      </c>
    </row>
    <row r="61" spans="1:22" s="167" customFormat="1" x14ac:dyDescent="0.3">
      <c r="A61" s="276"/>
      <c r="B61" s="167" t="s">
        <v>82</v>
      </c>
      <c r="C61" s="160">
        <f t="shared" si="4"/>
        <v>32140000</v>
      </c>
      <c r="D61" s="161">
        <v>0</v>
      </c>
      <c r="E61" s="161">
        <v>0</v>
      </c>
      <c r="F61" s="2">
        <v>420000</v>
      </c>
      <c r="G61" s="161">
        <v>300000</v>
      </c>
      <c r="H61" s="162">
        <v>100000</v>
      </c>
      <c r="I61" s="2">
        <v>900000</v>
      </c>
      <c r="J61" s="2">
        <v>0</v>
      </c>
      <c r="K61" s="2">
        <v>800000</v>
      </c>
      <c r="L61" s="2">
        <v>150000</v>
      </c>
      <c r="M61" s="200">
        <v>250000</v>
      </c>
      <c r="N61" s="164">
        <v>0</v>
      </c>
      <c r="O61" s="2">
        <v>200000</v>
      </c>
      <c r="P61" s="2">
        <v>500000</v>
      </c>
      <c r="Q61" s="2">
        <v>2000000</v>
      </c>
      <c r="R61" s="2">
        <v>0</v>
      </c>
      <c r="S61" s="2">
        <v>0</v>
      </c>
      <c r="T61" s="164">
        <f t="shared" si="5"/>
        <v>5620000</v>
      </c>
      <c r="U61" s="164">
        <f t="shared" si="6"/>
        <v>26520000</v>
      </c>
    </row>
    <row r="62" spans="1:22" s="247" customFormat="1" x14ac:dyDescent="0.3">
      <c r="A62" s="276"/>
      <c r="B62" s="247" t="s">
        <v>83</v>
      </c>
      <c r="C62" s="244">
        <f xml:space="preserve"> U61 + 7590000</f>
        <v>34110000</v>
      </c>
      <c r="D62" s="245">
        <v>0</v>
      </c>
      <c r="E62" s="244">
        <v>0</v>
      </c>
      <c r="F62" s="244">
        <v>420000</v>
      </c>
      <c r="G62" s="244">
        <v>300000</v>
      </c>
      <c r="H62" s="244">
        <v>100000</v>
      </c>
      <c r="I62" s="2">
        <v>900000</v>
      </c>
      <c r="J62" s="244">
        <v>0</v>
      </c>
      <c r="K62" s="244">
        <v>800000</v>
      </c>
      <c r="L62" s="244">
        <v>150000</v>
      </c>
      <c r="M62" s="200">
        <v>250000</v>
      </c>
      <c r="N62" s="244">
        <v>0</v>
      </c>
      <c r="O62" s="244">
        <v>200000</v>
      </c>
      <c r="P62" s="244">
        <v>500000</v>
      </c>
      <c r="Q62" s="244">
        <v>2000000</v>
      </c>
      <c r="R62" s="244">
        <v>21000000</v>
      </c>
      <c r="S62" s="2">
        <v>0</v>
      </c>
      <c r="T62" s="244">
        <f t="shared" si="5"/>
        <v>26620000</v>
      </c>
      <c r="U62" s="244">
        <f t="shared" si="6"/>
        <v>7490000</v>
      </c>
      <c r="V62" s="247" t="s">
        <v>190</v>
      </c>
    </row>
    <row r="63" spans="1:22" s="167" customFormat="1" x14ac:dyDescent="0.3">
      <c r="A63" s="276">
        <v>2028</v>
      </c>
      <c r="B63" s="167" t="s">
        <v>72</v>
      </c>
      <c r="C63" s="160">
        <f t="shared" si="4"/>
        <v>15080000</v>
      </c>
      <c r="D63" s="2">
        <v>1800000</v>
      </c>
      <c r="E63" s="161">
        <v>0</v>
      </c>
      <c r="F63" s="2">
        <v>420000</v>
      </c>
      <c r="G63" s="161">
        <v>300000</v>
      </c>
      <c r="H63" s="162">
        <v>100000</v>
      </c>
      <c r="I63" s="2">
        <v>900000</v>
      </c>
      <c r="J63" s="2">
        <v>0</v>
      </c>
      <c r="K63" s="2">
        <v>800000</v>
      </c>
      <c r="L63" s="2">
        <v>150000</v>
      </c>
      <c r="M63" s="200">
        <v>250000</v>
      </c>
      <c r="N63" s="164">
        <v>0</v>
      </c>
      <c r="O63" s="2">
        <v>800000</v>
      </c>
      <c r="P63" s="2">
        <v>500000</v>
      </c>
      <c r="Q63" s="2">
        <v>2000000</v>
      </c>
      <c r="R63" s="161">
        <v>0</v>
      </c>
      <c r="S63" s="161">
        <v>0</v>
      </c>
      <c r="T63" s="164">
        <f t="shared" si="5"/>
        <v>8020000</v>
      </c>
      <c r="U63" s="164">
        <f t="shared" si="6"/>
        <v>7060000</v>
      </c>
    </row>
    <row r="64" spans="1:22" s="167" customFormat="1" x14ac:dyDescent="0.3">
      <c r="A64" s="276"/>
      <c r="B64" s="167" t="s">
        <v>73</v>
      </c>
      <c r="C64" s="160">
        <f t="shared" si="4"/>
        <v>14650000</v>
      </c>
      <c r="D64" s="161">
        <v>0</v>
      </c>
      <c r="E64" s="161">
        <v>0</v>
      </c>
      <c r="F64" s="2">
        <v>420000</v>
      </c>
      <c r="G64" s="161">
        <v>300000</v>
      </c>
      <c r="H64" s="162">
        <v>100000</v>
      </c>
      <c r="I64" s="2">
        <v>900000</v>
      </c>
      <c r="J64" s="2">
        <v>0</v>
      </c>
      <c r="K64" s="2">
        <v>800000</v>
      </c>
      <c r="L64" s="2">
        <v>150000</v>
      </c>
      <c r="M64" s="200">
        <v>250000</v>
      </c>
      <c r="N64" s="164">
        <v>0</v>
      </c>
      <c r="O64" s="2">
        <v>800000</v>
      </c>
      <c r="P64" s="2">
        <v>500000</v>
      </c>
      <c r="Q64" s="2">
        <v>2000000</v>
      </c>
      <c r="R64" s="2">
        <v>600000</v>
      </c>
      <c r="S64" s="2">
        <v>0</v>
      </c>
      <c r="T64" s="164">
        <f t="shared" si="5"/>
        <v>6820000</v>
      </c>
      <c r="U64" s="164">
        <f t="shared" si="6"/>
        <v>7830000</v>
      </c>
    </row>
    <row r="65" spans="1:21" s="167" customFormat="1" x14ac:dyDescent="0.3">
      <c r="A65" s="276"/>
      <c r="B65" s="167" t="s">
        <v>74</v>
      </c>
      <c r="C65" s="160">
        <f t="shared" si="4"/>
        <v>15420000</v>
      </c>
      <c r="D65" s="161">
        <v>0</v>
      </c>
      <c r="E65" s="161">
        <v>0</v>
      </c>
      <c r="F65" s="2">
        <v>420000</v>
      </c>
      <c r="G65" s="161">
        <v>300000</v>
      </c>
      <c r="H65" s="162">
        <v>100000</v>
      </c>
      <c r="I65" s="2">
        <v>900000</v>
      </c>
      <c r="J65" s="2">
        <v>0</v>
      </c>
      <c r="K65" s="2">
        <v>800000</v>
      </c>
      <c r="L65" s="2">
        <v>150000</v>
      </c>
      <c r="M65" s="200">
        <v>250000</v>
      </c>
      <c r="N65" s="164">
        <v>0</v>
      </c>
      <c r="O65" s="2">
        <v>800000</v>
      </c>
      <c r="P65" s="2">
        <v>500000</v>
      </c>
      <c r="Q65" s="2">
        <v>2000000</v>
      </c>
      <c r="R65" s="2">
        <v>0</v>
      </c>
      <c r="S65" s="161">
        <v>0</v>
      </c>
      <c r="T65" s="164">
        <f t="shared" si="5"/>
        <v>6220000</v>
      </c>
      <c r="U65" s="164">
        <f t="shared" si="6"/>
        <v>9200000</v>
      </c>
    </row>
    <row r="66" spans="1:21" s="167" customFormat="1" x14ac:dyDescent="0.3">
      <c r="A66" s="276"/>
      <c r="B66" s="167" t="s">
        <v>75</v>
      </c>
      <c r="C66" s="160">
        <f t="shared" si="4"/>
        <v>16790000</v>
      </c>
      <c r="D66" s="2">
        <v>1800000</v>
      </c>
      <c r="E66" s="161">
        <v>0</v>
      </c>
      <c r="F66" s="2">
        <v>420000</v>
      </c>
      <c r="G66" s="161">
        <v>300000</v>
      </c>
      <c r="H66" s="162">
        <v>100000</v>
      </c>
      <c r="I66" s="2">
        <v>900000</v>
      </c>
      <c r="J66" s="2">
        <v>0</v>
      </c>
      <c r="K66" s="2">
        <v>800000</v>
      </c>
      <c r="L66" s="2">
        <v>150000</v>
      </c>
      <c r="M66" s="200">
        <v>250000</v>
      </c>
      <c r="N66" s="164">
        <v>0</v>
      </c>
      <c r="O66" s="2">
        <v>800000</v>
      </c>
      <c r="P66" s="2">
        <v>500000</v>
      </c>
      <c r="Q66" s="2">
        <v>2000000</v>
      </c>
      <c r="R66" s="2">
        <v>0</v>
      </c>
      <c r="S66" s="161">
        <v>0</v>
      </c>
      <c r="T66" s="164">
        <f t="shared" si="5"/>
        <v>8020000</v>
      </c>
      <c r="U66" s="164">
        <f t="shared" si="6"/>
        <v>8770000</v>
      </c>
    </row>
    <row r="67" spans="1:21" s="167" customFormat="1" x14ac:dyDescent="0.3">
      <c r="A67" s="276"/>
      <c r="B67" s="167" t="s">
        <v>76</v>
      </c>
      <c r="C67" s="160">
        <f t="shared" si="4"/>
        <v>16360000</v>
      </c>
      <c r="D67" s="161">
        <v>2000000</v>
      </c>
      <c r="E67" s="161">
        <v>0</v>
      </c>
      <c r="F67" s="2">
        <v>420000</v>
      </c>
      <c r="G67" s="161">
        <v>300000</v>
      </c>
      <c r="H67" s="162">
        <v>100000</v>
      </c>
      <c r="I67" s="2">
        <v>900000</v>
      </c>
      <c r="J67" s="2">
        <v>0</v>
      </c>
      <c r="K67" s="2">
        <v>800000</v>
      </c>
      <c r="L67" s="2">
        <v>150000</v>
      </c>
      <c r="M67" s="200">
        <v>250000</v>
      </c>
      <c r="N67" s="164">
        <v>0</v>
      </c>
      <c r="O67" s="2">
        <v>800000</v>
      </c>
      <c r="P67" s="2">
        <v>500000</v>
      </c>
      <c r="Q67" s="2">
        <v>2000000</v>
      </c>
      <c r="R67" s="2">
        <v>600000</v>
      </c>
      <c r="S67" s="2">
        <v>0</v>
      </c>
      <c r="T67" s="164">
        <f t="shared" ref="T67:T98" si="7">SUM(D67:S67)</f>
        <v>8820000</v>
      </c>
      <c r="U67" s="164">
        <f t="shared" si="6"/>
        <v>7540000</v>
      </c>
    </row>
    <row r="68" spans="1:21" s="167" customFormat="1" x14ac:dyDescent="0.3">
      <c r="A68" s="276"/>
      <c r="B68" s="167" t="s">
        <v>77</v>
      </c>
      <c r="C68" s="160">
        <f t="shared" si="4"/>
        <v>15130000</v>
      </c>
      <c r="D68" s="161">
        <v>0</v>
      </c>
      <c r="E68" s="161">
        <v>0</v>
      </c>
      <c r="F68" s="2">
        <v>420000</v>
      </c>
      <c r="G68" s="161">
        <v>300000</v>
      </c>
      <c r="H68" s="162">
        <v>100000</v>
      </c>
      <c r="I68" s="2">
        <v>900000</v>
      </c>
      <c r="J68" s="2">
        <v>0</v>
      </c>
      <c r="K68" s="2">
        <v>800000</v>
      </c>
      <c r="L68" s="2">
        <v>150000</v>
      </c>
      <c r="M68" s="200">
        <v>250000</v>
      </c>
      <c r="N68" s="164">
        <v>0</v>
      </c>
      <c r="O68" s="2">
        <v>800000</v>
      </c>
      <c r="P68" s="2">
        <v>500000</v>
      </c>
      <c r="Q68" s="2">
        <v>2000000</v>
      </c>
      <c r="R68" s="2">
        <v>0</v>
      </c>
      <c r="S68" s="161">
        <v>0</v>
      </c>
      <c r="T68" s="164">
        <f t="shared" si="7"/>
        <v>6220000</v>
      </c>
      <c r="U68" s="164">
        <f t="shared" si="6"/>
        <v>8910000</v>
      </c>
    </row>
    <row r="69" spans="1:21" s="167" customFormat="1" x14ac:dyDescent="0.3">
      <c r="A69" s="276"/>
      <c r="B69" s="167" t="s">
        <v>78</v>
      </c>
      <c r="C69" s="160">
        <f t="shared" si="4"/>
        <v>16500000</v>
      </c>
      <c r="D69" s="161">
        <v>1800000</v>
      </c>
      <c r="E69" s="161">
        <v>0</v>
      </c>
      <c r="F69" s="2">
        <v>420000</v>
      </c>
      <c r="G69" s="161">
        <v>300000</v>
      </c>
      <c r="H69" s="162">
        <v>100000</v>
      </c>
      <c r="I69" s="2">
        <v>900000</v>
      </c>
      <c r="J69" s="2">
        <v>0</v>
      </c>
      <c r="K69" s="2">
        <v>800000</v>
      </c>
      <c r="L69" s="2">
        <v>150000</v>
      </c>
      <c r="M69" s="200">
        <v>250000</v>
      </c>
      <c r="N69" s="164">
        <v>0</v>
      </c>
      <c r="O69" s="2">
        <v>800000</v>
      </c>
      <c r="P69" s="2">
        <v>500000</v>
      </c>
      <c r="Q69" s="2">
        <v>2000000</v>
      </c>
      <c r="R69" s="2">
        <v>0</v>
      </c>
      <c r="S69" s="161">
        <v>0</v>
      </c>
      <c r="T69" s="164">
        <f t="shared" si="7"/>
        <v>8020000</v>
      </c>
      <c r="U69" s="164">
        <f t="shared" si="6"/>
        <v>8480000</v>
      </c>
    </row>
    <row r="70" spans="1:21" s="167" customFormat="1" x14ac:dyDescent="0.3">
      <c r="A70" s="276"/>
      <c r="B70" s="167" t="s">
        <v>79</v>
      </c>
      <c r="C70" s="160">
        <f t="shared" si="4"/>
        <v>16070000</v>
      </c>
      <c r="D70" s="161">
        <v>0</v>
      </c>
      <c r="E70" s="161">
        <v>0</v>
      </c>
      <c r="F70" s="2">
        <v>420000</v>
      </c>
      <c r="G70" s="161">
        <v>300000</v>
      </c>
      <c r="H70" s="162">
        <v>100000</v>
      </c>
      <c r="I70" s="2">
        <v>900000</v>
      </c>
      <c r="J70" s="2">
        <v>0</v>
      </c>
      <c r="K70" s="2">
        <v>800000</v>
      </c>
      <c r="L70" s="2">
        <v>150000</v>
      </c>
      <c r="M70" s="200">
        <v>250000</v>
      </c>
      <c r="N70" s="164">
        <v>0</v>
      </c>
      <c r="O70" s="2">
        <v>800000</v>
      </c>
      <c r="P70" s="2">
        <v>500000</v>
      </c>
      <c r="Q70" s="2">
        <v>2000000</v>
      </c>
      <c r="R70" s="2">
        <v>0</v>
      </c>
      <c r="S70" s="2">
        <v>0</v>
      </c>
      <c r="T70" s="164">
        <f t="shared" si="7"/>
        <v>6220000</v>
      </c>
      <c r="U70" s="164">
        <f t="shared" si="6"/>
        <v>9850000</v>
      </c>
    </row>
    <row r="71" spans="1:21" s="167" customFormat="1" x14ac:dyDescent="0.3">
      <c r="A71" s="276"/>
      <c r="B71" s="167" t="s">
        <v>80</v>
      </c>
      <c r="C71" s="160">
        <f t="shared" si="4"/>
        <v>17440000</v>
      </c>
      <c r="D71" s="161">
        <v>0</v>
      </c>
      <c r="E71" s="161">
        <v>0</v>
      </c>
      <c r="F71" s="2">
        <v>420000</v>
      </c>
      <c r="G71" s="161">
        <v>300000</v>
      </c>
      <c r="H71" s="162">
        <v>100000</v>
      </c>
      <c r="I71" s="2">
        <v>900000</v>
      </c>
      <c r="J71" s="2">
        <v>0</v>
      </c>
      <c r="K71" s="2">
        <v>800000</v>
      </c>
      <c r="L71" s="2">
        <v>150000</v>
      </c>
      <c r="M71" s="200">
        <v>250000</v>
      </c>
      <c r="N71" s="164">
        <v>0</v>
      </c>
      <c r="O71" s="2">
        <v>800000</v>
      </c>
      <c r="P71" s="2">
        <v>500000</v>
      </c>
      <c r="Q71" s="2">
        <v>2000000</v>
      </c>
      <c r="R71" s="2">
        <v>600000</v>
      </c>
      <c r="S71" s="2">
        <v>0</v>
      </c>
      <c r="T71" s="164">
        <f t="shared" si="7"/>
        <v>6820000</v>
      </c>
      <c r="U71" s="164">
        <f t="shared" si="6"/>
        <v>10620000</v>
      </c>
    </row>
    <row r="72" spans="1:21" s="167" customFormat="1" x14ac:dyDescent="0.3">
      <c r="A72" s="276"/>
      <c r="B72" s="167" t="s">
        <v>81</v>
      </c>
      <c r="C72" s="160">
        <f t="shared" si="4"/>
        <v>18210000</v>
      </c>
      <c r="D72" s="198">
        <v>1800000</v>
      </c>
      <c r="E72" s="161">
        <v>0</v>
      </c>
      <c r="F72" s="2">
        <v>420000</v>
      </c>
      <c r="G72" s="161">
        <v>300000</v>
      </c>
      <c r="H72" s="162">
        <v>100000</v>
      </c>
      <c r="I72" s="2">
        <v>900000</v>
      </c>
      <c r="J72" s="2">
        <v>0</v>
      </c>
      <c r="K72" s="2">
        <v>800000</v>
      </c>
      <c r="L72" s="2">
        <v>150000</v>
      </c>
      <c r="M72" s="200">
        <v>250000</v>
      </c>
      <c r="N72" s="164">
        <v>0</v>
      </c>
      <c r="O72" s="2">
        <v>800000</v>
      </c>
      <c r="P72" s="2">
        <v>500000</v>
      </c>
      <c r="Q72" s="2">
        <v>2000000</v>
      </c>
      <c r="R72" s="2">
        <v>0</v>
      </c>
      <c r="S72" s="2">
        <v>0</v>
      </c>
      <c r="T72" s="164">
        <f t="shared" si="7"/>
        <v>8020000</v>
      </c>
      <c r="U72" s="164">
        <f t="shared" si="6"/>
        <v>10190000</v>
      </c>
    </row>
    <row r="73" spans="1:21" s="167" customFormat="1" x14ac:dyDescent="0.3">
      <c r="A73" s="276"/>
      <c r="B73" s="167" t="s">
        <v>82</v>
      </c>
      <c r="C73" s="160">
        <f t="shared" si="4"/>
        <v>17780000</v>
      </c>
      <c r="D73" s="161">
        <v>0</v>
      </c>
      <c r="E73" s="161">
        <v>0</v>
      </c>
      <c r="F73" s="2">
        <v>420000</v>
      </c>
      <c r="G73" s="161">
        <v>300000</v>
      </c>
      <c r="H73" s="162">
        <v>100000</v>
      </c>
      <c r="I73" s="2">
        <v>900000</v>
      </c>
      <c r="J73" s="2">
        <v>0</v>
      </c>
      <c r="K73" s="2">
        <v>800000</v>
      </c>
      <c r="L73" s="2">
        <v>150000</v>
      </c>
      <c r="M73" s="200">
        <v>250000</v>
      </c>
      <c r="N73" s="164">
        <v>0</v>
      </c>
      <c r="O73" s="2">
        <v>800000</v>
      </c>
      <c r="P73" s="2">
        <v>500000</v>
      </c>
      <c r="Q73" s="2">
        <v>2000000</v>
      </c>
      <c r="R73" s="2">
        <v>0</v>
      </c>
      <c r="S73" s="2">
        <v>0</v>
      </c>
      <c r="T73" s="164">
        <f t="shared" si="7"/>
        <v>6220000</v>
      </c>
      <c r="U73" s="164">
        <f t="shared" si="6"/>
        <v>11560000</v>
      </c>
    </row>
    <row r="74" spans="1:21" s="247" customFormat="1" x14ac:dyDescent="0.3">
      <c r="A74" s="276"/>
      <c r="B74" s="247" t="s">
        <v>83</v>
      </c>
      <c r="C74" s="244">
        <f t="shared" si="4"/>
        <v>19150000</v>
      </c>
      <c r="D74" s="245">
        <v>0</v>
      </c>
      <c r="E74" s="244">
        <v>0</v>
      </c>
      <c r="F74" s="244">
        <v>420000</v>
      </c>
      <c r="G74" s="244">
        <v>300000</v>
      </c>
      <c r="H74" s="244">
        <v>100000</v>
      </c>
      <c r="I74" s="2">
        <v>900000</v>
      </c>
      <c r="J74" s="244">
        <v>0</v>
      </c>
      <c r="K74" s="244">
        <v>800000</v>
      </c>
      <c r="L74" s="244">
        <v>150000</v>
      </c>
      <c r="M74" s="200">
        <v>250000</v>
      </c>
      <c r="N74" s="244">
        <v>0</v>
      </c>
      <c r="O74" s="2">
        <v>800000</v>
      </c>
      <c r="P74" s="244">
        <v>500000</v>
      </c>
      <c r="Q74" s="244">
        <v>2000000</v>
      </c>
      <c r="R74" s="244">
        <v>1000000</v>
      </c>
      <c r="S74" s="161">
        <v>0</v>
      </c>
      <c r="T74" s="244">
        <f t="shared" si="7"/>
        <v>7220000</v>
      </c>
      <c r="U74" s="244">
        <f t="shared" si="6"/>
        <v>11930000</v>
      </c>
    </row>
    <row r="75" spans="1:21" s="167" customFormat="1" x14ac:dyDescent="0.3">
      <c r="A75" s="276">
        <v>2029</v>
      </c>
      <c r="B75" s="167" t="s">
        <v>72</v>
      </c>
      <c r="C75" s="160">
        <f t="shared" si="4"/>
        <v>19520000</v>
      </c>
      <c r="D75" s="2">
        <v>1800000</v>
      </c>
      <c r="E75" s="161">
        <v>0</v>
      </c>
      <c r="F75" s="2">
        <v>420000</v>
      </c>
      <c r="G75" s="161">
        <v>300000</v>
      </c>
      <c r="H75" s="162">
        <v>100000</v>
      </c>
      <c r="I75" s="2">
        <v>900000</v>
      </c>
      <c r="J75" s="2">
        <v>0</v>
      </c>
      <c r="K75" s="2">
        <v>800000</v>
      </c>
      <c r="L75" s="2">
        <v>150000</v>
      </c>
      <c r="M75" s="200">
        <v>250000</v>
      </c>
      <c r="N75" s="164">
        <v>0</v>
      </c>
      <c r="O75" s="2">
        <v>800000</v>
      </c>
      <c r="P75" s="2">
        <v>500000</v>
      </c>
      <c r="Q75" s="2">
        <v>2000000</v>
      </c>
      <c r="R75" s="161">
        <v>0</v>
      </c>
      <c r="S75" s="2">
        <v>0</v>
      </c>
      <c r="T75" s="164">
        <f t="shared" si="7"/>
        <v>8020000</v>
      </c>
      <c r="U75" s="164">
        <f t="shared" si="6"/>
        <v>11500000</v>
      </c>
    </row>
    <row r="76" spans="1:21" s="167" customFormat="1" x14ac:dyDescent="0.3">
      <c r="A76" s="276"/>
      <c r="B76" s="167" t="s">
        <v>73</v>
      </c>
      <c r="C76" s="160">
        <f t="shared" si="4"/>
        <v>19090000</v>
      </c>
      <c r="D76" s="161">
        <v>0</v>
      </c>
      <c r="E76" s="161">
        <v>0</v>
      </c>
      <c r="F76" s="2">
        <v>420000</v>
      </c>
      <c r="G76" s="161">
        <v>300000</v>
      </c>
      <c r="H76" s="162">
        <v>100000</v>
      </c>
      <c r="I76" s="2">
        <v>900000</v>
      </c>
      <c r="J76" s="2">
        <v>0</v>
      </c>
      <c r="K76" s="2">
        <v>800000</v>
      </c>
      <c r="L76" s="2">
        <v>150000</v>
      </c>
      <c r="M76" s="200">
        <v>250000</v>
      </c>
      <c r="N76" s="164">
        <v>0</v>
      </c>
      <c r="O76" s="2">
        <v>800000</v>
      </c>
      <c r="P76" s="2">
        <v>500000</v>
      </c>
      <c r="Q76" s="2">
        <v>2000000</v>
      </c>
      <c r="R76" s="2">
        <v>600000</v>
      </c>
      <c r="S76" s="161">
        <v>0</v>
      </c>
      <c r="T76" s="164">
        <f t="shared" si="7"/>
        <v>6820000</v>
      </c>
      <c r="U76" s="164">
        <f t="shared" si="6"/>
        <v>12270000</v>
      </c>
    </row>
    <row r="77" spans="1:21" s="167" customFormat="1" x14ac:dyDescent="0.3">
      <c r="A77" s="276"/>
      <c r="B77" s="167" t="s">
        <v>74</v>
      </c>
      <c r="C77" s="160">
        <f t="shared" si="4"/>
        <v>19860000</v>
      </c>
      <c r="D77" s="161">
        <v>0</v>
      </c>
      <c r="E77" s="161">
        <v>0</v>
      </c>
      <c r="F77" s="2">
        <v>420000</v>
      </c>
      <c r="G77" s="161">
        <v>300000</v>
      </c>
      <c r="H77" s="162">
        <v>100000</v>
      </c>
      <c r="I77" s="2">
        <v>900000</v>
      </c>
      <c r="J77" s="2">
        <v>0</v>
      </c>
      <c r="K77" s="2">
        <v>800000</v>
      </c>
      <c r="L77" s="2">
        <v>150000</v>
      </c>
      <c r="M77" s="200">
        <v>250000</v>
      </c>
      <c r="N77" s="164">
        <v>0</v>
      </c>
      <c r="O77" s="2">
        <v>800000</v>
      </c>
      <c r="P77" s="2">
        <v>500000</v>
      </c>
      <c r="Q77" s="2">
        <v>2000000</v>
      </c>
      <c r="R77" s="2">
        <v>0</v>
      </c>
      <c r="S77" s="161">
        <v>0</v>
      </c>
      <c r="T77" s="164">
        <f t="shared" si="7"/>
        <v>6220000</v>
      </c>
      <c r="U77" s="164">
        <f t="shared" ref="U77:U108" si="8" xml:space="preserve"> C77 - T77</f>
        <v>13640000</v>
      </c>
    </row>
    <row r="78" spans="1:21" s="167" customFormat="1" x14ac:dyDescent="0.3">
      <c r="A78" s="276"/>
      <c r="B78" s="167" t="s">
        <v>75</v>
      </c>
      <c r="C78" s="160">
        <f t="shared" si="4"/>
        <v>21230000</v>
      </c>
      <c r="D78" s="2">
        <v>1800000</v>
      </c>
      <c r="E78" s="161">
        <v>0</v>
      </c>
      <c r="F78" s="2">
        <v>420000</v>
      </c>
      <c r="G78" s="161">
        <v>300000</v>
      </c>
      <c r="H78" s="162">
        <v>100000</v>
      </c>
      <c r="I78" s="2">
        <v>900000</v>
      </c>
      <c r="J78" s="2">
        <v>0</v>
      </c>
      <c r="K78" s="2">
        <v>800000</v>
      </c>
      <c r="L78" s="2">
        <v>150000</v>
      </c>
      <c r="M78" s="200">
        <v>250000</v>
      </c>
      <c r="N78" s="164">
        <v>0</v>
      </c>
      <c r="O78" s="2">
        <v>800000</v>
      </c>
      <c r="P78" s="2">
        <v>500000</v>
      </c>
      <c r="Q78" s="2">
        <v>2000000</v>
      </c>
      <c r="R78" s="2">
        <v>0</v>
      </c>
      <c r="S78" s="2">
        <v>0</v>
      </c>
      <c r="T78" s="164">
        <f t="shared" si="7"/>
        <v>8020000</v>
      </c>
      <c r="U78" s="164">
        <f t="shared" si="8"/>
        <v>13210000</v>
      </c>
    </row>
    <row r="79" spans="1:21" s="167" customFormat="1" x14ac:dyDescent="0.3">
      <c r="A79" s="276"/>
      <c r="B79" s="167" t="s">
        <v>76</v>
      </c>
      <c r="C79" s="160">
        <f t="shared" si="4"/>
        <v>20800000</v>
      </c>
      <c r="D79" s="161">
        <v>2000000</v>
      </c>
      <c r="E79" s="161">
        <v>0</v>
      </c>
      <c r="F79" s="2">
        <v>420000</v>
      </c>
      <c r="G79" s="161">
        <v>300000</v>
      </c>
      <c r="H79" s="162">
        <v>100000</v>
      </c>
      <c r="I79" s="2">
        <v>900000</v>
      </c>
      <c r="J79" s="2">
        <v>0</v>
      </c>
      <c r="K79" s="2">
        <v>800000</v>
      </c>
      <c r="L79" s="2">
        <v>150000</v>
      </c>
      <c r="M79" s="200">
        <v>250000</v>
      </c>
      <c r="N79" s="164">
        <v>0</v>
      </c>
      <c r="O79" s="2">
        <v>800000</v>
      </c>
      <c r="P79" s="2">
        <v>500000</v>
      </c>
      <c r="Q79" s="2">
        <v>2000000</v>
      </c>
      <c r="R79" s="2">
        <v>600000</v>
      </c>
      <c r="S79" s="161">
        <v>0</v>
      </c>
      <c r="T79" s="164">
        <f t="shared" si="7"/>
        <v>8820000</v>
      </c>
      <c r="U79" s="164">
        <f t="shared" si="8"/>
        <v>11980000</v>
      </c>
    </row>
    <row r="80" spans="1:21" s="167" customFormat="1" x14ac:dyDescent="0.3">
      <c r="A80" s="276"/>
      <c r="B80" s="167" t="s">
        <v>77</v>
      </c>
      <c r="C80" s="160">
        <f t="shared" si="4"/>
        <v>19570000</v>
      </c>
      <c r="D80" s="161">
        <v>0</v>
      </c>
      <c r="E80" s="161">
        <v>0</v>
      </c>
      <c r="F80" s="2">
        <v>420000</v>
      </c>
      <c r="G80" s="161">
        <v>300000</v>
      </c>
      <c r="H80" s="162">
        <v>100000</v>
      </c>
      <c r="I80" s="2">
        <v>900000</v>
      </c>
      <c r="J80" s="2">
        <v>0</v>
      </c>
      <c r="K80" s="2">
        <v>800000</v>
      </c>
      <c r="L80" s="2">
        <v>150000</v>
      </c>
      <c r="M80" s="200">
        <v>250000</v>
      </c>
      <c r="N80" s="164">
        <v>0</v>
      </c>
      <c r="O80" s="2">
        <v>800000</v>
      </c>
      <c r="P80" s="2">
        <v>500000</v>
      </c>
      <c r="Q80" s="2">
        <v>2000000</v>
      </c>
      <c r="R80" s="2">
        <v>0</v>
      </c>
      <c r="S80" s="161">
        <v>0</v>
      </c>
      <c r="T80" s="164">
        <f t="shared" si="7"/>
        <v>6220000</v>
      </c>
      <c r="U80" s="164">
        <f t="shared" si="8"/>
        <v>13350000</v>
      </c>
    </row>
    <row r="81" spans="1:21" s="167" customFormat="1" x14ac:dyDescent="0.3">
      <c r="A81" s="276"/>
      <c r="B81" s="167" t="s">
        <v>78</v>
      </c>
      <c r="C81" s="160">
        <f t="shared" si="4"/>
        <v>20940000</v>
      </c>
      <c r="D81" s="161">
        <v>1800000</v>
      </c>
      <c r="E81" s="161">
        <v>0</v>
      </c>
      <c r="F81" s="2">
        <v>420000</v>
      </c>
      <c r="G81" s="161">
        <v>300000</v>
      </c>
      <c r="H81" s="162">
        <v>100000</v>
      </c>
      <c r="I81" s="2">
        <v>900000</v>
      </c>
      <c r="J81" s="2">
        <v>0</v>
      </c>
      <c r="K81" s="2">
        <v>800000</v>
      </c>
      <c r="L81" s="2">
        <v>150000</v>
      </c>
      <c r="M81" s="200">
        <v>250000</v>
      </c>
      <c r="N81" s="164">
        <v>0</v>
      </c>
      <c r="O81" s="2">
        <v>800000</v>
      </c>
      <c r="P81" s="2">
        <v>500000</v>
      </c>
      <c r="Q81" s="2">
        <v>2000000</v>
      </c>
      <c r="R81" s="2">
        <v>0</v>
      </c>
      <c r="S81" s="2">
        <v>0</v>
      </c>
      <c r="T81" s="164">
        <f t="shared" si="7"/>
        <v>8020000</v>
      </c>
      <c r="U81" s="164">
        <f t="shared" si="8"/>
        <v>12920000</v>
      </c>
    </row>
    <row r="82" spans="1:21" s="167" customFormat="1" x14ac:dyDescent="0.3">
      <c r="A82" s="276"/>
      <c r="B82" s="167" t="s">
        <v>79</v>
      </c>
      <c r="C82" s="160">
        <f t="shared" si="4"/>
        <v>20510000</v>
      </c>
      <c r="D82" s="161">
        <v>0</v>
      </c>
      <c r="E82" s="161">
        <v>0</v>
      </c>
      <c r="F82" s="2">
        <v>420000</v>
      </c>
      <c r="G82" s="161">
        <v>300000</v>
      </c>
      <c r="H82" s="162">
        <v>100000</v>
      </c>
      <c r="I82" s="2">
        <v>900000</v>
      </c>
      <c r="J82" s="2">
        <v>0</v>
      </c>
      <c r="K82" s="2">
        <v>800000</v>
      </c>
      <c r="L82" s="2">
        <v>150000</v>
      </c>
      <c r="M82" s="200">
        <v>250000</v>
      </c>
      <c r="N82" s="164">
        <v>0</v>
      </c>
      <c r="O82" s="2">
        <v>800000</v>
      </c>
      <c r="P82" s="2">
        <v>500000</v>
      </c>
      <c r="Q82" s="2">
        <v>2000000</v>
      </c>
      <c r="R82" s="2">
        <v>0</v>
      </c>
      <c r="S82" s="2">
        <v>0</v>
      </c>
      <c r="T82" s="164">
        <f t="shared" si="7"/>
        <v>6220000</v>
      </c>
      <c r="U82" s="164">
        <f t="shared" si="8"/>
        <v>14290000</v>
      </c>
    </row>
    <row r="83" spans="1:21" s="167" customFormat="1" x14ac:dyDescent="0.3">
      <c r="A83" s="276"/>
      <c r="B83" s="167" t="s">
        <v>80</v>
      </c>
      <c r="C83" s="160">
        <f t="shared" si="4"/>
        <v>21880000</v>
      </c>
      <c r="D83" s="161">
        <v>0</v>
      </c>
      <c r="E83" s="161">
        <v>0</v>
      </c>
      <c r="F83" s="2">
        <v>420000</v>
      </c>
      <c r="G83" s="161">
        <v>300000</v>
      </c>
      <c r="H83" s="162">
        <v>100000</v>
      </c>
      <c r="I83" s="2">
        <v>900000</v>
      </c>
      <c r="J83" s="2">
        <v>0</v>
      </c>
      <c r="K83" s="2">
        <v>800000</v>
      </c>
      <c r="L83" s="2">
        <v>150000</v>
      </c>
      <c r="M83" s="200">
        <v>250000</v>
      </c>
      <c r="N83" s="164">
        <v>0</v>
      </c>
      <c r="O83" s="2">
        <v>800000</v>
      </c>
      <c r="P83" s="2">
        <v>500000</v>
      </c>
      <c r="Q83" s="2">
        <v>2000000</v>
      </c>
      <c r="R83" s="2">
        <v>600000</v>
      </c>
      <c r="S83" s="2">
        <v>0</v>
      </c>
      <c r="T83" s="164">
        <f t="shared" si="7"/>
        <v>6820000</v>
      </c>
      <c r="U83" s="164">
        <f t="shared" si="8"/>
        <v>15060000</v>
      </c>
    </row>
    <row r="84" spans="1:21" s="167" customFormat="1" x14ac:dyDescent="0.3">
      <c r="A84" s="276"/>
      <c r="B84" s="167" t="s">
        <v>81</v>
      </c>
      <c r="C84" s="160">
        <f t="shared" si="4"/>
        <v>22650000</v>
      </c>
      <c r="D84" s="198">
        <v>1800000</v>
      </c>
      <c r="E84" s="161">
        <v>0</v>
      </c>
      <c r="F84" s="2">
        <v>420000</v>
      </c>
      <c r="G84" s="161">
        <v>300000</v>
      </c>
      <c r="H84" s="162">
        <v>100000</v>
      </c>
      <c r="I84" s="2">
        <v>900000</v>
      </c>
      <c r="J84" s="2">
        <v>0</v>
      </c>
      <c r="K84" s="2">
        <v>800000</v>
      </c>
      <c r="L84" s="2">
        <v>150000</v>
      </c>
      <c r="M84" s="200">
        <v>250000</v>
      </c>
      <c r="N84" s="164">
        <v>0</v>
      </c>
      <c r="O84" s="2">
        <v>800000</v>
      </c>
      <c r="P84" s="2">
        <v>500000</v>
      </c>
      <c r="Q84" s="2">
        <v>2000000</v>
      </c>
      <c r="R84" s="2">
        <v>0</v>
      </c>
      <c r="S84" s="2">
        <v>0</v>
      </c>
      <c r="T84" s="164">
        <f t="shared" si="7"/>
        <v>8020000</v>
      </c>
      <c r="U84" s="164">
        <f t="shared" si="8"/>
        <v>14630000</v>
      </c>
    </row>
    <row r="85" spans="1:21" s="167" customFormat="1" x14ac:dyDescent="0.3">
      <c r="A85" s="276"/>
      <c r="B85" s="167" t="s">
        <v>82</v>
      </c>
      <c r="C85" s="160">
        <f t="shared" si="4"/>
        <v>22220000</v>
      </c>
      <c r="D85" s="161">
        <v>0</v>
      </c>
      <c r="E85" s="161">
        <v>0</v>
      </c>
      <c r="F85" s="2">
        <v>420000</v>
      </c>
      <c r="G85" s="161">
        <v>300000</v>
      </c>
      <c r="H85" s="162">
        <v>100000</v>
      </c>
      <c r="I85" s="2">
        <v>900000</v>
      </c>
      <c r="J85" s="2">
        <v>0</v>
      </c>
      <c r="K85" s="2">
        <v>800000</v>
      </c>
      <c r="L85" s="2">
        <v>150000</v>
      </c>
      <c r="M85" s="200">
        <v>250000</v>
      </c>
      <c r="N85" s="164">
        <v>0</v>
      </c>
      <c r="O85" s="2">
        <v>800000</v>
      </c>
      <c r="P85" s="2">
        <v>500000</v>
      </c>
      <c r="Q85" s="2">
        <v>2000000</v>
      </c>
      <c r="R85" s="2">
        <v>0</v>
      </c>
      <c r="S85" s="161">
        <v>0</v>
      </c>
      <c r="T85" s="164">
        <f t="shared" si="7"/>
        <v>6220000</v>
      </c>
      <c r="U85" s="164">
        <f t="shared" si="8"/>
        <v>16000000</v>
      </c>
    </row>
    <row r="86" spans="1:21" s="247" customFormat="1" x14ac:dyDescent="0.3">
      <c r="A86" s="276"/>
      <c r="B86" s="247" t="s">
        <v>83</v>
      </c>
      <c r="C86" s="244">
        <f t="shared" si="4"/>
        <v>23590000</v>
      </c>
      <c r="D86" s="245">
        <v>0</v>
      </c>
      <c r="E86" s="244">
        <v>0</v>
      </c>
      <c r="F86" s="244">
        <v>420000</v>
      </c>
      <c r="G86" s="244">
        <v>300000</v>
      </c>
      <c r="H86" s="244">
        <v>100000</v>
      </c>
      <c r="I86" s="2">
        <v>900000</v>
      </c>
      <c r="J86" s="244">
        <v>0</v>
      </c>
      <c r="K86" s="244">
        <v>800000</v>
      </c>
      <c r="L86" s="244">
        <v>150000</v>
      </c>
      <c r="M86" s="200">
        <v>250000</v>
      </c>
      <c r="N86" s="244">
        <v>0</v>
      </c>
      <c r="O86" s="2">
        <v>800000</v>
      </c>
      <c r="P86" s="244">
        <v>500000</v>
      </c>
      <c r="Q86" s="244">
        <v>2000000</v>
      </c>
      <c r="R86" s="244">
        <v>1000000</v>
      </c>
      <c r="S86" s="2">
        <v>0</v>
      </c>
      <c r="T86" s="244">
        <f t="shared" si="7"/>
        <v>7220000</v>
      </c>
      <c r="U86" s="244">
        <f t="shared" si="8"/>
        <v>16370000</v>
      </c>
    </row>
    <row r="87" spans="1:21" s="167" customFormat="1" x14ac:dyDescent="0.3">
      <c r="A87" s="276">
        <v>2030</v>
      </c>
      <c r="B87" s="167" t="s">
        <v>72</v>
      </c>
      <c r="C87" s="160">
        <f t="shared" si="4"/>
        <v>23960000</v>
      </c>
      <c r="D87" s="2">
        <v>1800000</v>
      </c>
      <c r="E87" s="161">
        <v>0</v>
      </c>
      <c r="F87" s="2">
        <v>420000</v>
      </c>
      <c r="G87" s="161">
        <v>300000</v>
      </c>
      <c r="H87" s="162">
        <v>100000</v>
      </c>
      <c r="I87" s="2">
        <v>900000</v>
      </c>
      <c r="J87" s="2">
        <v>0</v>
      </c>
      <c r="K87" s="2">
        <v>800000</v>
      </c>
      <c r="L87" s="2">
        <v>150000</v>
      </c>
      <c r="M87" s="200">
        <v>250000</v>
      </c>
      <c r="N87" s="164">
        <v>0</v>
      </c>
      <c r="O87" s="2">
        <v>800000</v>
      </c>
      <c r="P87" s="2">
        <v>500000</v>
      </c>
      <c r="Q87" s="2">
        <v>2000000</v>
      </c>
      <c r="R87" s="161">
        <v>0</v>
      </c>
      <c r="S87" s="161">
        <v>0</v>
      </c>
      <c r="T87" s="164">
        <f t="shared" si="7"/>
        <v>8020000</v>
      </c>
      <c r="U87" s="164">
        <f t="shared" si="8"/>
        <v>15940000</v>
      </c>
    </row>
    <row r="88" spans="1:21" s="167" customFormat="1" x14ac:dyDescent="0.3">
      <c r="A88" s="276"/>
      <c r="B88" s="167" t="s">
        <v>73</v>
      </c>
      <c r="C88" s="160">
        <f t="shared" si="4"/>
        <v>23530000</v>
      </c>
      <c r="D88" s="161">
        <v>0</v>
      </c>
      <c r="E88" s="161">
        <v>0</v>
      </c>
      <c r="F88" s="2">
        <v>420000</v>
      </c>
      <c r="G88" s="161">
        <v>300000</v>
      </c>
      <c r="H88" s="162">
        <v>100000</v>
      </c>
      <c r="I88" s="2">
        <v>900000</v>
      </c>
      <c r="J88" s="2">
        <v>0</v>
      </c>
      <c r="K88" s="2">
        <v>800000</v>
      </c>
      <c r="L88" s="2">
        <v>150000</v>
      </c>
      <c r="M88" s="200">
        <v>250000</v>
      </c>
      <c r="N88" s="164">
        <v>0</v>
      </c>
      <c r="O88" s="2">
        <v>800000</v>
      </c>
      <c r="P88" s="2">
        <v>500000</v>
      </c>
      <c r="Q88" s="2">
        <v>2000000</v>
      </c>
      <c r="R88" s="2">
        <v>600000</v>
      </c>
      <c r="S88" s="161">
        <v>0</v>
      </c>
      <c r="T88" s="164">
        <f t="shared" si="7"/>
        <v>6820000</v>
      </c>
      <c r="U88" s="164">
        <f t="shared" si="8"/>
        <v>16710000</v>
      </c>
    </row>
    <row r="89" spans="1:21" s="167" customFormat="1" x14ac:dyDescent="0.3">
      <c r="A89" s="276"/>
      <c r="B89" s="167" t="s">
        <v>74</v>
      </c>
      <c r="C89" s="160">
        <f t="shared" si="4"/>
        <v>24300000</v>
      </c>
      <c r="D89" s="161">
        <v>0</v>
      </c>
      <c r="E89" s="161">
        <v>0</v>
      </c>
      <c r="F89" s="2">
        <v>420000</v>
      </c>
      <c r="G89" s="161">
        <v>300000</v>
      </c>
      <c r="H89" s="162">
        <v>100000</v>
      </c>
      <c r="I89" s="2">
        <v>900000</v>
      </c>
      <c r="J89" s="2">
        <v>0</v>
      </c>
      <c r="K89" s="2">
        <v>800000</v>
      </c>
      <c r="L89" s="2">
        <v>150000</v>
      </c>
      <c r="M89" s="200">
        <v>250000</v>
      </c>
      <c r="N89" s="164">
        <v>0</v>
      </c>
      <c r="O89" s="2">
        <v>800000</v>
      </c>
      <c r="P89" s="2">
        <v>500000</v>
      </c>
      <c r="Q89" s="2">
        <v>2000000</v>
      </c>
      <c r="R89" s="2">
        <v>0</v>
      </c>
      <c r="S89" s="2">
        <v>0</v>
      </c>
      <c r="T89" s="164">
        <f t="shared" si="7"/>
        <v>6220000</v>
      </c>
      <c r="U89" s="164">
        <f t="shared" si="8"/>
        <v>18080000</v>
      </c>
    </row>
    <row r="90" spans="1:21" s="167" customFormat="1" x14ac:dyDescent="0.3">
      <c r="A90" s="276"/>
      <c r="B90" s="167" t="s">
        <v>75</v>
      </c>
      <c r="C90" s="160">
        <f t="shared" si="4"/>
        <v>25670000</v>
      </c>
      <c r="D90" s="2">
        <v>1800000</v>
      </c>
      <c r="E90" s="161">
        <v>0</v>
      </c>
      <c r="F90" s="2">
        <v>420000</v>
      </c>
      <c r="G90" s="161">
        <v>300000</v>
      </c>
      <c r="H90" s="162">
        <v>100000</v>
      </c>
      <c r="I90" s="2">
        <v>900000</v>
      </c>
      <c r="J90" s="2">
        <v>0</v>
      </c>
      <c r="K90" s="2">
        <v>800000</v>
      </c>
      <c r="L90" s="2">
        <v>150000</v>
      </c>
      <c r="M90" s="200">
        <v>250000</v>
      </c>
      <c r="N90" s="164">
        <v>0</v>
      </c>
      <c r="O90" s="2">
        <v>800000</v>
      </c>
      <c r="P90" s="2">
        <v>500000</v>
      </c>
      <c r="Q90" s="2">
        <v>2000000</v>
      </c>
      <c r="R90" s="2">
        <v>0</v>
      </c>
      <c r="S90" s="161">
        <v>0</v>
      </c>
      <c r="T90" s="164">
        <f t="shared" si="7"/>
        <v>8020000</v>
      </c>
      <c r="U90" s="164">
        <f t="shared" si="8"/>
        <v>17650000</v>
      </c>
    </row>
    <row r="91" spans="1:21" s="167" customFormat="1" x14ac:dyDescent="0.3">
      <c r="A91" s="276"/>
      <c r="B91" s="167" t="s">
        <v>76</v>
      </c>
      <c r="C91" s="160">
        <f t="shared" si="4"/>
        <v>25240000</v>
      </c>
      <c r="D91" s="161">
        <v>2000000</v>
      </c>
      <c r="E91" s="161">
        <v>0</v>
      </c>
      <c r="F91" s="2">
        <v>420000</v>
      </c>
      <c r="G91" s="161">
        <v>300000</v>
      </c>
      <c r="H91" s="162">
        <v>100000</v>
      </c>
      <c r="I91" s="2">
        <v>900000</v>
      </c>
      <c r="J91" s="2">
        <v>0</v>
      </c>
      <c r="K91" s="2">
        <v>800000</v>
      </c>
      <c r="L91" s="2">
        <v>150000</v>
      </c>
      <c r="M91" s="200">
        <v>250000</v>
      </c>
      <c r="N91" s="164">
        <v>0</v>
      </c>
      <c r="O91" s="2">
        <v>800000</v>
      </c>
      <c r="P91" s="2">
        <v>500000</v>
      </c>
      <c r="Q91" s="2">
        <v>2000000</v>
      </c>
      <c r="R91" s="2">
        <v>600000</v>
      </c>
      <c r="S91" s="161">
        <v>0</v>
      </c>
      <c r="T91" s="164">
        <f t="shared" si="7"/>
        <v>8820000</v>
      </c>
      <c r="U91" s="164">
        <f t="shared" si="8"/>
        <v>16420000</v>
      </c>
    </row>
    <row r="92" spans="1:21" s="167" customFormat="1" x14ac:dyDescent="0.3">
      <c r="A92" s="276"/>
      <c r="B92" s="167" t="s">
        <v>77</v>
      </c>
      <c r="C92" s="160">
        <f t="shared" si="4"/>
        <v>24010000</v>
      </c>
      <c r="D92" s="161">
        <v>0</v>
      </c>
      <c r="E92" s="161">
        <v>0</v>
      </c>
      <c r="F92" s="2">
        <v>420000</v>
      </c>
      <c r="G92" s="161">
        <v>300000</v>
      </c>
      <c r="H92" s="162">
        <v>100000</v>
      </c>
      <c r="I92" s="2">
        <v>900000</v>
      </c>
      <c r="J92" s="2">
        <v>0</v>
      </c>
      <c r="K92" s="2">
        <v>800000</v>
      </c>
      <c r="L92" s="2">
        <v>150000</v>
      </c>
      <c r="M92" s="200">
        <v>250000</v>
      </c>
      <c r="N92" s="164">
        <v>0</v>
      </c>
      <c r="O92" s="2">
        <v>800000</v>
      </c>
      <c r="P92" s="2">
        <v>500000</v>
      </c>
      <c r="Q92" s="2">
        <v>2000000</v>
      </c>
      <c r="R92" s="2">
        <v>0</v>
      </c>
      <c r="S92" s="2">
        <v>0</v>
      </c>
      <c r="T92" s="164">
        <f t="shared" si="7"/>
        <v>6220000</v>
      </c>
      <c r="U92" s="164">
        <f t="shared" si="8"/>
        <v>17790000</v>
      </c>
    </row>
    <row r="93" spans="1:21" s="167" customFormat="1" x14ac:dyDescent="0.3">
      <c r="A93" s="276"/>
      <c r="B93" s="167" t="s">
        <v>78</v>
      </c>
      <c r="C93" s="160">
        <f t="shared" ref="C93:C122" si="9" xml:space="preserve"> U92 + 7590000</f>
        <v>25380000</v>
      </c>
      <c r="D93" s="161">
        <v>1800000</v>
      </c>
      <c r="E93" s="161">
        <v>0</v>
      </c>
      <c r="F93" s="2">
        <v>420000</v>
      </c>
      <c r="G93" s="161">
        <v>300000</v>
      </c>
      <c r="H93" s="162">
        <v>100000</v>
      </c>
      <c r="I93" s="2">
        <v>900000</v>
      </c>
      <c r="J93" s="2">
        <v>0</v>
      </c>
      <c r="K93" s="2">
        <v>800000</v>
      </c>
      <c r="L93" s="2">
        <v>150000</v>
      </c>
      <c r="M93" s="200">
        <v>250000</v>
      </c>
      <c r="N93" s="164">
        <v>0</v>
      </c>
      <c r="O93" s="2">
        <v>800000</v>
      </c>
      <c r="P93" s="2">
        <v>500000</v>
      </c>
      <c r="Q93" s="2">
        <v>2000000</v>
      </c>
      <c r="R93" s="2">
        <v>0</v>
      </c>
      <c r="S93" s="2">
        <v>0</v>
      </c>
      <c r="T93" s="164">
        <f t="shared" si="7"/>
        <v>8020000</v>
      </c>
      <c r="U93" s="164">
        <f t="shared" si="8"/>
        <v>17360000</v>
      </c>
    </row>
    <row r="94" spans="1:21" s="167" customFormat="1" x14ac:dyDescent="0.3">
      <c r="A94" s="276"/>
      <c r="B94" s="167" t="s">
        <v>79</v>
      </c>
      <c r="C94" s="160">
        <f t="shared" si="9"/>
        <v>24950000</v>
      </c>
      <c r="D94" s="161">
        <v>0</v>
      </c>
      <c r="E94" s="161">
        <v>0</v>
      </c>
      <c r="F94" s="2">
        <v>420000</v>
      </c>
      <c r="G94" s="161">
        <v>300000</v>
      </c>
      <c r="H94" s="162">
        <v>100000</v>
      </c>
      <c r="I94" s="2">
        <v>900000</v>
      </c>
      <c r="J94" s="2">
        <v>0</v>
      </c>
      <c r="K94" s="2">
        <v>800000</v>
      </c>
      <c r="L94" s="2">
        <v>150000</v>
      </c>
      <c r="M94" s="200">
        <v>250000</v>
      </c>
      <c r="N94" s="164">
        <v>0</v>
      </c>
      <c r="O94" s="2">
        <v>800000</v>
      </c>
      <c r="P94" s="2">
        <v>500000</v>
      </c>
      <c r="Q94" s="2">
        <v>2000000</v>
      </c>
      <c r="R94" s="2">
        <v>0</v>
      </c>
      <c r="S94" s="2">
        <v>0</v>
      </c>
      <c r="T94" s="164">
        <f t="shared" si="7"/>
        <v>6220000</v>
      </c>
      <c r="U94" s="164">
        <f t="shared" si="8"/>
        <v>18730000</v>
      </c>
    </row>
    <row r="95" spans="1:21" s="167" customFormat="1" x14ac:dyDescent="0.3">
      <c r="A95" s="276"/>
      <c r="B95" s="167" t="s">
        <v>80</v>
      </c>
      <c r="C95" s="160">
        <f t="shared" si="9"/>
        <v>26320000</v>
      </c>
      <c r="D95" s="161">
        <v>0</v>
      </c>
      <c r="E95" s="161">
        <v>0</v>
      </c>
      <c r="F95" s="2">
        <v>420000</v>
      </c>
      <c r="G95" s="161">
        <v>300000</v>
      </c>
      <c r="H95" s="162">
        <v>100000</v>
      </c>
      <c r="I95" s="2">
        <v>900000</v>
      </c>
      <c r="J95" s="2">
        <v>0</v>
      </c>
      <c r="K95" s="2">
        <v>800000</v>
      </c>
      <c r="L95" s="2">
        <v>150000</v>
      </c>
      <c r="M95" s="200">
        <v>250000</v>
      </c>
      <c r="N95" s="164">
        <v>0</v>
      </c>
      <c r="O95" s="2">
        <v>800000</v>
      </c>
      <c r="P95" s="2">
        <v>500000</v>
      </c>
      <c r="Q95" s="2">
        <v>2000000</v>
      </c>
      <c r="R95" s="2">
        <v>600000</v>
      </c>
      <c r="S95" s="2">
        <v>0</v>
      </c>
      <c r="T95" s="164">
        <f t="shared" si="7"/>
        <v>6820000</v>
      </c>
      <c r="U95" s="164">
        <f t="shared" si="8"/>
        <v>19500000</v>
      </c>
    </row>
    <row r="96" spans="1:21" s="167" customFormat="1" x14ac:dyDescent="0.3">
      <c r="A96" s="276"/>
      <c r="B96" s="167" t="s">
        <v>81</v>
      </c>
      <c r="C96" s="160">
        <f t="shared" si="9"/>
        <v>27090000</v>
      </c>
      <c r="D96" s="198">
        <v>1800000</v>
      </c>
      <c r="E96" s="161">
        <v>0</v>
      </c>
      <c r="F96" s="2">
        <v>420000</v>
      </c>
      <c r="G96" s="161">
        <v>300000</v>
      </c>
      <c r="H96" s="162">
        <v>100000</v>
      </c>
      <c r="I96" s="2">
        <v>900000</v>
      </c>
      <c r="J96" s="2">
        <v>0</v>
      </c>
      <c r="K96" s="2">
        <v>800000</v>
      </c>
      <c r="L96" s="2">
        <v>150000</v>
      </c>
      <c r="M96" s="200">
        <v>250000</v>
      </c>
      <c r="N96" s="164">
        <v>0</v>
      </c>
      <c r="O96" s="2">
        <v>800000</v>
      </c>
      <c r="P96" s="2">
        <v>500000</v>
      </c>
      <c r="Q96" s="2">
        <v>2000000</v>
      </c>
      <c r="R96" s="2">
        <v>0</v>
      </c>
      <c r="S96" s="161">
        <v>0</v>
      </c>
      <c r="T96" s="164">
        <f t="shared" si="7"/>
        <v>8020000</v>
      </c>
      <c r="U96" s="164">
        <f t="shared" si="8"/>
        <v>19070000</v>
      </c>
    </row>
    <row r="97" spans="1:21" s="167" customFormat="1" x14ac:dyDescent="0.3">
      <c r="A97" s="276"/>
      <c r="B97" s="167" t="s">
        <v>82</v>
      </c>
      <c r="C97" s="160">
        <f t="shared" si="9"/>
        <v>26660000</v>
      </c>
      <c r="D97" s="161">
        <v>0</v>
      </c>
      <c r="E97" s="161">
        <v>0</v>
      </c>
      <c r="F97" s="2">
        <v>420000</v>
      </c>
      <c r="G97" s="161">
        <v>300000</v>
      </c>
      <c r="H97" s="162">
        <v>100000</v>
      </c>
      <c r="I97" s="2">
        <v>900000</v>
      </c>
      <c r="J97" s="2">
        <v>0</v>
      </c>
      <c r="K97" s="2">
        <v>800000</v>
      </c>
      <c r="L97" s="2">
        <v>150000</v>
      </c>
      <c r="M97" s="200">
        <v>250000</v>
      </c>
      <c r="N97" s="164">
        <v>0</v>
      </c>
      <c r="O97" s="2">
        <v>800000</v>
      </c>
      <c r="P97" s="2">
        <v>500000</v>
      </c>
      <c r="Q97" s="2">
        <v>2000000</v>
      </c>
      <c r="R97" s="2">
        <v>0</v>
      </c>
      <c r="S97" s="2">
        <v>0</v>
      </c>
      <c r="T97" s="164">
        <f t="shared" si="7"/>
        <v>6220000</v>
      </c>
      <c r="U97" s="164">
        <f t="shared" si="8"/>
        <v>20440000</v>
      </c>
    </row>
    <row r="98" spans="1:21" s="247" customFormat="1" x14ac:dyDescent="0.3">
      <c r="A98" s="276"/>
      <c r="B98" s="247" t="s">
        <v>83</v>
      </c>
      <c r="C98" s="244">
        <f t="shared" si="9"/>
        <v>28030000</v>
      </c>
      <c r="D98" s="245">
        <v>0</v>
      </c>
      <c r="E98" s="244">
        <v>0</v>
      </c>
      <c r="F98" s="244">
        <v>420000</v>
      </c>
      <c r="G98" s="244">
        <v>300000</v>
      </c>
      <c r="H98" s="244">
        <v>100000</v>
      </c>
      <c r="I98" s="2">
        <v>900000</v>
      </c>
      <c r="J98" s="244">
        <v>0</v>
      </c>
      <c r="K98" s="244">
        <v>800000</v>
      </c>
      <c r="L98" s="244">
        <v>150000</v>
      </c>
      <c r="M98" s="200">
        <v>250000</v>
      </c>
      <c r="N98" s="244">
        <v>0</v>
      </c>
      <c r="O98" s="2">
        <v>800000</v>
      </c>
      <c r="P98" s="244">
        <v>500000</v>
      </c>
      <c r="Q98" s="244">
        <v>2000000</v>
      </c>
      <c r="R98" s="244">
        <v>1000000</v>
      </c>
      <c r="S98" s="161">
        <v>0</v>
      </c>
      <c r="T98" s="244">
        <f t="shared" si="7"/>
        <v>7220000</v>
      </c>
      <c r="U98" s="244">
        <f t="shared" si="8"/>
        <v>20810000</v>
      </c>
    </row>
    <row r="99" spans="1:21" s="167" customFormat="1" x14ac:dyDescent="0.3">
      <c r="A99" s="276">
        <v>2031</v>
      </c>
      <c r="B99" s="167" t="s">
        <v>72</v>
      </c>
      <c r="C99" s="160">
        <f t="shared" si="9"/>
        <v>28400000</v>
      </c>
      <c r="D99" s="2">
        <v>1800000</v>
      </c>
      <c r="E99" s="161">
        <v>0</v>
      </c>
      <c r="F99" s="2">
        <v>420000</v>
      </c>
      <c r="G99" s="161">
        <v>300000</v>
      </c>
      <c r="H99" s="162">
        <v>100000</v>
      </c>
      <c r="I99" s="2">
        <v>900000</v>
      </c>
      <c r="J99" s="2">
        <v>0</v>
      </c>
      <c r="K99" s="2">
        <v>800000</v>
      </c>
      <c r="L99" s="2">
        <v>150000</v>
      </c>
      <c r="M99" s="200">
        <v>250000</v>
      </c>
      <c r="N99" s="164">
        <v>0</v>
      </c>
      <c r="O99" s="2">
        <v>800000</v>
      </c>
      <c r="P99" s="2">
        <v>500000</v>
      </c>
      <c r="Q99" s="2">
        <v>2000000</v>
      </c>
      <c r="R99" s="161">
        <v>0</v>
      </c>
      <c r="S99" s="161">
        <v>0</v>
      </c>
      <c r="T99" s="164">
        <f t="shared" ref="T99:T122" si="10">SUM(D99:S99)</f>
        <v>8020000</v>
      </c>
      <c r="U99" s="164">
        <f t="shared" si="8"/>
        <v>20380000</v>
      </c>
    </row>
    <row r="100" spans="1:21" s="167" customFormat="1" x14ac:dyDescent="0.3">
      <c r="A100" s="276"/>
      <c r="B100" s="167" t="s">
        <v>73</v>
      </c>
      <c r="C100" s="160">
        <f t="shared" si="9"/>
        <v>27970000</v>
      </c>
      <c r="D100" s="161">
        <v>0</v>
      </c>
      <c r="E100" s="161">
        <v>0</v>
      </c>
      <c r="F100" s="2">
        <v>420000</v>
      </c>
      <c r="G100" s="161">
        <v>300000</v>
      </c>
      <c r="H100" s="162">
        <v>100000</v>
      </c>
      <c r="I100" s="2">
        <v>900000</v>
      </c>
      <c r="J100" s="2">
        <v>0</v>
      </c>
      <c r="K100" s="2">
        <v>800000</v>
      </c>
      <c r="L100" s="2">
        <v>150000</v>
      </c>
      <c r="M100" s="200">
        <v>250000</v>
      </c>
      <c r="N100" s="164">
        <v>0</v>
      </c>
      <c r="O100" s="2">
        <v>800000</v>
      </c>
      <c r="P100" s="2">
        <v>500000</v>
      </c>
      <c r="Q100" s="2">
        <v>2000000</v>
      </c>
      <c r="R100" s="2">
        <v>600000</v>
      </c>
      <c r="S100" s="2">
        <v>0</v>
      </c>
      <c r="T100" s="164">
        <f t="shared" si="10"/>
        <v>6820000</v>
      </c>
      <c r="U100" s="164">
        <f t="shared" si="8"/>
        <v>21150000</v>
      </c>
    </row>
    <row r="101" spans="1:21" s="167" customFormat="1" x14ac:dyDescent="0.3">
      <c r="A101" s="276"/>
      <c r="B101" s="167" t="s">
        <v>74</v>
      </c>
      <c r="C101" s="160">
        <f t="shared" si="9"/>
        <v>28740000</v>
      </c>
      <c r="D101" s="161">
        <v>0</v>
      </c>
      <c r="E101" s="161">
        <v>0</v>
      </c>
      <c r="F101" s="2">
        <v>420000</v>
      </c>
      <c r="G101" s="161">
        <v>300000</v>
      </c>
      <c r="H101" s="162">
        <v>100000</v>
      </c>
      <c r="I101" s="2">
        <v>900000</v>
      </c>
      <c r="J101" s="2">
        <v>0</v>
      </c>
      <c r="K101" s="2">
        <v>800000</v>
      </c>
      <c r="L101" s="2">
        <v>150000</v>
      </c>
      <c r="M101" s="200">
        <v>250000</v>
      </c>
      <c r="N101" s="164">
        <v>0</v>
      </c>
      <c r="O101" s="2">
        <v>800000</v>
      </c>
      <c r="P101" s="2">
        <v>500000</v>
      </c>
      <c r="Q101" s="2">
        <v>2000000</v>
      </c>
      <c r="R101" s="2">
        <v>0</v>
      </c>
      <c r="S101" s="161">
        <v>0</v>
      </c>
      <c r="T101" s="164">
        <f t="shared" si="10"/>
        <v>6220000</v>
      </c>
      <c r="U101" s="164">
        <f t="shared" si="8"/>
        <v>22520000</v>
      </c>
    </row>
    <row r="102" spans="1:21" s="167" customFormat="1" x14ac:dyDescent="0.3">
      <c r="A102" s="276"/>
      <c r="B102" s="167" t="s">
        <v>75</v>
      </c>
      <c r="C102" s="160">
        <f t="shared" si="9"/>
        <v>30110000</v>
      </c>
      <c r="D102" s="2">
        <v>1800000</v>
      </c>
      <c r="E102" s="161">
        <v>0</v>
      </c>
      <c r="F102" s="2">
        <v>420000</v>
      </c>
      <c r="G102" s="161">
        <v>300000</v>
      </c>
      <c r="H102" s="162">
        <v>100000</v>
      </c>
      <c r="I102" s="2">
        <v>900000</v>
      </c>
      <c r="J102" s="2">
        <v>0</v>
      </c>
      <c r="K102" s="2">
        <v>800000</v>
      </c>
      <c r="L102" s="2">
        <v>150000</v>
      </c>
      <c r="M102" s="200">
        <v>250000</v>
      </c>
      <c r="N102" s="164">
        <v>0</v>
      </c>
      <c r="O102" s="2">
        <v>800000</v>
      </c>
      <c r="P102" s="2">
        <v>500000</v>
      </c>
      <c r="Q102" s="2">
        <v>2000000</v>
      </c>
      <c r="R102" s="2">
        <v>0</v>
      </c>
      <c r="S102" s="161">
        <v>0</v>
      </c>
      <c r="T102" s="164">
        <f t="shared" si="10"/>
        <v>8020000</v>
      </c>
      <c r="U102" s="164">
        <f t="shared" si="8"/>
        <v>22090000</v>
      </c>
    </row>
    <row r="103" spans="1:21" s="167" customFormat="1" x14ac:dyDescent="0.3">
      <c r="A103" s="276"/>
      <c r="B103" s="167" t="s">
        <v>76</v>
      </c>
      <c r="C103" s="160">
        <f t="shared" si="9"/>
        <v>29680000</v>
      </c>
      <c r="D103" s="161">
        <v>2000000</v>
      </c>
      <c r="E103" s="161">
        <v>0</v>
      </c>
      <c r="F103" s="2">
        <v>420000</v>
      </c>
      <c r="G103" s="161">
        <v>300000</v>
      </c>
      <c r="H103" s="162">
        <v>100000</v>
      </c>
      <c r="I103" s="2">
        <v>900000</v>
      </c>
      <c r="J103" s="2">
        <v>0</v>
      </c>
      <c r="K103" s="2">
        <v>800000</v>
      </c>
      <c r="L103" s="2">
        <v>150000</v>
      </c>
      <c r="M103" s="200">
        <v>250000</v>
      </c>
      <c r="N103" s="164">
        <v>0</v>
      </c>
      <c r="O103" s="2">
        <v>800000</v>
      </c>
      <c r="P103" s="2">
        <v>500000</v>
      </c>
      <c r="Q103" s="2">
        <v>2000000</v>
      </c>
      <c r="R103" s="2">
        <v>600000</v>
      </c>
      <c r="S103" s="2">
        <v>0</v>
      </c>
      <c r="T103" s="164">
        <f t="shared" si="10"/>
        <v>8820000</v>
      </c>
      <c r="U103" s="164">
        <f t="shared" si="8"/>
        <v>20860000</v>
      </c>
    </row>
    <row r="104" spans="1:21" s="167" customFormat="1" x14ac:dyDescent="0.3">
      <c r="A104" s="276"/>
      <c r="B104" s="167" t="s">
        <v>77</v>
      </c>
      <c r="C104" s="160">
        <f t="shared" si="9"/>
        <v>28450000</v>
      </c>
      <c r="D104" s="161">
        <v>0</v>
      </c>
      <c r="E104" s="161">
        <v>0</v>
      </c>
      <c r="F104" s="2">
        <v>420000</v>
      </c>
      <c r="G104" s="161">
        <v>300000</v>
      </c>
      <c r="H104" s="162">
        <v>100000</v>
      </c>
      <c r="I104" s="2">
        <v>900000</v>
      </c>
      <c r="J104" s="2">
        <v>0</v>
      </c>
      <c r="K104" s="2">
        <v>800000</v>
      </c>
      <c r="L104" s="2">
        <v>150000</v>
      </c>
      <c r="M104" s="200">
        <v>250000</v>
      </c>
      <c r="N104" s="164">
        <v>0</v>
      </c>
      <c r="O104" s="2">
        <v>800000</v>
      </c>
      <c r="P104" s="2">
        <v>500000</v>
      </c>
      <c r="Q104" s="2">
        <v>2000000</v>
      </c>
      <c r="R104" s="2">
        <v>0</v>
      </c>
      <c r="S104" s="2">
        <v>0</v>
      </c>
      <c r="T104" s="164">
        <f t="shared" si="10"/>
        <v>6220000</v>
      </c>
      <c r="U104" s="164">
        <f t="shared" si="8"/>
        <v>22230000</v>
      </c>
    </row>
    <row r="105" spans="1:21" s="167" customFormat="1" x14ac:dyDescent="0.3">
      <c r="A105" s="276"/>
      <c r="B105" s="167" t="s">
        <v>78</v>
      </c>
      <c r="C105" s="160">
        <f t="shared" si="9"/>
        <v>29820000</v>
      </c>
      <c r="D105" s="161">
        <v>1800000</v>
      </c>
      <c r="E105" s="161">
        <v>0</v>
      </c>
      <c r="F105" s="2">
        <v>420000</v>
      </c>
      <c r="G105" s="161">
        <v>300000</v>
      </c>
      <c r="H105" s="162">
        <v>100000</v>
      </c>
      <c r="I105" s="2">
        <v>900000</v>
      </c>
      <c r="J105" s="2">
        <v>0</v>
      </c>
      <c r="K105" s="2">
        <v>800000</v>
      </c>
      <c r="L105" s="2">
        <v>150000</v>
      </c>
      <c r="M105" s="200">
        <v>250000</v>
      </c>
      <c r="N105" s="164">
        <v>0</v>
      </c>
      <c r="O105" s="2">
        <v>800000</v>
      </c>
      <c r="P105" s="2">
        <v>500000</v>
      </c>
      <c r="Q105" s="2">
        <v>2000000</v>
      </c>
      <c r="R105" s="2">
        <v>0</v>
      </c>
      <c r="S105" s="2">
        <v>0</v>
      </c>
      <c r="T105" s="164">
        <f t="shared" si="10"/>
        <v>8020000</v>
      </c>
      <c r="U105" s="164">
        <f t="shared" si="8"/>
        <v>21800000</v>
      </c>
    </row>
    <row r="106" spans="1:21" s="167" customFormat="1" x14ac:dyDescent="0.3">
      <c r="A106" s="276"/>
      <c r="B106" s="167" t="s">
        <v>79</v>
      </c>
      <c r="C106" s="160">
        <f t="shared" si="9"/>
        <v>29390000</v>
      </c>
      <c r="D106" s="161">
        <v>0</v>
      </c>
      <c r="E106" s="161">
        <v>0</v>
      </c>
      <c r="F106" s="2">
        <v>420000</v>
      </c>
      <c r="G106" s="161">
        <v>300000</v>
      </c>
      <c r="H106" s="162">
        <v>100000</v>
      </c>
      <c r="I106" s="2">
        <v>900000</v>
      </c>
      <c r="J106" s="2">
        <v>0</v>
      </c>
      <c r="K106" s="2">
        <v>800000</v>
      </c>
      <c r="L106" s="2">
        <v>150000</v>
      </c>
      <c r="M106" s="200">
        <v>250000</v>
      </c>
      <c r="N106" s="164">
        <v>0</v>
      </c>
      <c r="O106" s="2">
        <v>800000</v>
      </c>
      <c r="P106" s="2">
        <v>500000</v>
      </c>
      <c r="Q106" s="2">
        <v>2000000</v>
      </c>
      <c r="R106" s="2">
        <v>0</v>
      </c>
      <c r="S106" s="2">
        <v>0</v>
      </c>
      <c r="T106" s="164">
        <f t="shared" si="10"/>
        <v>6220000</v>
      </c>
      <c r="U106" s="164">
        <f t="shared" si="8"/>
        <v>23170000</v>
      </c>
    </row>
    <row r="107" spans="1:21" s="167" customFormat="1" x14ac:dyDescent="0.3">
      <c r="A107" s="276"/>
      <c r="B107" s="167" t="s">
        <v>80</v>
      </c>
      <c r="C107" s="160">
        <f t="shared" si="9"/>
        <v>30760000</v>
      </c>
      <c r="D107" s="161">
        <v>0</v>
      </c>
      <c r="E107" s="161">
        <v>0</v>
      </c>
      <c r="F107" s="2">
        <v>420000</v>
      </c>
      <c r="G107" s="161">
        <v>300000</v>
      </c>
      <c r="H107" s="162">
        <v>100000</v>
      </c>
      <c r="I107" s="2">
        <v>900000</v>
      </c>
      <c r="J107" s="2">
        <v>0</v>
      </c>
      <c r="K107" s="2">
        <v>800000</v>
      </c>
      <c r="L107" s="2">
        <v>150000</v>
      </c>
      <c r="M107" s="200">
        <v>250000</v>
      </c>
      <c r="N107" s="164">
        <v>0</v>
      </c>
      <c r="O107" s="2">
        <v>800000</v>
      </c>
      <c r="P107" s="2">
        <v>500000</v>
      </c>
      <c r="Q107" s="2">
        <v>2000000</v>
      </c>
      <c r="R107" s="2">
        <v>600000</v>
      </c>
      <c r="S107" s="161">
        <v>0</v>
      </c>
      <c r="T107" s="164">
        <f t="shared" si="10"/>
        <v>6820000</v>
      </c>
      <c r="U107" s="164">
        <f t="shared" si="8"/>
        <v>23940000</v>
      </c>
    </row>
    <row r="108" spans="1:21" s="167" customFormat="1" x14ac:dyDescent="0.3">
      <c r="A108" s="276"/>
      <c r="B108" s="167" t="s">
        <v>81</v>
      </c>
      <c r="C108" s="160">
        <f t="shared" si="9"/>
        <v>31530000</v>
      </c>
      <c r="D108" s="198">
        <v>1800000</v>
      </c>
      <c r="E108" s="161">
        <v>0</v>
      </c>
      <c r="F108" s="2">
        <v>420000</v>
      </c>
      <c r="G108" s="161">
        <v>300000</v>
      </c>
      <c r="H108" s="162">
        <v>100000</v>
      </c>
      <c r="I108" s="2">
        <v>900000</v>
      </c>
      <c r="J108" s="2">
        <v>0</v>
      </c>
      <c r="K108" s="2">
        <v>800000</v>
      </c>
      <c r="L108" s="2">
        <v>150000</v>
      </c>
      <c r="M108" s="200">
        <v>250000</v>
      </c>
      <c r="N108" s="164">
        <v>0</v>
      </c>
      <c r="O108" s="2">
        <v>800000</v>
      </c>
      <c r="P108" s="2">
        <v>500000</v>
      </c>
      <c r="Q108" s="2">
        <v>2000000</v>
      </c>
      <c r="R108" s="2">
        <v>0</v>
      </c>
      <c r="S108" s="2">
        <v>0</v>
      </c>
      <c r="T108" s="164">
        <f t="shared" si="10"/>
        <v>8020000</v>
      </c>
      <c r="U108" s="164">
        <f t="shared" si="8"/>
        <v>23510000</v>
      </c>
    </row>
    <row r="109" spans="1:21" s="167" customFormat="1" x14ac:dyDescent="0.3">
      <c r="A109" s="276"/>
      <c r="B109" s="167" t="s">
        <v>82</v>
      </c>
      <c r="C109" s="160">
        <f t="shared" si="9"/>
        <v>31100000</v>
      </c>
      <c r="D109" s="161">
        <v>0</v>
      </c>
      <c r="E109" s="161">
        <v>0</v>
      </c>
      <c r="F109" s="2">
        <v>420000</v>
      </c>
      <c r="G109" s="161">
        <v>300000</v>
      </c>
      <c r="H109" s="162">
        <v>100000</v>
      </c>
      <c r="I109" s="2">
        <v>900000</v>
      </c>
      <c r="J109" s="2">
        <v>0</v>
      </c>
      <c r="K109" s="2">
        <v>800000</v>
      </c>
      <c r="L109" s="2">
        <v>150000</v>
      </c>
      <c r="M109" s="200">
        <v>250000</v>
      </c>
      <c r="N109" s="164">
        <v>0</v>
      </c>
      <c r="O109" s="2">
        <v>800000</v>
      </c>
      <c r="P109" s="2">
        <v>500000</v>
      </c>
      <c r="Q109" s="2">
        <v>2000000</v>
      </c>
      <c r="R109" s="2">
        <v>0</v>
      </c>
      <c r="S109" s="161">
        <v>0</v>
      </c>
      <c r="T109" s="164">
        <f t="shared" si="10"/>
        <v>6220000</v>
      </c>
      <c r="U109" s="164">
        <f t="shared" ref="U109:U122" si="11" xml:space="preserve"> C109 - T109</f>
        <v>24880000</v>
      </c>
    </row>
    <row r="110" spans="1:21" s="247" customFormat="1" x14ac:dyDescent="0.3">
      <c r="A110" s="276"/>
      <c r="B110" s="247" t="s">
        <v>83</v>
      </c>
      <c r="C110" s="244">
        <f t="shared" si="9"/>
        <v>32470000</v>
      </c>
      <c r="D110" s="245">
        <v>0</v>
      </c>
      <c r="E110" s="244">
        <v>0</v>
      </c>
      <c r="F110" s="244">
        <v>420000</v>
      </c>
      <c r="G110" s="244">
        <v>300000</v>
      </c>
      <c r="H110" s="244">
        <v>100000</v>
      </c>
      <c r="I110" s="2">
        <v>900000</v>
      </c>
      <c r="J110" s="244">
        <v>0</v>
      </c>
      <c r="K110" s="244">
        <v>800000</v>
      </c>
      <c r="L110" s="244">
        <v>150000</v>
      </c>
      <c r="M110" s="200">
        <v>250000</v>
      </c>
      <c r="N110" s="244">
        <v>0</v>
      </c>
      <c r="O110" s="2">
        <v>800000</v>
      </c>
      <c r="P110" s="244">
        <v>500000</v>
      </c>
      <c r="Q110" s="244">
        <v>2000000</v>
      </c>
      <c r="R110" s="244">
        <v>1000000</v>
      </c>
      <c r="S110" s="161">
        <v>0</v>
      </c>
      <c r="T110" s="244">
        <f t="shared" si="10"/>
        <v>7220000</v>
      </c>
      <c r="U110" s="244">
        <f t="shared" si="11"/>
        <v>25250000</v>
      </c>
    </row>
    <row r="111" spans="1:21" s="167" customFormat="1" x14ac:dyDescent="0.3">
      <c r="A111" s="276">
        <v>2032</v>
      </c>
      <c r="B111" s="167" t="s">
        <v>72</v>
      </c>
      <c r="C111" s="160">
        <f t="shared" si="9"/>
        <v>32840000</v>
      </c>
      <c r="D111" s="2">
        <v>1800000</v>
      </c>
      <c r="E111" s="161">
        <v>0</v>
      </c>
      <c r="F111" s="2">
        <v>420000</v>
      </c>
      <c r="G111" s="161">
        <v>300000</v>
      </c>
      <c r="H111" s="162">
        <v>100000</v>
      </c>
      <c r="I111" s="2">
        <v>900000</v>
      </c>
      <c r="J111" s="2">
        <v>0</v>
      </c>
      <c r="K111" s="2">
        <v>800000</v>
      </c>
      <c r="L111" s="2">
        <v>150000</v>
      </c>
      <c r="M111" s="200">
        <v>250000</v>
      </c>
      <c r="N111" s="164">
        <v>0</v>
      </c>
      <c r="O111" s="2">
        <v>800000</v>
      </c>
      <c r="P111" s="2">
        <v>500000</v>
      </c>
      <c r="Q111" s="2">
        <v>2000000</v>
      </c>
      <c r="R111" s="161">
        <v>0</v>
      </c>
      <c r="S111" s="2">
        <v>0</v>
      </c>
      <c r="T111" s="164">
        <f t="shared" si="10"/>
        <v>8020000</v>
      </c>
      <c r="U111" s="164">
        <f t="shared" si="11"/>
        <v>24820000</v>
      </c>
    </row>
    <row r="112" spans="1:21" s="167" customFormat="1" x14ac:dyDescent="0.3">
      <c r="A112" s="276"/>
      <c r="B112" s="167" t="s">
        <v>73</v>
      </c>
      <c r="C112" s="160">
        <f t="shared" si="9"/>
        <v>32410000</v>
      </c>
      <c r="D112" s="161">
        <v>0</v>
      </c>
      <c r="E112" s="161">
        <v>0</v>
      </c>
      <c r="F112" s="2">
        <v>420000</v>
      </c>
      <c r="G112" s="161">
        <v>300000</v>
      </c>
      <c r="H112" s="162">
        <v>100000</v>
      </c>
      <c r="I112" s="2">
        <v>900000</v>
      </c>
      <c r="J112" s="2">
        <v>0</v>
      </c>
      <c r="K112" s="2">
        <v>800000</v>
      </c>
      <c r="L112" s="2">
        <v>150000</v>
      </c>
      <c r="M112" s="200">
        <v>250000</v>
      </c>
      <c r="N112" s="164">
        <v>0</v>
      </c>
      <c r="O112" s="2">
        <v>800000</v>
      </c>
      <c r="P112" s="2">
        <v>500000</v>
      </c>
      <c r="Q112" s="2">
        <v>2000000</v>
      </c>
      <c r="R112" s="2">
        <v>600000</v>
      </c>
      <c r="S112" s="161">
        <v>0</v>
      </c>
      <c r="T112" s="164">
        <f t="shared" si="10"/>
        <v>6820000</v>
      </c>
      <c r="U112" s="164">
        <f t="shared" si="11"/>
        <v>25590000</v>
      </c>
    </row>
    <row r="113" spans="1:21" s="167" customFormat="1" x14ac:dyDescent="0.3">
      <c r="A113" s="276"/>
      <c r="B113" s="167" t="s">
        <v>74</v>
      </c>
      <c r="C113" s="160">
        <f t="shared" si="9"/>
        <v>33180000</v>
      </c>
      <c r="D113" s="161">
        <v>0</v>
      </c>
      <c r="E113" s="161">
        <v>0</v>
      </c>
      <c r="F113" s="2">
        <v>420000</v>
      </c>
      <c r="G113" s="161">
        <v>300000</v>
      </c>
      <c r="H113" s="162">
        <v>100000</v>
      </c>
      <c r="I113" s="2">
        <v>900000</v>
      </c>
      <c r="J113" s="2">
        <v>0</v>
      </c>
      <c r="K113" s="2">
        <v>800000</v>
      </c>
      <c r="L113" s="2">
        <v>150000</v>
      </c>
      <c r="M113" s="200">
        <v>250000</v>
      </c>
      <c r="N113" s="164">
        <v>0</v>
      </c>
      <c r="O113" s="2">
        <v>800000</v>
      </c>
      <c r="P113" s="2">
        <v>500000</v>
      </c>
      <c r="Q113" s="2">
        <v>2000000</v>
      </c>
      <c r="R113" s="2">
        <v>0</v>
      </c>
      <c r="S113" s="161">
        <v>0</v>
      </c>
      <c r="T113" s="164">
        <f t="shared" si="10"/>
        <v>6220000</v>
      </c>
      <c r="U113" s="164">
        <f t="shared" si="11"/>
        <v>26960000</v>
      </c>
    </row>
    <row r="114" spans="1:21" s="167" customFormat="1" x14ac:dyDescent="0.3">
      <c r="A114" s="276"/>
      <c r="B114" s="167" t="s">
        <v>75</v>
      </c>
      <c r="C114" s="160">
        <f t="shared" si="9"/>
        <v>34550000</v>
      </c>
      <c r="D114" s="2">
        <v>1800000</v>
      </c>
      <c r="E114" s="161">
        <v>0</v>
      </c>
      <c r="F114" s="2">
        <v>420000</v>
      </c>
      <c r="G114" s="161">
        <v>300000</v>
      </c>
      <c r="H114" s="162">
        <v>100000</v>
      </c>
      <c r="I114" s="2">
        <v>900000</v>
      </c>
      <c r="J114" s="2">
        <v>0</v>
      </c>
      <c r="K114" s="2">
        <v>800000</v>
      </c>
      <c r="L114" s="2">
        <v>150000</v>
      </c>
      <c r="M114" s="200">
        <v>250000</v>
      </c>
      <c r="N114" s="164">
        <v>0</v>
      </c>
      <c r="O114" s="2">
        <v>800000</v>
      </c>
      <c r="P114" s="2">
        <v>500000</v>
      </c>
      <c r="Q114" s="2">
        <v>2000000</v>
      </c>
      <c r="R114" s="2">
        <v>0</v>
      </c>
      <c r="S114" s="2">
        <v>0</v>
      </c>
      <c r="T114" s="164">
        <f t="shared" si="10"/>
        <v>8020000</v>
      </c>
      <c r="U114" s="164">
        <f t="shared" si="11"/>
        <v>26530000</v>
      </c>
    </row>
    <row r="115" spans="1:21" s="167" customFormat="1" x14ac:dyDescent="0.3">
      <c r="A115" s="276"/>
      <c r="B115" s="167" t="s">
        <v>76</v>
      </c>
      <c r="C115" s="160">
        <f t="shared" si="9"/>
        <v>34120000</v>
      </c>
      <c r="D115" s="161">
        <v>2000000</v>
      </c>
      <c r="E115" s="161">
        <v>0</v>
      </c>
      <c r="F115" s="2">
        <v>420000</v>
      </c>
      <c r="G115" s="161">
        <v>300000</v>
      </c>
      <c r="H115" s="162">
        <v>100000</v>
      </c>
      <c r="I115" s="2">
        <v>900000</v>
      </c>
      <c r="J115" s="2">
        <v>0</v>
      </c>
      <c r="K115" s="2">
        <v>800000</v>
      </c>
      <c r="L115" s="2">
        <v>150000</v>
      </c>
      <c r="M115" s="200">
        <v>250000</v>
      </c>
      <c r="N115" s="164">
        <v>0</v>
      </c>
      <c r="O115" s="2">
        <v>800000</v>
      </c>
      <c r="P115" s="2">
        <v>500000</v>
      </c>
      <c r="Q115" s="2">
        <v>2000000</v>
      </c>
      <c r="R115" s="2">
        <v>600000</v>
      </c>
      <c r="S115" s="2">
        <v>0</v>
      </c>
      <c r="T115" s="164">
        <f t="shared" si="10"/>
        <v>8820000</v>
      </c>
      <c r="U115" s="164">
        <f t="shared" si="11"/>
        <v>25300000</v>
      </c>
    </row>
    <row r="116" spans="1:21" s="167" customFormat="1" x14ac:dyDescent="0.3">
      <c r="A116" s="276"/>
      <c r="B116" s="167" t="s">
        <v>77</v>
      </c>
      <c r="C116" s="160">
        <f t="shared" si="9"/>
        <v>32890000</v>
      </c>
      <c r="D116" s="161">
        <v>0</v>
      </c>
      <c r="E116" s="161">
        <v>0</v>
      </c>
      <c r="F116" s="2">
        <v>420000</v>
      </c>
      <c r="G116" s="161">
        <v>300000</v>
      </c>
      <c r="H116" s="162">
        <v>100000</v>
      </c>
      <c r="I116" s="2">
        <v>900000</v>
      </c>
      <c r="J116" s="2">
        <v>0</v>
      </c>
      <c r="K116" s="2">
        <v>800000</v>
      </c>
      <c r="L116" s="2">
        <v>150000</v>
      </c>
      <c r="M116" s="200">
        <v>250000</v>
      </c>
      <c r="N116" s="164">
        <v>0</v>
      </c>
      <c r="O116" s="2">
        <v>800000</v>
      </c>
      <c r="P116" s="2">
        <v>500000</v>
      </c>
      <c r="Q116" s="2">
        <v>2000000</v>
      </c>
      <c r="R116" s="2">
        <v>0</v>
      </c>
      <c r="S116" s="2">
        <v>0</v>
      </c>
      <c r="T116" s="164">
        <f t="shared" si="10"/>
        <v>6220000</v>
      </c>
      <c r="U116" s="164">
        <f t="shared" si="11"/>
        <v>26670000</v>
      </c>
    </row>
    <row r="117" spans="1:21" s="167" customFormat="1" x14ac:dyDescent="0.3">
      <c r="A117" s="276"/>
      <c r="B117" s="167" t="s">
        <v>78</v>
      </c>
      <c r="C117" s="160">
        <f t="shared" si="9"/>
        <v>34260000</v>
      </c>
      <c r="D117" s="161">
        <v>1800000</v>
      </c>
      <c r="E117" s="161">
        <v>0</v>
      </c>
      <c r="F117" s="2">
        <v>420000</v>
      </c>
      <c r="G117" s="161">
        <v>300000</v>
      </c>
      <c r="H117" s="162">
        <v>100000</v>
      </c>
      <c r="I117" s="2">
        <v>900000</v>
      </c>
      <c r="J117" s="2">
        <v>0</v>
      </c>
      <c r="K117" s="2">
        <v>800000</v>
      </c>
      <c r="L117" s="2">
        <v>150000</v>
      </c>
      <c r="M117" s="200">
        <v>250000</v>
      </c>
      <c r="N117" s="164">
        <v>0</v>
      </c>
      <c r="O117" s="2">
        <v>800000</v>
      </c>
      <c r="P117" s="2">
        <v>500000</v>
      </c>
      <c r="Q117" s="2">
        <v>2000000</v>
      </c>
      <c r="R117" s="2">
        <v>0</v>
      </c>
      <c r="S117" s="2">
        <v>0</v>
      </c>
      <c r="T117" s="164">
        <f t="shared" si="10"/>
        <v>8020000</v>
      </c>
      <c r="U117" s="164">
        <f t="shared" si="11"/>
        <v>26240000</v>
      </c>
    </row>
    <row r="118" spans="1:21" s="167" customFormat="1" x14ac:dyDescent="0.3">
      <c r="A118" s="276"/>
      <c r="B118" s="167" t="s">
        <v>79</v>
      </c>
      <c r="C118" s="160">
        <f t="shared" si="9"/>
        <v>33830000</v>
      </c>
      <c r="D118" s="161">
        <v>0</v>
      </c>
      <c r="E118" s="161">
        <v>0</v>
      </c>
      <c r="F118" s="2">
        <v>420000</v>
      </c>
      <c r="G118" s="161">
        <v>300000</v>
      </c>
      <c r="H118" s="162">
        <v>100000</v>
      </c>
      <c r="I118" s="2">
        <v>900000</v>
      </c>
      <c r="J118" s="2">
        <v>0</v>
      </c>
      <c r="K118" s="2">
        <v>800000</v>
      </c>
      <c r="L118" s="2">
        <v>150000</v>
      </c>
      <c r="M118" s="200">
        <v>250000</v>
      </c>
      <c r="N118" s="164">
        <v>0</v>
      </c>
      <c r="O118" s="2">
        <v>800000</v>
      </c>
      <c r="P118" s="2">
        <v>500000</v>
      </c>
      <c r="Q118" s="2">
        <v>2000000</v>
      </c>
      <c r="R118" s="2">
        <v>0</v>
      </c>
      <c r="S118" s="161">
        <v>0</v>
      </c>
      <c r="T118" s="164">
        <f t="shared" si="10"/>
        <v>6220000</v>
      </c>
      <c r="U118" s="164">
        <f t="shared" si="11"/>
        <v>27610000</v>
      </c>
    </row>
    <row r="119" spans="1:21" s="167" customFormat="1" x14ac:dyDescent="0.3">
      <c r="A119" s="276"/>
      <c r="B119" s="167" t="s">
        <v>80</v>
      </c>
      <c r="C119" s="160">
        <f t="shared" si="9"/>
        <v>35200000</v>
      </c>
      <c r="D119" s="161">
        <v>0</v>
      </c>
      <c r="E119" s="161">
        <v>0</v>
      </c>
      <c r="F119" s="2">
        <v>420000</v>
      </c>
      <c r="G119" s="161">
        <v>300000</v>
      </c>
      <c r="H119" s="162">
        <v>100000</v>
      </c>
      <c r="I119" s="2">
        <v>900000</v>
      </c>
      <c r="J119" s="2">
        <v>0</v>
      </c>
      <c r="K119" s="2">
        <v>800000</v>
      </c>
      <c r="L119" s="2">
        <v>150000</v>
      </c>
      <c r="M119" s="200">
        <v>250000</v>
      </c>
      <c r="N119" s="164">
        <v>0</v>
      </c>
      <c r="O119" s="2">
        <v>800000</v>
      </c>
      <c r="P119" s="2">
        <v>500000</v>
      </c>
      <c r="Q119" s="2">
        <v>2000000</v>
      </c>
      <c r="R119" s="2">
        <v>600000</v>
      </c>
      <c r="S119" s="2">
        <v>0</v>
      </c>
      <c r="T119" s="164">
        <f t="shared" si="10"/>
        <v>6820000</v>
      </c>
      <c r="U119" s="164">
        <f t="shared" si="11"/>
        <v>28380000</v>
      </c>
    </row>
    <row r="120" spans="1:21" s="167" customFormat="1" x14ac:dyDescent="0.3">
      <c r="A120" s="276"/>
      <c r="B120" s="167" t="s">
        <v>81</v>
      </c>
      <c r="C120" s="160">
        <f t="shared" si="9"/>
        <v>35970000</v>
      </c>
      <c r="D120" s="198">
        <v>1800000</v>
      </c>
      <c r="E120" s="161">
        <v>0</v>
      </c>
      <c r="F120" s="2">
        <v>420000</v>
      </c>
      <c r="G120" s="161">
        <v>300000</v>
      </c>
      <c r="H120" s="162">
        <v>100000</v>
      </c>
      <c r="I120" s="2">
        <v>900000</v>
      </c>
      <c r="J120" s="2">
        <v>0</v>
      </c>
      <c r="K120" s="2">
        <v>800000</v>
      </c>
      <c r="L120" s="2">
        <v>150000</v>
      </c>
      <c r="M120" s="200">
        <v>250000</v>
      </c>
      <c r="N120" s="164">
        <v>0</v>
      </c>
      <c r="O120" s="2">
        <v>800000</v>
      </c>
      <c r="P120" s="2">
        <v>500000</v>
      </c>
      <c r="Q120" s="2">
        <v>2000000</v>
      </c>
      <c r="R120" s="2">
        <v>0</v>
      </c>
      <c r="S120" s="161">
        <v>0</v>
      </c>
      <c r="T120" s="164">
        <f t="shared" si="10"/>
        <v>8020000</v>
      </c>
      <c r="U120" s="164">
        <f t="shared" si="11"/>
        <v>27950000</v>
      </c>
    </row>
    <row r="121" spans="1:21" s="167" customFormat="1" x14ac:dyDescent="0.3">
      <c r="A121" s="276"/>
      <c r="B121" s="167" t="s">
        <v>82</v>
      </c>
      <c r="C121" s="160">
        <f t="shared" si="9"/>
        <v>35540000</v>
      </c>
      <c r="D121" s="161">
        <v>0</v>
      </c>
      <c r="E121" s="161">
        <v>0</v>
      </c>
      <c r="F121" s="2">
        <v>420000</v>
      </c>
      <c r="G121" s="161">
        <v>300000</v>
      </c>
      <c r="H121" s="162">
        <v>100000</v>
      </c>
      <c r="I121" s="2">
        <v>900000</v>
      </c>
      <c r="J121" s="2">
        <v>0</v>
      </c>
      <c r="K121" s="2">
        <v>800000</v>
      </c>
      <c r="L121" s="2">
        <v>150000</v>
      </c>
      <c r="M121" s="200">
        <v>250000</v>
      </c>
      <c r="N121" s="164">
        <v>0</v>
      </c>
      <c r="O121" s="2">
        <v>800000</v>
      </c>
      <c r="P121" s="2">
        <v>500000</v>
      </c>
      <c r="Q121" s="2">
        <v>2000000</v>
      </c>
      <c r="R121" s="2">
        <v>0</v>
      </c>
      <c r="S121" s="161">
        <v>0</v>
      </c>
      <c r="T121" s="164">
        <f t="shared" si="10"/>
        <v>6220000</v>
      </c>
      <c r="U121" s="164">
        <f t="shared" si="11"/>
        <v>29320000</v>
      </c>
    </row>
    <row r="122" spans="1:21" s="247" customFormat="1" x14ac:dyDescent="0.3">
      <c r="A122" s="276"/>
      <c r="B122" s="247" t="s">
        <v>83</v>
      </c>
      <c r="C122" s="244">
        <f t="shared" si="9"/>
        <v>36910000</v>
      </c>
      <c r="D122" s="245">
        <v>0</v>
      </c>
      <c r="E122" s="244">
        <v>0</v>
      </c>
      <c r="F122" s="244">
        <v>420000</v>
      </c>
      <c r="G122" s="244">
        <v>300000</v>
      </c>
      <c r="H122" s="244">
        <v>100000</v>
      </c>
      <c r="I122" s="2">
        <v>900000</v>
      </c>
      <c r="J122" s="244">
        <v>0</v>
      </c>
      <c r="K122" s="244">
        <v>800000</v>
      </c>
      <c r="L122" s="244">
        <v>150000</v>
      </c>
      <c r="M122" s="200">
        <v>250000</v>
      </c>
      <c r="N122" s="244">
        <v>0</v>
      </c>
      <c r="O122" s="2">
        <v>800000</v>
      </c>
      <c r="P122" s="244">
        <v>500000</v>
      </c>
      <c r="Q122" s="244">
        <v>2000000</v>
      </c>
      <c r="R122" s="244">
        <v>1000000</v>
      </c>
      <c r="S122" s="2">
        <v>0</v>
      </c>
      <c r="T122" s="244">
        <f t="shared" si="10"/>
        <v>7220000</v>
      </c>
      <c r="U122" s="244">
        <f t="shared" si="11"/>
        <v>29690000</v>
      </c>
    </row>
    <row r="123" spans="1:21" x14ac:dyDescent="0.3">
      <c r="E123" s="161">
        <v>0</v>
      </c>
      <c r="F123" s="2">
        <f>SUM(F7:F122)</f>
        <v>48720000</v>
      </c>
      <c r="G123" s="2">
        <f>SUM(G7:G122)</f>
        <v>34350000</v>
      </c>
    </row>
  </sheetData>
  <mergeCells count="11">
    <mergeCell ref="G1:H1"/>
    <mergeCell ref="A3:A14"/>
    <mergeCell ref="A15:A26"/>
    <mergeCell ref="A27:A38"/>
    <mergeCell ref="A39:A50"/>
    <mergeCell ref="A111:A122"/>
    <mergeCell ref="A51:A62"/>
    <mergeCell ref="A63:A74"/>
    <mergeCell ref="A75:A86"/>
    <mergeCell ref="A87:A98"/>
    <mergeCell ref="A99:A110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0F8F1-2D69-489A-8970-38263CE6BE29}">
  <dimension ref="H8:L13"/>
  <sheetViews>
    <sheetView workbookViewId="0">
      <selection activeCell="N9" sqref="N9"/>
    </sheetView>
  </sheetViews>
  <sheetFormatPr defaultRowHeight="16.5" x14ac:dyDescent="0.3"/>
  <cols>
    <col min="8" max="9" width="9.5" bestFit="1" customWidth="1"/>
    <col min="11" max="11" width="12.75" bestFit="1" customWidth="1"/>
  </cols>
  <sheetData>
    <row r="8" spans="8:12" x14ac:dyDescent="0.3">
      <c r="H8">
        <v>1640000</v>
      </c>
      <c r="I8">
        <f xml:space="preserve"> H8 * 6</f>
        <v>9840000</v>
      </c>
    </row>
    <row r="9" spans="8:12" x14ac:dyDescent="0.3">
      <c r="H9">
        <v>20000000</v>
      </c>
      <c r="I9">
        <f xml:space="preserve"> H9 * 0.09</f>
        <v>1800000</v>
      </c>
      <c r="J9">
        <f xml:space="preserve"> I9 /12</f>
        <v>150000</v>
      </c>
      <c r="K9">
        <f xml:space="preserve"> (H9 + I9) / 60</f>
        <v>363333.33333333331</v>
      </c>
      <c r="L9">
        <f xml:space="preserve"> K9 * 12</f>
        <v>4360000</v>
      </c>
    </row>
    <row r="10" spans="8:12" x14ac:dyDescent="0.3">
      <c r="H10">
        <f xml:space="preserve"> H9 - L9</f>
        <v>15640000</v>
      </c>
      <c r="I10">
        <f xml:space="preserve"> H10 * 0.09</f>
        <v>1407600</v>
      </c>
      <c r="K10">
        <f xml:space="preserve"> (H10 + I10) / 60</f>
        <v>284126.66666666669</v>
      </c>
      <c r="L10">
        <f xml:space="preserve"> K10 * 12</f>
        <v>3409520</v>
      </c>
    </row>
    <row r="11" spans="8:12" x14ac:dyDescent="0.3">
      <c r="H11">
        <f xml:space="preserve"> H10 - L10</f>
        <v>12230480</v>
      </c>
      <c r="I11">
        <f xml:space="preserve"> H11 * 0.09</f>
        <v>1100743.2</v>
      </c>
      <c r="K11">
        <f xml:space="preserve"> (H11 + I11) / 60</f>
        <v>222187.05333333332</v>
      </c>
      <c r="L11">
        <f xml:space="preserve"> K11 * 12</f>
        <v>2666244.6399999997</v>
      </c>
    </row>
    <row r="12" spans="8:12" x14ac:dyDescent="0.3">
      <c r="H12">
        <f xml:space="preserve"> H11 - L11</f>
        <v>9564235.3599999994</v>
      </c>
      <c r="I12">
        <f xml:space="preserve"> H12 * 0.09</f>
        <v>860781.18239999993</v>
      </c>
      <c r="K12">
        <f xml:space="preserve"> (H12 + I12) / 60</f>
        <v>173750.27570666664</v>
      </c>
      <c r="L12">
        <f xml:space="preserve"> K12 * 12</f>
        <v>2085003.3084799997</v>
      </c>
    </row>
    <row r="13" spans="8:12" x14ac:dyDescent="0.3">
      <c r="H13">
        <f xml:space="preserve"> H12 - L12</f>
        <v>7479232.0515199993</v>
      </c>
      <c r="I13">
        <f xml:space="preserve"> H13 * 0.09</f>
        <v>673130.88463679992</v>
      </c>
      <c r="K13">
        <f xml:space="preserve"> (H13 + I13) / 60</f>
        <v>135872.71560261332</v>
      </c>
      <c r="L13">
        <f xml:space="preserve"> K13 * 12</f>
        <v>1630472.5872313599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69AB9-7A1F-4DFC-93D8-D4732EBA59F2}">
  <dimension ref="A3:N70"/>
  <sheetViews>
    <sheetView topLeftCell="A61" workbookViewId="0">
      <selection activeCell="D34" sqref="D34"/>
    </sheetView>
  </sheetViews>
  <sheetFormatPr defaultRowHeight="16.5" x14ac:dyDescent="0.3"/>
  <cols>
    <col min="2" max="2" width="16.875" customWidth="1"/>
    <col min="3" max="3" width="20.75" customWidth="1"/>
    <col min="4" max="4" width="32.375" customWidth="1"/>
    <col min="5" max="5" width="21.375" customWidth="1"/>
    <col min="6" max="6" width="22.75" customWidth="1"/>
    <col min="7" max="7" width="20.125" bestFit="1" customWidth="1"/>
    <col min="8" max="8" width="16" customWidth="1"/>
    <col min="9" max="9" width="26.875" customWidth="1"/>
    <col min="10" max="10" width="17.875" bestFit="1" customWidth="1"/>
    <col min="11" max="11" width="16" bestFit="1" customWidth="1"/>
    <col min="12" max="12" width="14.5" customWidth="1"/>
    <col min="13" max="13" width="25.75" customWidth="1"/>
  </cols>
  <sheetData>
    <row r="3" spans="3:14" x14ac:dyDescent="0.3">
      <c r="D3" s="269" t="s">
        <v>36</v>
      </c>
      <c r="E3" s="269"/>
      <c r="F3" s="269"/>
      <c r="G3" s="269"/>
      <c r="H3" s="269"/>
      <c r="I3" s="269"/>
      <c r="J3" s="269"/>
      <c r="K3" s="269"/>
      <c r="L3" s="269"/>
      <c r="M3" s="269"/>
      <c r="N3" s="269"/>
    </row>
    <row r="4" spans="3:14" x14ac:dyDescent="0.3">
      <c r="D4" s="269"/>
      <c r="E4" s="269"/>
      <c r="F4" s="269"/>
      <c r="G4" s="269"/>
      <c r="H4" s="269"/>
      <c r="I4" s="269"/>
      <c r="J4" s="269"/>
      <c r="K4" s="269"/>
      <c r="L4" s="269"/>
      <c r="M4" s="269"/>
      <c r="N4" s="269"/>
    </row>
    <row r="5" spans="3:14" x14ac:dyDescent="0.3">
      <c r="C5" t="s">
        <v>37</v>
      </c>
      <c r="D5" s="12" t="s">
        <v>39</v>
      </c>
      <c r="G5" t="s">
        <v>38</v>
      </c>
    </row>
    <row r="7" spans="3:14" x14ac:dyDescent="0.3">
      <c r="C7" s="14" t="s">
        <v>40</v>
      </c>
    </row>
    <row r="8" spans="3:14" x14ac:dyDescent="0.3">
      <c r="C8" s="15" t="s">
        <v>41</v>
      </c>
      <c r="D8" s="15" t="s">
        <v>42</v>
      </c>
      <c r="E8" s="15" t="s">
        <v>43</v>
      </c>
      <c r="F8" s="15" t="s">
        <v>44</v>
      </c>
      <c r="G8" s="15" t="s">
        <v>45</v>
      </c>
      <c r="H8" s="15" t="s">
        <v>46</v>
      </c>
      <c r="I8" s="15" t="s">
        <v>47</v>
      </c>
      <c r="J8" s="15" t="s">
        <v>48</v>
      </c>
      <c r="K8" s="15" t="s">
        <v>49</v>
      </c>
    </row>
    <row r="9" spans="3:14" ht="17.25" thickBot="1" x14ac:dyDescent="0.35">
      <c r="C9" s="40" t="s">
        <v>50</v>
      </c>
      <c r="D9" s="40">
        <v>3.46</v>
      </c>
      <c r="E9" s="40">
        <v>3.49</v>
      </c>
      <c r="F9" s="40">
        <v>3.52</v>
      </c>
      <c r="G9" s="40">
        <v>3.51</v>
      </c>
      <c r="H9" s="40">
        <v>3.44</v>
      </c>
      <c r="I9" s="40">
        <v>3.36</v>
      </c>
      <c r="J9" s="40">
        <v>3.27</v>
      </c>
      <c r="K9" s="40">
        <v>3.23</v>
      </c>
    </row>
    <row r="10" spans="3:14" ht="17.25" thickBot="1" x14ac:dyDescent="0.35">
      <c r="C10" s="40" t="s">
        <v>51</v>
      </c>
      <c r="D10" s="40">
        <v>3.94</v>
      </c>
      <c r="E10" s="40">
        <v>4.0599999999999996</v>
      </c>
      <c r="F10" s="40">
        <v>4.08</v>
      </c>
      <c r="G10" s="40">
        <v>4.09</v>
      </c>
      <c r="H10" s="40">
        <v>4.0999999999999996</v>
      </c>
      <c r="I10" s="40">
        <v>4.1100000000000003</v>
      </c>
      <c r="J10" s="40">
        <v>4.12</v>
      </c>
      <c r="K10" s="40">
        <v>4.28</v>
      </c>
    </row>
    <row r="11" spans="3:14" ht="17.25" thickBot="1" x14ac:dyDescent="0.35">
      <c r="C11" s="40" t="s">
        <v>52</v>
      </c>
      <c r="D11" s="40">
        <v>4.03</v>
      </c>
      <c r="E11" s="40">
        <v>4.17</v>
      </c>
      <c r="F11" s="40">
        <v>4.17</v>
      </c>
      <c r="G11" s="40">
        <v>4.18</v>
      </c>
      <c r="H11" s="40">
        <v>4.1900000000000004</v>
      </c>
      <c r="I11" s="40">
        <v>4.21</v>
      </c>
      <c r="J11" s="40">
        <v>4.24</v>
      </c>
      <c r="K11" s="40">
        <v>4.4000000000000004</v>
      </c>
    </row>
    <row r="12" spans="3:14" ht="17.25" thickBot="1" x14ac:dyDescent="0.35">
      <c r="C12" s="40" t="s">
        <v>53</v>
      </c>
      <c r="D12" s="40">
        <v>4.08</v>
      </c>
      <c r="E12" s="40">
        <v>4.21</v>
      </c>
      <c r="F12" s="40">
        <v>4.22</v>
      </c>
      <c r="G12" s="40">
        <v>4.22</v>
      </c>
      <c r="H12" s="40">
        <v>4.2300000000000004</v>
      </c>
      <c r="I12" s="40">
        <v>4.24</v>
      </c>
      <c r="J12" s="40">
        <v>4.28</v>
      </c>
      <c r="K12" s="40">
        <v>4.46</v>
      </c>
    </row>
    <row r="13" spans="3:14" ht="17.25" thickBot="1" x14ac:dyDescent="0.35">
      <c r="C13" s="40" t="s">
        <v>54</v>
      </c>
      <c r="D13" s="40">
        <v>4.0999999999999996</v>
      </c>
      <c r="E13" s="40">
        <v>4.2300000000000004</v>
      </c>
      <c r="F13" s="40">
        <v>4.24</v>
      </c>
      <c r="G13" s="40">
        <v>4.25</v>
      </c>
      <c r="H13" s="40">
        <v>4.2699999999999996</v>
      </c>
      <c r="I13" s="40">
        <v>4.29</v>
      </c>
      <c r="J13" s="40">
        <v>4.33</v>
      </c>
      <c r="K13" s="40">
        <v>4.55</v>
      </c>
    </row>
    <row r="14" spans="3:14" ht="17.25" thickBot="1" x14ac:dyDescent="0.35">
      <c r="C14" s="40" t="s">
        <v>55</v>
      </c>
      <c r="D14" s="40">
        <v>4.59</v>
      </c>
      <c r="E14" s="40">
        <v>4.8</v>
      </c>
      <c r="F14" s="40">
        <v>4.8</v>
      </c>
      <c r="G14" s="40">
        <v>4.8099999999999996</v>
      </c>
      <c r="H14" s="40">
        <v>4.83</v>
      </c>
      <c r="I14" s="40">
        <v>4.84</v>
      </c>
      <c r="J14" s="40">
        <v>4.8899999999999997</v>
      </c>
      <c r="K14" s="40">
        <v>5.19</v>
      </c>
    </row>
    <row r="15" spans="3:14" ht="17.25" thickBot="1" x14ac:dyDescent="0.35">
      <c r="C15" s="40" t="s">
        <v>56</v>
      </c>
      <c r="D15" s="40">
        <v>4.7300000000000004</v>
      </c>
      <c r="E15" s="40">
        <v>4.96</v>
      </c>
      <c r="F15" s="40">
        <v>4.96</v>
      </c>
      <c r="G15" s="40">
        <v>4.97</v>
      </c>
      <c r="H15" s="40">
        <v>5</v>
      </c>
      <c r="I15" s="40">
        <v>5.01</v>
      </c>
      <c r="J15" s="40">
        <v>5.16</v>
      </c>
      <c r="K15" s="40">
        <v>5.65</v>
      </c>
    </row>
    <row r="16" spans="3:14" ht="17.25" thickBot="1" x14ac:dyDescent="0.35">
      <c r="C16" s="40" t="s">
        <v>57</v>
      </c>
      <c r="D16" s="40">
        <v>4.9400000000000004</v>
      </c>
      <c r="E16" s="40">
        <v>5.18</v>
      </c>
      <c r="F16" s="40">
        <v>5.21</v>
      </c>
      <c r="G16" s="40">
        <v>5.23</v>
      </c>
      <c r="H16" s="40">
        <v>5.3</v>
      </c>
      <c r="I16" s="40">
        <v>5.35</v>
      </c>
      <c r="J16" s="40">
        <v>5.61</v>
      </c>
      <c r="K16" s="40">
        <v>6.25</v>
      </c>
    </row>
    <row r="17" spans="2:12" ht="17.25" thickBot="1" x14ac:dyDescent="0.35">
      <c r="C17" s="40" t="s">
        <v>58</v>
      </c>
      <c r="D17" s="40">
        <v>5.6</v>
      </c>
      <c r="E17" s="40">
        <v>6.16</v>
      </c>
      <c r="F17" s="40">
        <v>6.5</v>
      </c>
      <c r="G17" s="40">
        <v>6.71</v>
      </c>
      <c r="H17" s="40">
        <v>7.07</v>
      </c>
      <c r="I17" s="40">
        <v>7.59</v>
      </c>
      <c r="J17" s="40">
        <v>8.1300000000000008</v>
      </c>
      <c r="K17" s="40">
        <v>8.34</v>
      </c>
    </row>
    <row r="18" spans="2:12" ht="17.25" thickBot="1" x14ac:dyDescent="0.35">
      <c r="C18" s="40" t="s">
        <v>59</v>
      </c>
      <c r="D18" s="40">
        <v>5.98</v>
      </c>
      <c r="E18" s="40">
        <v>6.66</v>
      </c>
      <c r="F18" s="40">
        <v>7.08</v>
      </c>
      <c r="G18" s="40">
        <v>7.38</v>
      </c>
      <c r="H18" s="40">
        <v>7.88</v>
      </c>
      <c r="I18" s="40">
        <v>8.5299999999999994</v>
      </c>
      <c r="J18" s="40">
        <v>9.18</v>
      </c>
      <c r="K18" s="40">
        <v>9.39</v>
      </c>
    </row>
    <row r="19" spans="2:12" ht="17.25" thickBot="1" x14ac:dyDescent="0.35">
      <c r="C19" s="40" t="s">
        <v>60</v>
      </c>
      <c r="D19" s="40">
        <v>6.66</v>
      </c>
      <c r="E19" s="40">
        <v>7.45</v>
      </c>
      <c r="F19" s="40">
        <v>8.02</v>
      </c>
      <c r="G19" s="40">
        <v>8.36</v>
      </c>
      <c r="H19" s="40">
        <v>8.99</v>
      </c>
      <c r="I19" s="40">
        <v>9.68</v>
      </c>
      <c r="J19" s="40">
        <v>10.55</v>
      </c>
      <c r="K19" s="40">
        <v>10.81</v>
      </c>
      <c r="L19" s="13">
        <f xml:space="preserve"> K19 / 100</f>
        <v>0.1081</v>
      </c>
    </row>
    <row r="21" spans="2:12" x14ac:dyDescent="0.3">
      <c r="C21" s="42" t="s">
        <v>87</v>
      </c>
      <c r="D21" s="42" t="s">
        <v>89</v>
      </c>
      <c r="E21" s="42" t="s">
        <v>90</v>
      </c>
      <c r="F21" s="42" t="s">
        <v>92</v>
      </c>
      <c r="G21" s="42" t="s">
        <v>91</v>
      </c>
      <c r="H21" s="42" t="s">
        <v>88</v>
      </c>
      <c r="I21" s="42" t="s">
        <v>93</v>
      </c>
    </row>
    <row r="22" spans="2:12" x14ac:dyDescent="0.3">
      <c r="C22" s="2">
        <v>3340000</v>
      </c>
      <c r="D22" s="2">
        <v>5220000</v>
      </c>
      <c r="E22" s="2">
        <v>777170</v>
      </c>
      <c r="F22" s="2">
        <v>3748135</v>
      </c>
      <c r="G22" s="2">
        <v>9176143</v>
      </c>
      <c r="H22" s="2">
        <v>0</v>
      </c>
      <c r="I22" s="2">
        <f xml:space="preserve"> SUM(C22:H22)</f>
        <v>22261448</v>
      </c>
    </row>
    <row r="23" spans="2:12" x14ac:dyDescent="0.3">
      <c r="C23" s="2">
        <v>3340000</v>
      </c>
      <c r="D23" s="299">
        <f xml:space="preserve"> D22 + E22 + F22 + G22</f>
        <v>18921448</v>
      </c>
      <c r="E23" s="278"/>
      <c r="F23" s="278"/>
      <c r="G23" s="278"/>
      <c r="H23" s="2">
        <v>0</v>
      </c>
      <c r="I23" s="2">
        <f xml:space="preserve"> SUM(C23:H23)</f>
        <v>22261448</v>
      </c>
    </row>
    <row r="24" spans="2:12" x14ac:dyDescent="0.3">
      <c r="C24" s="43">
        <f xml:space="preserve"> C23/ I23 * 100</f>
        <v>15.003516393003727</v>
      </c>
      <c r="D24" s="300">
        <f xml:space="preserve"> D23 / I23 * 100</f>
        <v>84.996483606996279</v>
      </c>
      <c r="E24" s="301"/>
      <c r="F24" s="301"/>
      <c r="G24" s="302"/>
      <c r="H24" s="43">
        <f xml:space="preserve"> H23 / I23 * 100</f>
        <v>0</v>
      </c>
      <c r="I24" s="43">
        <f xml:space="preserve"> SUM(C24:H24)</f>
        <v>100</v>
      </c>
    </row>
    <row r="25" spans="2:12" x14ac:dyDescent="0.3">
      <c r="C25" s="41"/>
      <c r="D25" s="44">
        <f xml:space="preserve"> D22 / D23 * 100</f>
        <v>27.587740642259512</v>
      </c>
      <c r="E25" s="44">
        <f xml:space="preserve"> E22 / D23 * 100</f>
        <v>4.1073495009472847</v>
      </c>
      <c r="F25" s="44">
        <f xml:space="preserve"> F22 / D23 * 100</f>
        <v>19.808922657504858</v>
      </c>
      <c r="G25" s="44">
        <f xml:space="preserve"> G22 / D23 * 100</f>
        <v>48.495987199288344</v>
      </c>
      <c r="H25" s="1"/>
      <c r="I25" s="1"/>
    </row>
    <row r="26" spans="2:12" ht="17.25" thickBot="1" x14ac:dyDescent="0.35"/>
    <row r="27" spans="2:12" ht="17.25" thickBot="1" x14ac:dyDescent="0.35">
      <c r="B27" s="292" t="s">
        <v>100</v>
      </c>
      <c r="C27" s="294" t="s">
        <v>115</v>
      </c>
      <c r="D27" s="303" t="s">
        <v>98</v>
      </c>
      <c r="E27" s="304"/>
      <c r="F27" s="305"/>
      <c r="G27" s="292" t="s">
        <v>102</v>
      </c>
      <c r="H27" s="296" t="s">
        <v>118</v>
      </c>
      <c r="I27" s="306" t="s">
        <v>96</v>
      </c>
      <c r="J27" s="292" t="s">
        <v>105</v>
      </c>
      <c r="K27" s="292" t="s">
        <v>116</v>
      </c>
    </row>
    <row r="28" spans="2:12" ht="17.25" thickBot="1" x14ac:dyDescent="0.35">
      <c r="B28" s="293"/>
      <c r="C28" s="295"/>
      <c r="D28" s="292" t="s">
        <v>97</v>
      </c>
      <c r="E28" s="296" t="s">
        <v>101</v>
      </c>
      <c r="F28" s="297" t="s">
        <v>104</v>
      </c>
      <c r="G28" s="293"/>
      <c r="H28" s="293"/>
      <c r="I28" s="307"/>
      <c r="J28" s="293"/>
      <c r="K28" s="293"/>
    </row>
    <row r="29" spans="2:12" ht="37.5" customHeight="1" thickBot="1" x14ac:dyDescent="0.35">
      <c r="B29" s="293"/>
      <c r="C29" s="295"/>
      <c r="D29" s="293"/>
      <c r="E29" s="293"/>
      <c r="F29" s="298"/>
      <c r="G29" s="293"/>
      <c r="H29" s="293"/>
      <c r="I29" s="47" t="s">
        <v>99</v>
      </c>
      <c r="J29" s="308"/>
      <c r="K29" s="308"/>
    </row>
    <row r="30" spans="2:12" x14ac:dyDescent="0.3">
      <c r="B30" s="283" t="s">
        <v>114</v>
      </c>
      <c r="C30" s="285">
        <v>4679754000</v>
      </c>
      <c r="D30" s="50">
        <v>4679754000</v>
      </c>
      <c r="E30" s="49">
        <v>0</v>
      </c>
      <c r="F30" s="51">
        <v>10.81</v>
      </c>
      <c r="G30" s="279">
        <f xml:space="preserve"> C30 + D31</f>
        <v>0</v>
      </c>
      <c r="H30" s="285">
        <v>583000000</v>
      </c>
      <c r="I30" s="287">
        <f xml:space="preserve"> G30 / H30</f>
        <v>0</v>
      </c>
      <c r="J30" s="281" t="s">
        <v>103</v>
      </c>
      <c r="K30" s="279">
        <f xml:space="preserve"> D30 / H30</f>
        <v>8.0270222984562611</v>
      </c>
    </row>
    <row r="31" spans="2:12" ht="17.25" thickBot="1" x14ac:dyDescent="0.35">
      <c r="B31" s="284"/>
      <c r="C31" s="286"/>
      <c r="D31" s="289">
        <f xml:space="preserve"> (D30 * (E30 - F30)) / F30</f>
        <v>-4679754000</v>
      </c>
      <c r="E31" s="290"/>
      <c r="F31" s="291"/>
      <c r="G31" s="284"/>
      <c r="H31" s="286"/>
      <c r="I31" s="288"/>
      <c r="J31" s="282"/>
      <c r="K31" s="280"/>
    </row>
    <row r="32" spans="2:12" x14ac:dyDescent="0.3">
      <c r="B32" s="1"/>
      <c r="C32" s="1"/>
      <c r="D32" s="1"/>
      <c r="E32" s="1"/>
      <c r="F32" s="1"/>
      <c r="H32" s="3"/>
      <c r="I32" s="1"/>
      <c r="J32" s="1"/>
    </row>
    <row r="33" spans="1:10" x14ac:dyDescent="0.3">
      <c r="B33" s="1"/>
      <c r="C33" s="1"/>
      <c r="D33" s="1"/>
      <c r="E33" s="1"/>
      <c r="F33" s="1"/>
      <c r="H33" s="4"/>
      <c r="I33" s="1"/>
      <c r="J33" s="1"/>
    </row>
    <row r="34" spans="1:10" x14ac:dyDescent="0.3">
      <c r="B34" s="1"/>
      <c r="C34" s="1"/>
      <c r="D34" s="1"/>
      <c r="E34" s="1"/>
      <c r="F34" s="1"/>
      <c r="H34" s="1"/>
      <c r="I34" s="1"/>
      <c r="J34" s="1"/>
    </row>
    <row r="36" spans="1:10" s="58" customFormat="1" x14ac:dyDescent="0.3"/>
    <row r="37" spans="1:10" ht="17.25" thickBot="1" x14ac:dyDescent="0.35"/>
    <row r="38" spans="1:10" ht="50.25" thickBot="1" x14ac:dyDescent="0.35">
      <c r="B38" s="53" t="s">
        <v>117</v>
      </c>
      <c r="C38" s="54" t="s">
        <v>108</v>
      </c>
      <c r="D38" s="54" t="s">
        <v>106</v>
      </c>
      <c r="E38" s="55" t="s">
        <v>107</v>
      </c>
      <c r="F38" s="64"/>
    </row>
    <row r="39" spans="1:10" x14ac:dyDescent="0.3">
      <c r="A39" s="63">
        <v>2021</v>
      </c>
      <c r="B39" s="52" t="s">
        <v>109</v>
      </c>
      <c r="C39" s="48">
        <v>5950076000</v>
      </c>
      <c r="D39" s="48">
        <v>1344380000</v>
      </c>
      <c r="E39" s="48">
        <f t="shared" ref="E39:E44" si="0" xml:space="preserve"> C39 - D39</f>
        <v>4605696000</v>
      </c>
      <c r="F39" s="65"/>
    </row>
    <row r="40" spans="1:10" x14ac:dyDescent="0.3">
      <c r="A40" s="63">
        <v>2022</v>
      </c>
      <c r="B40" s="52" t="s">
        <v>109</v>
      </c>
      <c r="C40" s="48">
        <v>5764276000</v>
      </c>
      <c r="D40" s="48">
        <v>1704062000</v>
      </c>
      <c r="E40" s="48">
        <f t="shared" si="0"/>
        <v>4060214000</v>
      </c>
      <c r="F40" s="65"/>
    </row>
    <row r="41" spans="1:10" x14ac:dyDescent="0.3">
      <c r="A41" s="76" t="s">
        <v>157</v>
      </c>
      <c r="B41" s="52" t="s">
        <v>109</v>
      </c>
      <c r="C41" s="48">
        <v>5654093000</v>
      </c>
      <c r="D41" s="48">
        <v>1732443000</v>
      </c>
      <c r="E41" s="48">
        <f t="shared" si="0"/>
        <v>3921650000</v>
      </c>
      <c r="F41" s="65"/>
    </row>
    <row r="42" spans="1:10" x14ac:dyDescent="0.3">
      <c r="A42" s="76" t="s">
        <v>172</v>
      </c>
      <c r="B42" s="52" t="s">
        <v>109</v>
      </c>
      <c r="C42" s="48">
        <v>5583277000</v>
      </c>
      <c r="D42" s="48">
        <v>1844192000</v>
      </c>
      <c r="E42" s="48">
        <f t="shared" si="0"/>
        <v>3739085000</v>
      </c>
      <c r="F42" s="65"/>
    </row>
    <row r="43" spans="1:10" x14ac:dyDescent="0.3">
      <c r="A43" s="76" t="s">
        <v>181</v>
      </c>
      <c r="B43" s="52" t="s">
        <v>109</v>
      </c>
      <c r="C43" s="48">
        <v>5452121000</v>
      </c>
      <c r="D43" s="48">
        <v>1942835000</v>
      </c>
      <c r="E43" s="48">
        <f t="shared" si="0"/>
        <v>3509286000</v>
      </c>
      <c r="F43" s="65"/>
    </row>
    <row r="44" spans="1:10" x14ac:dyDescent="0.3">
      <c r="A44" s="76" t="s">
        <v>187</v>
      </c>
      <c r="B44" s="52" t="s">
        <v>109</v>
      </c>
      <c r="C44" s="48">
        <v>4847306000</v>
      </c>
      <c r="D44" s="48">
        <v>1918184000</v>
      </c>
      <c r="E44" s="48">
        <f t="shared" si="0"/>
        <v>2929122000</v>
      </c>
      <c r="F44" s="65"/>
    </row>
    <row r="45" spans="1:10" ht="17.25" thickBot="1" x14ac:dyDescent="0.35"/>
    <row r="46" spans="1:10" ht="33.75" thickBot="1" x14ac:dyDescent="0.35">
      <c r="B46" s="53" t="s">
        <v>117</v>
      </c>
      <c r="C46" s="56" t="s">
        <v>110</v>
      </c>
      <c r="D46" s="54" t="s">
        <v>111</v>
      </c>
      <c r="E46" s="54" t="s">
        <v>112</v>
      </c>
      <c r="F46" s="57" t="s">
        <v>97</v>
      </c>
    </row>
    <row r="47" spans="1:10" x14ac:dyDescent="0.3">
      <c r="A47" s="75">
        <v>2021</v>
      </c>
      <c r="B47" s="52" t="s">
        <v>109</v>
      </c>
      <c r="C47" s="48">
        <v>5947000</v>
      </c>
      <c r="D47" s="48">
        <v>7070710000</v>
      </c>
      <c r="E47" s="48">
        <v>2396903000</v>
      </c>
      <c r="F47" s="48">
        <f t="shared" ref="F47:F52" si="1" xml:space="preserve"> D47 + C47 - E47</f>
        <v>4679754000</v>
      </c>
    </row>
    <row r="48" spans="1:10" x14ac:dyDescent="0.3">
      <c r="A48" s="75">
        <v>2022</v>
      </c>
      <c r="B48" s="52" t="s">
        <v>109</v>
      </c>
      <c r="C48" s="48">
        <v>6084000</v>
      </c>
      <c r="D48" s="48">
        <v>7297306000</v>
      </c>
      <c r="E48" s="48">
        <v>3120911000</v>
      </c>
      <c r="F48" s="48">
        <f t="shared" si="1"/>
        <v>4182479000</v>
      </c>
      <c r="G48" s="154">
        <f xml:space="preserve">  (F48 / F47 * 100) - 100</f>
        <v>-10.62609273906277</v>
      </c>
    </row>
    <row r="49" spans="1:7" x14ac:dyDescent="0.3">
      <c r="A49" s="76" t="s">
        <v>157</v>
      </c>
      <c r="B49" s="52" t="s">
        <v>109</v>
      </c>
      <c r="C49" s="48">
        <v>6120000</v>
      </c>
      <c r="D49" s="48">
        <v>7360887000</v>
      </c>
      <c r="E49" s="48">
        <v>3327472000</v>
      </c>
      <c r="F49" s="48">
        <f t="shared" si="1"/>
        <v>4039535000</v>
      </c>
      <c r="G49" s="154">
        <f xml:space="preserve">  (F49 / F48 * 100) - 100</f>
        <v>-3.4176860182681139</v>
      </c>
    </row>
    <row r="50" spans="1:7" x14ac:dyDescent="0.3">
      <c r="A50" s="76" t="s">
        <v>172</v>
      </c>
      <c r="B50" s="52" t="s">
        <v>109</v>
      </c>
      <c r="C50" s="48">
        <v>6201000</v>
      </c>
      <c r="D50" s="48">
        <v>7409733000</v>
      </c>
      <c r="E50" s="48">
        <v>3563870000</v>
      </c>
      <c r="F50" s="48">
        <f t="shared" si="1"/>
        <v>3852064000</v>
      </c>
      <c r="G50" s="154">
        <f xml:space="preserve">  (F50 / F49 * 100) - 100</f>
        <v>-4.6409054507511485</v>
      </c>
    </row>
    <row r="51" spans="1:7" x14ac:dyDescent="0.3">
      <c r="A51" s="76" t="s">
        <v>181</v>
      </c>
      <c r="B51" s="52" t="s">
        <v>109</v>
      </c>
      <c r="C51" s="48">
        <v>6243000</v>
      </c>
      <c r="D51" s="48">
        <v>7456196000</v>
      </c>
      <c r="E51" s="48">
        <v>3847349000</v>
      </c>
      <c r="F51" s="48">
        <f t="shared" si="1"/>
        <v>3615090000</v>
      </c>
      <c r="G51" s="154">
        <f xml:space="preserve">  (F51 / F50 * 100) - 100</f>
        <v>-6.1518707892703759</v>
      </c>
    </row>
    <row r="52" spans="1:7" x14ac:dyDescent="0.3">
      <c r="A52" s="76" t="s">
        <v>187</v>
      </c>
      <c r="B52" s="52" t="s">
        <v>109</v>
      </c>
      <c r="C52" s="210">
        <v>7057000</v>
      </c>
      <c r="D52" s="48">
        <v>7823209000</v>
      </c>
      <c r="E52" s="48">
        <v>4785520000</v>
      </c>
      <c r="F52" s="48">
        <f t="shared" si="1"/>
        <v>3044746000</v>
      </c>
      <c r="G52" s="154">
        <f xml:space="preserve">  (F52 / F51 * 100) - 100</f>
        <v>-15.776757978362923</v>
      </c>
    </row>
    <row r="53" spans="1:7" ht="17.25" thickBot="1" x14ac:dyDescent="0.35"/>
    <row r="54" spans="1:7" ht="66.75" thickBot="1" x14ac:dyDescent="0.35">
      <c r="B54" s="53" t="s">
        <v>117</v>
      </c>
      <c r="C54" s="61" t="s">
        <v>113</v>
      </c>
      <c r="D54" s="62" t="s">
        <v>120</v>
      </c>
      <c r="E54" s="66" t="s">
        <v>121</v>
      </c>
      <c r="F54" s="67" t="s">
        <v>123</v>
      </c>
      <c r="G54" s="67" t="s">
        <v>122</v>
      </c>
    </row>
    <row r="55" spans="1:7" x14ac:dyDescent="0.3">
      <c r="A55" s="63">
        <v>2021</v>
      </c>
      <c r="B55" s="52" t="s">
        <v>109</v>
      </c>
      <c r="C55" s="59">
        <f t="shared" ref="C55:C60" si="2" xml:space="preserve"> F47 / C39 * 100</f>
        <v>78.650323121923151</v>
      </c>
      <c r="D55" s="60">
        <f t="shared" ref="D55:D60" si="3">(C47-F47)/C47 *100</f>
        <v>-78591.003867496212</v>
      </c>
      <c r="E55" s="68">
        <v>50</v>
      </c>
      <c r="F55" s="69">
        <v>594729610</v>
      </c>
      <c r="G55" s="70">
        <f t="shared" ref="G55:G60" si="4" xml:space="preserve"> E55 * F55</f>
        <v>29736480500</v>
      </c>
    </row>
    <row r="56" spans="1:7" x14ac:dyDescent="0.3">
      <c r="A56" s="63">
        <v>2022</v>
      </c>
      <c r="B56" s="52" t="s">
        <v>109</v>
      </c>
      <c r="C56" s="59">
        <f t="shared" si="2"/>
        <v>72.55861794265229</v>
      </c>
      <c r="D56" s="60">
        <f t="shared" si="3"/>
        <v>-68645.545693622611</v>
      </c>
      <c r="E56" s="1">
        <v>13.33</v>
      </c>
      <c r="F56" s="69">
        <v>608421785</v>
      </c>
      <c r="G56" s="70">
        <f t="shared" si="4"/>
        <v>8110262394.0500002</v>
      </c>
    </row>
    <row r="57" spans="1:7" x14ac:dyDescent="0.3">
      <c r="A57" s="76" t="s">
        <v>157</v>
      </c>
      <c r="B57" s="52" t="s">
        <v>109</v>
      </c>
      <c r="C57" s="59">
        <f t="shared" si="2"/>
        <v>71.444438568661667</v>
      </c>
      <c r="D57" s="60">
        <f t="shared" si="3"/>
        <v>-65905.473856209152</v>
      </c>
      <c r="E57" s="1">
        <v>8</v>
      </c>
      <c r="F57" s="69">
        <v>611951626</v>
      </c>
      <c r="G57" s="70">
        <f t="shared" si="4"/>
        <v>4895613008</v>
      </c>
    </row>
    <row r="58" spans="1:7" x14ac:dyDescent="0.3">
      <c r="A58" s="76" t="s">
        <v>172</v>
      </c>
      <c r="B58" s="52" t="s">
        <v>109</v>
      </c>
      <c r="C58" s="59">
        <f t="shared" si="2"/>
        <v>68.992887152115145</v>
      </c>
      <c r="D58" s="60">
        <f t="shared" si="3"/>
        <v>-62020.045154007414</v>
      </c>
      <c r="E58" s="1">
        <v>7.54</v>
      </c>
      <c r="F58" s="69">
        <v>620087507</v>
      </c>
      <c r="G58" s="70">
        <f t="shared" si="4"/>
        <v>4675459802.7799997</v>
      </c>
    </row>
    <row r="59" spans="1:7" x14ac:dyDescent="0.3">
      <c r="A59" s="76" t="s">
        <v>181</v>
      </c>
      <c r="B59" s="52" t="s">
        <v>109</v>
      </c>
      <c r="C59" s="59">
        <f t="shared" si="2"/>
        <v>66.306121966111903</v>
      </c>
      <c r="D59" s="60">
        <f t="shared" si="3"/>
        <v>-57806.295050456516</v>
      </c>
      <c r="E59" s="1">
        <v>3.54</v>
      </c>
      <c r="F59" s="69">
        <v>624267053</v>
      </c>
      <c r="G59" s="70">
        <f t="shared" si="4"/>
        <v>2209905367.6199999</v>
      </c>
    </row>
    <row r="60" spans="1:7" x14ac:dyDescent="0.3">
      <c r="A60" s="76" t="s">
        <v>187</v>
      </c>
      <c r="B60" s="52" t="s">
        <v>109</v>
      </c>
      <c r="C60" s="59">
        <f t="shared" si="2"/>
        <v>62.813158484320986</v>
      </c>
      <c r="D60" s="60">
        <f t="shared" si="3"/>
        <v>-43045.047470596568</v>
      </c>
      <c r="E60" s="1">
        <v>2.54</v>
      </c>
      <c r="F60" s="69">
        <v>705604549</v>
      </c>
      <c r="G60" s="70">
        <f t="shared" si="4"/>
        <v>1792235554.46</v>
      </c>
    </row>
    <row r="61" spans="1:7" ht="17.25" thickBot="1" x14ac:dyDescent="0.35"/>
    <row r="62" spans="1:7" ht="17.25" thickBot="1" x14ac:dyDescent="0.35">
      <c r="B62" s="53" t="s">
        <v>117</v>
      </c>
      <c r="C62" s="71" t="s">
        <v>124</v>
      </c>
      <c r="D62" s="73" t="s">
        <v>125</v>
      </c>
      <c r="E62" s="33" t="s">
        <v>127</v>
      </c>
      <c r="F62" s="33" t="s">
        <v>126</v>
      </c>
      <c r="G62" s="72" t="s">
        <v>128</v>
      </c>
    </row>
    <row r="63" spans="1:7" x14ac:dyDescent="0.3">
      <c r="A63" s="63">
        <v>2021</v>
      </c>
      <c r="B63" s="52" t="s">
        <v>109</v>
      </c>
      <c r="C63" s="68">
        <v>4208</v>
      </c>
      <c r="D63" s="68">
        <v>24.3</v>
      </c>
      <c r="E63" s="68"/>
      <c r="F63" s="68"/>
      <c r="G63" s="68"/>
    </row>
    <row r="64" spans="1:7" x14ac:dyDescent="0.3">
      <c r="A64" s="63">
        <v>2022</v>
      </c>
      <c r="B64" s="52" t="s">
        <v>109</v>
      </c>
      <c r="C64" s="1">
        <v>3939</v>
      </c>
      <c r="D64" s="1">
        <v>13.33</v>
      </c>
      <c r="E64" s="41">
        <f xml:space="preserve"> C56 - C55</f>
        <v>-6.0917051792708605</v>
      </c>
      <c r="F64" s="1">
        <f xml:space="preserve"> (C64 - C63) / C63 * 100</f>
        <v>-6.3925855513307983</v>
      </c>
      <c r="G64" s="74">
        <f xml:space="preserve">  D63 * ((100 + E64) / 100) * ((100 + F64) / 100)</f>
        <v>21.360945796487893</v>
      </c>
    </row>
    <row r="65" spans="1:8" x14ac:dyDescent="0.3">
      <c r="A65" s="76" t="s">
        <v>157</v>
      </c>
      <c r="B65" s="52" t="s">
        <v>109</v>
      </c>
      <c r="C65" s="1">
        <v>4119</v>
      </c>
      <c r="D65" s="1">
        <v>8</v>
      </c>
      <c r="E65" s="41">
        <f xml:space="preserve"> C57 - C56</f>
        <v>-1.1141793739906234</v>
      </c>
      <c r="F65" s="1">
        <f xml:space="preserve"> (C65 - C64) / C64 * 100</f>
        <v>4.5696877380045704</v>
      </c>
      <c r="G65" s="74">
        <f xml:space="preserve">  D64 * ((100 + E65) / 100) * ((100 + F65) / 100)</f>
        <v>13.78383235964265</v>
      </c>
      <c r="H65" s="130">
        <f xml:space="preserve"> G65 / G64</f>
        <v>0.64528193137913159</v>
      </c>
    </row>
    <row r="66" spans="1:8" x14ac:dyDescent="0.3">
      <c r="A66" s="76" t="s">
        <v>172</v>
      </c>
      <c r="B66" s="52" t="s">
        <v>109</v>
      </c>
      <c r="C66" s="1">
        <v>4377</v>
      </c>
      <c r="D66" s="1">
        <v>7.54</v>
      </c>
      <c r="E66" s="41">
        <f xml:space="preserve"> C58 - C57</f>
        <v>-2.451551416546522</v>
      </c>
      <c r="F66" s="1">
        <f xml:space="preserve"> (C66 - C65) / C65 * 100</f>
        <v>6.263656227239621</v>
      </c>
      <c r="G66" s="74">
        <f xml:space="preserve">  D65 * ((100 + E66) / 100) * ((100 + F66) / 100)</f>
        <v>8.2926838446181268</v>
      </c>
      <c r="H66" s="130">
        <f xml:space="preserve"> G66 / G65</f>
        <v>0.60162396264322504</v>
      </c>
    </row>
    <row r="67" spans="1:8" x14ac:dyDescent="0.3">
      <c r="A67" s="76" t="s">
        <v>181</v>
      </c>
      <c r="B67" s="52" t="s">
        <v>109</v>
      </c>
      <c r="C67" s="1">
        <v>4415</v>
      </c>
      <c r="D67" s="1">
        <v>3.54</v>
      </c>
      <c r="E67" s="41">
        <f xml:space="preserve"> C59 - C58</f>
        <v>-2.6867651860032424</v>
      </c>
      <c r="F67" s="1">
        <f xml:space="preserve"> (C67 - C66) / C66 * 100</f>
        <v>0.86817454877770162</v>
      </c>
      <c r="G67" s="74">
        <f xml:space="preserve">  D66 * ((100 + E67) / 100) * ((100 + F67) / 100)</f>
        <v>7.4011194997638103</v>
      </c>
      <c r="H67" s="130">
        <f xml:space="preserve"> G67 / G66</f>
        <v>0.89248784090172051</v>
      </c>
    </row>
    <row r="68" spans="1:8" x14ac:dyDescent="0.3">
      <c r="A68" s="76" t="s">
        <v>187</v>
      </c>
      <c r="B68" s="52" t="s">
        <v>109</v>
      </c>
      <c r="C68" s="1">
        <v>5222</v>
      </c>
      <c r="D68" s="1">
        <v>2.54</v>
      </c>
      <c r="E68" s="41">
        <f xml:space="preserve"> C60 - C59</f>
        <v>-3.4929634817909161</v>
      </c>
      <c r="F68" s="1">
        <f xml:space="preserve"> (C68 - C67) / C67 * 100</f>
        <v>18.278595696489241</v>
      </c>
      <c r="G68" s="74">
        <f xml:space="preserve">  D67 * ((100 + E68) / 100) * ((100 + F68) / 100)</f>
        <v>4.0408097309880651</v>
      </c>
      <c r="H68" s="130">
        <f xml:space="preserve"> G68 / G67</f>
        <v>0.54597277224303953</v>
      </c>
    </row>
    <row r="70" spans="1:8" ht="15.75" customHeight="1" x14ac:dyDescent="0.3"/>
  </sheetData>
  <mergeCells count="22">
    <mergeCell ref="D3:N4"/>
    <mergeCell ref="D23:G23"/>
    <mergeCell ref="D24:G24"/>
    <mergeCell ref="D27:F27"/>
    <mergeCell ref="H27:H29"/>
    <mergeCell ref="G27:G29"/>
    <mergeCell ref="I27:I28"/>
    <mergeCell ref="J27:J29"/>
    <mergeCell ref="K27:K29"/>
    <mergeCell ref="B27:B29"/>
    <mergeCell ref="C27:C29"/>
    <mergeCell ref="D28:D29"/>
    <mergeCell ref="E28:E29"/>
    <mergeCell ref="F28:F29"/>
    <mergeCell ref="K30:K31"/>
    <mergeCell ref="J30:J31"/>
    <mergeCell ref="B30:B31"/>
    <mergeCell ref="C30:C31"/>
    <mergeCell ref="G30:G31"/>
    <mergeCell ref="H30:H31"/>
    <mergeCell ref="I30:I31"/>
    <mergeCell ref="D31:F31"/>
  </mergeCells>
  <phoneticPr fontId="1" type="noConversion"/>
  <hyperlinks>
    <hyperlink ref="D5" r:id="rId1" xr:uid="{EE3CE8B6-470F-49A2-989A-1F8221A2B6F9}"/>
  </hyperlinks>
  <pageMargins left="0.7" right="0.7" top="0.75" bottom="0.75" header="0.3" footer="0.3"/>
  <pageSetup paperSize="9" orientation="portrait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D5E69-D134-4A4B-8C90-1AB5E24247D8}">
  <dimension ref="A1:L38"/>
  <sheetViews>
    <sheetView topLeftCell="A122" workbookViewId="0">
      <selection activeCell="H131" sqref="H131"/>
    </sheetView>
  </sheetViews>
  <sheetFormatPr defaultRowHeight="16.5" x14ac:dyDescent="0.3"/>
  <cols>
    <col min="1" max="1" width="24.25" customWidth="1"/>
    <col min="2" max="2" width="25.5" bestFit="1" customWidth="1"/>
    <col min="3" max="3" width="35" bestFit="1" customWidth="1"/>
    <col min="4" max="5" width="16.875" customWidth="1"/>
    <col min="11" max="11" width="13" customWidth="1"/>
    <col min="12" max="12" width="11.25" customWidth="1"/>
  </cols>
  <sheetData>
    <row r="1" spans="1:12" x14ac:dyDescent="0.3">
      <c r="A1" t="s">
        <v>156</v>
      </c>
    </row>
    <row r="3" spans="1:12" x14ac:dyDescent="0.3">
      <c r="C3" t="s">
        <v>19</v>
      </c>
      <c r="D3" t="s">
        <v>20</v>
      </c>
      <c r="E3" t="s">
        <v>21</v>
      </c>
      <c r="I3" t="s">
        <v>129</v>
      </c>
      <c r="J3" t="s">
        <v>130</v>
      </c>
      <c r="K3" t="s">
        <v>131</v>
      </c>
      <c r="L3" t="s">
        <v>132</v>
      </c>
    </row>
    <row r="4" spans="1:12" x14ac:dyDescent="0.3">
      <c r="A4" s="10">
        <v>44837</v>
      </c>
      <c r="B4" t="s">
        <v>22</v>
      </c>
      <c r="C4">
        <v>52.8</v>
      </c>
      <c r="D4">
        <v>52.2</v>
      </c>
      <c r="E4">
        <v>50.9</v>
      </c>
      <c r="I4">
        <v>6.4</v>
      </c>
      <c r="J4">
        <v>0.7</v>
      </c>
      <c r="K4">
        <v>47.3</v>
      </c>
      <c r="L4">
        <v>50.6</v>
      </c>
    </row>
    <row r="5" spans="1:12" x14ac:dyDescent="0.3">
      <c r="A5" s="10">
        <v>44839</v>
      </c>
      <c r="B5" t="s">
        <v>23</v>
      </c>
      <c r="C5">
        <v>56.9</v>
      </c>
      <c r="D5">
        <v>56</v>
      </c>
      <c r="E5">
        <v>56.7</v>
      </c>
    </row>
    <row r="6" spans="1:12" x14ac:dyDescent="0.3">
      <c r="A6" s="10">
        <v>44846</v>
      </c>
      <c r="B6" t="s">
        <v>24</v>
      </c>
      <c r="C6">
        <v>8.6999999999999993</v>
      </c>
      <c r="D6">
        <v>8.4</v>
      </c>
      <c r="E6">
        <v>8.5</v>
      </c>
    </row>
    <row r="7" spans="1:12" x14ac:dyDescent="0.3">
      <c r="A7" s="10"/>
      <c r="B7" t="s">
        <v>35</v>
      </c>
      <c r="C7">
        <v>7.2</v>
      </c>
      <c r="D7">
        <v>7.3</v>
      </c>
      <c r="E7">
        <v>7.2</v>
      </c>
    </row>
    <row r="8" spans="1:12" x14ac:dyDescent="0.3">
      <c r="A8" s="10">
        <v>44847</v>
      </c>
      <c r="B8" t="s">
        <v>25</v>
      </c>
      <c r="C8">
        <v>8.3000000000000007</v>
      </c>
      <c r="D8">
        <v>8.1</v>
      </c>
    </row>
    <row r="9" spans="1:12" x14ac:dyDescent="0.3">
      <c r="B9" t="s">
        <v>26</v>
      </c>
      <c r="C9">
        <v>6.3</v>
      </c>
      <c r="D9">
        <v>6.5</v>
      </c>
    </row>
    <row r="10" spans="1:12" x14ac:dyDescent="0.3">
      <c r="B10" t="s">
        <v>27</v>
      </c>
      <c r="C10" s="11" t="s">
        <v>28</v>
      </c>
      <c r="D10" s="11" t="s">
        <v>29</v>
      </c>
    </row>
    <row r="11" spans="1:12" x14ac:dyDescent="0.3">
      <c r="A11" s="10">
        <v>44848</v>
      </c>
      <c r="B11" t="s">
        <v>30</v>
      </c>
    </row>
    <row r="12" spans="1:12" x14ac:dyDescent="0.3">
      <c r="A12" s="10">
        <v>44853</v>
      </c>
      <c r="B12" t="s">
        <v>31</v>
      </c>
    </row>
    <row r="13" spans="1:12" x14ac:dyDescent="0.3">
      <c r="A13" s="10"/>
      <c r="B13" t="s">
        <v>32</v>
      </c>
    </row>
    <row r="14" spans="1:12" x14ac:dyDescent="0.3">
      <c r="A14" s="10">
        <v>44854</v>
      </c>
      <c r="B14" t="s">
        <v>33</v>
      </c>
    </row>
    <row r="15" spans="1:12" x14ac:dyDescent="0.3">
      <c r="B15" t="s">
        <v>34</v>
      </c>
    </row>
    <row r="18" spans="1:11" ht="17.25" thickBot="1" x14ac:dyDescent="0.35">
      <c r="A18" t="s">
        <v>62</v>
      </c>
      <c r="B18" s="16">
        <v>46.2</v>
      </c>
      <c r="G18" t="s">
        <v>64</v>
      </c>
    </row>
    <row r="19" spans="1:11" x14ac:dyDescent="0.3">
      <c r="A19" t="s">
        <v>61</v>
      </c>
      <c r="B19" s="12" t="s">
        <v>65</v>
      </c>
      <c r="G19" t="s">
        <v>61</v>
      </c>
      <c r="K19" t="s">
        <v>63</v>
      </c>
    </row>
    <row r="22" spans="1:11" x14ac:dyDescent="0.3">
      <c r="A22" t="s">
        <v>139</v>
      </c>
      <c r="B22" t="s">
        <v>133</v>
      </c>
      <c r="C22" t="s">
        <v>134</v>
      </c>
      <c r="D22" t="s">
        <v>135</v>
      </c>
    </row>
    <row r="23" spans="1:11" x14ac:dyDescent="0.3">
      <c r="A23" t="s">
        <v>142</v>
      </c>
    </row>
    <row r="24" spans="1:11" x14ac:dyDescent="0.3">
      <c r="A24" t="s">
        <v>140</v>
      </c>
    </row>
    <row r="25" spans="1:11" x14ac:dyDescent="0.3">
      <c r="A25" t="s">
        <v>141</v>
      </c>
    </row>
    <row r="26" spans="1:11" x14ac:dyDescent="0.3">
      <c r="A26" t="s">
        <v>138</v>
      </c>
    </row>
    <row r="27" spans="1:11" x14ac:dyDescent="0.3">
      <c r="A27" t="s">
        <v>137</v>
      </c>
      <c r="B27" t="s">
        <v>136</v>
      </c>
    </row>
    <row r="29" spans="1:11" x14ac:dyDescent="0.3">
      <c r="A29" s="278" t="s">
        <v>143</v>
      </c>
      <c r="B29" s="278"/>
      <c r="C29" s="278"/>
    </row>
    <row r="30" spans="1:11" x14ac:dyDescent="0.3">
      <c r="A30" s="1">
        <v>1</v>
      </c>
      <c r="B30" s="278" t="s">
        <v>144</v>
      </c>
      <c r="C30" s="1" t="s">
        <v>145</v>
      </c>
    </row>
    <row r="31" spans="1:11" x14ac:dyDescent="0.3">
      <c r="A31" s="1">
        <v>2</v>
      </c>
      <c r="B31" s="278"/>
      <c r="C31" s="1" t="s">
        <v>146</v>
      </c>
    </row>
    <row r="32" spans="1:11" x14ac:dyDescent="0.3">
      <c r="A32" s="1">
        <v>3</v>
      </c>
      <c r="B32" s="278"/>
      <c r="C32" s="1" t="s">
        <v>147</v>
      </c>
    </row>
    <row r="33" spans="1:3" x14ac:dyDescent="0.3">
      <c r="A33" s="1">
        <v>4</v>
      </c>
      <c r="B33" s="278"/>
      <c r="C33" s="1" t="s">
        <v>148</v>
      </c>
    </row>
    <row r="34" spans="1:3" x14ac:dyDescent="0.3">
      <c r="A34" s="1">
        <v>5</v>
      </c>
      <c r="B34" s="278" t="s">
        <v>152</v>
      </c>
      <c r="C34" s="1" t="s">
        <v>149</v>
      </c>
    </row>
    <row r="35" spans="1:3" x14ac:dyDescent="0.3">
      <c r="A35" s="1">
        <v>6</v>
      </c>
      <c r="B35" s="278"/>
      <c r="C35" s="1" t="s">
        <v>150</v>
      </c>
    </row>
    <row r="36" spans="1:3" x14ac:dyDescent="0.3">
      <c r="A36" s="1">
        <v>7</v>
      </c>
      <c r="B36" s="278"/>
      <c r="C36" s="1" t="s">
        <v>151</v>
      </c>
    </row>
    <row r="37" spans="1:3" x14ac:dyDescent="0.3">
      <c r="A37" s="1">
        <v>8</v>
      </c>
      <c r="B37" s="278" t="s">
        <v>153</v>
      </c>
      <c r="C37" s="1" t="s">
        <v>154</v>
      </c>
    </row>
    <row r="38" spans="1:3" x14ac:dyDescent="0.3">
      <c r="A38" s="1">
        <v>9</v>
      </c>
      <c r="B38" s="278"/>
      <c r="C38" s="1" t="s">
        <v>155</v>
      </c>
    </row>
  </sheetData>
  <mergeCells count="4">
    <mergeCell ref="A29:C29"/>
    <mergeCell ref="B30:B33"/>
    <mergeCell ref="B34:B36"/>
    <mergeCell ref="B37:B38"/>
  </mergeCells>
  <phoneticPr fontId="1" type="noConversion"/>
  <hyperlinks>
    <hyperlink ref="B19" r:id="rId1" xr:uid="{3A766F5B-F863-447A-B8EF-553FA28A5327}"/>
  </hyperlinks>
  <pageMargins left="0.7" right="0.7" top="0.75" bottom="0.75" header="0.3" footer="0.3"/>
  <pageSetup paperSize="9" orientation="portrait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61AFE-825F-4669-B78F-E10BDCEEF433}">
  <dimension ref="A1:R37"/>
  <sheetViews>
    <sheetView topLeftCell="A16" workbookViewId="0">
      <selection activeCell="K25" sqref="K25"/>
    </sheetView>
  </sheetViews>
  <sheetFormatPr defaultRowHeight="16.5" x14ac:dyDescent="0.3"/>
  <cols>
    <col min="1" max="1" width="7.25" customWidth="1"/>
    <col min="2" max="2" width="11.125" bestFit="1" customWidth="1"/>
    <col min="3" max="3" width="11.375" customWidth="1"/>
    <col min="4" max="4" width="7.75" customWidth="1"/>
    <col min="6" max="6" width="10.625" bestFit="1" customWidth="1"/>
    <col min="7" max="7" width="10.75" bestFit="1" customWidth="1"/>
    <col min="9" max="9" width="10.75" bestFit="1" customWidth="1"/>
    <col min="11" max="11" width="10.75" bestFit="1" customWidth="1"/>
    <col min="12" max="12" width="10.625" bestFit="1" customWidth="1"/>
    <col min="15" max="15" width="10.625" bestFit="1" customWidth="1"/>
  </cols>
  <sheetData>
    <row r="1" spans="2:18" x14ac:dyDescent="0.3">
      <c r="B1" s="313"/>
      <c r="C1" s="313"/>
    </row>
    <row r="2" spans="2:18" x14ac:dyDescent="0.3">
      <c r="B2" s="312" t="s">
        <v>71</v>
      </c>
      <c r="C2" s="312"/>
      <c r="E2" s="309" t="s">
        <v>71</v>
      </c>
      <c r="F2" s="310"/>
      <c r="G2" s="310"/>
      <c r="H2" s="311"/>
      <c r="J2" s="309" t="s">
        <v>94</v>
      </c>
      <c r="K2" s="310"/>
      <c r="L2" s="310"/>
      <c r="M2" s="311"/>
      <c r="O2" s="309" t="s">
        <v>95</v>
      </c>
      <c r="P2" s="310"/>
      <c r="Q2" s="310"/>
      <c r="R2" s="311"/>
    </row>
    <row r="3" spans="2:18" x14ac:dyDescent="0.3">
      <c r="B3" s="5" t="s">
        <v>13</v>
      </c>
      <c r="C3" s="5" t="s">
        <v>14</v>
      </c>
      <c r="E3" s="5" t="s">
        <v>13</v>
      </c>
      <c r="F3" s="5" t="s">
        <v>10</v>
      </c>
      <c r="G3" s="5" t="s">
        <v>14</v>
      </c>
      <c r="H3" s="5" t="s">
        <v>17</v>
      </c>
      <c r="J3" s="5" t="s">
        <v>13</v>
      </c>
      <c r="K3" s="5" t="s">
        <v>10</v>
      </c>
      <c r="L3" s="5" t="s">
        <v>14</v>
      </c>
      <c r="M3" s="5" t="s">
        <v>17</v>
      </c>
      <c r="O3" s="5" t="s">
        <v>13</v>
      </c>
      <c r="P3" s="5" t="s">
        <v>10</v>
      </c>
      <c r="Q3" s="5" t="s">
        <v>14</v>
      </c>
      <c r="R3" s="5" t="s">
        <v>17</v>
      </c>
    </row>
    <row r="4" spans="2:18" x14ac:dyDescent="0.3">
      <c r="B4" s="4">
        <v>1</v>
      </c>
      <c r="C4" s="8">
        <v>85421</v>
      </c>
      <c r="E4" s="4">
        <v>1</v>
      </c>
      <c r="F4" s="46">
        <v>6895968</v>
      </c>
      <c r="G4" s="46">
        <v>20436</v>
      </c>
      <c r="H4" s="1">
        <f t="shared" ref="H4:H14" si="0">ROUND((G4/IF(F4=0,1,F4))*100,2)</f>
        <v>0.3</v>
      </c>
      <c r="J4" s="4">
        <v>1</v>
      </c>
      <c r="K4" s="46">
        <v>7800000</v>
      </c>
      <c r="L4" s="46">
        <v>-370000</v>
      </c>
      <c r="M4" s="1">
        <f t="shared" ref="M4:M14" si="1">ROUND((L4/IF(K4=0,1,K4))*100,2)</f>
        <v>-4.74</v>
      </c>
      <c r="O4" s="4">
        <v>1</v>
      </c>
      <c r="P4" s="46">
        <v>0</v>
      </c>
      <c r="Q4" s="46">
        <v>0</v>
      </c>
      <c r="R4" s="1">
        <f t="shared" ref="R4:R14" si="2">ROUND((Q4/IF(P4=0,1,P4))*100,2)</f>
        <v>0</v>
      </c>
    </row>
    <row r="5" spans="2:18" x14ac:dyDescent="0.3">
      <c r="B5" s="4">
        <v>2</v>
      </c>
      <c r="C5" s="8">
        <v>65302</v>
      </c>
      <c r="E5" s="4">
        <v>2</v>
      </c>
      <c r="F5" s="46">
        <v>2840710</v>
      </c>
      <c r="G5" s="46">
        <v>-263661</v>
      </c>
      <c r="H5" s="1">
        <f t="shared" si="0"/>
        <v>-9.2799999999999994</v>
      </c>
      <c r="J5" s="4">
        <v>2</v>
      </c>
      <c r="K5" s="46">
        <v>5700000</v>
      </c>
      <c r="L5" s="46">
        <v>56335</v>
      </c>
      <c r="M5" s="1">
        <f t="shared" si="1"/>
        <v>0.99</v>
      </c>
      <c r="O5" s="4">
        <v>2</v>
      </c>
      <c r="P5" s="46">
        <v>0</v>
      </c>
      <c r="Q5" s="46">
        <v>0</v>
      </c>
      <c r="R5" s="1">
        <f t="shared" si="2"/>
        <v>0</v>
      </c>
    </row>
    <row r="6" spans="2:18" x14ac:dyDescent="0.3">
      <c r="B6" s="4">
        <v>3</v>
      </c>
      <c r="C6" s="8">
        <v>93332</v>
      </c>
      <c r="E6" s="4">
        <v>3</v>
      </c>
      <c r="F6" s="46">
        <v>6714000</v>
      </c>
      <c r="G6" s="46">
        <v>-70497</v>
      </c>
      <c r="H6" s="1">
        <f t="shared" si="0"/>
        <v>-1.05</v>
      </c>
      <c r="J6" s="4">
        <v>3</v>
      </c>
      <c r="K6" s="46">
        <v>1271879</v>
      </c>
      <c r="L6" s="46">
        <v>-55655</v>
      </c>
      <c r="M6" s="1">
        <f t="shared" si="1"/>
        <v>-4.38</v>
      </c>
      <c r="O6" s="4">
        <v>3</v>
      </c>
      <c r="P6" s="46">
        <v>0</v>
      </c>
      <c r="Q6" s="46">
        <v>0</v>
      </c>
      <c r="R6" s="1">
        <f t="shared" si="2"/>
        <v>0</v>
      </c>
    </row>
    <row r="7" spans="2:18" x14ac:dyDescent="0.3">
      <c r="B7" s="4">
        <v>4</v>
      </c>
      <c r="C7" s="8">
        <v>0</v>
      </c>
      <c r="E7" s="4">
        <v>4</v>
      </c>
      <c r="F7" s="46">
        <v>3403333</v>
      </c>
      <c r="G7" s="2">
        <v>-11231</v>
      </c>
      <c r="H7" s="1">
        <f t="shared" si="0"/>
        <v>-0.33</v>
      </c>
      <c r="J7" s="4">
        <v>4</v>
      </c>
      <c r="K7" s="46">
        <v>2876888</v>
      </c>
      <c r="L7" s="2">
        <v>-12946</v>
      </c>
      <c r="M7" s="1">
        <f t="shared" si="1"/>
        <v>-0.45</v>
      </c>
      <c r="O7" s="4">
        <v>4</v>
      </c>
      <c r="P7" s="46">
        <v>0</v>
      </c>
      <c r="Q7" s="2">
        <v>0</v>
      </c>
      <c r="R7" s="1">
        <f t="shared" si="2"/>
        <v>0</v>
      </c>
    </row>
    <row r="8" spans="2:18" x14ac:dyDescent="0.3">
      <c r="B8" s="4">
        <v>5</v>
      </c>
      <c r="C8" s="8">
        <v>0</v>
      </c>
      <c r="E8" s="4">
        <v>5</v>
      </c>
      <c r="F8" s="46">
        <v>6778491</v>
      </c>
      <c r="G8" s="2">
        <v>156448</v>
      </c>
      <c r="H8" s="1">
        <f t="shared" si="0"/>
        <v>2.31</v>
      </c>
      <c r="J8" s="4">
        <v>5</v>
      </c>
      <c r="K8" s="46">
        <v>0</v>
      </c>
      <c r="L8" s="2">
        <v>0</v>
      </c>
      <c r="M8" s="1">
        <f t="shared" si="1"/>
        <v>0</v>
      </c>
      <c r="O8" s="4">
        <v>5</v>
      </c>
      <c r="P8" s="46">
        <v>0</v>
      </c>
      <c r="Q8" s="2">
        <v>0</v>
      </c>
      <c r="R8" s="1">
        <f t="shared" si="2"/>
        <v>0</v>
      </c>
    </row>
    <row r="9" spans="2:18" x14ac:dyDescent="0.3">
      <c r="B9" s="4">
        <v>6</v>
      </c>
      <c r="C9" s="9">
        <v>0</v>
      </c>
      <c r="E9" s="4">
        <v>6</v>
      </c>
      <c r="F9" s="46">
        <v>0</v>
      </c>
      <c r="G9" s="46">
        <v>0</v>
      </c>
      <c r="H9" s="1">
        <f t="shared" si="0"/>
        <v>0</v>
      </c>
      <c r="J9" s="4">
        <v>6</v>
      </c>
      <c r="K9" s="46">
        <v>0</v>
      </c>
      <c r="L9" s="46">
        <v>0</v>
      </c>
      <c r="M9" s="1">
        <f t="shared" si="1"/>
        <v>0</v>
      </c>
      <c r="O9" s="4">
        <v>6</v>
      </c>
      <c r="P9" s="46">
        <v>0</v>
      </c>
      <c r="Q9" s="46">
        <v>0</v>
      </c>
      <c r="R9" s="1">
        <f t="shared" si="2"/>
        <v>0</v>
      </c>
    </row>
    <row r="10" spans="2:18" x14ac:dyDescent="0.3">
      <c r="B10" s="4">
        <v>7</v>
      </c>
      <c r="C10" s="8">
        <v>0</v>
      </c>
      <c r="E10" s="4">
        <v>7</v>
      </c>
      <c r="F10" s="46">
        <v>0</v>
      </c>
      <c r="G10" s="2">
        <v>0</v>
      </c>
      <c r="H10" s="1">
        <f t="shared" si="0"/>
        <v>0</v>
      </c>
      <c r="J10" s="4">
        <v>7</v>
      </c>
      <c r="K10" s="46">
        <v>0</v>
      </c>
      <c r="L10" s="2">
        <v>0</v>
      </c>
      <c r="M10" s="1">
        <f t="shared" si="1"/>
        <v>0</v>
      </c>
      <c r="O10" s="4">
        <v>7</v>
      </c>
      <c r="P10" s="46">
        <v>0</v>
      </c>
      <c r="Q10" s="2">
        <v>0</v>
      </c>
      <c r="R10" s="1">
        <f t="shared" si="2"/>
        <v>0</v>
      </c>
    </row>
    <row r="11" spans="2:18" x14ac:dyDescent="0.3">
      <c r="B11" s="4">
        <v>8</v>
      </c>
      <c r="C11" s="8">
        <v>0</v>
      </c>
      <c r="E11" s="4">
        <v>8</v>
      </c>
      <c r="F11" s="46">
        <v>0</v>
      </c>
      <c r="G11" s="2">
        <v>0</v>
      </c>
      <c r="H11" s="1">
        <f t="shared" si="0"/>
        <v>0</v>
      </c>
      <c r="J11" s="4">
        <v>8</v>
      </c>
      <c r="K11" s="46">
        <v>0</v>
      </c>
      <c r="L11" s="2">
        <v>0</v>
      </c>
      <c r="M11" s="1">
        <f t="shared" si="1"/>
        <v>0</v>
      </c>
      <c r="O11" s="4">
        <v>8</v>
      </c>
      <c r="P11" s="46">
        <v>0</v>
      </c>
      <c r="Q11" s="2">
        <v>0</v>
      </c>
      <c r="R11" s="1">
        <f t="shared" si="2"/>
        <v>0</v>
      </c>
    </row>
    <row r="12" spans="2:18" x14ac:dyDescent="0.3">
      <c r="B12" s="7">
        <v>9</v>
      </c>
      <c r="C12" s="9">
        <v>0</v>
      </c>
      <c r="E12" s="7">
        <v>9</v>
      </c>
      <c r="F12" s="46">
        <v>0</v>
      </c>
      <c r="G12" s="46">
        <v>0</v>
      </c>
      <c r="H12" s="1">
        <f t="shared" si="0"/>
        <v>0</v>
      </c>
      <c r="J12" s="7">
        <v>9</v>
      </c>
      <c r="K12" s="46">
        <v>0</v>
      </c>
      <c r="L12" s="46">
        <v>0</v>
      </c>
      <c r="M12" s="1">
        <f t="shared" si="1"/>
        <v>0</v>
      </c>
      <c r="O12" s="7">
        <v>9</v>
      </c>
      <c r="P12" s="46">
        <v>0</v>
      </c>
      <c r="Q12" s="46">
        <v>0</v>
      </c>
      <c r="R12" s="1">
        <f t="shared" si="2"/>
        <v>0</v>
      </c>
    </row>
    <row r="13" spans="2:18" x14ac:dyDescent="0.3">
      <c r="B13" s="4">
        <v>10</v>
      </c>
      <c r="C13" s="8">
        <v>0</v>
      </c>
      <c r="E13" s="4">
        <v>10</v>
      </c>
      <c r="F13" s="46">
        <v>0</v>
      </c>
      <c r="G13" s="2">
        <v>0</v>
      </c>
      <c r="H13" s="1">
        <f t="shared" si="0"/>
        <v>0</v>
      </c>
      <c r="J13" s="4">
        <v>10</v>
      </c>
      <c r="K13" s="46">
        <v>0</v>
      </c>
      <c r="L13" s="2">
        <v>0</v>
      </c>
      <c r="M13" s="1">
        <f t="shared" si="1"/>
        <v>0</v>
      </c>
      <c r="O13" s="4">
        <v>10</v>
      </c>
      <c r="P13" s="46">
        <v>0</v>
      </c>
      <c r="Q13" s="2">
        <v>0</v>
      </c>
      <c r="R13" s="1">
        <f t="shared" si="2"/>
        <v>0</v>
      </c>
    </row>
    <row r="14" spans="2:18" x14ac:dyDescent="0.3">
      <c r="B14" s="5" t="s">
        <v>15</v>
      </c>
      <c r="C14" s="6">
        <f>SUM(C4:C13)</f>
        <v>244055</v>
      </c>
      <c r="E14" s="45"/>
      <c r="F14" s="2">
        <f>SUM(F4:F13)/IF(COUNTIF(F4:F13,"&gt;1")=0,1,COUNTIF(F4:F13,"&gt;1"))</f>
        <v>5326500.4000000004</v>
      </c>
      <c r="G14" s="2">
        <f>SUM(G4:G13)</f>
        <v>-168505</v>
      </c>
      <c r="H14" s="1">
        <f t="shared" si="0"/>
        <v>-3.16</v>
      </c>
      <c r="J14" s="45"/>
      <c r="K14" s="2">
        <f>SUM(K4:K13)/IF(COUNTIF(K4:K13,"&gt;1")=0,1,COUNTIF(K4:K13,"&gt;1"))</f>
        <v>4412191.75</v>
      </c>
      <c r="L14" s="2">
        <f>SUM(L4:L13)</f>
        <v>-382266</v>
      </c>
      <c r="M14" s="1">
        <f t="shared" si="1"/>
        <v>-8.66</v>
      </c>
      <c r="O14" s="45"/>
      <c r="P14" s="2">
        <f>SUM(P4:P13)/IF(COUNTIF(P4:P13,"&gt;1")=0,1,COUNTIF(P4:P13,"&gt;1"))</f>
        <v>0</v>
      </c>
      <c r="Q14" s="2">
        <f>SUM(Q4:Q13)</f>
        <v>0</v>
      </c>
      <c r="R14" s="1">
        <f t="shared" si="2"/>
        <v>0</v>
      </c>
    </row>
    <row r="15" spans="2:18" x14ac:dyDescent="0.3">
      <c r="B15" s="5" t="s">
        <v>10</v>
      </c>
      <c r="C15" s="6">
        <v>1342771</v>
      </c>
    </row>
    <row r="16" spans="2:18" x14ac:dyDescent="0.3">
      <c r="B16" s="5" t="s">
        <v>17</v>
      </c>
      <c r="C16" s="4">
        <f xml:space="preserve">  ROUND( (C14 / C15) * 100, 2 )</f>
        <v>18.18</v>
      </c>
    </row>
    <row r="17" spans="1:8" x14ac:dyDescent="0.3">
      <c r="B17" s="5" t="s">
        <v>18</v>
      </c>
      <c r="C17" s="2">
        <f xml:space="preserve"> C15 + C14</f>
        <v>1586826</v>
      </c>
    </row>
    <row r="18" spans="1:8" x14ac:dyDescent="0.3">
      <c r="B18" s="3"/>
    </row>
    <row r="19" spans="1:8" x14ac:dyDescent="0.3">
      <c r="B19">
        <v>1.1599999999999999</v>
      </c>
      <c r="C19">
        <f xml:space="preserve"> B19 /100</f>
        <v>1.1599999999999999E-2</v>
      </c>
    </row>
    <row r="20" spans="1:8" x14ac:dyDescent="0.3">
      <c r="A20" t="s">
        <v>119</v>
      </c>
      <c r="B20">
        <v>2833000</v>
      </c>
      <c r="C20">
        <f xml:space="preserve"> B20 / C19</f>
        <v>244224137.93103451</v>
      </c>
    </row>
    <row r="22" spans="1:8" x14ac:dyDescent="0.3">
      <c r="B22">
        <v>0.45</v>
      </c>
      <c r="C22">
        <f xml:space="preserve"> B22 /100</f>
        <v>4.5000000000000005E-3</v>
      </c>
    </row>
    <row r="23" spans="1:8" x14ac:dyDescent="0.3">
      <c r="B23">
        <v>12946</v>
      </c>
      <c r="C23">
        <f xml:space="preserve"> B23 / C22</f>
        <v>2876888.8888888885</v>
      </c>
    </row>
    <row r="25" spans="1:8" x14ac:dyDescent="0.3">
      <c r="B25" s="4" t="s">
        <v>168</v>
      </c>
      <c r="C25" s="4">
        <v>16696980</v>
      </c>
      <c r="E25" s="309" t="s">
        <v>169</v>
      </c>
      <c r="F25" s="310"/>
      <c r="G25" s="310"/>
      <c r="H25" s="311"/>
    </row>
    <row r="26" spans="1:8" x14ac:dyDescent="0.3">
      <c r="B26" s="112">
        <v>45301</v>
      </c>
      <c r="C26" s="1">
        <f xml:space="preserve"> C25 / 2</f>
        <v>8348490</v>
      </c>
      <c r="E26" s="5" t="s">
        <v>13</v>
      </c>
      <c r="F26" s="5" t="s">
        <v>10</v>
      </c>
      <c r="G26" s="5" t="s">
        <v>14</v>
      </c>
      <c r="H26" s="5" t="s">
        <v>17</v>
      </c>
    </row>
    <row r="27" spans="1:8" x14ac:dyDescent="0.3">
      <c r="B27" s="112">
        <v>45422</v>
      </c>
      <c r="C27" s="1">
        <f xml:space="preserve"> C25 / 2</f>
        <v>8348490</v>
      </c>
      <c r="E27" s="4">
        <v>1</v>
      </c>
      <c r="F27" s="46">
        <v>0</v>
      </c>
      <c r="G27" s="46">
        <v>0</v>
      </c>
      <c r="H27" s="1">
        <f t="shared" ref="H27:H37" si="3">ROUND((G27/IF(F27=0,1,F27))*100,2)</f>
        <v>0</v>
      </c>
    </row>
    <row r="28" spans="1:8" x14ac:dyDescent="0.3">
      <c r="E28" s="4">
        <v>2</v>
      </c>
      <c r="F28" s="46">
        <v>0</v>
      </c>
      <c r="G28" s="46">
        <v>0</v>
      </c>
      <c r="H28" s="1">
        <f t="shared" si="3"/>
        <v>0</v>
      </c>
    </row>
    <row r="29" spans="1:8" x14ac:dyDescent="0.3">
      <c r="E29" s="4">
        <v>3</v>
      </c>
      <c r="F29" s="46">
        <v>0</v>
      </c>
      <c r="G29" s="46">
        <v>0</v>
      </c>
      <c r="H29" s="1">
        <f t="shared" si="3"/>
        <v>0</v>
      </c>
    </row>
    <row r="30" spans="1:8" x14ac:dyDescent="0.3">
      <c r="E30" s="4">
        <v>4</v>
      </c>
      <c r="F30" s="46">
        <v>0</v>
      </c>
      <c r="G30" s="2">
        <v>0</v>
      </c>
      <c r="H30" s="1">
        <f t="shared" si="3"/>
        <v>0</v>
      </c>
    </row>
    <row r="31" spans="1:8" x14ac:dyDescent="0.3">
      <c r="E31" s="4">
        <v>5</v>
      </c>
      <c r="F31" s="46">
        <v>0</v>
      </c>
      <c r="G31" s="2">
        <v>0</v>
      </c>
      <c r="H31" s="1">
        <f t="shared" si="3"/>
        <v>0</v>
      </c>
    </row>
    <row r="32" spans="1:8" x14ac:dyDescent="0.3">
      <c r="E32" s="4">
        <v>6</v>
      </c>
      <c r="F32" s="46">
        <v>0</v>
      </c>
      <c r="G32" s="46">
        <v>0</v>
      </c>
      <c r="H32" s="1">
        <f t="shared" si="3"/>
        <v>0</v>
      </c>
    </row>
    <row r="33" spans="5:8" x14ac:dyDescent="0.3">
      <c r="E33" s="4">
        <v>7</v>
      </c>
      <c r="F33" s="46">
        <v>0</v>
      </c>
      <c r="G33" s="2">
        <v>0</v>
      </c>
      <c r="H33" s="1">
        <f t="shared" si="3"/>
        <v>0</v>
      </c>
    </row>
    <row r="34" spans="5:8" x14ac:dyDescent="0.3">
      <c r="E34" s="4">
        <v>8</v>
      </c>
      <c r="F34" s="46">
        <v>0</v>
      </c>
      <c r="G34" s="2">
        <v>0</v>
      </c>
      <c r="H34" s="1">
        <f t="shared" si="3"/>
        <v>0</v>
      </c>
    </row>
    <row r="35" spans="5:8" x14ac:dyDescent="0.3">
      <c r="E35" s="7">
        <v>9</v>
      </c>
      <c r="F35" s="46">
        <v>0</v>
      </c>
      <c r="G35" s="46">
        <v>0</v>
      </c>
      <c r="H35" s="1">
        <f t="shared" si="3"/>
        <v>0</v>
      </c>
    </row>
    <row r="36" spans="5:8" x14ac:dyDescent="0.3">
      <c r="E36" s="4">
        <v>10</v>
      </c>
      <c r="F36" s="46">
        <v>0</v>
      </c>
      <c r="G36" s="2">
        <v>0</v>
      </c>
      <c r="H36" s="1">
        <f t="shared" si="3"/>
        <v>0</v>
      </c>
    </row>
    <row r="37" spans="5:8" x14ac:dyDescent="0.3">
      <c r="E37" s="45"/>
      <c r="F37" s="2">
        <f>SUM(F27:F36)/IF(COUNTIF(F27:F36,"&gt;1")=0,1,COUNTIF(F27:F36,"&gt;1"))</f>
        <v>0</v>
      </c>
      <c r="G37" s="2">
        <f>SUM(G27:G36)</f>
        <v>0</v>
      </c>
      <c r="H37" s="1">
        <f t="shared" si="3"/>
        <v>0</v>
      </c>
    </row>
  </sheetData>
  <mergeCells count="6">
    <mergeCell ref="E25:H25"/>
    <mergeCell ref="O2:R2"/>
    <mergeCell ref="B2:C2"/>
    <mergeCell ref="B1:C1"/>
    <mergeCell ref="E2:H2"/>
    <mergeCell ref="J2:M2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3752C-641E-4C09-9624-C882FA38F7BF}">
  <dimension ref="B2:O17"/>
  <sheetViews>
    <sheetView workbookViewId="0">
      <selection activeCell="Q9" sqref="Q9"/>
    </sheetView>
  </sheetViews>
  <sheetFormatPr defaultRowHeight="16.5" x14ac:dyDescent="0.3"/>
  <cols>
    <col min="2" max="2" width="10.25" bestFit="1" customWidth="1"/>
    <col min="3" max="3" width="10.75" bestFit="1" customWidth="1"/>
    <col min="5" max="5" width="10.25" bestFit="1" customWidth="1"/>
    <col min="6" max="6" width="10.75" bestFit="1" customWidth="1"/>
    <col min="8" max="8" width="10.25" bestFit="1" customWidth="1"/>
    <col min="9" max="9" width="10.75" bestFit="1" customWidth="1"/>
    <col min="11" max="11" width="10.25" bestFit="1" customWidth="1"/>
    <col min="12" max="12" width="10.75" bestFit="1" customWidth="1"/>
    <col min="14" max="14" width="10.25" bestFit="1" customWidth="1"/>
    <col min="15" max="15" width="10.75" bestFit="1" customWidth="1"/>
  </cols>
  <sheetData>
    <row r="2" spans="2:15" x14ac:dyDescent="0.3">
      <c r="B2" s="312" t="s">
        <v>66</v>
      </c>
      <c r="C2" s="312"/>
      <c r="E2" s="312" t="s">
        <v>67</v>
      </c>
      <c r="F2" s="312"/>
      <c r="H2" s="312" t="s">
        <v>68</v>
      </c>
      <c r="I2" s="312"/>
      <c r="K2" s="312" t="s">
        <v>69</v>
      </c>
      <c r="L2" s="312"/>
      <c r="N2" s="312" t="s">
        <v>70</v>
      </c>
      <c r="O2" s="312"/>
    </row>
    <row r="3" spans="2:15" x14ac:dyDescent="0.3">
      <c r="B3" s="5" t="s">
        <v>13</v>
      </c>
      <c r="C3" s="5" t="s">
        <v>14</v>
      </c>
      <c r="E3" s="5" t="s">
        <v>13</v>
      </c>
      <c r="F3" s="5" t="s">
        <v>14</v>
      </c>
      <c r="H3" s="5" t="s">
        <v>13</v>
      </c>
      <c r="I3" s="5" t="s">
        <v>14</v>
      </c>
      <c r="K3" s="5" t="s">
        <v>13</v>
      </c>
      <c r="L3" s="5" t="s">
        <v>14</v>
      </c>
      <c r="N3" s="5" t="s">
        <v>13</v>
      </c>
      <c r="O3" s="5" t="s">
        <v>14</v>
      </c>
    </row>
    <row r="4" spans="2:15" x14ac:dyDescent="0.3">
      <c r="B4" s="4">
        <v>1</v>
      </c>
      <c r="C4" s="8">
        <v>17215</v>
      </c>
      <c r="E4" s="4">
        <v>1</v>
      </c>
      <c r="F4" s="8">
        <v>3020</v>
      </c>
      <c r="H4" s="4">
        <v>1</v>
      </c>
      <c r="I4" s="8">
        <v>0</v>
      </c>
      <c r="K4" s="4">
        <v>1</v>
      </c>
      <c r="L4" s="8">
        <v>39527</v>
      </c>
      <c r="N4" s="4">
        <v>1</v>
      </c>
      <c r="O4" s="8">
        <v>19976</v>
      </c>
    </row>
    <row r="5" spans="2:15" x14ac:dyDescent="0.3">
      <c r="B5" s="4">
        <v>2</v>
      </c>
      <c r="C5" s="8">
        <v>-77107</v>
      </c>
      <c r="E5" s="4">
        <v>2</v>
      </c>
      <c r="F5" s="8">
        <v>-3342</v>
      </c>
      <c r="H5" s="4">
        <v>2</v>
      </c>
      <c r="I5" s="8">
        <v>0</v>
      </c>
      <c r="K5" s="4">
        <v>2</v>
      </c>
      <c r="L5" s="8">
        <v>47051</v>
      </c>
      <c r="N5" s="4">
        <v>2</v>
      </c>
      <c r="O5" s="8">
        <v>35716</v>
      </c>
    </row>
    <row r="6" spans="2:15" x14ac:dyDescent="0.3">
      <c r="B6" s="4">
        <v>3</v>
      </c>
      <c r="C6" s="8">
        <v>77453</v>
      </c>
      <c r="E6" s="4">
        <v>3</v>
      </c>
      <c r="F6" s="9">
        <v>38771</v>
      </c>
      <c r="H6" s="4">
        <v>3</v>
      </c>
      <c r="I6" s="9">
        <v>0</v>
      </c>
      <c r="K6" s="4">
        <v>3</v>
      </c>
      <c r="L6" s="9">
        <v>-8281</v>
      </c>
      <c r="N6" s="4">
        <v>3</v>
      </c>
      <c r="O6" s="9">
        <v>64079</v>
      </c>
    </row>
    <row r="7" spans="2:15" x14ac:dyDescent="0.3">
      <c r="B7" s="4">
        <v>4</v>
      </c>
      <c r="C7" s="8">
        <v>16450</v>
      </c>
      <c r="E7" s="4">
        <v>4</v>
      </c>
      <c r="F7" s="8">
        <v>0</v>
      </c>
      <c r="H7" s="4">
        <v>4</v>
      </c>
      <c r="I7" s="8">
        <v>0</v>
      </c>
      <c r="K7" s="4">
        <v>4</v>
      </c>
      <c r="L7" s="8">
        <v>0</v>
      </c>
      <c r="N7" s="4">
        <v>4</v>
      </c>
      <c r="O7" s="8">
        <v>0</v>
      </c>
    </row>
    <row r="8" spans="2:15" x14ac:dyDescent="0.3">
      <c r="B8" s="4">
        <v>5</v>
      </c>
      <c r="C8" s="8">
        <v>6818</v>
      </c>
      <c r="E8" s="4">
        <v>5</v>
      </c>
      <c r="F8" s="8">
        <v>0</v>
      </c>
      <c r="H8" s="4">
        <v>5</v>
      </c>
      <c r="I8" s="8">
        <v>0</v>
      </c>
      <c r="K8" s="4">
        <v>5</v>
      </c>
      <c r="L8" s="8">
        <v>0</v>
      </c>
      <c r="N8" s="4">
        <v>5</v>
      </c>
      <c r="O8" s="8">
        <v>0</v>
      </c>
    </row>
    <row r="9" spans="2:15" x14ac:dyDescent="0.3">
      <c r="B9" s="4">
        <v>6</v>
      </c>
      <c r="C9" s="8">
        <v>24585</v>
      </c>
      <c r="E9" s="4">
        <v>6</v>
      </c>
      <c r="F9" s="9">
        <v>0</v>
      </c>
      <c r="H9" s="4">
        <v>6</v>
      </c>
      <c r="I9" s="9">
        <v>0</v>
      </c>
      <c r="K9" s="4">
        <v>6</v>
      </c>
      <c r="L9" s="9">
        <v>0</v>
      </c>
      <c r="N9" s="4">
        <v>6</v>
      </c>
      <c r="O9" s="9">
        <v>0</v>
      </c>
    </row>
    <row r="10" spans="2:15" x14ac:dyDescent="0.3">
      <c r="B10" s="4">
        <v>7</v>
      </c>
      <c r="C10" s="8">
        <v>0</v>
      </c>
      <c r="E10" s="4">
        <v>7</v>
      </c>
      <c r="F10" s="8">
        <v>0</v>
      </c>
      <c r="H10" s="4">
        <v>7</v>
      </c>
      <c r="I10" s="8">
        <v>0</v>
      </c>
      <c r="K10" s="4">
        <v>7</v>
      </c>
      <c r="L10" s="8">
        <v>0</v>
      </c>
      <c r="N10" s="4">
        <v>7</v>
      </c>
      <c r="O10" s="8">
        <v>0</v>
      </c>
    </row>
    <row r="11" spans="2:15" x14ac:dyDescent="0.3">
      <c r="B11" s="4">
        <v>8</v>
      </c>
      <c r="C11" s="8">
        <v>0</v>
      </c>
      <c r="E11" s="4">
        <v>8</v>
      </c>
      <c r="F11" s="8">
        <v>0</v>
      </c>
      <c r="H11" s="4">
        <v>8</v>
      </c>
      <c r="I11" s="8">
        <v>0</v>
      </c>
      <c r="K11" s="4">
        <v>8</v>
      </c>
      <c r="L11" s="8">
        <v>0</v>
      </c>
      <c r="N11" s="4">
        <v>8</v>
      </c>
      <c r="O11" s="8">
        <v>0</v>
      </c>
    </row>
    <row r="12" spans="2:15" x14ac:dyDescent="0.3">
      <c r="B12" s="7">
        <v>9</v>
      </c>
      <c r="C12" s="9">
        <v>0</v>
      </c>
      <c r="E12" s="7">
        <v>9</v>
      </c>
      <c r="F12" s="9">
        <v>0</v>
      </c>
      <c r="H12" s="7">
        <v>9</v>
      </c>
      <c r="I12" s="9">
        <v>0</v>
      </c>
      <c r="K12" s="7">
        <v>9</v>
      </c>
      <c r="L12" s="9">
        <v>0</v>
      </c>
      <c r="N12" s="7">
        <v>9</v>
      </c>
      <c r="O12" s="9">
        <v>0</v>
      </c>
    </row>
    <row r="13" spans="2:15" x14ac:dyDescent="0.3">
      <c r="B13" s="4">
        <v>10</v>
      </c>
      <c r="C13" s="8">
        <v>0</v>
      </c>
      <c r="E13" s="4">
        <v>10</v>
      </c>
      <c r="F13" s="8">
        <v>0</v>
      </c>
      <c r="H13" s="4">
        <v>10</v>
      </c>
      <c r="I13" s="8">
        <v>0</v>
      </c>
      <c r="K13" s="4">
        <v>10</v>
      </c>
      <c r="L13" s="8">
        <v>0</v>
      </c>
      <c r="N13" s="4">
        <v>10</v>
      </c>
      <c r="O13" s="8">
        <v>0</v>
      </c>
    </row>
    <row r="14" spans="2:15" x14ac:dyDescent="0.3">
      <c r="B14" s="5" t="s">
        <v>15</v>
      </c>
      <c r="C14" s="6">
        <f>SUM(C4:C13)</f>
        <v>65414</v>
      </c>
      <c r="E14" s="5" t="s">
        <v>15</v>
      </c>
      <c r="F14" s="6">
        <f>SUM(F4:F13)</f>
        <v>38449</v>
      </c>
      <c r="H14" s="5" t="s">
        <v>15</v>
      </c>
      <c r="I14" s="6">
        <f>SUM(I4:I13)</f>
        <v>0</v>
      </c>
      <c r="K14" s="5" t="s">
        <v>15</v>
      </c>
      <c r="L14" s="6">
        <f>SUM(L4:L13)</f>
        <v>78297</v>
      </c>
      <c r="N14" s="5" t="s">
        <v>15</v>
      </c>
      <c r="O14" s="6">
        <f>SUM(O4:O13)</f>
        <v>119771</v>
      </c>
    </row>
    <row r="15" spans="2:15" x14ac:dyDescent="0.3">
      <c r="B15" s="5" t="s">
        <v>16</v>
      </c>
      <c r="C15" s="6">
        <v>1061029</v>
      </c>
      <c r="E15" s="5" t="s">
        <v>10</v>
      </c>
      <c r="F15" s="6">
        <v>1126443</v>
      </c>
      <c r="H15" s="5" t="s">
        <v>10</v>
      </c>
      <c r="I15" s="6">
        <v>1200000</v>
      </c>
      <c r="K15" s="5" t="s">
        <v>10</v>
      </c>
      <c r="L15" s="6">
        <v>1200000</v>
      </c>
      <c r="N15" s="5" t="s">
        <v>10</v>
      </c>
      <c r="O15" s="6">
        <v>1223000</v>
      </c>
    </row>
    <row r="16" spans="2:15" x14ac:dyDescent="0.3">
      <c r="B16" s="5" t="s">
        <v>17</v>
      </c>
      <c r="C16" s="4">
        <f xml:space="preserve">  ROUND( (C14 / C15) * 100, 2 )</f>
        <v>6.17</v>
      </c>
      <c r="E16" s="5" t="s">
        <v>17</v>
      </c>
      <c r="F16" s="4">
        <f xml:space="preserve">  ROUND( (F14 / F15) * 100, 2 )</f>
        <v>3.41</v>
      </c>
      <c r="H16" s="5" t="s">
        <v>17</v>
      </c>
      <c r="I16" s="4">
        <f xml:space="preserve">  ROUND( (I14 / I15) * 100, 2 )</f>
        <v>0</v>
      </c>
      <c r="K16" s="5" t="s">
        <v>17</v>
      </c>
      <c r="L16" s="4">
        <f xml:space="preserve">  ROUND( (L14 / L15) * 100, 2 )</f>
        <v>6.52</v>
      </c>
      <c r="N16" s="5" t="s">
        <v>17</v>
      </c>
      <c r="O16" s="4">
        <f xml:space="preserve">  ROUND( (O14 / O15) * 100, 2 )</f>
        <v>9.7899999999999991</v>
      </c>
    </row>
    <row r="17" spans="2:15" x14ac:dyDescent="0.3">
      <c r="B17" s="5" t="s">
        <v>18</v>
      </c>
      <c r="C17" s="2">
        <f xml:space="preserve"> C15 + C14</f>
        <v>1126443</v>
      </c>
      <c r="E17" s="5" t="s">
        <v>18</v>
      </c>
      <c r="F17" s="2">
        <f xml:space="preserve"> F15 + F14</f>
        <v>1164892</v>
      </c>
      <c r="H17" s="5" t="s">
        <v>18</v>
      </c>
      <c r="I17" s="2">
        <f xml:space="preserve"> I15 + I14</f>
        <v>1200000</v>
      </c>
      <c r="K17" s="5" t="s">
        <v>18</v>
      </c>
      <c r="L17" s="2">
        <f xml:space="preserve"> L15 + L14</f>
        <v>1278297</v>
      </c>
      <c r="N17" s="5" t="s">
        <v>18</v>
      </c>
      <c r="O17" s="2">
        <f xml:space="preserve"> O15 + O14</f>
        <v>1342771</v>
      </c>
    </row>
  </sheetData>
  <mergeCells count="5">
    <mergeCell ref="N2:O2"/>
    <mergeCell ref="B2:C2"/>
    <mergeCell ref="E2:F2"/>
    <mergeCell ref="H2:I2"/>
    <mergeCell ref="K2:L2"/>
  </mergeCells>
  <phoneticPr fontId="1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e 0 6 8 f b f - 0 3 1 c - 4 d 7 d - 9 5 f 1 - 7 c 8 c 5 d 1 d 0 8 2 7 "   x m l n s = " h t t p : / / s c h e m a s . m i c r o s o f t . c o m / D a t a M a s h u p " > A A A A A E E F A A B Q S w M E F A A C A A g A u l R d W O w F C 2 K n A A A A + Q A A A B I A H A B D b 2 5 m a W c v U G F j a 2 F n Z S 5 4 b W w g o h g A K K A U A A A A A A A A A A A A A A A A A A A A A A A A A A A A h c 8 x D o I w G A X g q 5 D u t L U a I + S n D I 5 K Y j Q x r q R U a I D W 0 G K 5 m 4 N H 8 g q S K O r m + F 6 + 4 b 3 H 7 Q 7 p 0 D b B V X Z W G Z 2 g G a Y o k F q Y Q u k y Q b 0 7 h y u U c t j l o s 5 L G Y x Y 2 3 i w R Y I q 5 y 4 x I d 5 7 7 O f Y d C V h l M 7 I K d s e R C X b H H 2 w + o 9 D p a 3 L t Z C I w / E 1 h j M c L f C S s Q j T 0 Q K Z e s i U / h o 2 T s Y U y E 8 J 6 7 5 x f S d 5 b c L N H s g U g b x v 8 C d Q S w M E F A A C A A g A u l R d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p U X V h A l 3 Q v O A I A A G k M A A A T A B w A R m 9 y b X V s Y X M v U 2 V j d G l v b j E u b S C i G A A o o B Q A A A A A A A A A A A A A A A A A A A A A A A A A A A D t l V 2 L 2 k A U h u 8 F / 8 O Q h a J g J x + W p W w R u y i U h a V Y 4 t K W 0 o u o o 5 H G G Z u M t S J C L r J Q U K g X L f 1 Y L d L 2 Z u + k W c o W 2 j + U y f 6 H T o x i F 3 d h E d 0 W a W 5 O e M / J H O Z 9 z k w s V K R V g o E a R v l O N B K N W L p m o h L w h z + Z 6 / j d g e + c g h Q w E I 1 G A H / 8 o z 5 z A + U h K s C c V k G x 4 C V D M E W Y W j F B p 7 R u 7 Y h i u Y o 1 X E Q Q a y + Q C Y u k J j a J a Z R E q 2 p N x b T V q h W I k V J z e 3 f V 3 C M h H k + E L b I a 1 W T e I W z V l j t P A u X p N L s l M N f 2 v v 1 i / Q H w B 6 O z 9 2 8 F X p v X C g a C e V P D V p m Y t Q w x G j W c b 9 W R F Z s s l 2 i 3 B b 4 l / 1 N f S A D K d V D S K O o k A J c / H 3 p j e y b j R q 2 A z D A x c g I X e j b 7 4 V y U 7 g 4 u / s 5 z R 5 c t a C 8 m O v F o p I o v 3 d u f T L a E y T a B J C x D p N l s w g o h F e 5 T g G M K S H z e I B S J u f 2 D e z v 3 d 9 X s 7 o O 0 b q S e k f M 4 p D k O a Q U 4 p A B H 7 E D N x m d m U P S S T j x S J C X J D h 2 w 7 R + 9 q e I y A W c f e 5 7 r A I V 9 d 7 z T M Q j y g C N j X 3 o B z 6 E N l C Q E 2 x A k J e g P T 9 j x e C L c h k D m w r s + Y O 4 J B 8 L 6 x 6 z 7 i n W / w o W O H D N v G G L m 1 T Z 7 / e F c z R K A 5 G s H t I 7 z s s G A l G s H p M w B K S s A p G w 4 I A n E l P h S k G Y / n p a m E z L h N O e T r q e C c A N S y y y m e O V N H v X 1 X 3 W h K C 8 Y F + r K C s x K / j f r q n f z X 5 u s d d z R 6 5 + s W 6 s 1 a 3 8 v 8 5 i b F Y Q N n K w V H 8 O r m v W v T 9 Z v U E s B A i 0 A F A A C A A g A u l R d W O w F C 2 K n A A A A + Q A A A B I A A A A A A A A A A A A A A A A A A A A A A E N v b m Z p Z y 9 Q Y W N r Y W d l L n h t b F B L A Q I t A B Q A A g A I A L p U X V g P y u m r p A A A A O k A A A A T A A A A A A A A A A A A A A A A A P M A A A B b Q 2 9 u d G V u d F 9 U e X B l c 1 0 u e G 1 s U E s B A i 0 A F A A C A A g A u l R d W E C X d C 8 4 A g A A a Q w A A B M A A A A A A A A A A A A A A A A A 5 A E A A E Z v c m 1 1 b G F z L 1 N l Y 3 R p b 2 4 x L m 1 Q S w U G A A A A A A M A A w D C A A A A a Q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R F A A A A A A A A A i U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V D J T l E J U J D J U V C J U I z J T g 0 J U V D J T h C J T l D J U V D J T g 0 J U I 4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t g 5 D s g 4 k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D h U M D c 6 M T c 6 M j k u M z k 3 M z M y N l o i I C 8 + P E V u d H J 5 I F R 5 c G U 9 I k Z p b G x D b 2 x 1 b W 5 U e X B l c y I g V m F s d W U 9 I n N D U V V G Q l F V R i I g L z 4 8 R W 5 0 c n k g V H l w Z T 0 i R m l s b E N v b H V t b k 5 h b W V z I i B W Y W x 1 Z T 0 i c 1 s m c X V v d D v s n b z s n p A m c X V v d D s s J n F 1 b 3 Q 7 7 K K F 6 r C A J n F 1 b 3 Q 7 L C Z x d W 9 0 O + y g h O y d v O u M g O u 5 h C Z x d W 9 0 O y w m c X V v d D v s i 5 z q s I A m c X V v d D s s J n F 1 b 3 Q 7 6 r O g 6 r C A J n F 1 b 3 Q 7 L C Z x d W 9 0 O + y g g O q w g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y d v O u z h O y L n O y E u C / r s 4 D q s r 3 r k J w g 7 J y g 7 Z i V L n v s n b z s n p A s M H 0 m c X V v d D s s J n F 1 b 3 Q 7 U 2 V j d G l v b j E v 7 J 2 8 6 7 O E 7 I u c 7 I S 4 L + u z g O q y v e u Q n C D s n K D t m J U u e + y i h e q w g C w x f S Z x d W 9 0 O y w m c X V v d D t T Z W N 0 a W 9 u M S / s n b z r s 4 T s i 5 z s h L g v 6 7 O A 6 r K 9 6 5 C c I O y c o O 2 Y l S 5 7 7 K C E 7 J 2 8 6 4 y A 6 7 m E L D J 9 J n F 1 b 3 Q 7 L C Z x d W 9 0 O 1 N l Y 3 R p b 2 4 x L + y d v O u z h O y L n O y E u C / r s 4 D q s r 3 r k J w g 7 J y g 7 Z i V L n v s i 5 z q s I A s M 3 0 m c X V v d D s s J n F 1 b 3 Q 7 U 2 V j d G l v b j E v 7 J 2 8 6 7 O E 7 I u c 7 I S 4 L + u z g O q y v e u Q n C D s n K D t m J U u e + q z o O q w g C w 0 f S Z x d W 9 0 O y w m c X V v d D t T Z W N 0 a W 9 u M S / s n b z r s 4 T s i 5 z s h L g v 6 7 O A 6 r K 9 6 5 C c I O y c o O 2 Y l S 5 7 7 K C A 6 r C A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+ y d v O u z h O y L n O y E u C / r s 4 D q s r 3 r k J w g 7 J y g 7 Z i V L n v s n b z s n p A s M H 0 m c X V v d D s s J n F 1 b 3 Q 7 U 2 V j d G l v b j E v 7 J 2 8 6 7 O E 7 I u c 7 I S 4 L + u z g O q y v e u Q n C D s n K D t m J U u e + y i h e q w g C w x f S Z x d W 9 0 O y w m c X V v d D t T Z W N 0 a W 9 u M S / s n b z r s 4 T s i 5 z s h L g v 6 7 O A 6 r K 9 6 5 C c I O y c o O 2 Y l S 5 7 7 K C E 7 J 2 8 6 4 y A 6 7 m E L D J 9 J n F 1 b 3 Q 7 L C Z x d W 9 0 O 1 N l Y 3 R p b 2 4 x L + y d v O u z h O y L n O y E u C / r s 4 D q s r 3 r k J w g 7 J y g 7 Z i V L n v s i 5 z q s I A s M 3 0 m c X V v d D s s J n F 1 b 3 Q 7 U 2 V j d G l v b j E v 7 J 2 8 6 7 O E 7 I u c 7 I S 4 L + u z g O q y v e u Q n C D s n K D t m J U u e + q z o O q w g C w 0 f S Z x d W 9 0 O y w m c X V v d D t T Z W N 0 a W 9 u M S / s n b z r s 4 T s i 5 z s h L g v 6 7 O A 6 r K 9 6 5 C c I O y c o O 2 Y l S 5 7 7 K C A 6 r C A L D V 9 J n F 1 b 3 Q 7 X S w m c X V v d D t S Z W x h d G l v b n N o a X B J b m Z v J n F 1 b 3 Q 7 O l t d f S I g L z 4 8 R W 5 0 c n k g V H l w Z T 0 i U X V l c n l J R C I g V m F s d W U 9 I n N i M 2 F m O T V j Z i 0 z O W J l L T Q 4 O W E t Y j A 1 Y S 1 i Z T U z Z D h h N D N j Y j I i I C 8 + P C 9 T d G F i b G V F b n R y a W V z P j w v S X R l b T 4 8 S X R l b T 4 8 S X R l b U x v Y 2 F 0 a W 9 u P j x J d G V t V H l w Z T 5 G b 3 J t d W x h P C 9 J d G V t V H l w Z T 4 8 S X R l b V B h d G g + U 2 V j d G l v b j E v J U V D J T l E J U J D J U V C J U I z J T g 0 J U V D J T h C J T l D J U V D J T g 0 J U I 4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U 5 R C V C Q y V F Q i V C M y U 4 N C V F Q y U 4 Q i U 5 Q y V F Q y U 4 N C V C O C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U 5 R C V C Q y V F Q i V C M y U 4 N C V F Q y U 4 Q i U 5 Q y V F Q y U 4 N C V C O C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5 h b W V V c G R h d G V k Q W Z 0 Z X J G a W x s I i B W Y W x 1 Z T 0 i b D A i I C 8 + P E V u d H J 5 I F R 5 c G U 9 I k 5 h d m l n Y X R p b 2 5 T d G V w T m F t Z S I g V m F s d W U 9 I n P t g 5 D s g 4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x M 1 Q w M T o x M z o x N y 4 z N z g 4 M T A 0 W i I g L z 4 8 R W 5 0 c n k g V H l w Z T 0 i R m l s b E N v b H V t b l R 5 c G V z I i B W Y W x 1 Z T 0 i c 0 J n W U c i I C 8 + P E V u d H J 5 I F R 5 c G U 9 I k Z p b G x D b 2 x 1 b W 5 O Y W 1 l c y I g V m F s d W U 9 I n N b J n F 1 b 3 Q 7 K F V T R C k m c X V v d D s s J n F 1 b 3 Q 7 M j A y M + u F h C A 2 7 J u U a W 5 m b y D t m o z q s 4 Q g M u u 2 h O q 4 s C A y M D I z I O y i h e u j j O y d v O y d g C A y M y 4 g N i 4 g M z A u 7 J 2 0 6 6 m w I D I z L i A 4 L i A x M C 7 s l 5 A g 6 7 O 0 6 r O g 6 5 C p 6 4 u I 6 4 u k L i Z x d W 9 0 O y w m c X V v d D v s o I T r h Y T r j I D r u Y Q g 6 7 O A 6 4 + Z J n F 1 b 3 Q 7 X S I g L z 4 8 R W 5 0 c n k g V H l w Z T 0 i R m l s b F N 0 Y X R 1 c y I g V m F s d W U 9 I n N X Y W l 0 a W 5 n R m 9 y R X h j Z W x S Z W Z y Z X N o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L + u z g O q y v e u Q n C D s n K D t m J U u e y h V U 0 Q p L D B 9 J n F 1 b 3 Q 7 L C Z x d W 9 0 O 1 N l Y 3 R p b 2 4 x L 1 R h Y m x l I D A v 6 7 O A 6 r K 9 6 5 C c I O y c o O 2 Y l S 5 7 M j A y M + u F h C A 2 7 J u U a W 5 m b y D t m o z q s 4 Q g M u u 2 h O q 4 s C A y M D I z I O y i h e u j j O y d v O y d g C A y M y 4 g N i 4 g M z A u 7 J 2 0 6 6 m w I D I z L i A 4 L i A x M C 7 s l 5 A g 6 7 O 0 6 r O g 6 5 C p 6 4 u I 6 4 u k L i w x f S Z x d W 9 0 O y w m c X V v d D t T Z W N 0 a W 9 u M S 9 U Y W J s Z S A w L + u z g O q y v e u Q n C D s n K D t m J U u e + y g h O u F h O u M g O u 5 h C D r s 4 D r j 5 k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b G U g M C / r s 4 D q s r 3 r k J w g 7 J y g 7 Z i V L n s o V V N E K S w w f S Z x d W 9 0 O y w m c X V v d D t T Z W N 0 a W 9 u M S 9 U Y W J s Z S A w L + u z g O q y v e u Q n C D s n K D t m J U u e z I w M j P r h Y Q g N u y b l G l u Z m 8 g 7 Z q M 6 r O E I D L r t o T q u L A g M j A y M y D s o o X r o 4 z s n b z s n Y A g M j M u I D Y u I D M w L u y d t O u p s C A y M y 4 g O C 4 g M T A u 7 J e Q I O u z t O q z o O u Q q e u L i O u L p C 4 s M X 0 m c X V v d D s s J n F 1 b 3 Q 7 U 2 V j d G l v b j E v V G F i b G U g M C / r s 4 D q s r 3 r k J w g 7 J y g 7 Z i V L n v s o I T r h Y T r j I D r u Y Q g 6 7 O A 6 4 +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A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T m F t Z V V w Z G F 0 Z W R B Z n R l c k Z p b G w i I F Z h b H V l P S J s M C I g L z 4 8 R W 5 0 c n k g V H l w Z T 0 i T m F 2 a W d h d G l v b l N 0 Z X B O Y W 1 l I i B W Y W x 1 Z T 0 i c + 2 D k O y D i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E z V D A x O j E z O j E 3 L j Q 2 O D g x O D h a I i A v P j x F b n R y e S B U e X B l P S J G a W x s Q 2 9 s d W 1 u V H l w Z X M i I F Z h b H V l P S J z Q m d Z R y I g L z 4 8 R W 5 0 c n k g V H l w Z T 0 i R m l s b E N v b H V t b k 5 h b W V z I i B W Y W x 1 Z T 0 i c 1 s m c X V v d D s o V V N E K S Z x d W 9 0 O y w m c X V v d D s y M D I z 6 4 W E I D b s m 5 R p b m Z v I O 2 a j O q z h C A y 6 7 a E 6 r i w I D I w M j M g 7 K K F 6 6 O M 7 J 2 8 7 J 2 A I D I z L i A 2 L i A z M C 7 s n b T r q b A g M j M u I D g u I D E w L u y X k C D r s 7 T q s 6 D r k K n r i 4 j r i 6 Q u J n F 1 b 3 Q 7 L C Z x d W 9 0 O + y g h O u F h O u M g O u 5 h C D r s 4 D r j 5 k m c X V v d D t d I i A v P j x F b n R y e S B U e X B l P S J G a W x s U 3 R h d H V z I i B W Y W x 1 Z T 0 i c 1 d h a X R p b m d G b 3 J F e G N l b F J l Z n J l c 2 g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E v 6 7 O A 6 r K 9 6 5 C c I O y c o O 2 Y l S 5 7 K F V T R C k s M H 0 m c X V v d D s s J n F 1 b 3 Q 7 U 2 V j d G l v b j E v V G F i b G U g M S / r s 4 D q s r 3 r k J w g 7 J y g 7 Z i V L n s y M D I z 6 4 W E I D b s m 5 R p b m Z v I O 2 a j O q z h C A y 6 7 a E 6 r i w I D I w M j M g 7 K K F 6 6 O M 7 J 2 8 7 J 2 A I D I z L i A 2 L i A z M C 7 s n b T r q b A g M j M u I D g u I D E w L u y X k C D r s 7 T q s 6 D r k K n r i 4 j r i 6 Q u L D F 9 J n F 1 b 3 Q 7 L C Z x d W 9 0 O 1 N l Y 3 R p b 2 4 x L 1 R h Y m x l I D E v 6 7 O A 6 r K 9 6 5 C c I O y c o O 2 Y l S 5 7 7 K C E 6 4 W E 6 4 y A 6 7 m E I O u z g O u P m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U Y W J s Z S A x L + u z g O q y v e u Q n C D s n K D t m J U u e y h V U 0 Q p L D B 9 J n F 1 b 3 Q 7 L C Z x d W 9 0 O 1 N l Y 3 R p b 2 4 x L 1 R h Y m x l I D E v 6 7 O A 6 r K 9 6 5 C c I O y c o O 2 Y l S 5 7 M j A y M + u F h C A 2 7 J u U a W 5 m b y D t m o z q s 4 Q g M u u 2 h O q 4 s C A y M D I z I O y i h e u j j O y d v O y d g C A y M y 4 g N i 4 g M z A u 7 J 2 0 6 6 m w I D I z L i A 4 L i A x M C 7 s l 5 A g 6 7 O 0 6 r O g 6 5 C p 6 4 u I 6 4 u k L i w x f S Z x d W 9 0 O y w m c X V v d D t T Z W N 0 a W 9 u M S 9 U Y W J s Z S A x L + u z g O q y v e u Q n C D s n K D t m J U u e + y g h O u F h O u M g O u 5 h C D r s 4 D r j 5 k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J T I w M S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v R G F 0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v J U V C J U I z J T g w J U V B J U I y J U J E J U V C J T k w J T l D J T I w J U V D J T l D J U E w J U V E J T k 4 J T k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O Y W 1 l V X B k Y X R l Z E F m d G V y R m l s b C I g V m F s d W U 9 I m w w I i A v P j x F b n R y e S B U e X B l P S J O Y X Z p Z 2 F 0 a W 9 u U 3 R l c E 5 h b W U i I F Z h b H V l P S J z 7 Y O Q 7 I O J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T N U M D E 6 M T M 6 M T c u M j c 3 O D E w N 1 o i I C 8 + P E V u d H J 5 I F R 5 c G U 9 I k Z p b G x D b 2 x 1 b W 5 U e X B l c y I g V m F s d W U 9 I n N C Z 1 l H I i A v P j x F b n R y e S B U e X B l P S J G a W x s Q 2 9 s d W 1 u T m F t Z X M i I F Z h b H V l P S J z W y Z x d W 9 0 O y h V U 0 Q p J n F 1 b 3 Q 7 L C Z x d W 9 0 O z I w M j P r h Y Q g N u y b l G l u Z m 8 g 7 Z q M 6 r O E I D L r t o T q u L A g M j A y M y D s o o X r o 4 z s n b z s n Y A g M j M u I D Y u I D M w L u y d t O u p s C A y M y 4 g O C 4 g M T A u 7 J e Q I O u z t O q z o O u Q q e u L i O u L p C 4 m c X V v d D s s J n F 1 b 3 Q 7 7 K C E 6 4 W E 6 4 y A 6 7 m E I O u z g O u P m S Z x d W 9 0 O 1 0 i I C 8 + P E V u d H J 5 I F R 5 c G U 9 I k Z p b G x T d G F 0 d X M i I F Z h b H V l P S J z V 2 F p d G l u Z 0 Z v c k V 4 Y 2 V s U m V m c m V z a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i / r s 4 D q s r 3 r k J w g 7 J y g 7 Z i V L n s o V V N E K S w w f S Z x d W 9 0 O y w m c X V v d D t T Z W N 0 a W 9 u M S 9 U Y W J s Z S A y L + u z g O q y v e u Q n C D s n K D t m J U u e z I w M j P r h Y Q g N u y b l G l u Z m 8 g 7 Z q M 6 r O E I D L r t o T q u L A g M j A y M y D s o o X r o 4 z s n b z s n Y A g M j M u I D Y u I D M w L u y d t O u p s C A y M y 4 g O C 4 g M T A u 7 J e Q I O u z t O q z o O u Q q e u L i O u L p C 4 s M X 0 m c X V v d D s s J n F 1 b 3 Q 7 U 2 V j d G l v b j E v V G F i b G U g M i / r s 4 D q s r 3 r k J w g 7 J y g 7 Z i V L n v s o I T r h Y T r j I D r u Y Q g 6 7 O A 6 4 +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I D I v 6 7 O A 6 r K 9 6 5 C c I O y c o O 2 Y l S 5 7 K F V T R C k s M H 0 m c X V v d D s s J n F 1 b 3 Q 7 U 2 V j d G l v b j E v V G F i b G U g M i / r s 4 D q s r 3 r k J w g 7 J y g 7 Z i V L n s y M D I z 6 4 W E I D b s m 5 R p b m Z v I O 2 a j O q z h C A y 6 7 a E 6 r i w I D I w M j M g 7 K K F 6 6 O M 7 J 2 8 7 J 2 A I D I z L i A 2 L i A z M C 7 s n b T r q b A g M j M u I D g u I D E w L u y X k C D r s 7 T q s 6 D r k K n r i 4 j r i 6 Q u L D F 9 J n F 1 b 3 Q 7 L C Z x d W 9 0 O 1 N l Y 3 R p b 2 4 x L 1 R h Y m x l I D I v 6 7 O A 6 r K 9 6 5 C c I O y c o O 2 Y l S 5 7 7 K C E 6 4 W E 6 4 y A 6 7 m E I O u z g O u P m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y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i 9 E Y X R h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i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2 D k O y D i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A 4 V D A 3 O j M 1 O j M 0 L j g 5 M D k w M D d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I C g y K S / r s 4 D q s r 3 r k J w g 7 J y g 7 Z i V L n t D b 2 x 1 b W 4 x L D B 9 J n F 1 b 3 Q 7 L C Z x d W 9 0 O 1 N l Y 3 R p b 2 4 x L 1 R h Y m x l I D A g K D I p L + u z g O q y v e u Q n C D s n K D t m J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G F i b G U g M C A o M i k v 6 7 O A 6 r K 9 6 5 C c I O y c o O 2 Y l S 5 7 Q 2 9 s d W 1 u M S w w f S Z x d W 9 0 O y w m c X V v d D t T Z W N 0 a W 9 u M S 9 U Y W J s Z S A w I C g y K S / r s 4 D q s r 3 r k J w g 7 J y g 7 Z i V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A l M j A o M i k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I p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I p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7 Y O Q 7 I O J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x M 1 Q w M T o x M z o z N i 4 4 M D E 3 M D Q 4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E N v d W 5 0 I i B W Y W x 1 Z T 0 i b D g i I C 8 + P E V u d H J 5 I F R 5 c G U 9 I k Z p b G x T d G F 0 d X M i I F Z h b H V l P S J z Q 2 9 t c G x l d G U i I C 8 + P E V u d H J 5 I F R 5 c G U 9 I k x v Y W R l Z F R v Q W 5 h b H l z a X N T Z X J 2 a W N l c y I g V m F s d W U 9 I m w w I i A v P j x F b n R y e S B U e X B l P S J R d W V y e U l E I i B W Y W x 1 Z T 0 i c 2 Y 2 O G F h Z T Q 3 L T h l N G E t N D I 5 Z S 1 i Y j J j L T U 5 Z j k z Z T g 1 N T E 3 Y i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A o M y k v 6 7 O A 6 r K 9 6 5 C c I O y c o O 2 Y l S 5 7 Q 2 9 s d W 1 u M S w w f S Z x d W 9 0 O y w m c X V v d D t T Z W N 0 a W 9 u M S 9 U Y W J s Z S A w I C g z K S / r s 4 D q s r 3 r k J w g 7 J y g 7 Z i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A g K D M p L + u z g O q y v e u Q n C D s n K D t m J U u e 0 N v b H V t b j E s M H 0 m c X V v d D s s J n F 1 b 3 Q 7 U 2 V j d G l v b j E v V G F i b G U g M C A o M y k v 6 7 O A 6 r K 9 6 5 C c I O y c o O 2 Y l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w J T I w K D M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z K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z K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E z V D A x O j E z O j M 2 L j c x N D U x M T V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R d W V y e U l E I i B W Y W x 1 Z T 0 i c z A w N j U 5 M z d k L W E w Y W Q t N D V j O C 1 i Y m V l L T A 2 M W J m M T c 1 N 2 I 3 Y y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S A o M i k v 6 7 O A 6 r K 9 6 5 C c I O y c o O 2 Y l S 5 7 Q 2 9 s d W 1 u M S w w f S Z x d W 9 0 O y w m c X V v d D t T Z W N 0 a W 9 u M S 9 U Y W J s Z S A x I C g y K S / r s 4 D q s r 3 r k J w g 7 J y g 7 Z i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E g K D I p L + u z g O q y v e u Q n C D s n K D t m J U u e 0 N v b H V t b j E s M H 0 m c X V v d D s s J n F 1 b 3 Q 7 U 2 V j d G l v b j E v V G F i b G U g M S A o M i k v 6 7 O A 6 r K 9 6 5 C c I O y c o O 2 Y l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x J T I w K D I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y K S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y K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1 0 i I C 8 + P E V u d H J 5 I F R 5 c G U 9 I k Z p b G x D b 2 x 1 b W 5 U e X B l c y I g V m F s d W U 9 I n N C Z 1 k 9 I i A v P j x F b n R y e S B U e X B l P S J G a W x s T G F z d F V w Z G F 0 Z W Q i I F Z h b H V l P S J k M j A y M y 0 x M S 0 x M 1 Q w M T o x M z o z O C 4 w M j Y 5 O D c 2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C I g L z 4 8 R W 5 0 c n k g V H l w Z T 0 i Q W R k Z W R U b 0 R h d G F N b 2 R l b C I g V m F s d W U 9 I m w w I i A v P j x F b n R y e S B U e X B l P S J R d W V y e U l E I i B W Y W x 1 Z T 0 i c 2 U 4 Z j l h N j g z L W U 5 M D g t N D I 1 Z C 1 h N z N j L T g x M j I 0 N T U w O W Y 2 Y y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A o N C k v 6 7 O A 6 r K 9 6 5 C c I O y c o O 2 Y l S 5 7 Q 2 9 s d W 1 u M S w w f S Z x d W 9 0 O y w m c X V v d D t T Z W N 0 a W 9 u M S 9 U Y W J s Z S A w I C g 0 K S / r s 4 D q s r 3 r k J w g 7 J y g 7 Z i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A g K D Q p L + u z g O q y v e u Q n C D s n K D t m J U u e 0 N v b H V t b j E s M H 0 m c X V v d D s s J n F 1 b 3 Q 7 U 2 V j d G l v b j E v V G F i b G U g M C A o N C k v 6 7 O A 6 r K 9 6 5 C c I O y c o O 2 Y l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w J T I w K D Q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0 K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0 K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1 0 i I C 8 + P E V u d H J 5 I F R 5 c G U 9 I k Z p b G x D b 2 x 1 b W 5 U e X B l c y I g V m F s d W U 9 I n N C Z 1 k 9 I i A v P j x F b n R y e S B U e X B l P S J G a W x s T G F z d F V w Z G F 0 Z W Q i I F Z h b H V l P S J k M j A y M y 0 x M S 0 x M 1 Q w M T o x M z o z N y 4 5 O D I 5 N z Y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C I g L z 4 8 R W 5 0 c n k g V H l w Z T 0 i Q W R k Z W R U b 0 R h d G F N b 2 R l b C I g V m F s d W U 9 I m w w I i A v P j x F b n R y e S B U e X B l P S J R d W V y e U l E I i B W Y W x 1 Z T 0 i c 2 Q 0 M D Z m Y j U y L W M x O W I t N D J i Z S 1 h O W F l L W Z h Y 2 N h M 2 E 4 O D h j N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S A o M y k v 6 7 O A 6 r K 9 6 5 C c I O y c o O 2 Y l S 5 7 Q 2 9 s d W 1 u M S w w f S Z x d W 9 0 O y w m c X V v d D t T Z W N 0 a W 9 u M S 9 U Y W J s Z S A x I C g z K S / r s 4 D q s r 3 r k J w g 7 J y g 7 Z i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E g K D M p L + u z g O q y v e u Q n C D s n K D t m J U u e 0 N v b H V t b j E s M H 0 m c X V v d D s s J n F 1 b 3 Q 7 U 2 V j d G l v b j E v V G F i b G U g M S A o M y k v 6 7 O A 6 r K 9 6 5 C c I O y c o O 2 Y l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x J T I w K D M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z K S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z K S 8 l R U I l Q j M l O D A l R U E l Q j I l Q k Q l R U I l O T A l O U M l M j A l R U M l O U M l Q T A l R U Q l O T g l O T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a 9 o V o v J m Z E C I D L y / r I F r I g A A A A A C A A A A A A A D Z g A A w A A A A B A A A A D 7 R G M b C d D Q i P 9 V O p i A Q p u h A A A A A A S A A A C g A A A A E A A A A E r k 3 w 3 2 D 9 t C 1 e Q v d T Y 7 U V 5 Q A A A A y A s h P Y S 7 O e 6 E c B f 3 c L 9 v l G 2 N i w o Q u t s k l b s l 8 6 U 5 P f j d 4 b z l q P C o v 7 / A 4 a 8 5 H + 1 l l 0 T n F C g B n u + e b V 3 x b w 7 k E e z 3 D a 0 f N K d b q 9 6 / l k 1 A Y D 0 U A A A A e N M K 8 A 0 F m F o 1 s K F S g j 6 7 V D i L Q h o = < / D a t a M a s h u p > 
</file>

<file path=customXml/itemProps1.xml><?xml version="1.0" encoding="utf-8"?>
<ds:datastoreItem xmlns:ds="http://schemas.openxmlformats.org/officeDocument/2006/customXml" ds:itemID="{B80C5AAF-38D7-4F3B-B615-26C42851F26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시나리오</vt:lpstr>
      <vt:lpstr>생활패턴</vt:lpstr>
      <vt:lpstr>Sheet1</vt:lpstr>
      <vt:lpstr>플러그파워</vt:lpstr>
      <vt:lpstr>금융사이클</vt:lpstr>
      <vt:lpstr>단타일지</vt:lpstr>
      <vt:lpstr>2022단타일지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송병근/HR서비스팀-협력사/KBN</cp:lastModifiedBy>
  <dcterms:created xsi:type="dcterms:W3CDTF">2022-01-13T04:25:16Z</dcterms:created>
  <dcterms:modified xsi:type="dcterms:W3CDTF">2024-06-24T05:26:03Z</dcterms:modified>
</cp:coreProperties>
</file>