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00DC19A2-E8E5-4490-9772-DC20AB5D5401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시나리오_old" sheetId="7" r:id="rId1"/>
    <sheet name="시나리오" sheetId="4" r:id="rId2"/>
    <sheet name="일정확인" sheetId="10" r:id="rId3"/>
    <sheet name="내자산" sheetId="11" r:id="rId4"/>
    <sheet name="단타일지" sheetId="9" r:id="rId5"/>
    <sheet name="생활패턴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4" l="1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7" i="4"/>
  <c r="J18" i="4"/>
  <c r="J19" i="4"/>
  <c r="J20" i="4"/>
  <c r="J21" i="4"/>
  <c r="J22" i="4"/>
  <c r="J23" i="4"/>
  <c r="J24" i="4"/>
  <c r="J25" i="4"/>
  <c r="J26" i="4"/>
  <c r="J16" i="4"/>
  <c r="J15" i="4"/>
  <c r="J23" i="11" l="1"/>
  <c r="K23" i="11" s="1"/>
  <c r="J24" i="11"/>
  <c r="J25" i="11"/>
  <c r="J26" i="11"/>
  <c r="J27" i="11"/>
  <c r="K27" i="11" s="1"/>
  <c r="K24" i="11"/>
  <c r="K25" i="11"/>
  <c r="K26" i="11"/>
  <c r="K22" i="11"/>
  <c r="J22" i="11"/>
  <c r="I24" i="11"/>
  <c r="I25" i="11"/>
  <c r="I26" i="11"/>
  <c r="I27" i="11"/>
  <c r="H24" i="11"/>
  <c r="H25" i="11"/>
  <c r="H26" i="11"/>
  <c r="H27" i="11"/>
  <c r="G27" i="11"/>
  <c r="G26" i="11"/>
  <c r="F27" i="11"/>
  <c r="F26" i="11"/>
  <c r="G25" i="11"/>
  <c r="G24" i="11"/>
  <c r="G23" i="11"/>
  <c r="H23" i="11" s="1"/>
  <c r="I23" i="11" s="1"/>
  <c r="F25" i="11"/>
  <c r="F24" i="11"/>
  <c r="F23" i="11"/>
  <c r="F22" i="11"/>
  <c r="K19" i="11"/>
  <c r="G22" i="11"/>
  <c r="H22" i="11" s="1"/>
  <c r="I22" i="11" s="1"/>
  <c r="R11" i="5" l="1"/>
  <c r="I14" i="9" l="1"/>
  <c r="I16" i="9" s="1"/>
  <c r="I17" i="9" l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l="1"/>
  <c r="L14" i="4" s="1"/>
  <c r="N15" i="4" s="1"/>
  <c r="P15" i="4"/>
  <c r="N14" i="4"/>
  <c r="Q11" i="5"/>
  <c r="R14" i="4" l="1"/>
  <c r="P14" i="4"/>
  <c r="Q14" i="4" s="1"/>
  <c r="K19" i="4" s="1"/>
  <c r="D23" i="4"/>
  <c r="D18" i="4"/>
  <c r="D22" i="4"/>
  <c r="D17" i="4"/>
  <c r="D15" i="4"/>
  <c r="F15" i="4" s="1"/>
  <c r="H15" i="4" s="1"/>
  <c r="D24" i="4"/>
  <c r="D19" i="4"/>
  <c r="D25" i="4"/>
  <c r="D21" i="4"/>
  <c r="D16" i="4"/>
  <c r="D20" i="4"/>
  <c r="D26" i="4"/>
  <c r="G14" i="5"/>
  <c r="Q10" i="5"/>
  <c r="R10" i="5" s="1"/>
  <c r="F16" i="4" l="1"/>
  <c r="H16" i="4" s="1"/>
  <c r="M26" i="4"/>
  <c r="F14" i="9"/>
  <c r="F17" i="9" s="1"/>
  <c r="Q9" i="5"/>
  <c r="R9" i="5" s="1"/>
  <c r="F17" i="4" l="1"/>
  <c r="H17" i="4" s="1"/>
  <c r="F16" i="9"/>
  <c r="C14" i="9"/>
  <c r="C16" i="9" s="1"/>
  <c r="F18" i="4" l="1"/>
  <c r="H18" i="4" s="1"/>
  <c r="C17" i="9"/>
  <c r="Q8" i="5"/>
  <c r="R8" i="5" s="1"/>
  <c r="Q7" i="5"/>
  <c r="R7" i="5" s="1"/>
  <c r="F19" i="4" l="1"/>
  <c r="H19" i="4" s="1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F20" i="4" l="1"/>
  <c r="H20" i="4" s="1"/>
  <c r="K15" i="7"/>
  <c r="M15" i="7"/>
  <c r="K14" i="7"/>
  <c r="Q5" i="5"/>
  <c r="R5" i="5" s="1"/>
  <c r="F21" i="4" l="1"/>
  <c r="H21" i="4" s="1"/>
  <c r="O14" i="7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F22" i="4" l="1"/>
  <c r="H22" i="4" s="1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F23" i="4" l="1"/>
  <c r="H23" i="4" s="1"/>
  <c r="M27" i="7"/>
  <c r="K26" i="7"/>
  <c r="K27" i="7"/>
  <c r="F24" i="4" l="1"/>
  <c r="H24" i="4" s="1"/>
  <c r="D36" i="7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F25" i="4" l="1"/>
  <c r="H25" i="4" s="1"/>
  <c r="J38" i="7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F26" i="4" l="1"/>
  <c r="H26" i="4" s="1"/>
  <c r="K39" i="7"/>
  <c r="M39" i="7"/>
  <c r="K38" i="7"/>
  <c r="I26" i="4" l="1"/>
  <c r="L26" i="4" s="1"/>
  <c r="N27" i="4" s="1"/>
  <c r="N26" i="4"/>
  <c r="P27" i="4"/>
  <c r="O38" i="7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P26" i="4" l="1"/>
  <c r="Q26" i="4" s="1"/>
  <c r="K31" i="4" s="1"/>
  <c r="R26" i="4"/>
  <c r="D38" i="4"/>
  <c r="D36" i="4"/>
  <c r="D37" i="4"/>
  <c r="D29" i="4"/>
  <c r="D32" i="4"/>
  <c r="D34" i="4"/>
  <c r="D31" i="4"/>
  <c r="D27" i="4"/>
  <c r="F27" i="4" s="1"/>
  <c r="D35" i="4"/>
  <c r="D28" i="4"/>
  <c r="D30" i="4"/>
  <c r="D33" i="4"/>
  <c r="G39" i="7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H27" i="4" l="1"/>
  <c r="M38" i="4"/>
  <c r="M51" i="7"/>
  <c r="K50" i="7"/>
  <c r="K51" i="7"/>
  <c r="F28" i="4" l="1"/>
  <c r="H28" i="4" s="1"/>
  <c r="D60" i="7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F29" i="4" l="1"/>
  <c r="H29" i="4" s="1"/>
  <c r="J62" i="7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F30" i="4" l="1"/>
  <c r="H30" i="4" s="1"/>
  <c r="K63" i="7"/>
  <c r="M63" i="7"/>
  <c r="K62" i="7"/>
  <c r="F31" i="4" l="1"/>
  <c r="H31" i="4" s="1"/>
  <c r="O62" i="7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F32" i="4" l="1"/>
  <c r="H32" i="4" s="1"/>
  <c r="G63" i="7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F33" i="4" l="1"/>
  <c r="H33" i="4" s="1"/>
  <c r="M75" i="7"/>
  <c r="K74" i="7"/>
  <c r="K75" i="7"/>
  <c r="F34" i="4" l="1"/>
  <c r="H34" i="4" s="1"/>
  <c r="D80" i="7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F35" i="4" l="1"/>
  <c r="H35" i="4" s="1"/>
  <c r="G75" i="7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F36" i="4" l="1"/>
  <c r="H36" i="4" s="1"/>
  <c r="M87" i="7"/>
  <c r="K86" i="7"/>
  <c r="K87" i="7"/>
  <c r="F37" i="4" l="1"/>
  <c r="H37" i="4" s="1"/>
  <c r="D96" i="7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F38" i="4" l="1"/>
  <c r="H38" i="4" s="1"/>
  <c r="G87" i="7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I38" i="4" l="1"/>
  <c r="L38" i="4" s="1"/>
  <c r="N39" i="4" s="1"/>
  <c r="N38" i="4"/>
  <c r="P39" i="4"/>
  <c r="M99" i="7"/>
  <c r="K98" i="7"/>
  <c r="K99" i="7"/>
  <c r="D39" i="4" l="1"/>
  <c r="F39" i="4" s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O98" i="7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50" i="4" l="1"/>
  <c r="H39" i="4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F40" i="4" l="1"/>
  <c r="H40" i="4" s="1"/>
  <c r="M111" i="7"/>
  <c r="K110" i="7"/>
  <c r="K111" i="7"/>
  <c r="F41" i="4" l="1"/>
  <c r="H41" i="4" s="1"/>
  <c r="D120" i="7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F42" i="4" l="1"/>
  <c r="H42" i="4" s="1"/>
  <c r="G111" i="7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F43" i="4" l="1"/>
  <c r="H43" i="4" s="1"/>
  <c r="M123" i="7"/>
  <c r="K122" i="7"/>
  <c r="K123" i="7"/>
  <c r="F44" i="4" l="1"/>
  <c r="H44" i="4" s="1"/>
  <c r="D128" i="7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F45" i="4" l="1"/>
  <c r="H45" i="4" s="1"/>
  <c r="G123" i="7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F46" i="4" l="1"/>
  <c r="H46" i="4" s="1"/>
  <c r="M135" i="7"/>
  <c r="K134" i="7"/>
  <c r="K135" i="7"/>
  <c r="F47" i="4" l="1"/>
  <c r="H47" i="4" s="1"/>
  <c r="D144" i="7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F48" i="4" l="1"/>
  <c r="H48" i="4" s="1"/>
  <c r="G135" i="7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F49" i="4" l="1"/>
  <c r="H49" i="4" s="1"/>
  <c r="M147" i="7"/>
  <c r="K146" i="7"/>
  <c r="K147" i="7"/>
  <c r="F50" i="4" l="1"/>
  <c r="H50" i="4" s="1"/>
  <c r="D152" i="7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I50" i="4" l="1"/>
  <c r="P51" i="4"/>
  <c r="N50" i="4"/>
  <c r="G147" i="7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L50" i="4" l="1"/>
  <c r="N51" i="4" s="1"/>
  <c r="D59" i="4" s="1"/>
  <c r="D54" i="4"/>
  <c r="D56" i="4"/>
  <c r="D60" i="4"/>
  <c r="D55" i="4"/>
  <c r="D61" i="4"/>
  <c r="D53" i="4"/>
  <c r="D58" i="4"/>
  <c r="D62" i="4"/>
  <c r="D52" i="4"/>
  <c r="R50" i="4"/>
  <c r="P50" i="4"/>
  <c r="Q50" i="4" s="1"/>
  <c r="K55" i="4" s="1"/>
  <c r="M159" i="7"/>
  <c r="K158" i="7"/>
  <c r="K159" i="7"/>
  <c r="D57" i="4" l="1"/>
  <c r="D51" i="4"/>
  <c r="F51" i="4" s="1"/>
  <c r="M62" i="4" s="1"/>
  <c r="D168" i="7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H51" i="4" l="1"/>
  <c r="F52" i="4" s="1"/>
  <c r="H52" i="4" s="1"/>
  <c r="G159" i="7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F53" i="4" l="1"/>
  <c r="H53" i="4" s="1"/>
  <c r="M171" i="7"/>
  <c r="K170" i="7"/>
  <c r="K171" i="7"/>
  <c r="F54" i="4" l="1"/>
  <c r="H54" i="4" s="1"/>
  <c r="D176" i="7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F55" i="4" l="1"/>
  <c r="H55" i="4" s="1"/>
  <c r="G171" i="7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F56" i="4" l="1"/>
  <c r="H56" i="4" s="1"/>
  <c r="M183" i="7"/>
  <c r="K182" i="7"/>
  <c r="K183" i="7"/>
  <c r="F57" i="4" l="1"/>
  <c r="H57" i="4" s="1"/>
  <c r="D192" i="7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F58" i="4" l="1"/>
  <c r="H58" i="4" s="1"/>
  <c r="G183" i="7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F59" i="4" l="1"/>
  <c r="H59" i="4" s="1"/>
  <c r="M195" i="7"/>
  <c r="K194" i="7"/>
  <c r="K195" i="7"/>
  <c r="F60" i="4" l="1"/>
  <c r="H60" i="4" s="1"/>
  <c r="D200" i="7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F61" i="4" l="1"/>
  <c r="H61" i="4" s="1"/>
  <c r="G195" i="7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F62" i="4" l="1"/>
  <c r="H62" i="4" s="1"/>
  <c r="M207" i="7"/>
  <c r="K206" i="7"/>
  <c r="K207" i="7"/>
  <c r="I62" i="4" l="1"/>
  <c r="P63" i="4"/>
  <c r="N62" i="4"/>
  <c r="M206" i="7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L62" i="4" l="1"/>
  <c r="N63" i="4" s="1"/>
  <c r="D66" i="4" s="1"/>
  <c r="D70" i="4"/>
  <c r="D71" i="4"/>
  <c r="D63" i="4"/>
  <c r="F63" i="4" s="1"/>
  <c r="D64" i="4"/>
  <c r="D65" i="4"/>
  <c r="D74" i="4"/>
  <c r="D73" i="4"/>
  <c r="D69" i="4"/>
  <c r="D67" i="4"/>
  <c r="D72" i="4"/>
  <c r="R62" i="4"/>
  <c r="P62" i="4"/>
  <c r="Q62" i="4" s="1"/>
  <c r="K67" i="4" s="1"/>
  <c r="G207" i="7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D68" i="4" l="1"/>
  <c r="H63" i="4"/>
  <c r="M74" i="4"/>
  <c r="M219" i="7"/>
  <c r="K218" i="7"/>
  <c r="K219" i="7"/>
  <c r="F64" i="4" l="1"/>
  <c r="H64" i="4" s="1"/>
  <c r="D224" i="7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F65" i="4" l="1"/>
  <c r="H65" i="4" s="1"/>
  <c r="G219" i="7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F66" i="4" l="1"/>
  <c r="H66" i="4" s="1"/>
  <c r="M231" i="7"/>
  <c r="K230" i="7"/>
  <c r="K231" i="7"/>
  <c r="F67" i="4" l="1"/>
  <c r="H67" i="4" s="1"/>
  <c r="M230" i="7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F68" i="4" l="1"/>
  <c r="H68" i="4" s="1"/>
  <c r="G231" i="7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F69" i="4" l="1"/>
  <c r="H69" i="4" s="1"/>
  <c r="M243" i="7"/>
  <c r="K242" i="7"/>
  <c r="K243" i="7"/>
  <c r="F70" i="4" l="1"/>
  <c r="H70" i="4" s="1"/>
  <c r="D248" i="7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F71" i="4" l="1"/>
  <c r="H71" i="4" s="1"/>
  <c r="G243" i="7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F72" i="4" l="1"/>
  <c r="H72" i="4" s="1"/>
  <c r="O254" i="7"/>
  <c r="M254" i="7"/>
  <c r="N254" i="7" s="1"/>
  <c r="F73" i="4" l="1"/>
  <c r="H73" i="4" s="1"/>
  <c r="F74" i="4" l="1"/>
  <c r="H74" i="4" s="1"/>
  <c r="I74" i="4" l="1"/>
  <c r="N74" i="4"/>
  <c r="P75" i="4"/>
  <c r="L74" i="4" l="1"/>
  <c r="N75" i="4" s="1"/>
  <c r="D82" i="4" s="1"/>
  <c r="D83" i="4"/>
  <c r="D76" i="4"/>
  <c r="D78" i="4"/>
  <c r="D84" i="4"/>
  <c r="D86" i="4"/>
  <c r="D79" i="4"/>
  <c r="D77" i="4"/>
  <c r="D80" i="4"/>
  <c r="D75" i="4"/>
  <c r="F75" i="4" s="1"/>
  <c r="D85" i="4"/>
  <c r="R74" i="4"/>
  <c r="P74" i="4"/>
  <c r="Q74" i="4" s="1"/>
  <c r="K79" i="4" s="1"/>
  <c r="D81" i="4" l="1"/>
  <c r="H75" i="4"/>
  <c r="M86" i="4"/>
  <c r="F76" i="4" l="1"/>
  <c r="H76" i="4" s="1"/>
  <c r="F77" i="4" l="1"/>
  <c r="H77" i="4" s="1"/>
  <c r="F78" i="4" l="1"/>
  <c r="H78" i="4" s="1"/>
  <c r="F79" i="4" l="1"/>
  <c r="H79" i="4" s="1"/>
  <c r="F80" i="4" l="1"/>
  <c r="H80" i="4" s="1"/>
  <c r="F81" i="4" l="1"/>
  <c r="H81" i="4" s="1"/>
  <c r="F82" i="4" l="1"/>
  <c r="H82" i="4" s="1"/>
  <c r="F83" i="4" l="1"/>
  <c r="H83" i="4" s="1"/>
  <c r="F84" i="4" l="1"/>
  <c r="H84" i="4" s="1"/>
  <c r="F85" i="4" l="1"/>
  <c r="H85" i="4" s="1"/>
  <c r="F86" i="4" l="1"/>
  <c r="H86" i="4" s="1"/>
  <c r="I86" i="4" l="1"/>
  <c r="P87" i="4"/>
  <c r="N86" i="4"/>
  <c r="L86" i="4" l="1"/>
  <c r="N87" i="4" s="1"/>
  <c r="D97" i="4" s="1"/>
  <c r="P86" i="4"/>
  <c r="Q86" i="4" s="1"/>
  <c r="K91" i="4" s="1"/>
  <c r="R86" i="4"/>
  <c r="D95" i="4" l="1"/>
  <c r="D88" i="4"/>
  <c r="D89" i="4"/>
  <c r="D94" i="4"/>
  <c r="D93" i="4"/>
  <c r="D98" i="4"/>
  <c r="D87" i="4"/>
  <c r="F87" i="4" s="1"/>
  <c r="D90" i="4"/>
  <c r="D91" i="4"/>
  <c r="D92" i="4"/>
  <c r="D96" i="4"/>
  <c r="M98" i="4" l="1"/>
  <c r="H87" i="4"/>
  <c r="F88" i="4" s="1"/>
  <c r="H88" i="4" s="1"/>
  <c r="F89" i="4" l="1"/>
  <c r="H89" i="4" s="1"/>
  <c r="F90" i="4" l="1"/>
  <c r="H90" i="4" s="1"/>
  <c r="F91" i="4" l="1"/>
  <c r="H91" i="4" s="1"/>
  <c r="F92" i="4" l="1"/>
  <c r="H92" i="4" s="1"/>
  <c r="F93" i="4" l="1"/>
  <c r="H93" i="4" s="1"/>
  <c r="F94" i="4" l="1"/>
  <c r="H94" i="4" s="1"/>
  <c r="F95" i="4" l="1"/>
  <c r="H95" i="4" s="1"/>
  <c r="F96" i="4" l="1"/>
  <c r="H96" i="4" s="1"/>
  <c r="F97" i="4" l="1"/>
  <c r="H97" i="4" s="1"/>
  <c r="F98" i="4" l="1"/>
  <c r="H98" i="4" s="1"/>
  <c r="I98" i="4" l="1"/>
  <c r="N98" i="4"/>
  <c r="P99" i="4"/>
  <c r="L98" i="4" l="1"/>
  <c r="N99" i="4" s="1"/>
  <c r="D102" i="4" s="1"/>
  <c r="P98" i="4"/>
  <c r="Q98" i="4" s="1"/>
  <c r="K103" i="4" s="1"/>
  <c r="R98" i="4"/>
  <c r="D100" i="4" l="1"/>
  <c r="D109" i="4"/>
  <c r="D103" i="4"/>
  <c r="D105" i="4"/>
  <c r="D110" i="4"/>
  <c r="D107" i="4"/>
  <c r="D104" i="4"/>
  <c r="D99" i="4"/>
  <c r="F99" i="4" s="1"/>
  <c r="H99" i="4" s="1"/>
  <c r="D101" i="4"/>
  <c r="D108" i="4"/>
  <c r="D106" i="4"/>
  <c r="M110" i="4" l="1"/>
  <c r="F100" i="4"/>
  <c r="H100" i="4" s="1"/>
  <c r="F101" i="4" l="1"/>
  <c r="H101" i="4" s="1"/>
  <c r="F102" i="4" l="1"/>
  <c r="H102" i="4" s="1"/>
  <c r="F103" i="4" l="1"/>
  <c r="H103" i="4" s="1"/>
  <c r="F104" i="4" l="1"/>
  <c r="H104" i="4" s="1"/>
  <c r="F105" i="4" l="1"/>
  <c r="H105" i="4" s="1"/>
  <c r="F106" i="4" l="1"/>
  <c r="H106" i="4" s="1"/>
  <c r="F107" i="4" l="1"/>
  <c r="H107" i="4" s="1"/>
  <c r="F108" i="4" l="1"/>
  <c r="H108" i="4" s="1"/>
  <c r="F109" i="4" l="1"/>
  <c r="H109" i="4" s="1"/>
  <c r="F110" i="4" l="1"/>
  <c r="H110" i="4" s="1"/>
  <c r="I110" i="4" l="1"/>
  <c r="P111" i="4"/>
  <c r="N110" i="4"/>
  <c r="L110" i="4" l="1"/>
  <c r="N111" i="4" s="1"/>
  <c r="D121" i="4" s="1"/>
  <c r="D117" i="4"/>
  <c r="D114" i="4"/>
  <c r="D115" i="4"/>
  <c r="D111" i="4"/>
  <c r="F111" i="4" s="1"/>
  <c r="D119" i="4"/>
  <c r="D112" i="4"/>
  <c r="D122" i="4"/>
  <c r="D116" i="4"/>
  <c r="P110" i="4"/>
  <c r="Q110" i="4" s="1"/>
  <c r="K115" i="4" s="1"/>
  <c r="R110" i="4"/>
  <c r="D120" i="4" l="1"/>
  <c r="D118" i="4"/>
  <c r="D113" i="4"/>
  <c r="M122" i="4"/>
  <c r="H111" i="4"/>
  <c r="F112" i="4" l="1"/>
  <c r="H112" i="4" s="1"/>
  <c r="F113" i="4" l="1"/>
  <c r="H113" i="4" s="1"/>
  <c r="F114" i="4" l="1"/>
  <c r="H114" i="4" s="1"/>
  <c r="F115" i="4" l="1"/>
  <c r="H115" i="4" s="1"/>
  <c r="F116" i="4" l="1"/>
  <c r="H116" i="4" s="1"/>
  <c r="F117" i="4" l="1"/>
  <c r="H117" i="4" s="1"/>
  <c r="F118" i="4" l="1"/>
  <c r="H118" i="4" s="1"/>
  <c r="F119" i="4" l="1"/>
  <c r="H119" i="4" s="1"/>
  <c r="F120" i="4" l="1"/>
  <c r="H120" i="4" s="1"/>
  <c r="F121" i="4" l="1"/>
  <c r="H121" i="4" s="1"/>
  <c r="F122" i="4" l="1"/>
  <c r="H122" i="4" s="1"/>
  <c r="I122" i="4" l="1"/>
  <c r="P123" i="4"/>
  <c r="N122" i="4"/>
  <c r="L122" i="4" l="1"/>
  <c r="N123" i="4" s="1"/>
  <c r="D131" i="4" s="1"/>
  <c r="D126" i="4"/>
  <c r="D129" i="4"/>
  <c r="D128" i="4"/>
  <c r="D124" i="4"/>
  <c r="D134" i="4"/>
  <c r="D130" i="4"/>
  <c r="D125" i="4"/>
  <c r="D133" i="4"/>
  <c r="D123" i="4"/>
  <c r="F123" i="4" s="1"/>
  <c r="R122" i="4"/>
  <c r="P122" i="4"/>
  <c r="Q122" i="4" s="1"/>
  <c r="K127" i="4" s="1"/>
  <c r="D132" i="4" l="1"/>
  <c r="D127" i="4"/>
  <c r="M134" i="4"/>
  <c r="H123" i="4"/>
  <c r="F124" i="4" l="1"/>
  <c r="H124" i="4" s="1"/>
  <c r="F125" i="4" l="1"/>
  <c r="H125" i="4" s="1"/>
  <c r="F126" i="4" l="1"/>
  <c r="H126" i="4" s="1"/>
  <c r="F127" i="4" l="1"/>
  <c r="H127" i="4" s="1"/>
  <c r="F128" i="4" l="1"/>
  <c r="H128" i="4" s="1"/>
  <c r="F129" i="4" l="1"/>
  <c r="H129" i="4" s="1"/>
  <c r="F130" i="4" l="1"/>
  <c r="H130" i="4" s="1"/>
  <c r="F131" i="4" l="1"/>
  <c r="H131" i="4" s="1"/>
  <c r="F132" i="4" l="1"/>
  <c r="H132" i="4" s="1"/>
  <c r="F133" i="4" l="1"/>
  <c r="H133" i="4" s="1"/>
  <c r="F134" i="4" l="1"/>
  <c r="H134" i="4" s="1"/>
  <c r="I134" i="4" l="1"/>
  <c r="L134" i="4" s="1"/>
  <c r="N135" i="4" s="1"/>
  <c r="P135" i="4"/>
  <c r="N134" i="4"/>
  <c r="D145" i="4" l="1"/>
  <c r="D142" i="4"/>
  <c r="D135" i="4"/>
  <c r="F135" i="4" s="1"/>
  <c r="D141" i="4"/>
  <c r="D136" i="4"/>
  <c r="D138" i="4"/>
  <c r="D143" i="4"/>
  <c r="D144" i="4"/>
  <c r="D137" i="4"/>
  <c r="D139" i="4"/>
  <c r="D146" i="4"/>
  <c r="D140" i="4"/>
  <c r="R134" i="4"/>
  <c r="P134" i="4"/>
  <c r="Q134" i="4" s="1"/>
  <c r="K139" i="4" s="1"/>
  <c r="H135" i="4" l="1"/>
  <c r="M146" i="4"/>
  <c r="F136" i="4" l="1"/>
  <c r="H136" i="4" s="1"/>
  <c r="F137" i="4" l="1"/>
  <c r="H137" i="4" s="1"/>
  <c r="F138" i="4" l="1"/>
  <c r="H138" i="4" s="1"/>
  <c r="F139" i="4" l="1"/>
  <c r="H139" i="4" s="1"/>
  <c r="F140" i="4" l="1"/>
  <c r="H140" i="4" s="1"/>
  <c r="F141" i="4" l="1"/>
  <c r="H141" i="4" s="1"/>
  <c r="F142" i="4" l="1"/>
  <c r="H142" i="4" s="1"/>
  <c r="F143" i="4" l="1"/>
  <c r="H143" i="4" s="1"/>
  <c r="F144" i="4" l="1"/>
  <c r="H144" i="4" s="1"/>
  <c r="F145" i="4" l="1"/>
  <c r="H145" i="4" s="1"/>
  <c r="F146" i="4" l="1"/>
  <c r="H146" i="4" s="1"/>
  <c r="I146" i="4" l="1"/>
  <c r="L146" i="4" s="1"/>
  <c r="N147" i="4" s="1"/>
  <c r="P147" i="4"/>
  <c r="N146" i="4"/>
  <c r="D154" i="4" l="1"/>
  <c r="D149" i="4"/>
  <c r="D156" i="4"/>
  <c r="D151" i="4"/>
  <c r="D150" i="4"/>
  <c r="D148" i="4"/>
  <c r="D158" i="4"/>
  <c r="D147" i="4"/>
  <c r="F147" i="4" s="1"/>
  <c r="D155" i="4"/>
  <c r="D153" i="4"/>
  <c r="D152" i="4"/>
  <c r="D157" i="4"/>
  <c r="P146" i="4"/>
  <c r="Q146" i="4" s="1"/>
  <c r="K151" i="4" s="1"/>
  <c r="R146" i="4"/>
  <c r="H147" i="4" l="1"/>
  <c r="M158" i="4"/>
  <c r="F148" i="4" l="1"/>
  <c r="H148" i="4" s="1"/>
  <c r="F149" i="4" l="1"/>
  <c r="H149" i="4" s="1"/>
  <c r="F150" i="4" l="1"/>
  <c r="H150" i="4" s="1"/>
  <c r="F151" i="4" l="1"/>
  <c r="H151" i="4" s="1"/>
  <c r="F152" i="4" l="1"/>
  <c r="H152" i="4" s="1"/>
  <c r="F153" i="4" l="1"/>
  <c r="H153" i="4" s="1"/>
  <c r="F154" i="4" l="1"/>
  <c r="H154" i="4" s="1"/>
  <c r="F155" i="4" l="1"/>
  <c r="H155" i="4" s="1"/>
  <c r="F156" i="4" l="1"/>
  <c r="H156" i="4" s="1"/>
  <c r="F157" i="4" l="1"/>
  <c r="H157" i="4" s="1"/>
  <c r="F158" i="4" l="1"/>
  <c r="H158" i="4" s="1"/>
  <c r="I158" i="4" l="1"/>
  <c r="L158" i="4" s="1"/>
  <c r="N159" i="4" s="1"/>
  <c r="P159" i="4"/>
  <c r="N158" i="4"/>
  <c r="D166" i="4" l="1"/>
  <c r="D168" i="4"/>
  <c r="D161" i="4"/>
  <c r="D162" i="4"/>
  <c r="D167" i="4"/>
  <c r="D163" i="4"/>
  <c r="D159" i="4"/>
  <c r="F159" i="4" s="1"/>
  <c r="D165" i="4"/>
  <c r="D160" i="4"/>
  <c r="D170" i="4"/>
  <c r="D164" i="4"/>
  <c r="D169" i="4"/>
  <c r="R158" i="4"/>
  <c r="P158" i="4"/>
  <c r="Q158" i="4" s="1"/>
  <c r="K163" i="4" s="1"/>
  <c r="M170" i="4" l="1"/>
  <c r="H159" i="4"/>
  <c r="F160" i="4" l="1"/>
  <c r="H160" i="4" s="1"/>
  <c r="F161" i="4" l="1"/>
  <c r="H161" i="4" s="1"/>
  <c r="F162" i="4" l="1"/>
  <c r="H162" i="4" s="1"/>
  <c r="F163" i="4" l="1"/>
  <c r="H163" i="4" s="1"/>
  <c r="F164" i="4" l="1"/>
  <c r="H164" i="4" s="1"/>
  <c r="F165" i="4" l="1"/>
  <c r="H165" i="4" s="1"/>
  <c r="F166" i="4" l="1"/>
  <c r="H166" i="4" s="1"/>
  <c r="F167" i="4" l="1"/>
  <c r="H167" i="4" s="1"/>
  <c r="F168" i="4" l="1"/>
  <c r="H168" i="4" s="1"/>
  <c r="F169" i="4" l="1"/>
  <c r="H169" i="4" s="1"/>
  <c r="F170" i="4" l="1"/>
  <c r="H170" i="4" s="1"/>
  <c r="I170" i="4" l="1"/>
  <c r="L170" i="4" s="1"/>
  <c r="N171" i="4" s="1"/>
  <c r="P171" i="4"/>
  <c r="N170" i="4"/>
  <c r="P170" i="4" l="1"/>
  <c r="Q170" i="4" s="1"/>
  <c r="K175" i="4" s="1"/>
  <c r="R170" i="4"/>
  <c r="D178" i="4"/>
  <c r="D173" i="4"/>
  <c r="D171" i="4"/>
  <c r="F171" i="4" s="1"/>
  <c r="D180" i="4"/>
  <c r="D175" i="4"/>
  <c r="D174" i="4"/>
  <c r="D172" i="4"/>
  <c r="D176" i="4"/>
  <c r="D177" i="4"/>
  <c r="D182" i="4"/>
  <c r="D179" i="4"/>
  <c r="D181" i="4"/>
  <c r="H171" i="4" l="1"/>
  <c r="M182" i="4"/>
  <c r="F172" i="4" l="1"/>
  <c r="H172" i="4" s="1"/>
  <c r="F173" i="4" l="1"/>
  <c r="H173" i="4" s="1"/>
  <c r="F174" i="4" l="1"/>
  <c r="H174" i="4" s="1"/>
  <c r="F175" i="4" l="1"/>
  <c r="H175" i="4" s="1"/>
  <c r="F176" i="4" l="1"/>
  <c r="H176" i="4" s="1"/>
  <c r="F177" i="4" l="1"/>
  <c r="H177" i="4" s="1"/>
  <c r="F178" i="4" l="1"/>
  <c r="H178" i="4" s="1"/>
  <c r="F179" i="4" l="1"/>
  <c r="H179" i="4" s="1"/>
  <c r="F180" i="4" l="1"/>
  <c r="H180" i="4" s="1"/>
  <c r="F181" i="4" l="1"/>
  <c r="H181" i="4" s="1"/>
  <c r="F182" i="4" l="1"/>
  <c r="H182" i="4" s="1"/>
  <c r="I182" i="4" l="1"/>
  <c r="L182" i="4" s="1"/>
  <c r="N183" i="4" s="1"/>
  <c r="N182" i="4"/>
  <c r="P183" i="4"/>
  <c r="D193" i="4" l="1"/>
  <c r="D190" i="4"/>
  <c r="D184" i="4"/>
  <c r="D192" i="4"/>
  <c r="D185" i="4"/>
  <c r="D186" i="4"/>
  <c r="D187" i="4"/>
  <c r="D183" i="4"/>
  <c r="F183" i="4" s="1"/>
  <c r="D189" i="4"/>
  <c r="D191" i="4"/>
  <c r="D194" i="4"/>
  <c r="D188" i="4"/>
  <c r="P182" i="4"/>
  <c r="Q182" i="4" s="1"/>
  <c r="K187" i="4" s="1"/>
  <c r="R182" i="4"/>
  <c r="H183" i="4" l="1"/>
  <c r="M194" i="4"/>
  <c r="F184" i="4" l="1"/>
  <c r="H184" i="4" s="1"/>
  <c r="F185" i="4" l="1"/>
  <c r="H185" i="4" s="1"/>
  <c r="F186" i="4" l="1"/>
  <c r="H186" i="4" s="1"/>
  <c r="F187" i="4" l="1"/>
  <c r="H187" i="4" s="1"/>
  <c r="F188" i="4" l="1"/>
  <c r="H188" i="4" s="1"/>
  <c r="F189" i="4" l="1"/>
  <c r="H189" i="4" s="1"/>
  <c r="F190" i="4" l="1"/>
  <c r="H190" i="4" s="1"/>
  <c r="F191" i="4" l="1"/>
  <c r="H191" i="4" s="1"/>
  <c r="F192" i="4" l="1"/>
  <c r="H192" i="4" s="1"/>
  <c r="F193" i="4" l="1"/>
  <c r="H193" i="4" s="1"/>
  <c r="F194" i="4" l="1"/>
  <c r="H194" i="4" s="1"/>
  <c r="I194" i="4" l="1"/>
  <c r="L194" i="4" s="1"/>
  <c r="N194" i="4"/>
  <c r="P194" i="4" l="1"/>
  <c r="Q194" i="4" s="1"/>
  <c r="R194" i="4"/>
</calcChain>
</file>

<file path=xl/sharedStrings.xml><?xml version="1.0" encoding="utf-8"?>
<sst xmlns="http://schemas.openxmlformats.org/spreadsheetml/2006/main" count="207" uniqueCount="178">
  <si>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</si>
  <si>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</si>
  <si>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</si>
  <si>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</si>
  <si>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</si>
  <si>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</si>
  <si>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</si>
  <si>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</si>
  <si>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</si>
  <si>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</si>
  <si>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</si>
  <si>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</si>
  <si>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</si>
  <si>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</si>
  <si>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</si>
  <si>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</si>
  <si>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</si>
  <si>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</si>
  <si>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</si>
  <si>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</si>
  <si>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</si>
  <si>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</si>
  <si>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</si>
  <si>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</si>
  <si>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</si>
  <si>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</si>
  <si>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</si>
  <si>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</si>
  <si>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</si>
  <si>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</si>
  <si>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</si>
  <si>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</si>
  <si>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</si>
  <si>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</si>
  <si>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</si>
  <si>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</si>
  <si>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</si>
  <si>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</si>
  <si>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</si>
  <si>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</si>
  <si>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</si>
  <si>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</si>
  <si>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</si>
  <si>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</si>
  <si>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</si>
  <si>
    <t>10월 현재 매매법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</si>
  <si>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</si>
  <si>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</si>
  <si>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</si>
  <si>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</si>
  <si>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</si>
  <si>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</si>
  <si>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</si>
  <si>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</si>
  <si>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</si>
  <si>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</si>
  <si>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</si>
  <si>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</si>
  <si>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</si>
  <si>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</si>
  <si>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</si>
  <si>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</si>
  <si>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</si>
  <si>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</si>
  <si>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</si>
  <si>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</si>
  <si>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</si>
  <si>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</si>
  <si>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</si>
  <si>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</si>
  <si>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</si>
  <si>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</si>
  <si>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</si>
  <si>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</si>
  <si>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</si>
  <si>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</si>
  <si>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</si>
  <si>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</si>
  <si>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</si>
  <si>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3.01</t>
  </si>
  <si>
    <t>3.33</t>
  </si>
  <si>
    <t>3.49</t>
  </si>
  <si>
    <t>3.69</t>
  </si>
  <si>
    <t>3.92</t>
  </si>
  <si>
    <t>4.33</t>
  </si>
  <si>
    <t>4.35</t>
  </si>
  <si>
    <t>4.47</t>
  </si>
  <si>
    <t>AAA</t>
  </si>
  <si>
    <t>3.85</t>
  </si>
  <si>
    <t>4.36</t>
  </si>
  <si>
    <t>4.78</t>
  </si>
  <si>
    <t>4.97</t>
  </si>
  <si>
    <t>5.20</t>
  </si>
  <si>
    <t>5.41</t>
  </si>
  <si>
    <t>5.46</t>
  </si>
  <si>
    <t>5.53</t>
  </si>
  <si>
    <t>AA+</t>
  </si>
  <si>
    <t>3.93</t>
  </si>
  <si>
    <t>4.45</t>
  </si>
  <si>
    <t>4.84</t>
  </si>
  <si>
    <t>5.02</t>
  </si>
  <si>
    <t>5.25</t>
  </si>
  <si>
    <t>5.45</t>
  </si>
  <si>
    <t>5.51</t>
  </si>
  <si>
    <t>5.59</t>
  </si>
  <si>
    <t>AA</t>
  </si>
  <si>
    <t>3.98</t>
  </si>
  <si>
    <t>4.49</t>
  </si>
  <si>
    <t>4.89</t>
  </si>
  <si>
    <t>5.06</t>
  </si>
  <si>
    <t>5.28</t>
  </si>
  <si>
    <t>5.50</t>
  </si>
  <si>
    <t>5.56</t>
  </si>
  <si>
    <t>5.65</t>
  </si>
  <si>
    <t>AA-</t>
  </si>
  <si>
    <t>4.00</t>
  </si>
  <si>
    <t>4.51</t>
  </si>
  <si>
    <t>4.91</t>
  </si>
  <si>
    <t>5.09</t>
  </si>
  <si>
    <t>5.31</t>
  </si>
  <si>
    <t>5.55</t>
  </si>
  <si>
    <t>5.61</t>
  </si>
  <si>
    <t>5.76</t>
  </si>
  <si>
    <t>A+</t>
  </si>
  <si>
    <t>4.19</t>
  </si>
  <si>
    <t>4.68</t>
  </si>
  <si>
    <t>5.08</t>
  </si>
  <si>
    <t>5.24</t>
  </si>
  <si>
    <t>5.75</t>
  </si>
  <si>
    <t>6.14</t>
  </si>
  <si>
    <t>A</t>
  </si>
  <si>
    <t>4.83</t>
  </si>
  <si>
    <t>5.42</t>
  </si>
  <si>
    <t>5.64</t>
  </si>
  <si>
    <t>5.86</t>
  </si>
  <si>
    <t>6.07</t>
  </si>
  <si>
    <t>6.59</t>
  </si>
  <si>
    <t>A-</t>
  </si>
  <si>
    <t>4.54</t>
  </si>
  <si>
    <t>5.48</t>
  </si>
  <si>
    <t>5.67</t>
  </si>
  <si>
    <t>5.92</t>
  </si>
  <si>
    <t>6.22</t>
  </si>
  <si>
    <t>6.52</t>
  </si>
  <si>
    <t>7.19</t>
  </si>
  <si>
    <t>BBB+</t>
  </si>
  <si>
    <t>5.19</t>
  </si>
  <si>
    <t>6.00</t>
  </si>
  <si>
    <t>6.74</t>
  </si>
  <si>
    <t>7.11</t>
  </si>
  <si>
    <t>7.71</t>
  </si>
  <si>
    <t>8.44</t>
  </si>
  <si>
    <t>9.07</t>
  </si>
  <si>
    <t>9.27</t>
  </si>
  <si>
    <t>BBB</t>
  </si>
  <si>
    <t>5.57</t>
  </si>
  <si>
    <t>6.50</t>
  </si>
  <si>
    <t>7.32</t>
  </si>
  <si>
    <t>7.78</t>
  </si>
  <si>
    <t>8.52</t>
  </si>
  <si>
    <t>9.38</t>
  </si>
  <si>
    <t>10.12</t>
  </si>
  <si>
    <t>10.32</t>
  </si>
  <si>
    <t>BBB-</t>
  </si>
  <si>
    <t>6.24</t>
  </si>
  <si>
    <t>7.30</t>
  </si>
  <si>
    <t>8.25</t>
  </si>
  <si>
    <t>8.77</t>
  </si>
  <si>
    <t>9.63</t>
  </si>
  <si>
    <t>10.53</t>
  </si>
  <si>
    <t>11.48</t>
  </si>
  <si>
    <t>11.74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</si>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</sst>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₩&quot;#,##0"/>
    <numFmt numFmtId="177" formatCode="&quot;₩&quot;#,##0_);[Red]\(&quot;₩&quot;#,##0\)"/>
    <numFmt numFmtId="178" formatCode="&quot;₩&quot;#,##0.00"/>
    <numFmt numFmtId="179" formatCode="0_ "/>
    <numFmt numFmtId="180" formatCode="#,##0.00000_ "/>
    <numFmt numFmtId="181" formatCode="0.00000_ 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1" borderId="9" applyNumberFormat="0" applyAlignment="0" applyProtection="0">
      <alignment vertical="center"/>
    </xf>
    <xf numFmtId="0" fontId="11" fillId="12" borderId="10" applyNumberFormat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4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7" fontId="0" fillId="8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8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8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40" borderId="1" xfId="0" applyNumberFormat="1" applyFont="1" applyFill="1" applyBorder="1" applyAlignment="1">
      <alignment horizontal="center" vertical="center" wrapText="1"/>
    </xf>
    <xf numFmtId="49" fontId="21" fillId="40" borderId="1" xfId="0" applyNumberFormat="1" applyFont="1" applyFill="1" applyBorder="1" applyAlignment="1">
      <alignment horizontal="left" vertical="center" wrapText="1"/>
    </xf>
    <xf numFmtId="179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1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80" fontId="0" fillId="0" borderId="5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22" fillId="39" borderId="15" xfId="0" applyFont="1" applyFill="1" applyBorder="1" applyAlignment="1">
      <alignment horizontal="center" vertical="center" wrapText="1"/>
    </xf>
    <xf numFmtId="49" fontId="21" fillId="40" borderId="15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E11" sqref="E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8"/>
      <c r="B1" s="38"/>
      <c r="C1" s="38"/>
      <c r="D1" s="28" t="s">
        <v>21</v>
      </c>
      <c r="E1" s="28" t="s">
        <v>25</v>
      </c>
      <c r="F1" s="28" t="s">
        <v>22</v>
      </c>
      <c r="G1" s="28" t="s">
        <v>23</v>
      </c>
      <c r="H1" s="28" t="s">
        <v>20</v>
      </c>
      <c r="I1" s="39" t="s">
        <v>26</v>
      </c>
      <c r="N1" s="25" t="s">
        <v>2</v>
      </c>
    </row>
    <row r="2" spans="1:16" x14ac:dyDescent="0.3">
      <c r="A2" s="38" t="s">
        <v>24</v>
      </c>
      <c r="B2" s="38"/>
      <c r="C2" s="38"/>
      <c r="D2" s="38"/>
      <c r="E2" s="38">
        <v>0</v>
      </c>
      <c r="F2" s="38"/>
      <c r="G2" s="38">
        <v>0</v>
      </c>
      <c r="H2" s="38"/>
      <c r="I2" s="40"/>
    </row>
    <row r="3" spans="1:16" s="18" customFormat="1" x14ac:dyDescent="0.3">
      <c r="A3" s="18">
        <v>1</v>
      </c>
      <c r="B3" s="82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82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82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82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82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7"/>
      <c r="P7" s="19"/>
    </row>
    <row r="8" spans="1:16" s="18" customFormat="1" x14ac:dyDescent="0.3">
      <c r="B8" s="82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82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82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82"/>
      <c r="C11" s="8">
        <v>9</v>
      </c>
      <c r="D11" s="9">
        <v>1800000</v>
      </c>
      <c r="E11" s="9">
        <f t="shared" si="0"/>
        <v>15998650.084591899</v>
      </c>
      <c r="F11" s="8">
        <v>1.7999999999999999E-2</v>
      </c>
      <c r="G11" s="9">
        <f t="shared" si="1"/>
        <v>16286625.786114553</v>
      </c>
      <c r="H11" s="9"/>
      <c r="I11" s="10">
        <v>0</v>
      </c>
      <c r="P11" s="9"/>
    </row>
    <row r="12" spans="1:16" s="12" customFormat="1" x14ac:dyDescent="0.3">
      <c r="B12" s="82"/>
      <c r="C12" s="12">
        <v>10</v>
      </c>
      <c r="D12" s="13">
        <v>4500000</v>
      </c>
      <c r="E12" s="13">
        <f t="shared" si="0"/>
        <v>20786625.786114551</v>
      </c>
      <c r="F12" s="12">
        <v>1.7999999999999999E-2</v>
      </c>
      <c r="G12" s="13">
        <f t="shared" si="1"/>
        <v>21160785.050264612</v>
      </c>
      <c r="H12" s="13"/>
      <c r="I12" s="14">
        <v>0</v>
      </c>
      <c r="P12" s="13"/>
    </row>
    <row r="13" spans="1:16" s="8" customFormat="1" x14ac:dyDescent="0.3">
      <c r="B13" s="82"/>
      <c r="C13" s="8">
        <v>11</v>
      </c>
      <c r="D13" s="9">
        <v>2500000</v>
      </c>
      <c r="E13" s="9">
        <f t="shared" si="0"/>
        <v>23660785.050264612</v>
      </c>
      <c r="F13" s="8">
        <v>1.7999999999999999E-2</v>
      </c>
      <c r="G13" s="9">
        <f t="shared" si="1"/>
        <v>24086679.181169376</v>
      </c>
      <c r="H13" s="9"/>
      <c r="I13" s="10">
        <v>0</v>
      </c>
      <c r="P13" s="9"/>
    </row>
    <row r="14" spans="1:16" s="18" customFormat="1" x14ac:dyDescent="0.3">
      <c r="B14" s="82"/>
      <c r="C14" s="18">
        <v>12</v>
      </c>
      <c r="D14" s="19">
        <v>2500000</v>
      </c>
      <c r="E14" s="19">
        <f t="shared" si="0"/>
        <v>26586679.181169376</v>
      </c>
      <c r="F14" s="18">
        <v>1.7999999999999999E-2</v>
      </c>
      <c r="G14" s="19">
        <f t="shared" si="1"/>
        <v>27065239.406430423</v>
      </c>
      <c r="H14" s="19"/>
      <c r="I14" s="10">
        <v>0</v>
      </c>
      <c r="J14" s="19">
        <f xml:space="preserve"> (G2 + SUM(D3:D14)) - SUM(I3:I14)</f>
        <v>24663456</v>
      </c>
      <c r="K14" s="19">
        <f xml:space="preserve"> G14 - J14</f>
        <v>2401783.4064304233</v>
      </c>
      <c r="L14" s="18">
        <v>0.84</v>
      </c>
      <c r="M14" s="19">
        <f xml:space="preserve"> K14 * L14</f>
        <v>2017498.0614015555</v>
      </c>
      <c r="N14" s="19">
        <f xml:space="preserve"> K14 - M14</f>
        <v>384285.34502886771</v>
      </c>
      <c r="O14" s="18">
        <f xml:space="preserve"> K14 / J14 * 100</f>
        <v>9.7382273045205956</v>
      </c>
      <c r="P14" s="19"/>
    </row>
    <row r="15" spans="1:16" s="8" customFormat="1" x14ac:dyDescent="0.3">
      <c r="A15" s="8">
        <v>2</v>
      </c>
      <c r="B15" s="82">
        <v>2023</v>
      </c>
      <c r="C15" s="8">
        <v>1</v>
      </c>
      <c r="D15" s="9">
        <f xml:space="preserve"> K15</f>
        <v>3627718.3086012676</v>
      </c>
      <c r="E15" s="9">
        <f xml:space="preserve"> (G14 / 2) + D15 - I15</f>
        <v>17160338.011816479</v>
      </c>
      <c r="F15" s="8">
        <v>1.7999999999999999E-2</v>
      </c>
      <c r="G15" s="9">
        <f xml:space="preserve"> (E15 * F15) + E15</f>
        <v>17469224.096029177</v>
      </c>
      <c r="H15" s="9"/>
      <c r="I15" s="10">
        <v>0</v>
      </c>
      <c r="K15" s="11">
        <f xml:space="preserve"> (G14 / 2 / 12) +2500000</f>
        <v>3627718.3086012676</v>
      </c>
      <c r="M15" s="9">
        <f xml:space="preserve"> (G14 / 2 )</f>
        <v>13532619.703215212</v>
      </c>
      <c r="P15" s="9"/>
    </row>
    <row r="16" spans="1:16" s="8" customFormat="1" x14ac:dyDescent="0.3">
      <c r="B16" s="82"/>
      <c r="C16" s="8">
        <v>2</v>
      </c>
      <c r="D16" s="9">
        <f xml:space="preserve"> K15</f>
        <v>3627718.3086012676</v>
      </c>
      <c r="E16" s="9">
        <f t="shared" ref="E16:E26" si="2" xml:space="preserve"> G15 + D16 - I16</f>
        <v>21096942.404630445</v>
      </c>
      <c r="F16" s="8">
        <v>1.7999999999999999E-2</v>
      </c>
      <c r="G16" s="9">
        <f xml:space="preserve"> (E16 * F16) + E16</f>
        <v>21476687.367913794</v>
      </c>
      <c r="H16" s="9"/>
      <c r="I16" s="10">
        <v>0</v>
      </c>
      <c r="P16" s="9"/>
    </row>
    <row r="17" spans="1:16" s="8" customFormat="1" x14ac:dyDescent="0.3">
      <c r="B17" s="82"/>
      <c r="C17" s="8">
        <v>3</v>
      </c>
      <c r="D17" s="9">
        <f xml:space="preserve"> K15</f>
        <v>3627718.3086012676</v>
      </c>
      <c r="E17" s="9">
        <f t="shared" si="2"/>
        <v>25104405.676515061</v>
      </c>
      <c r="F17" s="8">
        <v>1.7999999999999999E-2</v>
      </c>
      <c r="G17" s="9">
        <f xml:space="preserve"> (E17 * F17) + E17</f>
        <v>25556284.978692334</v>
      </c>
      <c r="H17" s="9"/>
      <c r="I17" s="10">
        <v>0</v>
      </c>
      <c r="P17" s="9"/>
    </row>
    <row r="18" spans="1:16" s="8" customFormat="1" x14ac:dyDescent="0.3">
      <c r="B18" s="82"/>
      <c r="C18" s="8">
        <v>4</v>
      </c>
      <c r="D18" s="9">
        <f xml:space="preserve"> K15</f>
        <v>3627718.3086012676</v>
      </c>
      <c r="E18" s="9">
        <f t="shared" si="2"/>
        <v>29184003.287293602</v>
      </c>
      <c r="F18" s="8">
        <v>1.7999999999999999E-2</v>
      </c>
      <c r="G18" s="9">
        <f t="shared" ref="G18:G26" si="3" xml:space="preserve"> (E18 * F18) + E18</f>
        <v>29709315.346464887</v>
      </c>
      <c r="H18" s="9"/>
      <c r="I18" s="10">
        <v>0</v>
      </c>
      <c r="P18" s="9"/>
    </row>
    <row r="19" spans="1:16" s="8" customFormat="1" x14ac:dyDescent="0.3">
      <c r="B19" s="82"/>
      <c r="C19" s="8">
        <v>5</v>
      </c>
      <c r="D19" s="9">
        <f xml:space="preserve"> K15</f>
        <v>3627718.3086012676</v>
      </c>
      <c r="E19" s="9">
        <f t="shared" si="2"/>
        <v>32952748.310037289</v>
      </c>
      <c r="F19" s="8">
        <v>1.7999999999999999E-2</v>
      </c>
      <c r="G19" s="9">
        <f t="shared" si="3"/>
        <v>33545897.779617961</v>
      </c>
      <c r="H19" s="9"/>
      <c r="I19" s="10">
        <f xml:space="preserve"> N14</f>
        <v>384285.34502886771</v>
      </c>
      <c r="P19" s="9"/>
    </row>
    <row r="20" spans="1:16" s="8" customFormat="1" x14ac:dyDescent="0.3">
      <c r="B20" s="82"/>
      <c r="C20" s="8">
        <v>6</v>
      </c>
      <c r="D20" s="9">
        <f xml:space="preserve"> K15</f>
        <v>3627718.3086012676</v>
      </c>
      <c r="E20" s="9">
        <f t="shared" si="2"/>
        <v>37173616.088219225</v>
      </c>
      <c r="F20" s="8">
        <v>1.7999999999999999E-2</v>
      </c>
      <c r="G20" s="9">
        <f t="shared" si="3"/>
        <v>37842741.177807175</v>
      </c>
      <c r="H20" s="9"/>
      <c r="I20" s="10">
        <v>0</v>
      </c>
      <c r="P20" s="9"/>
    </row>
    <row r="21" spans="1:16" s="8" customFormat="1" x14ac:dyDescent="0.3">
      <c r="B21" s="82"/>
      <c r="C21" s="8">
        <v>7</v>
      </c>
      <c r="D21" s="9">
        <f xml:space="preserve"> K15</f>
        <v>3627718.3086012676</v>
      </c>
      <c r="E21" s="9">
        <f t="shared" si="2"/>
        <v>41470459.486408442</v>
      </c>
      <c r="F21" s="8">
        <v>1.7999999999999999E-2</v>
      </c>
      <c r="G21" s="9">
        <f t="shared" si="3"/>
        <v>42216927.757163793</v>
      </c>
      <c r="H21" s="9"/>
      <c r="I21" s="10">
        <v>0</v>
      </c>
      <c r="P21" s="9"/>
    </row>
    <row r="22" spans="1:16" s="8" customFormat="1" x14ac:dyDescent="0.3">
      <c r="B22" s="82"/>
      <c r="C22" s="8">
        <v>8</v>
      </c>
      <c r="D22" s="9">
        <f xml:space="preserve"> K15</f>
        <v>3627718.3086012676</v>
      </c>
      <c r="E22" s="9">
        <f t="shared" si="2"/>
        <v>45844646.06576506</v>
      </c>
      <c r="F22" s="8">
        <v>1.7999999999999999E-2</v>
      </c>
      <c r="G22" s="9">
        <f t="shared" si="3"/>
        <v>46669849.69494883</v>
      </c>
      <c r="H22" s="9"/>
      <c r="I22" s="10">
        <v>0</v>
      </c>
      <c r="P22" s="9"/>
    </row>
    <row r="23" spans="1:16" s="8" customFormat="1" x14ac:dyDescent="0.3">
      <c r="B23" s="82"/>
      <c r="C23" s="8">
        <v>9</v>
      </c>
      <c r="D23" s="9">
        <f xml:space="preserve"> K15</f>
        <v>3627718.3086012676</v>
      </c>
      <c r="E23" s="9">
        <f t="shared" si="2"/>
        <v>50297568.003550097</v>
      </c>
      <c r="F23" s="8">
        <v>1.7999999999999999E-2</v>
      </c>
      <c r="G23" s="9">
        <f t="shared" si="3"/>
        <v>51202924.227614</v>
      </c>
      <c r="H23" s="9"/>
      <c r="I23" s="10">
        <v>0</v>
      </c>
      <c r="P23" s="9"/>
    </row>
    <row r="24" spans="1:16" s="8" customFormat="1" x14ac:dyDescent="0.3">
      <c r="B24" s="82"/>
      <c r="C24" s="8">
        <v>10</v>
      </c>
      <c r="D24" s="9">
        <f xml:space="preserve"> K15</f>
        <v>3627718.3086012676</v>
      </c>
      <c r="E24" s="9">
        <f t="shared" si="2"/>
        <v>54830642.536215268</v>
      </c>
      <c r="F24" s="8">
        <v>1.7999999999999999E-2</v>
      </c>
      <c r="G24" s="9">
        <f t="shared" si="3"/>
        <v>55817594.101867139</v>
      </c>
      <c r="H24" s="9"/>
      <c r="I24" s="10">
        <v>0</v>
      </c>
      <c r="P24" s="9"/>
    </row>
    <row r="25" spans="1:16" s="8" customFormat="1" x14ac:dyDescent="0.3">
      <c r="B25" s="82"/>
      <c r="C25" s="8">
        <v>11</v>
      </c>
      <c r="D25" s="9">
        <f xml:space="preserve"> K15</f>
        <v>3627718.3086012676</v>
      </c>
      <c r="E25" s="9">
        <f t="shared" si="2"/>
        <v>59445312.410468407</v>
      </c>
      <c r="F25" s="8">
        <v>1.7999999999999999E-2</v>
      </c>
      <c r="G25" s="9">
        <f t="shared" si="3"/>
        <v>60515328.033856839</v>
      </c>
      <c r="H25" s="9"/>
      <c r="I25" s="10">
        <v>0</v>
      </c>
      <c r="P25" s="9"/>
    </row>
    <row r="26" spans="1:16" s="18" customFormat="1" x14ac:dyDescent="0.3">
      <c r="B26" s="82"/>
      <c r="C26" s="18">
        <v>12</v>
      </c>
      <c r="D26" s="19">
        <f xml:space="preserve"> K15</f>
        <v>3627718.3086012676</v>
      </c>
      <c r="E26" s="19">
        <f t="shared" si="2"/>
        <v>19143046.342458107</v>
      </c>
      <c r="F26" s="18">
        <v>1.7999999999999999E-2</v>
      </c>
      <c r="G26" s="19">
        <f t="shared" si="3"/>
        <v>19487621.176622353</v>
      </c>
      <c r="H26" s="19"/>
      <c r="I26" s="20">
        <v>45000000</v>
      </c>
      <c r="J26" s="19">
        <f xml:space="preserve"> (E15 + SUM(D16:D26)) - SUM(I15:I26)</f>
        <v>11680954.061401553</v>
      </c>
      <c r="K26" s="19">
        <f xml:space="preserve"> G26 - J26</f>
        <v>7806667.1152208</v>
      </c>
      <c r="L26" s="18">
        <v>0.84</v>
      </c>
      <c r="M26" s="19">
        <f xml:space="preserve"> K26 * L26</f>
        <v>6557600.376785472</v>
      </c>
      <c r="N26" s="19">
        <f xml:space="preserve"> K26 - M26</f>
        <v>1249066.738435328</v>
      </c>
      <c r="O26" s="18">
        <f xml:space="preserve"> K26 / J26 * 100</f>
        <v>66.832444286525245</v>
      </c>
      <c r="P26" s="19"/>
    </row>
    <row r="27" spans="1:16" s="8" customFormat="1" x14ac:dyDescent="0.3">
      <c r="A27" s="8">
        <v>3</v>
      </c>
      <c r="B27" s="82">
        <v>2024</v>
      </c>
      <c r="C27" s="8">
        <v>1</v>
      </c>
      <c r="D27" s="9">
        <f>K27</f>
        <v>3311984.2156925979</v>
      </c>
      <c r="E27" s="9">
        <f xml:space="preserve"> (G26 / 2) + D27 - I27</f>
        <v>13055794.804003775</v>
      </c>
      <c r="F27" s="8">
        <v>1.7999999999999999E-2</v>
      </c>
      <c r="G27" s="9">
        <f xml:space="preserve"> (E27 * F27) + E27</f>
        <v>13290799.110475844</v>
      </c>
      <c r="H27" s="9"/>
      <c r="I27" s="10">
        <v>0</v>
      </c>
      <c r="K27" s="11">
        <f xml:space="preserve"> (G26 / 2 / 12) +2500000</f>
        <v>3311984.2156925979</v>
      </c>
      <c r="M27" s="9">
        <f xml:space="preserve"> (G26 / 2 )</f>
        <v>9743810.5883111767</v>
      </c>
      <c r="P27" s="9"/>
    </row>
    <row r="28" spans="1:16" s="33" customFormat="1" x14ac:dyDescent="0.3">
      <c r="A28" s="36" t="s">
        <v>39</v>
      </c>
      <c r="B28" s="82"/>
      <c r="C28" s="33">
        <v>2</v>
      </c>
      <c r="D28" s="34">
        <f>K27</f>
        <v>3311984.2156925979</v>
      </c>
      <c r="E28" s="34">
        <f t="shared" ref="E28:E38" si="4" xml:space="preserve"> G27 + D28 - I28</f>
        <v>16602783.326168442</v>
      </c>
      <c r="F28" s="33">
        <v>1.7999999999999999E-2</v>
      </c>
      <c r="G28" s="34">
        <f xml:space="preserve"> (E28 * F28) + E28</f>
        <v>16901633.426039472</v>
      </c>
      <c r="H28" s="34"/>
      <c r="I28" s="35">
        <v>0</v>
      </c>
      <c r="P28" s="34"/>
    </row>
    <row r="29" spans="1:16" s="8" customFormat="1" x14ac:dyDescent="0.3">
      <c r="B29" s="82"/>
      <c r="C29" s="8">
        <v>3</v>
      </c>
      <c r="D29" s="9">
        <f>K27</f>
        <v>3311984.2156925979</v>
      </c>
      <c r="E29" s="9">
        <f t="shared" si="4"/>
        <v>20213617.641732071</v>
      </c>
      <c r="F29" s="8">
        <v>1.7999999999999999E-2</v>
      </c>
      <c r="G29" s="9">
        <f xml:space="preserve"> (E29 * F29) + E29</f>
        <v>20577462.759283248</v>
      </c>
      <c r="H29" s="9"/>
      <c r="I29" s="10">
        <v>0</v>
      </c>
      <c r="P29" s="9"/>
    </row>
    <row r="30" spans="1:16" s="8" customFormat="1" x14ac:dyDescent="0.3">
      <c r="B30" s="82"/>
      <c r="C30" s="8">
        <v>4</v>
      </c>
      <c r="D30" s="9">
        <f>K27</f>
        <v>3311984.2156925979</v>
      </c>
      <c r="E30" s="9">
        <f t="shared" si="4"/>
        <v>23889446.974975847</v>
      </c>
      <c r="F30" s="8">
        <v>1.7999999999999999E-2</v>
      </c>
      <c r="G30" s="9">
        <f t="shared" ref="G30:G93" si="5" xml:space="preserve"> (E30 * F30) + E30</f>
        <v>24319457.020525411</v>
      </c>
      <c r="H30" s="9"/>
      <c r="I30" s="10">
        <v>0</v>
      </c>
      <c r="P30" s="9"/>
    </row>
    <row r="31" spans="1:16" s="8" customFormat="1" x14ac:dyDescent="0.3">
      <c r="B31" s="82"/>
      <c r="C31" s="8">
        <v>5</v>
      </c>
      <c r="D31" s="9">
        <f>K27</f>
        <v>3311984.2156925979</v>
      </c>
      <c r="E31" s="9">
        <f t="shared" si="4"/>
        <v>26382374.497782681</v>
      </c>
      <c r="F31" s="8">
        <v>1.7999999999999999E-2</v>
      </c>
      <c r="G31" s="9">
        <f t="shared" si="5"/>
        <v>26857257.238742769</v>
      </c>
      <c r="H31" s="9"/>
      <c r="I31" s="10">
        <f xml:space="preserve"> N26</f>
        <v>1249066.738435328</v>
      </c>
      <c r="P31" s="9"/>
    </row>
    <row r="32" spans="1:16" s="8" customFormat="1" x14ac:dyDescent="0.3">
      <c r="B32" s="82"/>
      <c r="C32" s="8">
        <v>6</v>
      </c>
      <c r="D32" s="9">
        <f>K27</f>
        <v>3311984.2156925979</v>
      </c>
      <c r="E32" s="9">
        <f t="shared" si="4"/>
        <v>30169241.454435367</v>
      </c>
      <c r="F32" s="8">
        <v>1.7999999999999999E-2</v>
      </c>
      <c r="G32" s="9">
        <f t="shared" si="5"/>
        <v>30712287.800615203</v>
      </c>
      <c r="H32" s="9"/>
      <c r="I32" s="10">
        <v>0</v>
      </c>
      <c r="P32" s="9"/>
    </row>
    <row r="33" spans="1:16" s="8" customFormat="1" x14ac:dyDescent="0.3">
      <c r="B33" s="82"/>
      <c r="C33" s="8">
        <v>7</v>
      </c>
      <c r="D33" s="9">
        <f>K27</f>
        <v>3311984.2156925979</v>
      </c>
      <c r="E33" s="9">
        <f t="shared" si="4"/>
        <v>34024272.016307801</v>
      </c>
      <c r="F33" s="8">
        <v>1.7999999999999999E-2</v>
      </c>
      <c r="G33" s="9">
        <f t="shared" si="5"/>
        <v>34636708.912601344</v>
      </c>
      <c r="H33" s="9"/>
      <c r="I33" s="10">
        <v>0</v>
      </c>
      <c r="P33" s="9"/>
    </row>
    <row r="34" spans="1:16" s="8" customFormat="1" x14ac:dyDescent="0.3">
      <c r="B34" s="82"/>
      <c r="C34" s="8">
        <v>8</v>
      </c>
      <c r="D34" s="9">
        <f>K27</f>
        <v>3311984.2156925979</v>
      </c>
      <c r="E34" s="9">
        <f t="shared" si="4"/>
        <v>37948693.128293939</v>
      </c>
      <c r="F34" s="8">
        <v>1.7999999999999999E-2</v>
      </c>
      <c r="G34" s="9">
        <f t="shared" si="5"/>
        <v>38631769.604603231</v>
      </c>
      <c r="H34" s="9"/>
      <c r="I34" s="10">
        <v>0</v>
      </c>
      <c r="P34" s="9"/>
    </row>
    <row r="35" spans="1:16" s="8" customFormat="1" x14ac:dyDescent="0.3">
      <c r="B35" s="82"/>
      <c r="C35" s="8">
        <v>9</v>
      </c>
      <c r="D35" s="9">
        <f>K27</f>
        <v>3311984.2156925979</v>
      </c>
      <c r="E35" s="9">
        <f t="shared" si="4"/>
        <v>41943753.820295826</v>
      </c>
      <c r="F35" s="8">
        <v>1.7999999999999999E-2</v>
      </c>
      <c r="G35" s="9">
        <f t="shared" si="5"/>
        <v>42698741.389061153</v>
      </c>
      <c r="H35" s="9"/>
      <c r="I35" s="10">
        <v>0</v>
      </c>
      <c r="P35" s="9"/>
    </row>
    <row r="36" spans="1:16" s="8" customFormat="1" x14ac:dyDescent="0.3">
      <c r="B36" s="82"/>
      <c r="C36" s="8">
        <v>10</v>
      </c>
      <c r="D36" s="9">
        <f>K27</f>
        <v>3311984.2156925979</v>
      </c>
      <c r="E36" s="9">
        <f t="shared" si="4"/>
        <v>46010725.604753748</v>
      </c>
      <c r="F36" s="8">
        <v>1.7999999999999999E-2</v>
      </c>
      <c r="G36" s="9">
        <f t="shared" si="5"/>
        <v>46838918.665639319</v>
      </c>
      <c r="H36" s="9"/>
      <c r="I36" s="10">
        <v>0</v>
      </c>
      <c r="P36" s="9"/>
    </row>
    <row r="37" spans="1:16" s="8" customFormat="1" x14ac:dyDescent="0.3">
      <c r="B37" s="82"/>
      <c r="C37" s="8">
        <v>11</v>
      </c>
      <c r="D37" s="9">
        <f>K27</f>
        <v>3311984.2156925979</v>
      </c>
      <c r="E37" s="9">
        <f t="shared" si="4"/>
        <v>50150902.881331913</v>
      </c>
      <c r="F37" s="8">
        <v>1.7999999999999999E-2</v>
      </c>
      <c r="G37" s="9">
        <f t="shared" si="5"/>
        <v>51053619.133195885</v>
      </c>
      <c r="H37" s="9"/>
      <c r="I37" s="10">
        <v>0</v>
      </c>
      <c r="P37" s="9"/>
    </row>
    <row r="38" spans="1:16" s="18" customFormat="1" x14ac:dyDescent="0.3">
      <c r="B38" s="82"/>
      <c r="C38" s="18">
        <v>12</v>
      </c>
      <c r="D38" s="19">
        <f>K27</f>
        <v>3311984.2156925979</v>
      </c>
      <c r="E38" s="19">
        <f t="shared" si="4"/>
        <v>54365603.348888479</v>
      </c>
      <c r="F38" s="18">
        <v>1.7999999999999999E-2</v>
      </c>
      <c r="G38" s="19">
        <f t="shared" si="5"/>
        <v>55344184.209168471</v>
      </c>
      <c r="H38" s="19"/>
      <c r="I38" s="20">
        <v>0</v>
      </c>
      <c r="J38" s="19">
        <f xml:space="preserve"> (E27 + SUM(D28:D38)) - SUM(I27:I38)</f>
        <v>48238554.438187025</v>
      </c>
      <c r="K38" s="19">
        <f xml:space="preserve"> G38 - J38</f>
        <v>7105629.7709814459</v>
      </c>
      <c r="L38" s="18">
        <v>0.84</v>
      </c>
      <c r="M38" s="19">
        <f xml:space="preserve"> K38 * L38</f>
        <v>5968729.0076244147</v>
      </c>
      <c r="N38" s="19">
        <f xml:space="preserve"> K38 - M38</f>
        <v>1136900.7633570312</v>
      </c>
      <c r="O38" s="18">
        <f xml:space="preserve"> K38 / J38 * 100</f>
        <v>14.730188028512782</v>
      </c>
      <c r="P38" s="19"/>
    </row>
    <row r="39" spans="1:16" s="8" customFormat="1" x14ac:dyDescent="0.3">
      <c r="A39" s="8">
        <v>4</v>
      </c>
      <c r="B39" s="82">
        <v>2025</v>
      </c>
      <c r="C39" s="8">
        <v>1</v>
      </c>
      <c r="D39" s="9">
        <f>K39</f>
        <v>4806007.67538202</v>
      </c>
      <c r="E39" s="9">
        <f xml:space="preserve"> (G38 / 2) + D39 - I39</f>
        <v>32478099.779966258</v>
      </c>
      <c r="F39" s="8">
        <v>1.7999999999999999E-2</v>
      </c>
      <c r="G39" s="9">
        <f t="shared" si="5"/>
        <v>33062705.576005649</v>
      </c>
      <c r="H39" s="9"/>
      <c r="I39" s="10">
        <v>0</v>
      </c>
      <c r="K39" s="11">
        <f xml:space="preserve"> ((G38 - I39) / 2 / 12) +2500000</f>
        <v>4806007.67538202</v>
      </c>
      <c r="M39" s="9">
        <f xml:space="preserve"> (G38 / 2 )</f>
        <v>27672092.104584236</v>
      </c>
      <c r="P39" s="9"/>
    </row>
    <row r="40" spans="1:16" s="8" customFormat="1" x14ac:dyDescent="0.3">
      <c r="B40" s="82"/>
      <c r="C40" s="8">
        <v>2</v>
      </c>
      <c r="D40" s="9">
        <f>K39</f>
        <v>4806007.67538202</v>
      </c>
      <c r="E40" s="9">
        <f t="shared" ref="E40:E50" si="6" xml:space="preserve"> G39 + D40 - I40</f>
        <v>37868713.251387671</v>
      </c>
      <c r="F40" s="8">
        <v>1.7999999999999999E-2</v>
      </c>
      <c r="G40" s="9">
        <f t="shared" si="5"/>
        <v>38550350.089912646</v>
      </c>
      <c r="H40" s="9"/>
      <c r="I40" s="10">
        <v>0</v>
      </c>
      <c r="P40" s="9"/>
    </row>
    <row r="41" spans="1:16" s="8" customFormat="1" x14ac:dyDescent="0.3">
      <c r="B41" s="82"/>
      <c r="C41" s="8">
        <v>3</v>
      </c>
      <c r="D41" s="9">
        <f>K39</f>
        <v>4806007.67538202</v>
      </c>
      <c r="E41" s="9">
        <f t="shared" si="6"/>
        <v>43356357.765294664</v>
      </c>
      <c r="F41" s="8">
        <v>1.7999999999999999E-2</v>
      </c>
      <c r="G41" s="9">
        <f t="shared" si="5"/>
        <v>44136772.205069967</v>
      </c>
      <c r="H41" s="9"/>
      <c r="I41" s="10">
        <v>0</v>
      </c>
      <c r="P41" s="9"/>
    </row>
    <row r="42" spans="1:16" s="8" customFormat="1" x14ac:dyDescent="0.3">
      <c r="B42" s="82"/>
      <c r="C42" s="8">
        <v>4</v>
      </c>
      <c r="D42" s="9">
        <f>K39</f>
        <v>4806007.67538202</v>
      </c>
      <c r="E42" s="9">
        <f t="shared" si="6"/>
        <v>48942779.880451985</v>
      </c>
      <c r="F42" s="8">
        <v>1.7999999999999999E-2</v>
      </c>
      <c r="G42" s="9">
        <f t="shared" si="5"/>
        <v>49823749.918300122</v>
      </c>
      <c r="H42" s="9"/>
      <c r="I42" s="10">
        <v>0</v>
      </c>
      <c r="P42" s="9"/>
    </row>
    <row r="43" spans="1:16" s="8" customFormat="1" x14ac:dyDescent="0.3">
      <c r="B43" s="82"/>
      <c r="C43" s="8">
        <v>5</v>
      </c>
      <c r="D43" s="9">
        <f>K39</f>
        <v>4806007.67538202</v>
      </c>
      <c r="E43" s="9">
        <f t="shared" si="6"/>
        <v>53492856.830325112</v>
      </c>
      <c r="F43" s="8">
        <v>1.7999999999999999E-2</v>
      </c>
      <c r="G43" s="9">
        <f t="shared" si="5"/>
        <v>54455728.253270961</v>
      </c>
      <c r="H43" s="9"/>
      <c r="I43" s="10">
        <f xml:space="preserve"> N38</f>
        <v>1136900.7633570312</v>
      </c>
      <c r="P43" s="9"/>
    </row>
    <row r="44" spans="1:16" s="8" customFormat="1" x14ac:dyDescent="0.3">
      <c r="B44" s="82"/>
      <c r="C44" s="8">
        <v>6</v>
      </c>
      <c r="D44" s="9">
        <f>K39</f>
        <v>4806007.67538202</v>
      </c>
      <c r="E44" s="9">
        <f t="shared" si="6"/>
        <v>59261735.928652979</v>
      </c>
      <c r="F44" s="8">
        <v>1.7999999999999999E-2</v>
      </c>
      <c r="G44" s="9">
        <f t="shared" si="5"/>
        <v>60328447.175368734</v>
      </c>
      <c r="H44" s="9"/>
      <c r="I44" s="10">
        <v>0</v>
      </c>
      <c r="P44" s="9"/>
    </row>
    <row r="45" spans="1:16" s="8" customFormat="1" x14ac:dyDescent="0.3">
      <c r="B45" s="82"/>
      <c r="C45" s="8">
        <v>7</v>
      </c>
      <c r="D45" s="9">
        <f>K39</f>
        <v>4806007.67538202</v>
      </c>
      <c r="E45" s="9">
        <f t="shared" si="6"/>
        <v>65134454.850750752</v>
      </c>
      <c r="F45" s="8">
        <v>1.7999999999999999E-2</v>
      </c>
      <c r="G45" s="9">
        <f t="shared" si="5"/>
        <v>66306875.038064264</v>
      </c>
      <c r="H45" s="9"/>
      <c r="I45" s="10">
        <v>0</v>
      </c>
      <c r="P45" s="9"/>
    </row>
    <row r="46" spans="1:16" s="8" customFormat="1" x14ac:dyDescent="0.3">
      <c r="B46" s="82"/>
      <c r="C46" s="8">
        <v>8</v>
      </c>
      <c r="D46" s="9">
        <f>K39</f>
        <v>4806007.67538202</v>
      </c>
      <c r="E46" s="9">
        <f t="shared" si="6"/>
        <v>71112882.713446289</v>
      </c>
      <c r="F46" s="8">
        <v>1.7999999999999999E-2</v>
      </c>
      <c r="G46" s="9">
        <f t="shared" si="5"/>
        <v>72392914.602288321</v>
      </c>
      <c r="H46" s="9"/>
      <c r="I46" s="10">
        <v>0</v>
      </c>
      <c r="P46" s="9"/>
    </row>
    <row r="47" spans="1:16" s="8" customFormat="1" x14ac:dyDescent="0.3">
      <c r="B47" s="82"/>
      <c r="C47" s="8">
        <v>9</v>
      </c>
      <c r="D47" s="9">
        <f>K39</f>
        <v>4806007.67538202</v>
      </c>
      <c r="E47" s="9">
        <f t="shared" si="6"/>
        <v>77198922.277670339</v>
      </c>
      <c r="F47" s="8">
        <v>1.7999999999999999E-2</v>
      </c>
      <c r="G47" s="9">
        <f t="shared" si="5"/>
        <v>78588502.878668398</v>
      </c>
      <c r="H47" s="9"/>
      <c r="I47" s="10">
        <v>0</v>
      </c>
      <c r="P47" s="9"/>
    </row>
    <row r="48" spans="1:16" s="8" customFormat="1" x14ac:dyDescent="0.3">
      <c r="B48" s="82"/>
      <c r="C48" s="8">
        <v>10</v>
      </c>
      <c r="D48" s="9">
        <f>K39</f>
        <v>4806007.67538202</v>
      </c>
      <c r="E48" s="9">
        <f t="shared" si="6"/>
        <v>83394510.554050416</v>
      </c>
      <c r="F48" s="8">
        <v>1.7999999999999999E-2</v>
      </c>
      <c r="G48" s="9">
        <f t="shared" si="5"/>
        <v>84895611.744023323</v>
      </c>
      <c r="H48" s="9"/>
      <c r="I48" s="10">
        <v>0</v>
      </c>
      <c r="P48" s="9"/>
    </row>
    <row r="49" spans="1:16" s="8" customFormat="1" x14ac:dyDescent="0.3">
      <c r="B49" s="82"/>
      <c r="C49" s="8">
        <v>11</v>
      </c>
      <c r="D49" s="9">
        <f>K39</f>
        <v>4806007.67538202</v>
      </c>
      <c r="E49" s="9">
        <f t="shared" si="6"/>
        <v>89701619.419405341</v>
      </c>
      <c r="F49" s="8">
        <v>1.7999999999999999E-2</v>
      </c>
      <c r="G49" s="9">
        <f t="shared" si="5"/>
        <v>91316248.568954632</v>
      </c>
      <c r="H49" s="9"/>
      <c r="I49" s="10">
        <v>0</v>
      </c>
      <c r="P49" s="9"/>
    </row>
    <row r="50" spans="1:16" s="18" customFormat="1" x14ac:dyDescent="0.3">
      <c r="B50" s="82"/>
      <c r="C50" s="18">
        <v>12</v>
      </c>
      <c r="D50" s="19">
        <f>K39</f>
        <v>4806007.67538202</v>
      </c>
      <c r="E50" s="19">
        <f t="shared" si="6"/>
        <v>96122256.24433665</v>
      </c>
      <c r="F50" s="18">
        <v>1.7999999999999999E-2</v>
      </c>
      <c r="G50" s="19">
        <f t="shared" si="5"/>
        <v>97852456.856734708</v>
      </c>
      <c r="H50" s="19"/>
      <c r="I50" s="10">
        <v>0</v>
      </c>
      <c r="J50" s="19">
        <f xml:space="preserve"> (E39 + SUM(D40:D50)) - SUM(I40:I50)</f>
        <v>84207283.445811436</v>
      </c>
      <c r="K50" s="19">
        <f xml:space="preserve"> G50 - J50</f>
        <v>13645173.410923272</v>
      </c>
      <c r="L50" s="18">
        <v>0.84</v>
      </c>
      <c r="M50" s="19">
        <f xml:space="preserve"> K50 * L50</f>
        <v>11461945.665175548</v>
      </c>
      <c r="N50" s="19">
        <f xml:space="preserve"> K50 - M50</f>
        <v>2183227.7457477245</v>
      </c>
      <c r="O50" s="18">
        <f xml:space="preserve"> K50 / J50 * 100</f>
        <v>16.204267436918485</v>
      </c>
      <c r="P50" s="19"/>
    </row>
    <row r="51" spans="1:16" s="8" customFormat="1" x14ac:dyDescent="0.3">
      <c r="A51" s="8">
        <v>5</v>
      </c>
      <c r="B51" s="82">
        <v>2026</v>
      </c>
      <c r="C51" s="8">
        <v>1</v>
      </c>
      <c r="D51" s="9">
        <f xml:space="preserve"> K51</f>
        <v>6577185.7023639455</v>
      </c>
      <c r="E51" s="9">
        <f xml:space="preserve"> (G50 / 2) + D51 - I51</f>
        <v>55503414.1307313</v>
      </c>
      <c r="F51" s="8">
        <v>1.7999999999999999E-2</v>
      </c>
      <c r="G51" s="9">
        <f t="shared" si="5"/>
        <v>56502475.585084461</v>
      </c>
      <c r="H51" s="9"/>
      <c r="I51" s="10">
        <v>0</v>
      </c>
      <c r="K51" s="11">
        <f xml:space="preserve"> ((G50 - I51) / 2 / 12) +2500000</f>
        <v>6577185.7023639455</v>
      </c>
      <c r="M51" s="9">
        <f xml:space="preserve"> (G50 / 2 )</f>
        <v>48926228.428367354</v>
      </c>
      <c r="P51" s="9"/>
    </row>
    <row r="52" spans="1:16" s="8" customFormat="1" x14ac:dyDescent="0.3">
      <c r="B52" s="82"/>
      <c r="C52" s="8">
        <v>2</v>
      </c>
      <c r="D52" s="9">
        <f xml:space="preserve"> K51</f>
        <v>6577185.7023639455</v>
      </c>
      <c r="E52" s="9">
        <f t="shared" ref="E52:E62" si="7" xml:space="preserve"> G51 + D52 - I52</f>
        <v>63079661.287448406</v>
      </c>
      <c r="F52" s="8">
        <v>1.7999999999999999E-2</v>
      </c>
      <c r="G52" s="9">
        <f t="shared" si="5"/>
        <v>64215095.190622479</v>
      </c>
      <c r="H52" s="9"/>
      <c r="I52" s="10">
        <v>0</v>
      </c>
      <c r="P52" s="9"/>
    </row>
    <row r="53" spans="1:16" s="8" customFormat="1" x14ac:dyDescent="0.3">
      <c r="B53" s="82"/>
      <c r="C53" s="8">
        <v>3</v>
      </c>
      <c r="D53" s="9">
        <f xml:space="preserve"> K51</f>
        <v>6577185.7023639455</v>
      </c>
      <c r="E53" s="9">
        <f t="shared" si="7"/>
        <v>70792280.892986417</v>
      </c>
      <c r="F53" s="8">
        <v>1.7999999999999999E-2</v>
      </c>
      <c r="G53" s="9">
        <f t="shared" si="5"/>
        <v>72066541.949060172</v>
      </c>
      <c r="H53" s="9"/>
      <c r="I53" s="10">
        <v>0</v>
      </c>
      <c r="P53" s="9"/>
    </row>
    <row r="54" spans="1:16" s="8" customFormat="1" x14ac:dyDescent="0.3">
      <c r="B54" s="82"/>
      <c r="C54" s="8">
        <v>4</v>
      </c>
      <c r="D54" s="9">
        <f xml:space="preserve"> K51</f>
        <v>6577185.7023639455</v>
      </c>
      <c r="E54" s="9">
        <f t="shared" si="7"/>
        <v>78643727.65142411</v>
      </c>
      <c r="F54" s="8">
        <v>1.7999999999999999E-2</v>
      </c>
      <c r="G54" s="9">
        <f t="shared" si="5"/>
        <v>80059314.74914974</v>
      </c>
      <c r="H54" s="9"/>
      <c r="I54" s="10">
        <v>0</v>
      </c>
      <c r="P54" s="9"/>
    </row>
    <row r="55" spans="1:16" s="8" customFormat="1" x14ac:dyDescent="0.3">
      <c r="B55" s="82"/>
      <c r="C55" s="8">
        <v>5</v>
      </c>
      <c r="D55" s="9">
        <f xml:space="preserve"> K51</f>
        <v>6577185.7023639455</v>
      </c>
      <c r="E55" s="9">
        <f t="shared" si="7"/>
        <v>84453272.705765948</v>
      </c>
      <c r="F55" s="8">
        <v>1.7999999999999999E-2</v>
      </c>
      <c r="G55" s="9">
        <f t="shared" si="5"/>
        <v>85973431.614469737</v>
      </c>
      <c r="H55" s="9"/>
      <c r="I55" s="10">
        <f xml:space="preserve"> N50</f>
        <v>2183227.7457477245</v>
      </c>
      <c r="P55" s="9"/>
    </row>
    <row r="56" spans="1:16" s="8" customFormat="1" x14ac:dyDescent="0.3">
      <c r="B56" s="82"/>
      <c r="C56" s="8">
        <v>6</v>
      </c>
      <c r="D56" s="9">
        <f xml:space="preserve"> K51</f>
        <v>6577185.7023639455</v>
      </c>
      <c r="E56" s="9">
        <f t="shared" si="7"/>
        <v>92550617.316833675</v>
      </c>
      <c r="F56" s="8">
        <v>1.7999999999999999E-2</v>
      </c>
      <c r="G56" s="9">
        <f t="shared" si="5"/>
        <v>94216528.428536683</v>
      </c>
      <c r="H56" s="9"/>
      <c r="I56" s="10">
        <v>0</v>
      </c>
      <c r="P56" s="9"/>
    </row>
    <row r="57" spans="1:16" s="8" customFormat="1" x14ac:dyDescent="0.3">
      <c r="B57" s="82"/>
      <c r="C57" s="8">
        <v>7</v>
      </c>
      <c r="D57" s="9">
        <f xml:space="preserve"> K51</f>
        <v>6577185.7023639455</v>
      </c>
      <c r="E57" s="9">
        <f t="shared" si="7"/>
        <v>100793714.13090062</v>
      </c>
      <c r="F57" s="8">
        <v>1.7999999999999999E-2</v>
      </c>
      <c r="G57" s="9">
        <f t="shared" si="5"/>
        <v>102608000.98525684</v>
      </c>
      <c r="H57" s="9"/>
      <c r="I57" s="10">
        <v>0</v>
      </c>
      <c r="P57" s="9"/>
    </row>
    <row r="58" spans="1:16" s="8" customFormat="1" x14ac:dyDescent="0.3">
      <c r="B58" s="82"/>
      <c r="C58" s="8">
        <v>8</v>
      </c>
      <c r="D58" s="9">
        <f xml:space="preserve"> K51</f>
        <v>6577185.7023639455</v>
      </c>
      <c r="E58" s="9">
        <f t="shared" si="7"/>
        <v>109185186.68762079</v>
      </c>
      <c r="F58" s="8">
        <v>1.7999999999999999E-2</v>
      </c>
      <c r="G58" s="9">
        <f t="shared" si="5"/>
        <v>111150520.04799797</v>
      </c>
      <c r="H58" s="9"/>
      <c r="I58" s="10">
        <v>0</v>
      </c>
      <c r="P58" s="9"/>
    </row>
    <row r="59" spans="1:16" s="8" customFormat="1" x14ac:dyDescent="0.3">
      <c r="B59" s="82"/>
      <c r="C59" s="8">
        <v>9</v>
      </c>
      <c r="D59" s="9">
        <f xml:space="preserve"> K51</f>
        <v>6577185.7023639455</v>
      </c>
      <c r="E59" s="9">
        <f t="shared" si="7"/>
        <v>117727705.75036192</v>
      </c>
      <c r="F59" s="8">
        <v>1.7999999999999999E-2</v>
      </c>
      <c r="G59" s="9">
        <f t="shared" si="5"/>
        <v>119846804.45386843</v>
      </c>
      <c r="H59" s="9"/>
      <c r="I59" s="10">
        <v>0</v>
      </c>
      <c r="P59" s="9"/>
    </row>
    <row r="60" spans="1:16" s="8" customFormat="1" x14ac:dyDescent="0.3">
      <c r="B60" s="82"/>
      <c r="C60" s="8">
        <v>10</v>
      </c>
      <c r="D60" s="9">
        <f xml:space="preserve"> K51</f>
        <v>6577185.7023639455</v>
      </c>
      <c r="E60" s="9">
        <f t="shared" si="7"/>
        <v>126423990.15623239</v>
      </c>
      <c r="F60" s="8">
        <v>1.7999999999999999E-2</v>
      </c>
      <c r="G60" s="9">
        <f t="shared" si="5"/>
        <v>128699621.97904457</v>
      </c>
      <c r="H60" s="9"/>
      <c r="I60" s="10">
        <v>0</v>
      </c>
      <c r="P60" s="9"/>
    </row>
    <row r="61" spans="1:16" s="8" customFormat="1" x14ac:dyDescent="0.3">
      <c r="B61" s="82"/>
      <c r="C61" s="8">
        <v>11</v>
      </c>
      <c r="D61" s="9">
        <f xml:space="preserve"> K51</f>
        <v>6577185.7023639455</v>
      </c>
      <c r="E61" s="9">
        <f t="shared" si="7"/>
        <v>135276807.68140852</v>
      </c>
      <c r="F61" s="8">
        <v>1.7999999999999999E-2</v>
      </c>
      <c r="G61" s="9">
        <f t="shared" si="5"/>
        <v>137711790.21967387</v>
      </c>
      <c r="H61" s="9"/>
      <c r="I61" s="10">
        <v>0</v>
      </c>
      <c r="P61" s="9"/>
    </row>
    <row r="62" spans="1:16" s="18" customFormat="1" x14ac:dyDescent="0.3">
      <c r="B62" s="82"/>
      <c r="C62" s="18">
        <v>12</v>
      </c>
      <c r="D62" s="19">
        <f xml:space="preserve"> K51</f>
        <v>6577185.7023639455</v>
      </c>
      <c r="E62" s="19">
        <f t="shared" si="7"/>
        <v>144288975.92203781</v>
      </c>
      <c r="F62" s="18">
        <v>1.7999999999999999E-2</v>
      </c>
      <c r="G62" s="19">
        <f t="shared" si="5"/>
        <v>146886177.4886345</v>
      </c>
      <c r="H62" s="19"/>
      <c r="I62" s="20">
        <v>0</v>
      </c>
      <c r="J62" s="19">
        <f xml:space="preserve"> (E51 + SUM(D52:D62)) - SUM(I52:I62)</f>
        <v>125669229.11098698</v>
      </c>
      <c r="K62" s="19">
        <f xml:space="preserve"> G62 - J62</f>
        <v>21216948.377647519</v>
      </c>
      <c r="L62" s="18">
        <v>0.84</v>
      </c>
      <c r="M62" s="19">
        <f xml:space="preserve"> K62 * L62</f>
        <v>17822236.637223914</v>
      </c>
      <c r="N62" s="19">
        <f xml:space="preserve"> K62 - M62</f>
        <v>3394711.7404236048</v>
      </c>
      <c r="O62" s="18">
        <f xml:space="preserve"> K62 / J62 * 100</f>
        <v>16.883169036478613</v>
      </c>
      <c r="P62" s="19"/>
    </row>
    <row r="63" spans="1:16" s="8" customFormat="1" x14ac:dyDescent="0.3">
      <c r="A63" s="8">
        <v>6</v>
      </c>
      <c r="B63" s="82">
        <v>2027</v>
      </c>
      <c r="C63" s="8">
        <v>1</v>
      </c>
      <c r="D63" s="9">
        <f>K63</f>
        <v>8620257.3953597695</v>
      </c>
      <c r="E63" s="9">
        <f xml:space="preserve"> (G62 / 2) + D63 - I63</f>
        <v>82063346.139677018</v>
      </c>
      <c r="F63" s="8">
        <v>1.7999999999999999E-2</v>
      </c>
      <c r="G63" s="9">
        <f t="shared" si="5"/>
        <v>83540486.370191202</v>
      </c>
      <c r="H63" s="9"/>
      <c r="I63" s="10">
        <v>0</v>
      </c>
      <c r="K63" s="11">
        <f xml:space="preserve"> ((G62 - I63) / 2 / 12) +2500000</f>
        <v>8620257.3953597695</v>
      </c>
      <c r="M63" s="9">
        <f xml:space="preserve"> (G62 / 2 )</f>
        <v>73443088.744317248</v>
      </c>
      <c r="P63" s="9"/>
    </row>
    <row r="64" spans="1:16" s="8" customFormat="1" x14ac:dyDescent="0.3">
      <c r="B64" s="82"/>
      <c r="C64" s="8">
        <v>2</v>
      </c>
      <c r="D64" s="9">
        <f>K63</f>
        <v>8620257.3953597695</v>
      </c>
      <c r="E64" s="9">
        <f t="shared" ref="E64:E74" si="8" xml:space="preserve"> G63 + D64 - I64</f>
        <v>92160743.765550971</v>
      </c>
      <c r="F64" s="8">
        <v>1.7999999999999999E-2</v>
      </c>
      <c r="G64" s="9">
        <f t="shared" si="5"/>
        <v>93819637.153330892</v>
      </c>
      <c r="H64" s="9"/>
      <c r="I64" s="10">
        <v>0</v>
      </c>
      <c r="P64" s="9"/>
    </row>
    <row r="65" spans="1:16" s="8" customFormat="1" x14ac:dyDescent="0.3">
      <c r="B65" s="82"/>
      <c r="C65" s="8">
        <v>3</v>
      </c>
      <c r="D65" s="9">
        <f>K63</f>
        <v>8620257.3953597695</v>
      </c>
      <c r="E65" s="9">
        <f t="shared" si="8"/>
        <v>102439894.54869066</v>
      </c>
      <c r="F65" s="8">
        <v>1.7999999999999999E-2</v>
      </c>
      <c r="G65" s="9">
        <f t="shared" si="5"/>
        <v>104283812.6505671</v>
      </c>
      <c r="H65" s="9"/>
      <c r="I65" s="10">
        <v>0</v>
      </c>
      <c r="P65" s="9"/>
    </row>
    <row r="66" spans="1:16" s="8" customFormat="1" x14ac:dyDescent="0.3">
      <c r="B66" s="82"/>
      <c r="C66" s="8">
        <v>4</v>
      </c>
      <c r="D66" s="9">
        <f>K63</f>
        <v>8620257.3953597695</v>
      </c>
      <c r="E66" s="9">
        <f t="shared" si="8"/>
        <v>112904070.04592687</v>
      </c>
      <c r="F66" s="8">
        <v>1.7999999999999999E-2</v>
      </c>
      <c r="G66" s="9">
        <f t="shared" si="5"/>
        <v>114936343.30675355</v>
      </c>
      <c r="H66" s="9"/>
      <c r="I66" s="10">
        <v>0</v>
      </c>
      <c r="P66" s="9"/>
    </row>
    <row r="67" spans="1:16" s="8" customFormat="1" x14ac:dyDescent="0.3">
      <c r="B67" s="82"/>
      <c r="C67" s="8">
        <v>5</v>
      </c>
      <c r="D67" s="9">
        <f>K63</f>
        <v>8620257.3953597695</v>
      </c>
      <c r="E67" s="9">
        <f t="shared" si="8"/>
        <v>120161888.96168971</v>
      </c>
      <c r="F67" s="8">
        <v>1.7999999999999999E-2</v>
      </c>
      <c r="G67" s="9">
        <f t="shared" si="5"/>
        <v>122324802.96300012</v>
      </c>
      <c r="H67" s="9"/>
      <c r="I67" s="10">
        <f xml:space="preserve"> N62</f>
        <v>3394711.7404236048</v>
      </c>
      <c r="P67" s="9"/>
    </row>
    <row r="68" spans="1:16" s="8" customFormat="1" x14ac:dyDescent="0.3">
      <c r="B68" s="82"/>
      <c r="C68" s="8">
        <v>6</v>
      </c>
      <c r="D68" s="9">
        <f>K63</f>
        <v>8620257.3953597695</v>
      </c>
      <c r="E68" s="9">
        <f t="shared" si="8"/>
        <v>130945060.35835989</v>
      </c>
      <c r="F68" s="8">
        <v>1.7999999999999999E-2</v>
      </c>
      <c r="G68" s="9">
        <f t="shared" si="5"/>
        <v>133302071.44481036</v>
      </c>
      <c r="H68" s="9"/>
      <c r="I68" s="10">
        <f xml:space="preserve"> N63</f>
        <v>0</v>
      </c>
      <c r="P68" s="9"/>
    </row>
    <row r="69" spans="1:16" s="8" customFormat="1" x14ac:dyDescent="0.3">
      <c r="B69" s="82"/>
      <c r="C69" s="8">
        <v>7</v>
      </c>
      <c r="D69" s="9">
        <f>K63</f>
        <v>8620257.3953597695</v>
      </c>
      <c r="E69" s="9">
        <f t="shared" si="8"/>
        <v>141922328.84017015</v>
      </c>
      <c r="F69" s="8">
        <v>1.7999999999999999E-2</v>
      </c>
      <c r="G69" s="9">
        <f t="shared" si="5"/>
        <v>144476930.7592932</v>
      </c>
      <c r="H69" s="9"/>
      <c r="I69" s="10">
        <v>0</v>
      </c>
      <c r="P69" s="9"/>
    </row>
    <row r="70" spans="1:16" s="8" customFormat="1" x14ac:dyDescent="0.3">
      <c r="B70" s="82"/>
      <c r="C70" s="8">
        <v>8</v>
      </c>
      <c r="D70" s="9">
        <f>K63</f>
        <v>8620257.3953597695</v>
      </c>
      <c r="E70" s="9">
        <f t="shared" si="8"/>
        <v>153097188.15465295</v>
      </c>
      <c r="F70" s="8">
        <v>1.7999999999999999E-2</v>
      </c>
      <c r="G70" s="9">
        <f t="shared" si="5"/>
        <v>155852937.5414367</v>
      </c>
      <c r="H70" s="9"/>
      <c r="I70" s="10">
        <v>0</v>
      </c>
      <c r="P70" s="9"/>
    </row>
    <row r="71" spans="1:16" s="8" customFormat="1" x14ac:dyDescent="0.3">
      <c r="B71" s="82"/>
      <c r="C71" s="8">
        <v>9</v>
      </c>
      <c r="D71" s="9">
        <f>K63</f>
        <v>8620257.3953597695</v>
      </c>
      <c r="E71" s="9">
        <f t="shared" si="8"/>
        <v>164473194.93679649</v>
      </c>
      <c r="F71" s="8">
        <v>1.7999999999999999E-2</v>
      </c>
      <c r="G71" s="9">
        <f t="shared" si="5"/>
        <v>167433712.44565883</v>
      </c>
      <c r="H71" s="9"/>
      <c r="I71" s="10">
        <v>0</v>
      </c>
      <c r="P71" s="9"/>
    </row>
    <row r="72" spans="1:16" s="8" customFormat="1" x14ac:dyDescent="0.3">
      <c r="B72" s="82"/>
      <c r="C72" s="8">
        <v>10</v>
      </c>
      <c r="D72" s="9">
        <f>K63</f>
        <v>8620257.3953597695</v>
      </c>
      <c r="E72" s="9">
        <f t="shared" si="8"/>
        <v>176053969.84101862</v>
      </c>
      <c r="F72" s="8">
        <v>1.7999999999999999E-2</v>
      </c>
      <c r="G72" s="9">
        <f t="shared" si="5"/>
        <v>179222941.29815695</v>
      </c>
      <c r="H72" s="9"/>
      <c r="I72" s="10">
        <v>0</v>
      </c>
      <c r="P72" s="9"/>
    </row>
    <row r="73" spans="1:16" s="8" customFormat="1" x14ac:dyDescent="0.3">
      <c r="B73" s="82"/>
      <c r="C73" s="8">
        <v>11</v>
      </c>
      <c r="D73" s="9">
        <f>K63</f>
        <v>8620257.3953597695</v>
      </c>
      <c r="E73" s="9">
        <f t="shared" si="8"/>
        <v>187843198.69351673</v>
      </c>
      <c r="F73" s="8">
        <v>1.7999999999999999E-2</v>
      </c>
      <c r="G73" s="9">
        <f t="shared" si="5"/>
        <v>191224376.27000004</v>
      </c>
      <c r="H73" s="9"/>
      <c r="I73" s="10">
        <v>0</v>
      </c>
      <c r="P73" s="9"/>
    </row>
    <row r="74" spans="1:16" s="18" customFormat="1" x14ac:dyDescent="0.3">
      <c r="B74" s="82"/>
      <c r="C74" s="18">
        <v>12</v>
      </c>
      <c r="D74" s="19">
        <f>K63</f>
        <v>8620257.3953597695</v>
      </c>
      <c r="E74" s="19">
        <f t="shared" si="8"/>
        <v>199844633.6653598</v>
      </c>
      <c r="F74" s="18">
        <v>1.7999999999999999E-2</v>
      </c>
      <c r="G74" s="19">
        <f t="shared" si="5"/>
        <v>203441837.07133627</v>
      </c>
      <c r="H74" s="19"/>
      <c r="I74" s="20">
        <v>0</v>
      </c>
      <c r="J74" s="19">
        <f xml:space="preserve"> (E63 + SUM(D64:D74)) - SUM(I64:I74)</f>
        <v>173491465.74821085</v>
      </c>
      <c r="K74" s="19">
        <f xml:space="preserve"> G74 - J74</f>
        <v>29950371.323125422</v>
      </c>
      <c r="L74" s="18">
        <v>0.84</v>
      </c>
      <c r="M74" s="19">
        <f xml:space="preserve"> K74 * L74</f>
        <v>25158311.911425352</v>
      </c>
      <c r="N74" s="19">
        <f xml:space="preserve"> K74 - M74</f>
        <v>4792059.4117000699</v>
      </c>
      <c r="O74" s="18">
        <f xml:space="preserve"> K74 / J74 * 100</f>
        <v>17.263311018763634</v>
      </c>
      <c r="P74" s="19"/>
    </row>
    <row r="75" spans="1:16" s="8" customFormat="1" x14ac:dyDescent="0.3">
      <c r="A75" s="8">
        <v>7</v>
      </c>
      <c r="B75" s="82">
        <v>2028</v>
      </c>
      <c r="C75" s="8">
        <v>1</v>
      </c>
      <c r="D75" s="9">
        <f xml:space="preserve"> K75</f>
        <v>10976743.211305678</v>
      </c>
      <c r="E75" s="9">
        <f xml:space="preserve"> (G74 / 2) + D75 - I75</f>
        <v>112697661.74697381</v>
      </c>
      <c r="F75" s="8">
        <v>1.7999999999999999E-2</v>
      </c>
      <c r="G75" s="9">
        <f t="shared" si="5"/>
        <v>114726219.65841934</v>
      </c>
      <c r="H75" s="9"/>
      <c r="I75" s="10">
        <v>0</v>
      </c>
      <c r="K75" s="11">
        <f xml:space="preserve"> ((G74 - I75) / 2 / 12) +2500000</f>
        <v>10976743.211305678</v>
      </c>
      <c r="M75" s="9">
        <f xml:space="preserve"> (G74 / 2 )</f>
        <v>101720918.53566813</v>
      </c>
      <c r="P75" s="9"/>
    </row>
    <row r="76" spans="1:16" s="8" customFormat="1" x14ac:dyDescent="0.3">
      <c r="B76" s="82"/>
      <c r="C76" s="8">
        <v>2</v>
      </c>
      <c r="D76" s="9">
        <f xml:space="preserve"> K75</f>
        <v>10976743.211305678</v>
      </c>
      <c r="E76" s="9">
        <f t="shared" ref="E76:E86" si="9" xml:space="preserve"> G75 + D76 - I76</f>
        <v>125702962.86972502</v>
      </c>
      <c r="F76" s="8">
        <v>1.7999999999999999E-2</v>
      </c>
      <c r="G76" s="9">
        <f t="shared" si="5"/>
        <v>127965616.20138007</v>
      </c>
      <c r="H76" s="9"/>
      <c r="I76" s="10">
        <v>0</v>
      </c>
      <c r="P76" s="9"/>
    </row>
    <row r="77" spans="1:16" s="8" customFormat="1" x14ac:dyDescent="0.3">
      <c r="B77" s="82"/>
      <c r="C77" s="8">
        <v>3</v>
      </c>
      <c r="D77" s="9">
        <f xml:space="preserve"> K75</f>
        <v>10976743.211305678</v>
      </c>
      <c r="E77" s="9">
        <f t="shared" si="9"/>
        <v>138942359.41268575</v>
      </c>
      <c r="F77" s="8">
        <v>1.7999999999999999E-2</v>
      </c>
      <c r="G77" s="9">
        <f t="shared" si="5"/>
        <v>141443321.88211408</v>
      </c>
      <c r="H77" s="9"/>
      <c r="I77" s="10">
        <v>0</v>
      </c>
      <c r="P77" s="9"/>
    </row>
    <row r="78" spans="1:16" s="8" customFormat="1" x14ac:dyDescent="0.3">
      <c r="B78" s="82"/>
      <c r="C78" s="8">
        <v>4</v>
      </c>
      <c r="D78" s="9">
        <f xml:space="preserve"> K75</f>
        <v>10976743.211305678</v>
      </c>
      <c r="E78" s="9">
        <f t="shared" si="9"/>
        <v>152420065.09341976</v>
      </c>
      <c r="F78" s="8">
        <v>1.7999999999999999E-2</v>
      </c>
      <c r="G78" s="9">
        <f t="shared" si="5"/>
        <v>155163626.26510131</v>
      </c>
      <c r="H78" s="9"/>
      <c r="I78" s="10">
        <v>0</v>
      </c>
      <c r="P78" s="9"/>
    </row>
    <row r="79" spans="1:16" s="8" customFormat="1" x14ac:dyDescent="0.3">
      <c r="B79" s="82"/>
      <c r="C79" s="8">
        <v>5</v>
      </c>
      <c r="D79" s="9">
        <f xml:space="preserve"> K75</f>
        <v>10976743.211305678</v>
      </c>
      <c r="E79" s="9">
        <f t="shared" si="9"/>
        <v>161348310.06470692</v>
      </c>
      <c r="F79" s="8">
        <v>1.7999999999999999E-2</v>
      </c>
      <c r="G79" s="9">
        <f t="shared" si="5"/>
        <v>164252579.64587164</v>
      </c>
      <c r="H79" s="9"/>
      <c r="I79" s="10">
        <f xml:space="preserve"> N74</f>
        <v>4792059.4117000699</v>
      </c>
      <c r="P79" s="9"/>
    </row>
    <row r="80" spans="1:16" s="8" customFormat="1" x14ac:dyDescent="0.3">
      <c r="B80" s="82"/>
      <c r="C80" s="8">
        <v>6</v>
      </c>
      <c r="D80" s="9">
        <f xml:space="preserve"> K75</f>
        <v>10976743.211305678</v>
      </c>
      <c r="E80" s="9">
        <f t="shared" si="9"/>
        <v>175229322.85717732</v>
      </c>
      <c r="F80" s="8">
        <v>1.7999999999999999E-2</v>
      </c>
      <c r="G80" s="9">
        <f t="shared" si="5"/>
        <v>178383450.66860652</v>
      </c>
      <c r="H80" s="9"/>
      <c r="I80" s="10">
        <v>0</v>
      </c>
      <c r="P80" s="9"/>
    </row>
    <row r="81" spans="1:16" s="8" customFormat="1" x14ac:dyDescent="0.3">
      <c r="B81" s="82"/>
      <c r="C81" s="8">
        <v>7</v>
      </c>
      <c r="D81" s="9">
        <f xml:space="preserve"> K75</f>
        <v>10976743.211305678</v>
      </c>
      <c r="E81" s="9">
        <f t="shared" si="9"/>
        <v>189360193.8799122</v>
      </c>
      <c r="F81" s="8">
        <v>1.7999999999999999E-2</v>
      </c>
      <c r="G81" s="9">
        <f t="shared" si="5"/>
        <v>192768677.36975062</v>
      </c>
      <c r="H81" s="9"/>
      <c r="I81" s="10">
        <v>0</v>
      </c>
      <c r="P81" s="9"/>
    </row>
    <row r="82" spans="1:16" s="8" customFormat="1" x14ac:dyDescent="0.3">
      <c r="B82" s="82"/>
      <c r="C82" s="8">
        <v>8</v>
      </c>
      <c r="D82" s="9">
        <f xml:space="preserve"> K75</f>
        <v>10976743.211305678</v>
      </c>
      <c r="E82" s="9">
        <f t="shared" si="9"/>
        <v>203745420.5810563</v>
      </c>
      <c r="F82" s="8">
        <v>1.7999999999999999E-2</v>
      </c>
      <c r="G82" s="9">
        <f t="shared" si="5"/>
        <v>207412838.15151531</v>
      </c>
      <c r="H82" s="9"/>
      <c r="I82" s="10">
        <v>0</v>
      </c>
      <c r="P82" s="9"/>
    </row>
    <row r="83" spans="1:16" s="8" customFormat="1" x14ac:dyDescent="0.3">
      <c r="B83" s="82"/>
      <c r="C83" s="8">
        <v>9</v>
      </c>
      <c r="D83" s="9">
        <f xml:space="preserve"> K75</f>
        <v>10976743.211305678</v>
      </c>
      <c r="E83" s="9">
        <f t="shared" si="9"/>
        <v>218389581.36282098</v>
      </c>
      <c r="F83" s="8">
        <v>1.7999999999999999E-2</v>
      </c>
      <c r="G83" s="9">
        <f t="shared" si="5"/>
        <v>222320593.82735175</v>
      </c>
      <c r="H83" s="9"/>
      <c r="I83" s="10">
        <v>0</v>
      </c>
      <c r="P83" s="9"/>
    </row>
    <row r="84" spans="1:16" s="8" customFormat="1" x14ac:dyDescent="0.3">
      <c r="B84" s="82"/>
      <c r="C84" s="8">
        <v>10</v>
      </c>
      <c r="D84" s="9">
        <f xml:space="preserve"> K75</f>
        <v>10976743.211305678</v>
      </c>
      <c r="E84" s="9">
        <f t="shared" si="9"/>
        <v>233297337.03865743</v>
      </c>
      <c r="F84" s="8">
        <v>1.7999999999999999E-2</v>
      </c>
      <c r="G84" s="9">
        <f t="shared" si="5"/>
        <v>237496689.10535327</v>
      </c>
      <c r="H84" s="9"/>
      <c r="I84" s="10">
        <v>0</v>
      </c>
      <c r="P84" s="9"/>
    </row>
    <row r="85" spans="1:16" s="8" customFormat="1" x14ac:dyDescent="0.3">
      <c r="B85" s="82"/>
      <c r="C85" s="8">
        <v>11</v>
      </c>
      <c r="D85" s="9">
        <f xml:space="preserve"> K75</f>
        <v>10976743.211305678</v>
      </c>
      <c r="E85" s="9">
        <f t="shared" si="9"/>
        <v>248473432.31665894</v>
      </c>
      <c r="F85" s="8">
        <v>1.7999999999999999E-2</v>
      </c>
      <c r="G85" s="9">
        <f t="shared" si="5"/>
        <v>252945954.09835881</v>
      </c>
      <c r="H85" s="9"/>
      <c r="I85" s="10">
        <v>0</v>
      </c>
      <c r="P85" s="9"/>
    </row>
    <row r="86" spans="1:16" s="18" customFormat="1" x14ac:dyDescent="0.3">
      <c r="B86" s="82"/>
      <c r="C86" s="18">
        <v>12</v>
      </c>
      <c r="D86" s="19">
        <f xml:space="preserve"> K75</f>
        <v>10976743.211305678</v>
      </c>
      <c r="E86" s="19">
        <f t="shared" si="9"/>
        <v>263922697.30966449</v>
      </c>
      <c r="F86" s="18">
        <v>1.7999999999999999E-2</v>
      </c>
      <c r="G86" s="19">
        <f t="shared" si="5"/>
        <v>268673305.86123842</v>
      </c>
      <c r="H86" s="19"/>
      <c r="I86" s="20">
        <v>0</v>
      </c>
      <c r="J86" s="19">
        <f xml:space="preserve"> (E75 + SUM(D76:D86)) - SUM(I76:I86)</f>
        <v>228649777.6596362</v>
      </c>
      <c r="K86" s="19">
        <f xml:space="preserve"> G86 - J86</f>
        <v>40023528.201602221</v>
      </c>
      <c r="L86" s="18">
        <v>0.84</v>
      </c>
      <c r="M86" s="19">
        <f xml:space="preserve"> K86 * L86</f>
        <v>33619763.689345866</v>
      </c>
      <c r="N86" s="19">
        <f xml:space="preserve"> K86 - M86</f>
        <v>6403764.5122563541</v>
      </c>
      <c r="O86" s="18">
        <f xml:space="preserve"> K86 / J86 * 100</f>
        <v>17.504293514415963</v>
      </c>
      <c r="P86" s="19"/>
    </row>
    <row r="87" spans="1:16" s="8" customFormat="1" x14ac:dyDescent="0.3">
      <c r="A87" s="8">
        <v>8</v>
      </c>
      <c r="B87" s="82">
        <v>2029</v>
      </c>
      <c r="C87" s="8">
        <v>1</v>
      </c>
      <c r="D87" s="9">
        <f xml:space="preserve"> K87</f>
        <v>13694721.077551601</v>
      </c>
      <c r="E87" s="9">
        <f xml:space="preserve"> (G86 / 2) + D87 - I87</f>
        <v>148031374.00817081</v>
      </c>
      <c r="F87" s="8">
        <v>1.7999999999999999E-2</v>
      </c>
      <c r="G87" s="9">
        <f t="shared" si="5"/>
        <v>150695938.74031788</v>
      </c>
      <c r="H87" s="9"/>
      <c r="I87" s="10">
        <v>0</v>
      </c>
      <c r="K87" s="11">
        <f xml:space="preserve"> ((G86 - I87) / 2 / 12) +2500000</f>
        <v>13694721.077551601</v>
      </c>
      <c r="M87" s="9">
        <f xml:space="preserve"> (G86 / 2 )</f>
        <v>134336652.93061921</v>
      </c>
      <c r="P87" s="9"/>
    </row>
    <row r="88" spans="1:16" s="8" customFormat="1" x14ac:dyDescent="0.3">
      <c r="B88" s="82"/>
      <c r="C88" s="8">
        <v>2</v>
      </c>
      <c r="D88" s="9">
        <f xml:space="preserve"> K87</f>
        <v>13694721.077551601</v>
      </c>
      <c r="E88" s="9">
        <f t="shared" ref="E88:E98" si="10" xml:space="preserve"> G87 + D88 - I88</f>
        <v>164390659.81786948</v>
      </c>
      <c r="F88" s="8">
        <v>1.7999999999999999E-2</v>
      </c>
      <c r="G88" s="9">
        <f t="shared" si="5"/>
        <v>167349691.69459113</v>
      </c>
      <c r="H88" s="9"/>
      <c r="I88" s="10">
        <v>0</v>
      </c>
      <c r="P88" s="9"/>
    </row>
    <row r="89" spans="1:16" s="8" customFormat="1" x14ac:dyDescent="0.3">
      <c r="B89" s="82"/>
      <c r="C89" s="8">
        <v>3</v>
      </c>
      <c r="D89" s="9">
        <f xml:space="preserve"> K87</f>
        <v>13694721.077551601</v>
      </c>
      <c r="E89" s="9">
        <f t="shared" si="10"/>
        <v>181044412.77214274</v>
      </c>
      <c r="F89" s="8">
        <v>1.7999999999999999E-2</v>
      </c>
      <c r="G89" s="9">
        <f t="shared" si="5"/>
        <v>184303212.2020413</v>
      </c>
      <c r="H89" s="9"/>
      <c r="I89" s="10">
        <v>0</v>
      </c>
      <c r="P89" s="9"/>
    </row>
    <row r="90" spans="1:16" s="8" customFormat="1" x14ac:dyDescent="0.3">
      <c r="B90" s="82"/>
      <c r="C90" s="8">
        <v>4</v>
      </c>
      <c r="D90" s="9">
        <f xml:space="preserve"> K87</f>
        <v>13694721.077551601</v>
      </c>
      <c r="E90" s="9">
        <f t="shared" si="10"/>
        <v>197997933.2795929</v>
      </c>
      <c r="F90" s="8">
        <v>1.7999999999999999E-2</v>
      </c>
      <c r="G90" s="9">
        <f t="shared" si="5"/>
        <v>201561896.07862556</v>
      </c>
      <c r="H90" s="9"/>
      <c r="I90" s="10">
        <v>0</v>
      </c>
      <c r="P90" s="9"/>
    </row>
    <row r="91" spans="1:16" s="8" customFormat="1" x14ac:dyDescent="0.3">
      <c r="B91" s="82"/>
      <c r="C91" s="8">
        <v>5</v>
      </c>
      <c r="D91" s="9">
        <f xml:space="preserve"> K87</f>
        <v>13694721.077551601</v>
      </c>
      <c r="E91" s="9">
        <f t="shared" si="10"/>
        <v>208852852.64392081</v>
      </c>
      <c r="F91" s="8">
        <v>1.7999999999999999E-2</v>
      </c>
      <c r="G91" s="9">
        <f t="shared" si="5"/>
        <v>212612203.99151137</v>
      </c>
      <c r="H91" s="9"/>
      <c r="I91" s="10">
        <f xml:space="preserve"> N86</f>
        <v>6403764.5122563541</v>
      </c>
      <c r="P91" s="9"/>
    </row>
    <row r="92" spans="1:16" s="8" customFormat="1" x14ac:dyDescent="0.3">
      <c r="B92" s="82"/>
      <c r="C92" s="8">
        <v>6</v>
      </c>
      <c r="D92" s="9">
        <f xml:space="preserve"> K87</f>
        <v>13694721.077551601</v>
      </c>
      <c r="E92" s="9">
        <f t="shared" si="10"/>
        <v>226306925.06906298</v>
      </c>
      <c r="F92" s="8">
        <v>1.7999999999999999E-2</v>
      </c>
      <c r="G92" s="9">
        <f t="shared" si="5"/>
        <v>230380449.7203061</v>
      </c>
      <c r="H92" s="9"/>
      <c r="I92" s="10">
        <v>0</v>
      </c>
      <c r="P92" s="9"/>
    </row>
    <row r="93" spans="1:16" s="8" customFormat="1" x14ac:dyDescent="0.3">
      <c r="B93" s="82"/>
      <c r="C93" s="8">
        <v>7</v>
      </c>
      <c r="D93" s="9">
        <f xml:space="preserve"> K87</f>
        <v>13694721.077551601</v>
      </c>
      <c r="E93" s="9">
        <f t="shared" si="10"/>
        <v>244075170.7978577</v>
      </c>
      <c r="F93" s="8">
        <v>1.7999999999999999E-2</v>
      </c>
      <c r="G93" s="9">
        <f t="shared" si="5"/>
        <v>248468523.87221915</v>
      </c>
      <c r="H93" s="9"/>
      <c r="I93" s="10">
        <v>0</v>
      </c>
      <c r="P93" s="9"/>
    </row>
    <row r="94" spans="1:16" s="8" customFormat="1" x14ac:dyDescent="0.3">
      <c r="B94" s="82"/>
      <c r="C94" s="8">
        <v>8</v>
      </c>
      <c r="D94" s="9">
        <f xml:space="preserve"> K87</f>
        <v>13694721.077551601</v>
      </c>
      <c r="E94" s="9">
        <f t="shared" si="10"/>
        <v>262163244.94977075</v>
      </c>
      <c r="F94" s="8">
        <v>1.7999999999999999E-2</v>
      </c>
      <c r="G94" s="9">
        <f t="shared" ref="G94:G157" si="11" xml:space="preserve"> (E94 * F94) + E94</f>
        <v>266882183.35886663</v>
      </c>
      <c r="H94" s="9"/>
      <c r="I94" s="10">
        <v>0</v>
      </c>
      <c r="P94" s="9"/>
    </row>
    <row r="95" spans="1:16" s="8" customFormat="1" x14ac:dyDescent="0.3">
      <c r="B95" s="82"/>
      <c r="C95" s="8">
        <v>9</v>
      </c>
      <c r="D95" s="9">
        <f xml:space="preserve"> K87</f>
        <v>13694721.077551601</v>
      </c>
      <c r="E95" s="9">
        <f t="shared" si="10"/>
        <v>280576904.43641824</v>
      </c>
      <c r="F95" s="8">
        <v>1.7999999999999999E-2</v>
      </c>
      <c r="G95" s="9">
        <f t="shared" si="11"/>
        <v>285627288.71627378</v>
      </c>
      <c r="H95" s="9"/>
      <c r="I95" s="10">
        <v>0</v>
      </c>
      <c r="P95" s="9"/>
    </row>
    <row r="96" spans="1:16" s="8" customFormat="1" x14ac:dyDescent="0.3">
      <c r="B96" s="82"/>
      <c r="C96" s="8">
        <v>10</v>
      </c>
      <c r="D96" s="9">
        <f xml:space="preserve"> K87</f>
        <v>13694721.077551601</v>
      </c>
      <c r="E96" s="9">
        <f t="shared" si="10"/>
        <v>299322009.79382539</v>
      </c>
      <c r="F96" s="8">
        <v>1.7999999999999999E-2</v>
      </c>
      <c r="G96" s="9">
        <f t="shared" si="11"/>
        <v>304709805.97011423</v>
      </c>
      <c r="H96" s="9"/>
      <c r="I96" s="10">
        <v>0</v>
      </c>
      <c r="P96" s="9"/>
    </row>
    <row r="97" spans="1:16" s="8" customFormat="1" x14ac:dyDescent="0.3">
      <c r="B97" s="82"/>
      <c r="C97" s="8">
        <v>11</v>
      </c>
      <c r="D97" s="9">
        <f xml:space="preserve"> K87</f>
        <v>13694721.077551601</v>
      </c>
      <c r="E97" s="9">
        <f t="shared" si="10"/>
        <v>318404527.04766583</v>
      </c>
      <c r="F97" s="8">
        <v>1.7999999999999999E-2</v>
      </c>
      <c r="G97" s="9">
        <f t="shared" si="11"/>
        <v>324135808.53452384</v>
      </c>
      <c r="H97" s="9"/>
      <c r="I97" s="10">
        <v>0</v>
      </c>
      <c r="P97" s="9"/>
    </row>
    <row r="98" spans="1:16" s="18" customFormat="1" x14ac:dyDescent="0.3">
      <c r="B98" s="82"/>
      <c r="C98" s="18">
        <v>12</v>
      </c>
      <c r="D98" s="19">
        <f xml:space="preserve"> K87</f>
        <v>13694721.077551601</v>
      </c>
      <c r="E98" s="19">
        <f t="shared" si="10"/>
        <v>337830529.61207545</v>
      </c>
      <c r="F98" s="18">
        <v>1.7999999999999999E-2</v>
      </c>
      <c r="G98" s="19">
        <f t="shared" si="11"/>
        <v>343911479.14509279</v>
      </c>
      <c r="H98" s="19"/>
      <c r="I98" s="20">
        <v>0</v>
      </c>
      <c r="J98" s="19">
        <f xml:space="preserve"> (E87 + SUM(D88:D98)) - SUM(I88:I98)</f>
        <v>292269541.3489821</v>
      </c>
      <c r="K98" s="19">
        <f xml:space="preserve"> G98 - J98</f>
        <v>51641937.79611069</v>
      </c>
      <c r="L98" s="18">
        <v>0.84</v>
      </c>
      <c r="M98" s="19">
        <f xml:space="preserve"> K98 * L98</f>
        <v>43379227.748732977</v>
      </c>
      <c r="N98" s="19">
        <f xml:space="preserve"> K98 - M98</f>
        <v>8262710.047377713</v>
      </c>
      <c r="O98" s="18">
        <f xml:space="preserve"> K98 / J98 * 100</f>
        <v>17.669284851837517</v>
      </c>
      <c r="P98" s="19"/>
    </row>
    <row r="99" spans="1:16" s="8" customFormat="1" x14ac:dyDescent="0.3">
      <c r="A99" s="8">
        <v>9</v>
      </c>
      <c r="B99" s="82">
        <v>2030</v>
      </c>
      <c r="C99" s="8">
        <v>1</v>
      </c>
      <c r="D99" s="9">
        <f>K99</f>
        <v>16829644.964378864</v>
      </c>
      <c r="E99" s="9">
        <f xml:space="preserve"> (G98 / 2) + D99 - I99</f>
        <v>188785384.53692526</v>
      </c>
      <c r="F99" s="8">
        <v>1.7999999999999999E-2</v>
      </c>
      <c r="G99" s="9">
        <f t="shared" si="11"/>
        <v>192183521.45858991</v>
      </c>
      <c r="H99" s="9"/>
      <c r="I99" s="10">
        <v>0</v>
      </c>
      <c r="K99" s="11">
        <f xml:space="preserve"> ((G98 - I99) / 2 / 12) +2500000</f>
        <v>16829644.964378864</v>
      </c>
      <c r="M99" s="9">
        <f xml:space="preserve"> (G98 / 2 )</f>
        <v>171955739.57254639</v>
      </c>
      <c r="P99" s="9"/>
    </row>
    <row r="100" spans="1:16" s="8" customFormat="1" x14ac:dyDescent="0.3">
      <c r="B100" s="82"/>
      <c r="C100" s="8">
        <v>2</v>
      </c>
      <c r="D100" s="9">
        <f>K99</f>
        <v>16829644.964378864</v>
      </c>
      <c r="E100" s="9">
        <f t="shared" ref="E100:E110" si="12" xml:space="preserve"> G99 + D100 - I100</f>
        <v>209013166.42296878</v>
      </c>
      <c r="F100" s="8">
        <v>1.7999999999999999E-2</v>
      </c>
      <c r="G100" s="9">
        <f t="shared" si="11"/>
        <v>212775403.4185822</v>
      </c>
      <c r="H100" s="9"/>
      <c r="I100" s="10">
        <v>0</v>
      </c>
      <c r="P100" s="9"/>
    </row>
    <row r="101" spans="1:16" s="8" customFormat="1" x14ac:dyDescent="0.3">
      <c r="B101" s="82"/>
      <c r="C101" s="8">
        <v>3</v>
      </c>
      <c r="D101" s="9">
        <f>K99</f>
        <v>16829644.964378864</v>
      </c>
      <c r="E101" s="9">
        <f t="shared" si="12"/>
        <v>229605048.38296106</v>
      </c>
      <c r="F101" s="8">
        <v>1.7999999999999999E-2</v>
      </c>
      <c r="G101" s="9">
        <f t="shared" si="11"/>
        <v>233737939.25385436</v>
      </c>
      <c r="H101" s="9"/>
      <c r="I101" s="10">
        <v>0</v>
      </c>
      <c r="P101" s="9"/>
    </row>
    <row r="102" spans="1:16" s="8" customFormat="1" x14ac:dyDescent="0.3">
      <c r="B102" s="82"/>
      <c r="C102" s="8">
        <v>4</v>
      </c>
      <c r="D102" s="9">
        <f>K99</f>
        <v>16829644.964378864</v>
      </c>
      <c r="E102" s="9">
        <f t="shared" si="12"/>
        <v>250567584.21823323</v>
      </c>
      <c r="F102" s="8">
        <v>1.7999999999999999E-2</v>
      </c>
      <c r="G102" s="9">
        <f t="shared" si="11"/>
        <v>255077800.73416144</v>
      </c>
      <c r="H102" s="9"/>
      <c r="I102" s="10">
        <v>0</v>
      </c>
      <c r="P102" s="9"/>
    </row>
    <row r="103" spans="1:16" s="8" customFormat="1" x14ac:dyDescent="0.3">
      <c r="B103" s="82"/>
      <c r="C103" s="8">
        <v>5</v>
      </c>
      <c r="D103" s="9">
        <f>K99</f>
        <v>16829644.964378864</v>
      </c>
      <c r="E103" s="9">
        <f t="shared" si="12"/>
        <v>263644735.65116262</v>
      </c>
      <c r="F103" s="8">
        <v>1.7999999999999999E-2</v>
      </c>
      <c r="G103" s="9">
        <f t="shared" si="11"/>
        <v>268390340.89288354</v>
      </c>
      <c r="H103" s="9"/>
      <c r="I103" s="10">
        <f xml:space="preserve"> N98</f>
        <v>8262710.047377713</v>
      </c>
      <c r="P103" s="9"/>
    </row>
    <row r="104" spans="1:16" s="8" customFormat="1" x14ac:dyDescent="0.3">
      <c r="B104" s="82"/>
      <c r="C104" s="8">
        <v>6</v>
      </c>
      <c r="D104" s="9">
        <f>K99</f>
        <v>16829644.964378864</v>
      </c>
      <c r="E104" s="9">
        <f t="shared" si="12"/>
        <v>285219985.85726237</v>
      </c>
      <c r="F104" s="8">
        <v>1.7999999999999999E-2</v>
      </c>
      <c r="G104" s="9">
        <f t="shared" si="11"/>
        <v>290353945.60269308</v>
      </c>
      <c r="H104" s="9"/>
      <c r="I104" s="10">
        <v>0</v>
      </c>
      <c r="P104" s="9"/>
    </row>
    <row r="105" spans="1:16" s="8" customFormat="1" x14ac:dyDescent="0.3">
      <c r="B105" s="82"/>
      <c r="C105" s="8">
        <v>7</v>
      </c>
      <c r="D105" s="9">
        <f>K99</f>
        <v>16829644.964378864</v>
      </c>
      <c r="E105" s="9">
        <f t="shared" si="12"/>
        <v>307183590.56707191</v>
      </c>
      <c r="F105" s="8">
        <v>1.7999999999999999E-2</v>
      </c>
      <c r="G105" s="9">
        <f t="shared" si="11"/>
        <v>312712895.19727921</v>
      </c>
      <c r="H105" s="9"/>
      <c r="I105" s="10">
        <v>0</v>
      </c>
      <c r="P105" s="9"/>
    </row>
    <row r="106" spans="1:16" s="8" customFormat="1" x14ac:dyDescent="0.3">
      <c r="B106" s="82"/>
      <c r="C106" s="8">
        <v>8</v>
      </c>
      <c r="D106" s="9">
        <f>K99</f>
        <v>16829644.964378864</v>
      </c>
      <c r="E106" s="9">
        <f t="shared" si="12"/>
        <v>329542540.16165805</v>
      </c>
      <c r="F106" s="8">
        <v>1.7999999999999999E-2</v>
      </c>
      <c r="G106" s="9">
        <f t="shared" si="11"/>
        <v>335474305.88456792</v>
      </c>
      <c r="H106" s="9"/>
      <c r="I106" s="10">
        <v>0</v>
      </c>
      <c r="P106" s="9"/>
    </row>
    <row r="107" spans="1:16" s="8" customFormat="1" x14ac:dyDescent="0.3">
      <c r="B107" s="82"/>
      <c r="C107" s="8">
        <v>9</v>
      </c>
      <c r="D107" s="9">
        <f>K99</f>
        <v>16829644.964378864</v>
      </c>
      <c r="E107" s="9">
        <f t="shared" si="12"/>
        <v>352303950.84894681</v>
      </c>
      <c r="F107" s="8">
        <v>1.7999999999999999E-2</v>
      </c>
      <c r="G107" s="9">
        <f t="shared" si="11"/>
        <v>358645421.96422786</v>
      </c>
      <c r="H107" s="9"/>
      <c r="I107" s="10">
        <v>0</v>
      </c>
      <c r="P107" s="9"/>
    </row>
    <row r="108" spans="1:16" s="8" customFormat="1" x14ac:dyDescent="0.3">
      <c r="B108" s="82"/>
      <c r="C108" s="8">
        <v>10</v>
      </c>
      <c r="D108" s="9">
        <f>K99</f>
        <v>16829644.964378864</v>
      </c>
      <c r="E108" s="9">
        <f t="shared" si="12"/>
        <v>375475066.92860675</v>
      </c>
      <c r="F108" s="8">
        <v>1.7999999999999999E-2</v>
      </c>
      <c r="G108" s="9">
        <f t="shared" si="11"/>
        <v>382233618.13332164</v>
      </c>
      <c r="H108" s="9"/>
      <c r="I108" s="10">
        <v>0</v>
      </c>
      <c r="P108" s="9"/>
    </row>
    <row r="109" spans="1:16" s="8" customFormat="1" x14ac:dyDescent="0.3">
      <c r="B109" s="82"/>
      <c r="C109" s="8">
        <v>11</v>
      </c>
      <c r="D109" s="9">
        <f>K99</f>
        <v>16829644.964378864</v>
      </c>
      <c r="E109" s="9">
        <f t="shared" si="12"/>
        <v>399063263.09770048</v>
      </c>
      <c r="F109" s="8">
        <v>1.7999999999999999E-2</v>
      </c>
      <c r="G109" s="9">
        <f t="shared" si="11"/>
        <v>406246401.83345908</v>
      </c>
      <c r="H109" s="9"/>
      <c r="I109" s="10">
        <v>0</v>
      </c>
      <c r="P109" s="9"/>
    </row>
    <row r="110" spans="1:16" s="18" customFormat="1" x14ac:dyDescent="0.3">
      <c r="B110" s="82"/>
      <c r="C110" s="18">
        <v>12</v>
      </c>
      <c r="D110" s="19">
        <f>K99</f>
        <v>16829644.964378864</v>
      </c>
      <c r="E110" s="19">
        <f t="shared" si="12"/>
        <v>423076046.79783797</v>
      </c>
      <c r="F110" s="18">
        <v>1.7999999999999999E-2</v>
      </c>
      <c r="G110" s="19">
        <f t="shared" si="11"/>
        <v>430691415.64019907</v>
      </c>
      <c r="H110" s="19"/>
      <c r="I110" s="20">
        <v>0</v>
      </c>
      <c r="J110" s="19">
        <f xml:space="preserve"> (E99 + SUM(D100:D110)) - SUM(I100:I110)</f>
        <v>365648769.09771502</v>
      </c>
      <c r="K110" s="19">
        <f xml:space="preserve"> G110 - J110</f>
        <v>65042646.542484045</v>
      </c>
      <c r="L110" s="18">
        <v>0.84</v>
      </c>
      <c r="M110" s="19">
        <f xml:space="preserve"> K110 * L110</f>
        <v>54635823.095686592</v>
      </c>
      <c r="N110" s="19">
        <f xml:space="preserve"> K110 - M110</f>
        <v>10406823.446797453</v>
      </c>
      <c r="O110" s="18">
        <f xml:space="preserve"> K110 / J110 * 100</f>
        <v>17.78828538189396</v>
      </c>
      <c r="P110" s="19"/>
    </row>
    <row r="111" spans="1:16" s="8" customFormat="1" x14ac:dyDescent="0.3">
      <c r="A111" s="8">
        <v>10</v>
      </c>
      <c r="B111" s="82">
        <v>2031</v>
      </c>
      <c r="C111" s="8">
        <v>1</v>
      </c>
      <c r="D111" s="9">
        <f>K111</f>
        <v>20445475.65167496</v>
      </c>
      <c r="E111" s="9">
        <f xml:space="preserve"> (G110 / 2) + D111 - I111</f>
        <v>235791183.47177449</v>
      </c>
      <c r="F111" s="8">
        <v>1.7999999999999999E-2</v>
      </c>
      <c r="G111" s="9">
        <f t="shared" si="11"/>
        <v>240035424.77426642</v>
      </c>
      <c r="H111" s="9"/>
      <c r="I111" s="10">
        <v>0</v>
      </c>
      <c r="K111" s="11">
        <f xml:space="preserve"> ((G110 - I111) / 2 / 12) +2500000</f>
        <v>20445475.65167496</v>
      </c>
      <c r="M111" s="9">
        <f xml:space="preserve"> (G110 / 2 )</f>
        <v>215345707.82009953</v>
      </c>
      <c r="P111" s="9"/>
    </row>
    <row r="112" spans="1:16" s="8" customFormat="1" x14ac:dyDescent="0.3">
      <c r="B112" s="82"/>
      <c r="C112" s="8">
        <v>2</v>
      </c>
      <c r="D112" s="9">
        <f>K111</f>
        <v>20445475.65167496</v>
      </c>
      <c r="E112" s="9">
        <f t="shared" ref="E112:E122" si="13" xml:space="preserve"> G111 + D112 - I112</f>
        <v>260480900.42594138</v>
      </c>
      <c r="F112" s="8">
        <v>1.7999999999999999E-2</v>
      </c>
      <c r="G112" s="9">
        <f t="shared" si="11"/>
        <v>265169556.63360831</v>
      </c>
      <c r="H112" s="9"/>
      <c r="I112" s="10">
        <v>0</v>
      </c>
      <c r="P112" s="9"/>
    </row>
    <row r="113" spans="1:16" s="8" customFormat="1" x14ac:dyDescent="0.3">
      <c r="B113" s="82"/>
      <c r="C113" s="8">
        <v>3</v>
      </c>
      <c r="D113" s="9">
        <f>K111</f>
        <v>20445475.65167496</v>
      </c>
      <c r="E113" s="9">
        <f t="shared" si="13"/>
        <v>285615032.28528327</v>
      </c>
      <c r="F113" s="8">
        <v>1.7999999999999999E-2</v>
      </c>
      <c r="G113" s="9">
        <f t="shared" si="11"/>
        <v>290756102.86641836</v>
      </c>
      <c r="H113" s="9"/>
      <c r="I113" s="10">
        <v>0</v>
      </c>
      <c r="P113" s="9"/>
    </row>
    <row r="114" spans="1:16" s="8" customFormat="1" x14ac:dyDescent="0.3">
      <c r="B114" s="82"/>
      <c r="C114" s="8">
        <v>4</v>
      </c>
      <c r="D114" s="9">
        <f>K111</f>
        <v>20445475.65167496</v>
      </c>
      <c r="E114" s="9">
        <f t="shared" si="13"/>
        <v>311201578.51809335</v>
      </c>
      <c r="F114" s="8">
        <v>1.7999999999999999E-2</v>
      </c>
      <c r="G114" s="9">
        <f t="shared" si="11"/>
        <v>316803206.93141901</v>
      </c>
      <c r="H114" s="9"/>
      <c r="I114" s="10">
        <v>0</v>
      </c>
      <c r="P114" s="9"/>
    </row>
    <row r="115" spans="1:16" s="8" customFormat="1" x14ac:dyDescent="0.3">
      <c r="B115" s="82"/>
      <c r="C115" s="8">
        <v>5</v>
      </c>
      <c r="D115" s="9">
        <f>K111</f>
        <v>20445475.65167496</v>
      </c>
      <c r="E115" s="9">
        <f t="shared" si="13"/>
        <v>326841859.13629657</v>
      </c>
      <c r="F115" s="8">
        <v>1.7999999999999999E-2</v>
      </c>
      <c r="G115" s="9">
        <f t="shared" si="11"/>
        <v>332725012.60074991</v>
      </c>
      <c r="H115" s="9"/>
      <c r="I115" s="10">
        <f xml:space="preserve"> N110</f>
        <v>10406823.446797453</v>
      </c>
      <c r="P115" s="9"/>
    </row>
    <row r="116" spans="1:16" s="8" customFormat="1" x14ac:dyDescent="0.3">
      <c r="B116" s="82"/>
      <c r="C116" s="8">
        <v>6</v>
      </c>
      <c r="D116" s="9">
        <f>K111</f>
        <v>20445475.65167496</v>
      </c>
      <c r="E116" s="9">
        <f t="shared" si="13"/>
        <v>353170488.2524249</v>
      </c>
      <c r="F116" s="8">
        <v>1.7999999999999999E-2</v>
      </c>
      <c r="G116" s="9">
        <f t="shared" si="11"/>
        <v>359527557.04096854</v>
      </c>
      <c r="H116" s="9"/>
      <c r="I116" s="10">
        <v>0</v>
      </c>
      <c r="P116" s="9"/>
    </row>
    <row r="117" spans="1:16" s="8" customFormat="1" x14ac:dyDescent="0.3">
      <c r="B117" s="82"/>
      <c r="C117" s="8">
        <v>7</v>
      </c>
      <c r="D117" s="9">
        <f>K111</f>
        <v>20445475.65167496</v>
      </c>
      <c r="E117" s="9">
        <f t="shared" si="13"/>
        <v>379973032.69264352</v>
      </c>
      <c r="F117" s="8">
        <v>1.7999999999999999E-2</v>
      </c>
      <c r="G117" s="9">
        <f t="shared" si="11"/>
        <v>386812547.28111112</v>
      </c>
      <c r="H117" s="9"/>
      <c r="I117" s="10">
        <v>0</v>
      </c>
      <c r="P117" s="9"/>
    </row>
    <row r="118" spans="1:16" s="8" customFormat="1" x14ac:dyDescent="0.3">
      <c r="B118" s="82"/>
      <c r="C118" s="8">
        <v>8</v>
      </c>
      <c r="D118" s="9">
        <f>K111</f>
        <v>20445475.65167496</v>
      </c>
      <c r="E118" s="9">
        <f t="shared" si="13"/>
        <v>407258022.93278611</v>
      </c>
      <c r="F118" s="8">
        <v>1.7999999999999999E-2</v>
      </c>
      <c r="G118" s="9">
        <f t="shared" si="11"/>
        <v>414588667.34557629</v>
      </c>
      <c r="H118" s="9"/>
      <c r="I118" s="10">
        <v>0</v>
      </c>
      <c r="P118" s="9"/>
    </row>
    <row r="119" spans="1:16" s="8" customFormat="1" x14ac:dyDescent="0.3">
      <c r="B119" s="82"/>
      <c r="C119" s="8">
        <v>9</v>
      </c>
      <c r="D119" s="9">
        <f>K111</f>
        <v>20445475.65167496</v>
      </c>
      <c r="E119" s="9">
        <f t="shared" si="13"/>
        <v>435034142.99725127</v>
      </c>
      <c r="F119" s="8">
        <v>1.7999999999999999E-2</v>
      </c>
      <c r="G119" s="9">
        <f t="shared" si="11"/>
        <v>442864757.5712018</v>
      </c>
      <c r="H119" s="9"/>
      <c r="I119" s="10">
        <v>0</v>
      </c>
      <c r="P119" s="9"/>
    </row>
    <row r="120" spans="1:16" s="8" customFormat="1" x14ac:dyDescent="0.3">
      <c r="B120" s="82"/>
      <c r="C120" s="8">
        <v>10</v>
      </c>
      <c r="D120" s="9">
        <f>K111</f>
        <v>20445475.65167496</v>
      </c>
      <c r="E120" s="9">
        <f t="shared" si="13"/>
        <v>463310233.22287679</v>
      </c>
      <c r="F120" s="8">
        <v>1.7999999999999999E-2</v>
      </c>
      <c r="G120" s="9">
        <f t="shared" si="11"/>
        <v>471649817.42088854</v>
      </c>
      <c r="H120" s="9"/>
      <c r="I120" s="10">
        <v>0</v>
      </c>
      <c r="P120" s="9"/>
    </row>
    <row r="121" spans="1:16" s="8" customFormat="1" x14ac:dyDescent="0.3">
      <c r="B121" s="82"/>
      <c r="C121" s="8">
        <v>11</v>
      </c>
      <c r="D121" s="9">
        <f>K111</f>
        <v>20445475.65167496</v>
      </c>
      <c r="E121" s="9">
        <f t="shared" si="13"/>
        <v>492095293.07256353</v>
      </c>
      <c r="F121" s="8">
        <v>1.7999999999999999E-2</v>
      </c>
      <c r="G121" s="9">
        <f t="shared" si="11"/>
        <v>500953008.34786969</v>
      </c>
      <c r="H121" s="9"/>
      <c r="I121" s="10">
        <v>0</v>
      </c>
      <c r="P121" s="9"/>
    </row>
    <row r="122" spans="1:16" s="18" customFormat="1" x14ac:dyDescent="0.3">
      <c r="B122" s="82"/>
      <c r="C122" s="18">
        <v>12</v>
      </c>
      <c r="D122" s="19">
        <f>K111</f>
        <v>20445475.65167496</v>
      </c>
      <c r="E122" s="19">
        <f t="shared" si="13"/>
        <v>521398483.99954468</v>
      </c>
      <c r="F122" s="18">
        <v>1.7999999999999999E-2</v>
      </c>
      <c r="G122" s="19">
        <f t="shared" si="11"/>
        <v>530783656.71153647</v>
      </c>
      <c r="H122" s="19"/>
      <c r="I122" s="20">
        <v>0</v>
      </c>
      <c r="J122" s="19">
        <f xml:space="preserve"> (E111 + SUM(D112:D122)) - SUM(I112:I122)</f>
        <v>450284592.19340163</v>
      </c>
      <c r="K122" s="19">
        <f xml:space="preserve"> G122 - J122</f>
        <v>80499064.518134832</v>
      </c>
      <c r="L122" s="18">
        <v>0.84</v>
      </c>
      <c r="M122" s="19">
        <f xml:space="preserve"> K122 * L122</f>
        <v>67619214.195233256</v>
      </c>
      <c r="N122" s="19">
        <f xml:space="preserve"> K122 - M122</f>
        <v>12879850.322901577</v>
      </c>
      <c r="O122" s="18">
        <f xml:space="preserve"> K122 / J122 * 100</f>
        <v>17.877374867750238</v>
      </c>
      <c r="P122" s="19"/>
    </row>
    <row r="123" spans="1:16" s="8" customFormat="1" x14ac:dyDescent="0.3">
      <c r="A123" s="8">
        <v>11</v>
      </c>
      <c r="B123" s="82">
        <v>2032</v>
      </c>
      <c r="C123" s="8">
        <v>1</v>
      </c>
      <c r="D123" s="9">
        <f>K123</f>
        <v>24615985.696314018</v>
      </c>
      <c r="E123" s="9">
        <f xml:space="preserve"> (G122 / 2) + D123 - I123</f>
        <v>290007814.05208224</v>
      </c>
      <c r="F123" s="8">
        <v>1.7999999999999999E-2</v>
      </c>
      <c r="G123" s="9">
        <f t="shared" si="11"/>
        <v>295227954.70501971</v>
      </c>
      <c r="H123" s="9"/>
      <c r="I123" s="10"/>
      <c r="K123" s="11">
        <f xml:space="preserve"> ((G122 - I123) / 2 / 12) +2500000</f>
        <v>24615985.696314018</v>
      </c>
      <c r="M123" s="9">
        <f xml:space="preserve"> (G122 / 2 )</f>
        <v>265391828.35576823</v>
      </c>
      <c r="P123" s="9"/>
    </row>
    <row r="124" spans="1:16" s="8" customFormat="1" x14ac:dyDescent="0.3">
      <c r="B124" s="82"/>
      <c r="C124" s="8">
        <v>2</v>
      </c>
      <c r="D124" s="9">
        <f>K123</f>
        <v>24615985.696314018</v>
      </c>
      <c r="E124" s="9">
        <f t="shared" ref="E124:E134" si="14" xml:space="preserve"> G123 + D124 - I124</f>
        <v>319843940.40133375</v>
      </c>
      <c r="F124" s="8">
        <v>1.7999999999999999E-2</v>
      </c>
      <c r="G124" s="9">
        <f t="shared" si="11"/>
        <v>325601131.32855773</v>
      </c>
      <c r="H124" s="9"/>
      <c r="I124" s="10"/>
      <c r="P124" s="9"/>
    </row>
    <row r="125" spans="1:16" s="8" customFormat="1" x14ac:dyDescent="0.3">
      <c r="B125" s="82"/>
      <c r="C125" s="8">
        <v>3</v>
      </c>
      <c r="D125" s="9">
        <f>K123</f>
        <v>24615985.696314018</v>
      </c>
      <c r="E125" s="9">
        <f t="shared" si="14"/>
        <v>350217117.02487177</v>
      </c>
      <c r="F125" s="8">
        <v>1.7999999999999999E-2</v>
      </c>
      <c r="G125" s="9">
        <f t="shared" si="11"/>
        <v>356521025.13131946</v>
      </c>
      <c r="H125" s="9"/>
      <c r="I125" s="10"/>
      <c r="P125" s="9"/>
    </row>
    <row r="126" spans="1:16" s="8" customFormat="1" x14ac:dyDescent="0.3">
      <c r="B126" s="82"/>
      <c r="C126" s="8">
        <v>4</v>
      </c>
      <c r="D126" s="9">
        <f>K123</f>
        <v>24615985.696314018</v>
      </c>
      <c r="E126" s="9">
        <f t="shared" si="14"/>
        <v>381137010.8276335</v>
      </c>
      <c r="F126" s="8">
        <v>1.7999999999999999E-2</v>
      </c>
      <c r="G126" s="9">
        <f t="shared" si="11"/>
        <v>387997477.02253091</v>
      </c>
      <c r="H126" s="9"/>
      <c r="I126" s="10"/>
      <c r="P126" s="9"/>
    </row>
    <row r="127" spans="1:16" s="8" customFormat="1" x14ac:dyDescent="0.3">
      <c r="B127" s="82"/>
      <c r="C127" s="8">
        <v>5</v>
      </c>
      <c r="D127" s="9">
        <f>K123</f>
        <v>24615985.696314018</v>
      </c>
      <c r="E127" s="9">
        <f t="shared" si="14"/>
        <v>399733612.3959434</v>
      </c>
      <c r="F127" s="8">
        <v>1.7999999999999999E-2</v>
      </c>
      <c r="G127" s="9">
        <f t="shared" si="11"/>
        <v>406928817.41907036</v>
      </c>
      <c r="H127" s="9"/>
      <c r="I127" s="10">
        <f xml:space="preserve"> N122</f>
        <v>12879850.322901577</v>
      </c>
      <c r="P127" s="9"/>
    </row>
    <row r="128" spans="1:16" s="8" customFormat="1" x14ac:dyDescent="0.3">
      <c r="B128" s="82"/>
      <c r="C128" s="8">
        <v>6</v>
      </c>
      <c r="D128" s="9">
        <f>K123</f>
        <v>24615985.696314018</v>
      </c>
      <c r="E128" s="9">
        <f t="shared" si="14"/>
        <v>431544803.1153844</v>
      </c>
      <c r="F128" s="8">
        <v>1.7999999999999999E-2</v>
      </c>
      <c r="G128" s="9">
        <f t="shared" si="11"/>
        <v>439312609.57146132</v>
      </c>
      <c r="H128" s="9"/>
      <c r="I128" s="10"/>
      <c r="P128" s="9"/>
    </row>
    <row r="129" spans="1:16" s="8" customFormat="1" x14ac:dyDescent="0.3">
      <c r="B129" s="82"/>
      <c r="C129" s="8">
        <v>7</v>
      </c>
      <c r="D129" s="9">
        <f>K123</f>
        <v>24615985.696314018</v>
      </c>
      <c r="E129" s="9">
        <f t="shared" si="14"/>
        <v>463928595.26777536</v>
      </c>
      <c r="F129" s="8">
        <v>1.7999999999999999E-2</v>
      </c>
      <c r="G129" s="9">
        <f t="shared" si="11"/>
        <v>472279309.98259532</v>
      </c>
      <c r="H129" s="9"/>
      <c r="I129" s="10"/>
      <c r="P129" s="9"/>
    </row>
    <row r="130" spans="1:16" s="8" customFormat="1" x14ac:dyDescent="0.3">
      <c r="B130" s="82"/>
      <c r="C130" s="8">
        <v>8</v>
      </c>
      <c r="D130" s="9">
        <f>K123</f>
        <v>24615985.696314018</v>
      </c>
      <c r="E130" s="9">
        <f t="shared" si="14"/>
        <v>496895295.67890936</v>
      </c>
      <c r="F130" s="8">
        <v>1.7999999999999999E-2</v>
      </c>
      <c r="G130" s="9">
        <f t="shared" si="11"/>
        <v>505839411.00112975</v>
      </c>
      <c r="H130" s="9"/>
      <c r="I130" s="10"/>
      <c r="P130" s="9"/>
    </row>
    <row r="131" spans="1:16" s="8" customFormat="1" x14ac:dyDescent="0.3">
      <c r="B131" s="82"/>
      <c r="C131" s="8">
        <v>9</v>
      </c>
      <c r="D131" s="9">
        <f>K123</f>
        <v>24615985.696314018</v>
      </c>
      <c r="E131" s="9">
        <f t="shared" si="14"/>
        <v>530455396.69744378</v>
      </c>
      <c r="F131" s="8">
        <v>1.7999999999999999E-2</v>
      </c>
      <c r="G131" s="9">
        <f t="shared" si="11"/>
        <v>540003593.83799779</v>
      </c>
      <c r="H131" s="9"/>
      <c r="I131" s="10"/>
      <c r="P131" s="9"/>
    </row>
    <row r="132" spans="1:16" s="8" customFormat="1" x14ac:dyDescent="0.3">
      <c r="B132" s="82"/>
      <c r="C132" s="8">
        <v>10</v>
      </c>
      <c r="D132" s="9">
        <f>K123</f>
        <v>24615985.696314018</v>
      </c>
      <c r="E132" s="9">
        <f t="shared" si="14"/>
        <v>564619579.53431177</v>
      </c>
      <c r="F132" s="8">
        <v>1.7999999999999999E-2</v>
      </c>
      <c r="G132" s="9">
        <f t="shared" si="11"/>
        <v>574782731.96592939</v>
      </c>
      <c r="H132" s="9"/>
      <c r="I132" s="10"/>
      <c r="P132" s="9"/>
    </row>
    <row r="133" spans="1:16" s="8" customFormat="1" x14ac:dyDescent="0.3">
      <c r="B133" s="82"/>
      <c r="C133" s="8">
        <v>11</v>
      </c>
      <c r="D133" s="9">
        <f>K123</f>
        <v>24615985.696314018</v>
      </c>
      <c r="E133" s="9">
        <f t="shared" si="14"/>
        <v>599398717.66224337</v>
      </c>
      <c r="F133" s="8">
        <v>1.7999999999999999E-2</v>
      </c>
      <c r="G133" s="9">
        <f t="shared" si="11"/>
        <v>610187894.58016372</v>
      </c>
      <c r="H133" s="9"/>
      <c r="I133" s="10"/>
      <c r="P133" s="9"/>
    </row>
    <row r="134" spans="1:16" s="18" customFormat="1" x14ac:dyDescent="0.3">
      <c r="B134" s="82"/>
      <c r="C134" s="18">
        <v>12</v>
      </c>
      <c r="D134" s="19">
        <f>K123</f>
        <v>24615985.696314018</v>
      </c>
      <c r="E134" s="19">
        <f t="shared" si="14"/>
        <v>598803880.27647769</v>
      </c>
      <c r="F134" s="18">
        <v>1.7999999999999999E-2</v>
      </c>
      <c r="G134" s="19">
        <f t="shared" si="11"/>
        <v>609582350.12145424</v>
      </c>
      <c r="H134" s="19"/>
      <c r="I134" s="24">
        <v>36000000</v>
      </c>
      <c r="J134" s="19">
        <f xml:space="preserve"> (E123 + SUM(D124:D134)) - SUM(I124:I134)</f>
        <v>511903806.3886348</v>
      </c>
      <c r="K134" s="19">
        <f xml:space="preserve"> G134 - J134</f>
        <v>97678543.732819438</v>
      </c>
      <c r="L134" s="18">
        <v>0.84</v>
      </c>
      <c r="M134" s="19">
        <f xml:space="preserve"> K134 * L134</f>
        <v>82049976.73556833</v>
      </c>
      <c r="N134" s="19">
        <f xml:space="preserve"> K134 - M134</f>
        <v>15628566.997251108</v>
      </c>
      <c r="O134" s="18">
        <f xml:space="preserve"> K134 / J134 * 100</f>
        <v>19.081425555695592</v>
      </c>
      <c r="P134" s="19"/>
    </row>
    <row r="135" spans="1:16" s="12" customFormat="1" x14ac:dyDescent="0.3">
      <c r="A135" s="12">
        <v>12</v>
      </c>
      <c r="B135" s="81">
        <v>2033</v>
      </c>
      <c r="C135" s="12">
        <v>1</v>
      </c>
      <c r="D135" s="13">
        <f>K135</f>
        <v>25399264.588393927</v>
      </c>
      <c r="E135" s="13">
        <f xml:space="preserve"> (G134 / 2) + D135 - I135</f>
        <v>330190439.64912105</v>
      </c>
      <c r="F135" s="12">
        <v>1.7999999999999999E-2</v>
      </c>
      <c r="G135" s="13">
        <f t="shared" si="11"/>
        <v>336133867.56280524</v>
      </c>
      <c r="H135" s="13"/>
      <c r="I135" s="14">
        <v>0</v>
      </c>
      <c r="K135" s="15">
        <f xml:space="preserve"> ((G134 - I135) / 2 / 12)</f>
        <v>25399264.588393927</v>
      </c>
      <c r="M135" s="13">
        <f xml:space="preserve"> (G134 - I135) / 2</f>
        <v>304791175.06072712</v>
      </c>
      <c r="N135" s="16" t="s">
        <v>0</v>
      </c>
      <c r="P135" s="13"/>
    </row>
    <row r="136" spans="1:16" s="12" customFormat="1" x14ac:dyDescent="0.3">
      <c r="B136" s="81"/>
      <c r="C136" s="12">
        <v>2</v>
      </c>
      <c r="D136" s="13">
        <f>K135</f>
        <v>25399264.588393927</v>
      </c>
      <c r="E136" s="13">
        <f t="shared" ref="E136:E146" si="15" xml:space="preserve"> G135 + D136 - I136</f>
        <v>361533132.15119916</v>
      </c>
      <c r="F136" s="12">
        <v>1.7999999999999999E-2</v>
      </c>
      <c r="G136" s="13">
        <f t="shared" si="11"/>
        <v>368040728.52992076</v>
      </c>
      <c r="H136" s="13"/>
      <c r="I136" s="14"/>
      <c r="P136" s="13"/>
    </row>
    <row r="137" spans="1:16" s="12" customFormat="1" x14ac:dyDescent="0.3">
      <c r="B137" s="81"/>
      <c r="C137" s="12">
        <v>3</v>
      </c>
      <c r="D137" s="13">
        <f>K135</f>
        <v>25399264.588393927</v>
      </c>
      <c r="E137" s="13">
        <f t="shared" si="15"/>
        <v>393439993.11831468</v>
      </c>
      <c r="F137" s="12">
        <v>1.7999999999999999E-2</v>
      </c>
      <c r="G137" s="13">
        <f t="shared" si="11"/>
        <v>400521912.99444437</v>
      </c>
      <c r="H137" s="13"/>
      <c r="I137" s="14"/>
      <c r="P137" s="13"/>
    </row>
    <row r="138" spans="1:16" s="12" customFormat="1" x14ac:dyDescent="0.3">
      <c r="B138" s="81"/>
      <c r="C138" s="12">
        <v>4</v>
      </c>
      <c r="D138" s="13">
        <f>K135</f>
        <v>25399264.588393927</v>
      </c>
      <c r="E138" s="13">
        <f t="shared" si="15"/>
        <v>425921177.5828383</v>
      </c>
      <c r="F138" s="12">
        <v>1.7999999999999999E-2</v>
      </c>
      <c r="G138" s="13">
        <f t="shared" si="11"/>
        <v>433587758.77932936</v>
      </c>
      <c r="H138" s="13"/>
      <c r="I138" s="14"/>
      <c r="P138" s="13"/>
    </row>
    <row r="139" spans="1:16" s="12" customFormat="1" x14ac:dyDescent="0.3">
      <c r="B139" s="81"/>
      <c r="C139" s="12">
        <v>5</v>
      </c>
      <c r="D139" s="13">
        <f>K135</f>
        <v>25399264.588393927</v>
      </c>
      <c r="E139" s="13">
        <f t="shared" si="15"/>
        <v>443358456.37047219</v>
      </c>
      <c r="F139" s="12">
        <v>1.7999999999999999E-2</v>
      </c>
      <c r="G139" s="13">
        <f t="shared" si="11"/>
        <v>451338908.58514071</v>
      </c>
      <c r="H139" s="13"/>
      <c r="I139" s="14">
        <f xml:space="preserve"> N134</f>
        <v>15628566.997251108</v>
      </c>
      <c r="P139" s="13"/>
    </row>
    <row r="140" spans="1:16" s="12" customFormat="1" x14ac:dyDescent="0.3">
      <c r="B140" s="81"/>
      <c r="C140" s="12">
        <v>6</v>
      </c>
      <c r="D140" s="13">
        <f>K135</f>
        <v>25399264.588393927</v>
      </c>
      <c r="E140" s="13">
        <f t="shared" si="15"/>
        <v>476738173.17353463</v>
      </c>
      <c r="F140" s="12">
        <v>1.7999999999999999E-2</v>
      </c>
      <c r="G140" s="13">
        <f t="shared" si="11"/>
        <v>485319460.29065824</v>
      </c>
      <c r="H140" s="13"/>
      <c r="I140" s="14"/>
      <c r="P140" s="13"/>
    </row>
    <row r="141" spans="1:16" s="12" customFormat="1" x14ac:dyDescent="0.3">
      <c r="B141" s="81"/>
      <c r="C141" s="12">
        <v>7</v>
      </c>
      <c r="D141" s="13">
        <f>K135</f>
        <v>25399264.588393927</v>
      </c>
      <c r="E141" s="13">
        <f t="shared" si="15"/>
        <v>510718724.87905216</v>
      </c>
      <c r="F141" s="12">
        <v>1.7999999999999999E-2</v>
      </c>
      <c r="G141" s="13">
        <f t="shared" si="11"/>
        <v>519911661.92687511</v>
      </c>
      <c r="H141" s="13"/>
      <c r="I141" s="14"/>
      <c r="P141" s="13"/>
    </row>
    <row r="142" spans="1:16" s="12" customFormat="1" x14ac:dyDescent="0.3">
      <c r="B142" s="81"/>
      <c r="C142" s="12">
        <v>8</v>
      </c>
      <c r="D142" s="13">
        <f>K135</f>
        <v>25399264.588393927</v>
      </c>
      <c r="E142" s="13">
        <f t="shared" si="15"/>
        <v>545310926.51526904</v>
      </c>
      <c r="F142" s="12">
        <v>1.7999999999999999E-2</v>
      </c>
      <c r="G142" s="13">
        <f t="shared" si="11"/>
        <v>555126523.19254386</v>
      </c>
      <c r="H142" s="13"/>
      <c r="I142" s="14"/>
      <c r="P142" s="13"/>
    </row>
    <row r="143" spans="1:16" s="12" customFormat="1" x14ac:dyDescent="0.3">
      <c r="B143" s="81"/>
      <c r="C143" s="12">
        <v>9</v>
      </c>
      <c r="D143" s="13">
        <f>K135</f>
        <v>25399264.588393927</v>
      </c>
      <c r="E143" s="13">
        <f t="shared" si="15"/>
        <v>580525787.78093779</v>
      </c>
      <c r="F143" s="12">
        <v>1.7999999999999999E-2</v>
      </c>
      <c r="G143" s="13">
        <f t="shared" si="11"/>
        <v>590975251.96099472</v>
      </c>
      <c r="H143" s="13"/>
      <c r="I143" s="14"/>
      <c r="P143" s="13"/>
    </row>
    <row r="144" spans="1:16" s="12" customFormat="1" x14ac:dyDescent="0.3">
      <c r="B144" s="81"/>
      <c r="C144" s="12">
        <v>10</v>
      </c>
      <c r="D144" s="13">
        <f>K135</f>
        <v>25399264.588393927</v>
      </c>
      <c r="E144" s="13">
        <f t="shared" si="15"/>
        <v>616374516.54938865</v>
      </c>
      <c r="F144" s="12">
        <v>1.7999999999999999E-2</v>
      </c>
      <c r="G144" s="13">
        <f t="shared" si="11"/>
        <v>627469257.84727764</v>
      </c>
      <c r="H144" s="13"/>
      <c r="I144" s="14"/>
      <c r="P144" s="13"/>
    </row>
    <row r="145" spans="1:16" s="12" customFormat="1" x14ac:dyDescent="0.3">
      <c r="B145" s="81"/>
      <c r="C145" s="12">
        <v>11</v>
      </c>
      <c r="D145" s="13">
        <f>K135</f>
        <v>25399264.588393927</v>
      </c>
      <c r="E145" s="13">
        <f t="shared" si="15"/>
        <v>652868522.43567157</v>
      </c>
      <c r="F145" s="12">
        <v>1.7999999999999999E-2</v>
      </c>
      <c r="G145" s="13">
        <f t="shared" si="11"/>
        <v>664620155.83951366</v>
      </c>
      <c r="H145" s="13"/>
      <c r="I145" s="14"/>
      <c r="P145" s="13"/>
    </row>
    <row r="146" spans="1:16" s="18" customFormat="1" x14ac:dyDescent="0.3">
      <c r="B146" s="81"/>
      <c r="C146" s="18">
        <v>12</v>
      </c>
      <c r="D146" s="19">
        <f>K135</f>
        <v>25399264.588393927</v>
      </c>
      <c r="E146" s="19">
        <f t="shared" si="15"/>
        <v>654019420.42790759</v>
      </c>
      <c r="F146" s="18">
        <v>1.7999999999999999E-2</v>
      </c>
      <c r="G146" s="19">
        <f t="shared" si="11"/>
        <v>665791769.99560988</v>
      </c>
      <c r="H146" s="19"/>
      <c r="I146" s="24">
        <v>36000000</v>
      </c>
      <c r="J146" s="19">
        <f xml:space="preserve"> (E135 + SUM(D136:D146)) - SUM(I136:I146)</f>
        <v>557953783.12420309</v>
      </c>
      <c r="K146" s="19">
        <f xml:space="preserve"> G146 - J146</f>
        <v>107837986.87140679</v>
      </c>
      <c r="L146" s="18">
        <v>0.84</v>
      </c>
      <c r="M146" s="19">
        <f xml:space="preserve"> K146 * L146</f>
        <v>90583908.971981704</v>
      </c>
      <c r="N146" s="19">
        <f xml:space="preserve"> K146 - M146</f>
        <v>17254077.899425089</v>
      </c>
      <c r="O146" s="18">
        <f xml:space="preserve"> K146 / J146 * 100</f>
        <v>19.327404909342029</v>
      </c>
      <c r="P146" s="19"/>
    </row>
    <row r="147" spans="1:16" s="12" customFormat="1" x14ac:dyDescent="0.3">
      <c r="A147" s="12">
        <v>13</v>
      </c>
      <c r="B147" s="81">
        <v>2034</v>
      </c>
      <c r="C147" s="12">
        <v>1</v>
      </c>
      <c r="D147" s="13">
        <f>K147</f>
        <v>27741323.749817077</v>
      </c>
      <c r="E147" s="13">
        <f xml:space="preserve"> (G146 / 2) + D147 - I147</f>
        <v>360637208.74762201</v>
      </c>
      <c r="F147" s="12">
        <v>1.7999999999999999E-2</v>
      </c>
      <c r="G147" s="13">
        <f t="shared" si="11"/>
        <v>367128678.50507921</v>
      </c>
      <c r="H147" s="13"/>
      <c r="I147" s="14"/>
      <c r="K147" s="15">
        <f xml:space="preserve"> ((G146 - I147) / 2 / 12)</f>
        <v>27741323.749817077</v>
      </c>
      <c r="M147" s="9">
        <f xml:space="preserve"> (G146 - I147) / 2</f>
        <v>332895884.99780494</v>
      </c>
      <c r="P147" s="13"/>
    </row>
    <row r="148" spans="1:16" s="12" customFormat="1" x14ac:dyDescent="0.3">
      <c r="B148" s="81"/>
      <c r="C148" s="12">
        <v>2</v>
      </c>
      <c r="D148" s="13">
        <f>K147</f>
        <v>27741323.749817077</v>
      </c>
      <c r="E148" s="13">
        <f t="shared" ref="E148:E158" si="16" xml:space="preserve"> G147 + D148 - I148</f>
        <v>394870002.25489628</v>
      </c>
      <c r="F148" s="12">
        <v>1.7999999999999999E-2</v>
      </c>
      <c r="G148" s="13">
        <f t="shared" si="11"/>
        <v>401977662.29548442</v>
      </c>
      <c r="H148" s="13"/>
      <c r="I148" s="14"/>
      <c r="P148" s="13"/>
    </row>
    <row r="149" spans="1:16" s="12" customFormat="1" x14ac:dyDescent="0.3">
      <c r="B149" s="81"/>
      <c r="C149" s="12">
        <v>3</v>
      </c>
      <c r="D149" s="13">
        <f>K147</f>
        <v>27741323.749817077</v>
      </c>
      <c r="E149" s="13">
        <f t="shared" si="16"/>
        <v>429718986.0453015</v>
      </c>
      <c r="F149" s="12">
        <v>1.7999999999999999E-2</v>
      </c>
      <c r="G149" s="13">
        <f t="shared" si="11"/>
        <v>437453927.79411691</v>
      </c>
      <c r="H149" s="13"/>
      <c r="I149" s="14"/>
      <c r="P149" s="13"/>
    </row>
    <row r="150" spans="1:16" s="12" customFormat="1" x14ac:dyDescent="0.3">
      <c r="B150" s="81"/>
      <c r="C150" s="12">
        <v>4</v>
      </c>
      <c r="D150" s="13">
        <f>K147</f>
        <v>27741323.749817077</v>
      </c>
      <c r="E150" s="13">
        <f t="shared" si="16"/>
        <v>465195251.54393399</v>
      </c>
      <c r="F150" s="12">
        <v>1.7999999999999999E-2</v>
      </c>
      <c r="G150" s="13">
        <f t="shared" si="11"/>
        <v>473568766.07172477</v>
      </c>
      <c r="H150" s="13"/>
      <c r="I150" s="14"/>
      <c r="P150" s="13"/>
    </row>
    <row r="151" spans="1:16" s="12" customFormat="1" x14ac:dyDescent="0.3">
      <c r="B151" s="81"/>
      <c r="C151" s="12">
        <v>5</v>
      </c>
      <c r="D151" s="13">
        <f>K147</f>
        <v>27741323.749817077</v>
      </c>
      <c r="E151" s="13">
        <f t="shared" si="16"/>
        <v>484056011.92211676</v>
      </c>
      <c r="F151" s="12">
        <v>1.7999999999999999E-2</v>
      </c>
      <c r="G151" s="13">
        <f t="shared" si="11"/>
        <v>492769020.13671488</v>
      </c>
      <c r="H151" s="13"/>
      <c r="I151" s="14">
        <f xml:space="preserve"> N146</f>
        <v>17254077.899425089</v>
      </c>
      <c r="P151" s="13"/>
    </row>
    <row r="152" spans="1:16" s="12" customFormat="1" x14ac:dyDescent="0.3">
      <c r="B152" s="81"/>
      <c r="C152" s="12">
        <v>6</v>
      </c>
      <c r="D152" s="13">
        <f>K147</f>
        <v>27741323.749817077</v>
      </c>
      <c r="E152" s="13">
        <f t="shared" si="16"/>
        <v>520510343.88653195</v>
      </c>
      <c r="F152" s="12">
        <v>1.7999999999999999E-2</v>
      </c>
      <c r="G152" s="13">
        <f t="shared" si="11"/>
        <v>529879530.07648951</v>
      </c>
      <c r="H152" s="13"/>
      <c r="I152" s="14"/>
      <c r="P152" s="13"/>
    </row>
    <row r="153" spans="1:16" s="12" customFormat="1" x14ac:dyDescent="0.3">
      <c r="B153" s="81"/>
      <c r="C153" s="12">
        <v>7</v>
      </c>
      <c r="D153" s="13">
        <f>K147</f>
        <v>27741323.749817077</v>
      </c>
      <c r="E153" s="13">
        <f t="shared" si="16"/>
        <v>557620853.82630658</v>
      </c>
      <c r="F153" s="12">
        <v>1.7999999999999999E-2</v>
      </c>
      <c r="G153" s="13">
        <f t="shared" si="11"/>
        <v>567658029.19518006</v>
      </c>
      <c r="H153" s="13"/>
      <c r="I153" s="14"/>
      <c r="P153" s="13"/>
    </row>
    <row r="154" spans="1:16" s="12" customFormat="1" x14ac:dyDescent="0.3">
      <c r="B154" s="81"/>
      <c r="C154" s="12">
        <v>8</v>
      </c>
      <c r="D154" s="13">
        <f>K147</f>
        <v>27741323.749817077</v>
      </c>
      <c r="E154" s="13">
        <f t="shared" si="16"/>
        <v>595399352.94499719</v>
      </c>
      <c r="F154" s="12">
        <v>1.7999999999999999E-2</v>
      </c>
      <c r="G154" s="13">
        <f t="shared" si="11"/>
        <v>606116541.29800713</v>
      </c>
      <c r="H154" s="13"/>
      <c r="I154" s="14"/>
      <c r="P154" s="13"/>
    </row>
    <row r="155" spans="1:16" s="12" customFormat="1" x14ac:dyDescent="0.3">
      <c r="B155" s="81"/>
      <c r="C155" s="12">
        <v>9</v>
      </c>
      <c r="D155" s="13">
        <f>K147</f>
        <v>27741323.749817077</v>
      </c>
      <c r="E155" s="13">
        <f t="shared" si="16"/>
        <v>633857865.04782426</v>
      </c>
      <c r="F155" s="12">
        <v>1.7999999999999999E-2</v>
      </c>
      <c r="G155" s="13">
        <f t="shared" si="11"/>
        <v>645267306.61868513</v>
      </c>
      <c r="H155" s="13"/>
      <c r="I155" s="14"/>
      <c r="P155" s="13"/>
    </row>
    <row r="156" spans="1:16" s="12" customFormat="1" x14ac:dyDescent="0.3">
      <c r="B156" s="81"/>
      <c r="C156" s="12">
        <v>10</v>
      </c>
      <c r="D156" s="13">
        <f>K147</f>
        <v>27741323.749817077</v>
      </c>
      <c r="E156" s="13">
        <f t="shared" si="16"/>
        <v>673008630.36850226</v>
      </c>
      <c r="F156" s="12">
        <v>1.7999999999999999E-2</v>
      </c>
      <c r="G156" s="13">
        <f t="shared" si="11"/>
        <v>685122785.71513534</v>
      </c>
      <c r="H156" s="13"/>
      <c r="I156" s="14"/>
      <c r="P156" s="13"/>
    </row>
    <row r="157" spans="1:16" s="12" customFormat="1" x14ac:dyDescent="0.3">
      <c r="B157" s="81"/>
      <c r="C157" s="12">
        <v>11</v>
      </c>
      <c r="D157" s="13">
        <f>K147</f>
        <v>27741323.749817077</v>
      </c>
      <c r="E157" s="13">
        <f t="shared" si="16"/>
        <v>712864109.46495247</v>
      </c>
      <c r="F157" s="12">
        <v>1.7999999999999999E-2</v>
      </c>
      <c r="G157" s="13">
        <f t="shared" si="11"/>
        <v>725695663.43532157</v>
      </c>
      <c r="H157" s="13"/>
      <c r="I157" s="14"/>
      <c r="P157" s="13"/>
    </row>
    <row r="158" spans="1:16" s="18" customFormat="1" x14ac:dyDescent="0.3">
      <c r="B158" s="81"/>
      <c r="C158" s="18">
        <v>12</v>
      </c>
      <c r="D158" s="19">
        <f>K147</f>
        <v>27741323.749817077</v>
      </c>
      <c r="E158" s="19">
        <f t="shared" si="16"/>
        <v>717436987.1851387</v>
      </c>
      <c r="F158" s="18">
        <v>1.7999999999999999E-2</v>
      </c>
      <c r="G158" s="19">
        <f t="shared" ref="G158:G221" si="17" xml:space="preserve"> (E158 * F158) + E158</f>
        <v>730350852.95447123</v>
      </c>
      <c r="H158" s="19"/>
      <c r="I158" s="24">
        <v>36000000</v>
      </c>
      <c r="J158" s="19">
        <f xml:space="preserve"> (E147 + SUM(D148:D158)) - SUM(I148:I158)</f>
        <v>612537692.09618473</v>
      </c>
      <c r="K158" s="19">
        <f xml:space="preserve"> G158 - J158</f>
        <v>117813160.8582865</v>
      </c>
      <c r="L158" s="18">
        <v>0.84</v>
      </c>
      <c r="M158" s="19">
        <f xml:space="preserve"> K158 * L158</f>
        <v>98963055.120960653</v>
      </c>
      <c r="N158" s="19">
        <f xml:space="preserve"> K158 - M158</f>
        <v>18850105.737325847</v>
      </c>
      <c r="O158" s="18">
        <f xml:space="preserve"> K158 / J158 * 100</f>
        <v>19.233618172151061</v>
      </c>
      <c r="P158" s="19"/>
    </row>
    <row r="159" spans="1:16" s="12" customFormat="1" x14ac:dyDescent="0.3">
      <c r="A159" s="12">
        <v>14</v>
      </c>
      <c r="B159" s="81">
        <v>2035</v>
      </c>
      <c r="C159" s="12">
        <v>1</v>
      </c>
      <c r="D159" s="13">
        <f>K159</f>
        <v>30431285.539769635</v>
      </c>
      <c r="E159" s="13">
        <f xml:space="preserve"> (G158 / 2) + D159 - I159</f>
        <v>395606712.01700526</v>
      </c>
      <c r="F159" s="12">
        <v>1.7999999999999999E-2</v>
      </c>
      <c r="G159" s="13">
        <f t="shared" si="17"/>
        <v>402727632.83331138</v>
      </c>
      <c r="H159" s="13"/>
      <c r="I159" s="14"/>
      <c r="K159" s="15">
        <f xml:space="preserve"> ((G158 - I159) / 2 / 12)</f>
        <v>30431285.539769635</v>
      </c>
      <c r="M159" s="9">
        <f xml:space="preserve"> (G158 - I159) / 2</f>
        <v>365175426.47723562</v>
      </c>
      <c r="P159" s="13"/>
    </row>
    <row r="160" spans="1:16" s="12" customFormat="1" x14ac:dyDescent="0.3">
      <c r="B160" s="81"/>
      <c r="C160" s="12">
        <v>2</v>
      </c>
      <c r="D160" s="13">
        <f>K159</f>
        <v>30431285.539769635</v>
      </c>
      <c r="E160" s="13">
        <f t="shared" ref="E160:E170" si="18" xml:space="preserve"> G159 + D160 - I160</f>
        <v>433158918.37308103</v>
      </c>
      <c r="F160" s="12">
        <v>1.7999999999999999E-2</v>
      </c>
      <c r="G160" s="13">
        <f t="shared" si="17"/>
        <v>440955778.90379649</v>
      </c>
      <c r="H160" s="13"/>
      <c r="I160" s="14"/>
      <c r="P160" s="13"/>
    </row>
    <row r="161" spans="1:16" s="12" customFormat="1" x14ac:dyDescent="0.3">
      <c r="B161" s="81"/>
      <c r="C161" s="12">
        <v>3</v>
      </c>
      <c r="D161" s="13">
        <f>K159</f>
        <v>30431285.539769635</v>
      </c>
      <c r="E161" s="13">
        <f t="shared" si="18"/>
        <v>471387064.44356614</v>
      </c>
      <c r="F161" s="12">
        <v>1.7999999999999999E-2</v>
      </c>
      <c r="G161" s="13">
        <f t="shared" si="17"/>
        <v>479872031.60355031</v>
      </c>
      <c r="H161" s="13"/>
      <c r="I161" s="14"/>
      <c r="P161" s="13"/>
    </row>
    <row r="162" spans="1:16" s="12" customFormat="1" x14ac:dyDescent="0.3">
      <c r="B162" s="81"/>
      <c r="C162" s="12">
        <v>4</v>
      </c>
      <c r="D162" s="13">
        <f>K159</f>
        <v>30431285.539769635</v>
      </c>
      <c r="E162" s="13">
        <f t="shared" si="18"/>
        <v>510303317.14331996</v>
      </c>
      <c r="F162" s="12">
        <v>1.7999999999999999E-2</v>
      </c>
      <c r="G162" s="13">
        <f t="shared" si="17"/>
        <v>519488776.85189974</v>
      </c>
      <c r="H162" s="13"/>
      <c r="I162" s="14"/>
      <c r="P162" s="13"/>
    </row>
    <row r="163" spans="1:16" s="12" customFormat="1" x14ac:dyDescent="0.3">
      <c r="B163" s="81"/>
      <c r="C163" s="12">
        <v>5</v>
      </c>
      <c r="D163" s="13">
        <f>K159</f>
        <v>30431285.539769635</v>
      </c>
      <c r="E163" s="13">
        <f t="shared" si="18"/>
        <v>531069956.65434355</v>
      </c>
      <c r="F163" s="12">
        <v>1.7999999999999999E-2</v>
      </c>
      <c r="G163" s="13">
        <f t="shared" si="17"/>
        <v>540629215.87412179</v>
      </c>
      <c r="H163" s="13"/>
      <c r="I163" s="14">
        <f xml:space="preserve"> N158</f>
        <v>18850105.737325847</v>
      </c>
      <c r="P163" s="13"/>
    </row>
    <row r="164" spans="1:16" s="12" customFormat="1" x14ac:dyDescent="0.3">
      <c r="B164" s="81"/>
      <c r="C164" s="12">
        <v>6</v>
      </c>
      <c r="D164" s="13">
        <f>K159</f>
        <v>30431285.539769635</v>
      </c>
      <c r="E164" s="13">
        <f t="shared" si="18"/>
        <v>571060501.41389143</v>
      </c>
      <c r="F164" s="12">
        <v>1.7999999999999999E-2</v>
      </c>
      <c r="G164" s="13">
        <f t="shared" si="17"/>
        <v>581339590.43934143</v>
      </c>
      <c r="H164" s="13"/>
      <c r="I164" s="14"/>
      <c r="P164" s="13"/>
    </row>
    <row r="165" spans="1:16" s="12" customFormat="1" x14ac:dyDescent="0.3">
      <c r="B165" s="81"/>
      <c r="C165" s="12">
        <v>7</v>
      </c>
      <c r="D165" s="13">
        <f>K159</f>
        <v>30431285.539769635</v>
      </c>
      <c r="E165" s="13">
        <f t="shared" si="18"/>
        <v>611770875.97911108</v>
      </c>
      <c r="F165" s="12">
        <v>1.7999999999999999E-2</v>
      </c>
      <c r="G165" s="13">
        <f t="shared" si="17"/>
        <v>622782751.7467351</v>
      </c>
      <c r="H165" s="13"/>
      <c r="I165" s="14"/>
      <c r="P165" s="13"/>
    </row>
    <row r="166" spans="1:16" s="12" customFormat="1" x14ac:dyDescent="0.3">
      <c r="B166" s="81"/>
      <c r="C166" s="12">
        <v>8</v>
      </c>
      <c r="D166" s="13">
        <f>K159</f>
        <v>30431285.539769635</v>
      </c>
      <c r="E166" s="13">
        <f t="shared" si="18"/>
        <v>653214037.28650475</v>
      </c>
      <c r="F166" s="12">
        <v>1.7999999999999999E-2</v>
      </c>
      <c r="G166" s="13">
        <f t="shared" si="17"/>
        <v>664971889.95766187</v>
      </c>
      <c r="H166" s="13"/>
      <c r="I166" s="14"/>
      <c r="P166" s="13"/>
    </row>
    <row r="167" spans="1:16" s="12" customFormat="1" x14ac:dyDescent="0.3">
      <c r="B167" s="81"/>
      <c r="C167" s="12">
        <v>9</v>
      </c>
      <c r="D167" s="13">
        <f>K159</f>
        <v>30431285.539769635</v>
      </c>
      <c r="E167" s="13">
        <f t="shared" si="18"/>
        <v>695403175.49743152</v>
      </c>
      <c r="F167" s="12">
        <v>1.7999999999999999E-2</v>
      </c>
      <c r="G167" s="13">
        <f t="shared" si="17"/>
        <v>707920432.6563853</v>
      </c>
      <c r="H167" s="13"/>
      <c r="I167" s="14"/>
      <c r="P167" s="13"/>
    </row>
    <row r="168" spans="1:16" s="12" customFormat="1" x14ac:dyDescent="0.3">
      <c r="B168" s="81"/>
      <c r="C168" s="12">
        <v>10</v>
      </c>
      <c r="D168" s="13">
        <f>K159</f>
        <v>30431285.539769635</v>
      </c>
      <c r="E168" s="13">
        <f t="shared" si="18"/>
        <v>738351718.19615495</v>
      </c>
      <c r="F168" s="12">
        <v>1.7999999999999999E-2</v>
      </c>
      <c r="G168" s="13">
        <f t="shared" si="17"/>
        <v>751642049.12368572</v>
      </c>
      <c r="H168" s="13"/>
      <c r="I168" s="14"/>
      <c r="P168" s="13"/>
    </row>
    <row r="169" spans="1:16" s="12" customFormat="1" x14ac:dyDescent="0.3">
      <c r="B169" s="81"/>
      <c r="C169" s="12">
        <v>11</v>
      </c>
      <c r="D169" s="13">
        <f>K159</f>
        <v>30431285.539769635</v>
      </c>
      <c r="E169" s="13">
        <f t="shared" si="18"/>
        <v>782073334.66345537</v>
      </c>
      <c r="F169" s="12">
        <v>1.7999999999999999E-2</v>
      </c>
      <c r="G169" s="13">
        <f t="shared" si="17"/>
        <v>796150654.6873976</v>
      </c>
      <c r="H169" s="13"/>
      <c r="I169" s="14"/>
      <c r="P169" s="13"/>
    </row>
    <row r="170" spans="1:16" s="18" customFormat="1" x14ac:dyDescent="0.3">
      <c r="B170" s="81"/>
      <c r="C170" s="18">
        <v>12</v>
      </c>
      <c r="D170" s="19">
        <f>K159</f>
        <v>30431285.539769635</v>
      </c>
      <c r="E170" s="19">
        <f t="shared" si="18"/>
        <v>790581940.22716725</v>
      </c>
      <c r="F170" s="18">
        <v>1.7999999999999999E-2</v>
      </c>
      <c r="G170" s="19">
        <f t="shared" si="17"/>
        <v>804812415.1512562</v>
      </c>
      <c r="H170" s="19"/>
      <c r="I170" s="24">
        <v>36000000</v>
      </c>
      <c r="J170" s="19">
        <f xml:space="preserve"> (E159 + SUM(D160:D170)) - SUM(I160:I170)</f>
        <v>675500747.21714544</v>
      </c>
      <c r="K170" s="19">
        <f xml:space="preserve"> G170 - J170</f>
        <v>129311667.93411076</v>
      </c>
      <c r="L170" s="18">
        <v>0.84</v>
      </c>
      <c r="M170" s="19">
        <f xml:space="preserve"> K170 * L170</f>
        <v>108621801.06465304</v>
      </c>
      <c r="N170" s="19">
        <f xml:space="preserve"> K170 - M170</f>
        <v>20689866.869457722</v>
      </c>
      <c r="O170" s="18">
        <f xml:space="preserve"> K170 / J170 * 100</f>
        <v>19.143082885819879</v>
      </c>
      <c r="P170" s="19"/>
    </row>
    <row r="171" spans="1:16" s="12" customFormat="1" x14ac:dyDescent="0.3">
      <c r="A171" s="12">
        <v>15</v>
      </c>
      <c r="B171" s="81">
        <v>2036</v>
      </c>
      <c r="C171" s="12">
        <v>1</v>
      </c>
      <c r="D171" s="13">
        <f>K171</f>
        <v>33533850.631302342</v>
      </c>
      <c r="E171" s="13">
        <f xml:space="preserve"> (G170 / 2) + D171 - I171</f>
        <v>435940058.20693046</v>
      </c>
      <c r="F171" s="12">
        <v>1.7999999999999999E-2</v>
      </c>
      <c r="G171" s="13">
        <f t="shared" si="17"/>
        <v>443786979.25465518</v>
      </c>
      <c r="H171" s="13"/>
      <c r="I171" s="14"/>
      <c r="K171" s="15">
        <f xml:space="preserve"> ((G170 - I171) / 2 / 12)</f>
        <v>33533850.631302342</v>
      </c>
      <c r="M171" s="9">
        <f xml:space="preserve"> (G170 - I171) / 2</f>
        <v>402406207.5756281</v>
      </c>
      <c r="P171" s="13"/>
    </row>
    <row r="172" spans="1:16" s="12" customFormat="1" x14ac:dyDescent="0.3">
      <c r="B172" s="81"/>
      <c r="C172" s="12">
        <v>2</v>
      </c>
      <c r="D172" s="13">
        <f>K171</f>
        <v>33533850.631302342</v>
      </c>
      <c r="E172" s="13">
        <f t="shared" ref="E172:E182" si="19" xml:space="preserve"> G171 + D172 - I172</f>
        <v>477320829.88595754</v>
      </c>
      <c r="F172" s="12">
        <v>1.7999999999999999E-2</v>
      </c>
      <c r="G172" s="13">
        <f t="shared" si="17"/>
        <v>485912604.82390475</v>
      </c>
      <c r="H172" s="13"/>
      <c r="I172" s="14"/>
      <c r="P172" s="13"/>
    </row>
    <row r="173" spans="1:16" s="12" customFormat="1" x14ac:dyDescent="0.3">
      <c r="B173" s="81"/>
      <c r="C173" s="12">
        <v>3</v>
      </c>
      <c r="D173" s="13">
        <f>K171</f>
        <v>33533850.631302342</v>
      </c>
      <c r="E173" s="13">
        <f t="shared" si="19"/>
        <v>519446455.45520711</v>
      </c>
      <c r="F173" s="12">
        <v>1.7999999999999999E-2</v>
      </c>
      <c r="G173" s="13">
        <f t="shared" si="17"/>
        <v>528796491.65340084</v>
      </c>
      <c r="H173" s="13"/>
      <c r="I173" s="14"/>
      <c r="P173" s="13"/>
    </row>
    <row r="174" spans="1:16" s="12" customFormat="1" x14ac:dyDescent="0.3">
      <c r="B174" s="81"/>
      <c r="C174" s="12">
        <v>4</v>
      </c>
      <c r="D174" s="13">
        <f>K171</f>
        <v>33533850.631302342</v>
      </c>
      <c r="E174" s="13">
        <f t="shared" si="19"/>
        <v>562330342.28470314</v>
      </c>
      <c r="F174" s="12">
        <v>1.7999999999999999E-2</v>
      </c>
      <c r="G174" s="13">
        <f t="shared" si="17"/>
        <v>572452288.44582784</v>
      </c>
      <c r="H174" s="13"/>
      <c r="I174" s="14"/>
      <c r="P174" s="13"/>
    </row>
    <row r="175" spans="1:16" s="12" customFormat="1" x14ac:dyDescent="0.3">
      <c r="B175" s="81"/>
      <c r="C175" s="12">
        <v>5</v>
      </c>
      <c r="D175" s="13">
        <f>K171</f>
        <v>33533850.631302342</v>
      </c>
      <c r="E175" s="13">
        <f t="shared" si="19"/>
        <v>585296272.20767248</v>
      </c>
      <c r="F175" s="12">
        <v>1.7999999999999999E-2</v>
      </c>
      <c r="G175" s="13">
        <f t="shared" si="17"/>
        <v>595831605.10741055</v>
      </c>
      <c r="H175" s="13"/>
      <c r="I175" s="14">
        <f xml:space="preserve"> N170</f>
        <v>20689866.869457722</v>
      </c>
      <c r="P175" s="13"/>
    </row>
    <row r="176" spans="1:16" s="12" customFormat="1" x14ac:dyDescent="0.3">
      <c r="B176" s="81"/>
      <c r="C176" s="12">
        <v>6</v>
      </c>
      <c r="D176" s="13">
        <f>K171</f>
        <v>33533850.631302342</v>
      </c>
      <c r="E176" s="13">
        <f t="shared" si="19"/>
        <v>629365455.73871291</v>
      </c>
      <c r="F176" s="12">
        <v>1.7999999999999999E-2</v>
      </c>
      <c r="G176" s="13">
        <f t="shared" si="17"/>
        <v>640694033.94200969</v>
      </c>
      <c r="H176" s="13"/>
      <c r="I176" s="14"/>
      <c r="P176" s="13"/>
    </row>
    <row r="177" spans="1:16" s="12" customFormat="1" x14ac:dyDescent="0.3">
      <c r="B177" s="81"/>
      <c r="C177" s="12">
        <v>7</v>
      </c>
      <c r="D177" s="13">
        <f>K171</f>
        <v>33533850.631302342</v>
      </c>
      <c r="E177" s="13">
        <f t="shared" si="19"/>
        <v>674227884.57331204</v>
      </c>
      <c r="F177" s="12">
        <v>1.7999999999999999E-2</v>
      </c>
      <c r="G177" s="13">
        <f t="shared" si="17"/>
        <v>686363986.49563169</v>
      </c>
      <c r="H177" s="13"/>
      <c r="I177" s="14"/>
      <c r="P177" s="13"/>
    </row>
    <row r="178" spans="1:16" s="12" customFormat="1" x14ac:dyDescent="0.3">
      <c r="B178" s="81"/>
      <c r="C178" s="12">
        <v>8</v>
      </c>
      <c r="D178" s="13">
        <f>K171</f>
        <v>33533850.631302342</v>
      </c>
      <c r="E178" s="13">
        <f t="shared" si="19"/>
        <v>719897837.12693405</v>
      </c>
      <c r="F178" s="12">
        <v>1.7999999999999999E-2</v>
      </c>
      <c r="G178" s="13">
        <f t="shared" si="17"/>
        <v>732855998.19521892</v>
      </c>
      <c r="H178" s="13"/>
      <c r="I178" s="14"/>
      <c r="P178" s="13"/>
    </row>
    <row r="179" spans="1:16" s="12" customFormat="1" x14ac:dyDescent="0.3">
      <c r="B179" s="81"/>
      <c r="C179" s="12">
        <v>9</v>
      </c>
      <c r="D179" s="13">
        <f>K171</f>
        <v>33533850.631302342</v>
      </c>
      <c r="E179" s="13">
        <f t="shared" si="19"/>
        <v>766389848.82652128</v>
      </c>
      <c r="F179" s="12">
        <v>1.7999999999999999E-2</v>
      </c>
      <c r="G179" s="13">
        <f t="shared" si="17"/>
        <v>780184866.10539865</v>
      </c>
      <c r="H179" s="13"/>
      <c r="I179" s="14"/>
      <c r="P179" s="13"/>
    </row>
    <row r="180" spans="1:16" s="12" customFormat="1" x14ac:dyDescent="0.3">
      <c r="B180" s="81"/>
      <c r="C180" s="12">
        <v>10</v>
      </c>
      <c r="D180" s="13">
        <f>K171</f>
        <v>33533850.631302342</v>
      </c>
      <c r="E180" s="13">
        <f t="shared" si="19"/>
        <v>813718716.73670101</v>
      </c>
      <c r="F180" s="12">
        <v>1.7999999999999999E-2</v>
      </c>
      <c r="G180" s="13">
        <f t="shared" si="17"/>
        <v>828365653.63796163</v>
      </c>
      <c r="H180" s="13"/>
      <c r="I180" s="14"/>
      <c r="P180" s="13"/>
    </row>
    <row r="181" spans="1:16" s="12" customFormat="1" x14ac:dyDescent="0.3">
      <c r="B181" s="81"/>
      <c r="C181" s="12">
        <v>11</v>
      </c>
      <c r="D181" s="13">
        <f>K171</f>
        <v>33533850.631302342</v>
      </c>
      <c r="E181" s="13">
        <f t="shared" si="19"/>
        <v>861899504.26926398</v>
      </c>
      <c r="F181" s="12">
        <v>1.7999999999999999E-2</v>
      </c>
      <c r="G181" s="13">
        <f t="shared" si="17"/>
        <v>877413695.3461107</v>
      </c>
      <c r="H181" s="13"/>
      <c r="I181" s="14"/>
      <c r="P181" s="13"/>
    </row>
    <row r="182" spans="1:16" s="18" customFormat="1" x14ac:dyDescent="0.3">
      <c r="B182" s="81"/>
      <c r="C182" s="18">
        <v>12</v>
      </c>
      <c r="D182" s="19">
        <f>K171</f>
        <v>33533850.631302342</v>
      </c>
      <c r="E182" s="19">
        <f t="shared" si="19"/>
        <v>874947545.97741306</v>
      </c>
      <c r="F182" s="18">
        <v>1.7999999999999999E-2</v>
      </c>
      <c r="G182" s="19">
        <f t="shared" si="17"/>
        <v>890696601.8050065</v>
      </c>
      <c r="H182" s="19"/>
      <c r="I182" s="24">
        <v>36000000</v>
      </c>
      <c r="J182" s="19">
        <f xml:space="preserve"> (E171 + SUM(D172:D182)) - SUM(I172:I182)</f>
        <v>748122548.2817986</v>
      </c>
      <c r="K182" s="19">
        <f xml:space="preserve"> G182 - J182</f>
        <v>142574053.5232079</v>
      </c>
      <c r="L182" s="18">
        <v>0.84</v>
      </c>
      <c r="M182" s="19">
        <f xml:space="preserve"> K182 * L182</f>
        <v>119762204.95949464</v>
      </c>
      <c r="N182" s="19">
        <f xml:space="preserve"> K182 - M182</f>
        <v>22811848.563713267</v>
      </c>
      <c r="O182" s="18">
        <f xml:space="preserve"> K182 / J182 * 100</f>
        <v>19.057580051644681</v>
      </c>
      <c r="P182" s="19"/>
    </row>
    <row r="183" spans="1:16" s="12" customFormat="1" x14ac:dyDescent="0.3">
      <c r="A183" s="12">
        <v>16</v>
      </c>
      <c r="B183" s="81">
        <v>2037</v>
      </c>
      <c r="C183" s="12">
        <v>1</v>
      </c>
      <c r="D183" s="13">
        <f>K183</f>
        <v>37112358.40854194</v>
      </c>
      <c r="E183" s="13">
        <f xml:space="preserve"> (G182 / 2) + D183 - I183</f>
        <v>482460659.31104517</v>
      </c>
      <c r="F183" s="12">
        <v>1.7999999999999999E-2</v>
      </c>
      <c r="G183" s="13">
        <f t="shared" si="17"/>
        <v>491144951.178644</v>
      </c>
      <c r="H183" s="13"/>
      <c r="I183" s="14"/>
      <c r="K183" s="15">
        <f xml:space="preserve"> ((G182 - I183) / 2 / 12)</f>
        <v>37112358.40854194</v>
      </c>
      <c r="M183" s="9">
        <f xml:space="preserve"> (G182 - I183) / 2</f>
        <v>445348300.90250325</v>
      </c>
      <c r="P183" s="13"/>
    </row>
    <row r="184" spans="1:16" s="12" customFormat="1" x14ac:dyDescent="0.3">
      <c r="B184" s="81"/>
      <c r="C184" s="12">
        <v>2</v>
      </c>
      <c r="D184" s="13">
        <f>K183</f>
        <v>37112358.40854194</v>
      </c>
      <c r="E184" s="13">
        <f t="shared" ref="E184:E194" si="20" xml:space="preserve"> G183 + D184 - I184</f>
        <v>528257309.58718592</v>
      </c>
      <c r="F184" s="12">
        <v>1.7999999999999999E-2</v>
      </c>
      <c r="G184" s="13">
        <f t="shared" si="17"/>
        <v>537765941.15975523</v>
      </c>
      <c r="H184" s="13"/>
      <c r="I184" s="14"/>
      <c r="P184" s="13"/>
    </row>
    <row r="185" spans="1:16" s="12" customFormat="1" x14ac:dyDescent="0.3">
      <c r="B185" s="81"/>
      <c r="C185" s="12">
        <v>3</v>
      </c>
      <c r="D185" s="13">
        <f>K183</f>
        <v>37112358.40854194</v>
      </c>
      <c r="E185" s="13">
        <f t="shared" si="20"/>
        <v>574878299.56829715</v>
      </c>
      <c r="F185" s="12">
        <v>1.7999999999999999E-2</v>
      </c>
      <c r="G185" s="13">
        <f t="shared" si="17"/>
        <v>585226108.96052647</v>
      </c>
      <c r="H185" s="13"/>
      <c r="I185" s="14"/>
      <c r="P185" s="13"/>
    </row>
    <row r="186" spans="1:16" s="12" customFormat="1" x14ac:dyDescent="0.3">
      <c r="B186" s="81"/>
      <c r="C186" s="12">
        <v>4</v>
      </c>
      <c r="D186" s="13">
        <f>K183</f>
        <v>37112358.40854194</v>
      </c>
      <c r="E186" s="13">
        <f t="shared" si="20"/>
        <v>622338467.36906838</v>
      </c>
      <c r="F186" s="12">
        <v>1.7999999999999999E-2</v>
      </c>
      <c r="G186" s="13">
        <f t="shared" si="17"/>
        <v>633540559.78171158</v>
      </c>
      <c r="H186" s="13"/>
      <c r="I186" s="14"/>
      <c r="P186" s="13"/>
    </row>
    <row r="187" spans="1:16" s="12" customFormat="1" x14ac:dyDescent="0.3">
      <c r="B187" s="81"/>
      <c r="C187" s="12">
        <v>5</v>
      </c>
      <c r="D187" s="13">
        <f>K183</f>
        <v>37112358.40854194</v>
      </c>
      <c r="E187" s="13">
        <f t="shared" si="20"/>
        <v>647841069.62654018</v>
      </c>
      <c r="F187" s="12">
        <v>1.7999999999999999E-2</v>
      </c>
      <c r="G187" s="13">
        <f t="shared" si="17"/>
        <v>659502208.87981796</v>
      </c>
      <c r="H187" s="13"/>
      <c r="I187" s="14">
        <f xml:space="preserve"> N182</f>
        <v>22811848.563713267</v>
      </c>
      <c r="P187" s="13"/>
    </row>
    <row r="188" spans="1:16" s="12" customFormat="1" x14ac:dyDescent="0.3">
      <c r="B188" s="81"/>
      <c r="C188" s="12">
        <v>6</v>
      </c>
      <c r="D188" s="13">
        <f>K183</f>
        <v>37112358.40854194</v>
      </c>
      <c r="E188" s="13">
        <f t="shared" si="20"/>
        <v>696614567.28835988</v>
      </c>
      <c r="F188" s="12">
        <v>1.7999999999999999E-2</v>
      </c>
      <c r="G188" s="13">
        <f t="shared" si="17"/>
        <v>709153629.49955034</v>
      </c>
      <c r="H188" s="13"/>
      <c r="I188" s="14"/>
      <c r="P188" s="13"/>
    </row>
    <row r="189" spans="1:16" s="12" customFormat="1" x14ac:dyDescent="0.3">
      <c r="B189" s="81"/>
      <c r="C189" s="12">
        <v>7</v>
      </c>
      <c r="D189" s="13">
        <f>K183</f>
        <v>37112358.40854194</v>
      </c>
      <c r="E189" s="13">
        <f t="shared" si="20"/>
        <v>746265987.90809226</v>
      </c>
      <c r="F189" s="12">
        <v>1.7999999999999999E-2</v>
      </c>
      <c r="G189" s="13">
        <f t="shared" si="17"/>
        <v>759698775.69043791</v>
      </c>
      <c r="H189" s="13"/>
      <c r="I189" s="14"/>
      <c r="P189" s="13"/>
    </row>
    <row r="190" spans="1:16" s="12" customFormat="1" x14ac:dyDescent="0.3">
      <c r="B190" s="81"/>
      <c r="C190" s="12">
        <v>8</v>
      </c>
      <c r="D190" s="13">
        <f>K183</f>
        <v>37112358.40854194</v>
      </c>
      <c r="E190" s="13">
        <f t="shared" si="20"/>
        <v>796811134.09897983</v>
      </c>
      <c r="F190" s="12">
        <v>1.7999999999999999E-2</v>
      </c>
      <c r="G190" s="13">
        <f t="shared" si="17"/>
        <v>811153734.51276147</v>
      </c>
      <c r="H190" s="13"/>
      <c r="I190" s="14"/>
      <c r="P190" s="13"/>
    </row>
    <row r="191" spans="1:16" s="12" customFormat="1" x14ac:dyDescent="0.3">
      <c r="B191" s="81"/>
      <c r="C191" s="12">
        <v>9</v>
      </c>
      <c r="D191" s="13">
        <f>K183</f>
        <v>37112358.40854194</v>
      </c>
      <c r="E191" s="13">
        <f t="shared" si="20"/>
        <v>848266092.92130339</v>
      </c>
      <c r="F191" s="12">
        <v>1.7999999999999999E-2</v>
      </c>
      <c r="G191" s="13">
        <f t="shared" si="17"/>
        <v>863534882.59388685</v>
      </c>
      <c r="H191" s="13"/>
      <c r="I191" s="14"/>
      <c r="P191" s="13"/>
    </row>
    <row r="192" spans="1:16" s="12" customFormat="1" x14ac:dyDescent="0.3">
      <c r="B192" s="81"/>
      <c r="C192" s="12">
        <v>10</v>
      </c>
      <c r="D192" s="13">
        <f>K183</f>
        <v>37112358.40854194</v>
      </c>
      <c r="E192" s="13">
        <f t="shared" si="20"/>
        <v>900647241.00242877</v>
      </c>
      <c r="F192" s="12">
        <v>1.7999999999999999E-2</v>
      </c>
      <c r="G192" s="13">
        <f t="shared" si="17"/>
        <v>916858891.34047246</v>
      </c>
      <c r="H192" s="13"/>
      <c r="I192" s="14"/>
      <c r="P192" s="13"/>
    </row>
    <row r="193" spans="1:16" s="12" customFormat="1" x14ac:dyDescent="0.3">
      <c r="B193" s="81"/>
      <c r="C193" s="12">
        <v>11</v>
      </c>
      <c r="D193" s="13">
        <f>K183</f>
        <v>37112358.40854194</v>
      </c>
      <c r="E193" s="13">
        <f t="shared" si="20"/>
        <v>953971249.74901438</v>
      </c>
      <c r="F193" s="12">
        <v>1.7999999999999999E-2</v>
      </c>
      <c r="G193" s="13">
        <f t="shared" si="17"/>
        <v>971142732.24449658</v>
      </c>
      <c r="H193" s="13"/>
      <c r="I193" s="14"/>
      <c r="P193" s="13"/>
    </row>
    <row r="194" spans="1:16" s="18" customFormat="1" x14ac:dyDescent="0.3">
      <c r="B194" s="81"/>
      <c r="C194" s="18">
        <v>12</v>
      </c>
      <c r="D194" s="19">
        <f>K183</f>
        <v>37112358.40854194</v>
      </c>
      <c r="E194" s="19">
        <f t="shared" si="20"/>
        <v>872255090.6530385</v>
      </c>
      <c r="F194" s="18">
        <v>1.7999999999999999E-2</v>
      </c>
      <c r="G194" s="19">
        <f t="shared" si="17"/>
        <v>887955682.28479314</v>
      </c>
      <c r="H194" s="19"/>
      <c r="I194" s="24">
        <v>136000000</v>
      </c>
      <c r="J194" s="19">
        <f xml:space="preserve"> (E183 + SUM(D184:D194)) - SUM(I184:I194)</f>
        <v>731884753.24129319</v>
      </c>
      <c r="K194" s="19">
        <f xml:space="preserve"> G194 - J194</f>
        <v>156070929.04349995</v>
      </c>
      <c r="L194" s="18">
        <v>0.84</v>
      </c>
      <c r="M194" s="19">
        <f xml:space="preserve"> K194 * L194</f>
        <v>131099580.39653996</v>
      </c>
      <c r="N194" s="19">
        <f xml:space="preserve"> K194 - M194</f>
        <v>24971348.64695999</v>
      </c>
      <c r="O194" s="18">
        <f xml:space="preserve"> K194 / J194 * 100</f>
        <v>21.324522522474972</v>
      </c>
      <c r="P194" s="19"/>
    </row>
    <row r="195" spans="1:16" s="3" customFormat="1" x14ac:dyDescent="0.3">
      <c r="A195" s="3">
        <v>17</v>
      </c>
      <c r="B195" s="80">
        <v>2038</v>
      </c>
      <c r="C195" s="3">
        <v>1</v>
      </c>
      <c r="D195" s="4">
        <f>K195</f>
        <v>36998153.428533047</v>
      </c>
      <c r="E195" s="4">
        <f xml:space="preserve"> (G194 / 2) + D195 - I195</f>
        <v>480975994.57092965</v>
      </c>
      <c r="F195" s="3">
        <v>1.7999999999999999E-2</v>
      </c>
      <c r="G195" s="4">
        <f t="shared" si="17"/>
        <v>489633562.4732064</v>
      </c>
      <c r="H195" s="4"/>
      <c r="I195" s="5"/>
      <c r="K195" s="6">
        <f xml:space="preserve"> ((G194 - I195) / 2 / 12)</f>
        <v>36998153.428533047</v>
      </c>
      <c r="M195" s="9">
        <f xml:space="preserve"> (G194 - I195) / 2</f>
        <v>443977841.14239657</v>
      </c>
      <c r="N195" s="7" t="s">
        <v>1</v>
      </c>
      <c r="P195" s="4"/>
    </row>
    <row r="196" spans="1:16" s="3" customFormat="1" x14ac:dyDescent="0.3">
      <c r="B196" s="80"/>
      <c r="C196" s="3">
        <v>2</v>
      </c>
      <c r="D196" s="4">
        <f>K195</f>
        <v>36998153.428533047</v>
      </c>
      <c r="E196" s="4">
        <f t="shared" ref="E196:E206" si="21" xml:space="preserve"> G195 + D196 - I196</f>
        <v>526631715.90173948</v>
      </c>
      <c r="F196" s="3">
        <v>1.7999999999999999E-2</v>
      </c>
      <c r="G196" s="4">
        <f t="shared" si="17"/>
        <v>536111086.78797078</v>
      </c>
      <c r="H196" s="4"/>
      <c r="I196" s="5"/>
      <c r="P196" s="4"/>
    </row>
    <row r="197" spans="1:16" s="3" customFormat="1" x14ac:dyDescent="0.3">
      <c r="B197" s="80"/>
      <c r="C197" s="3">
        <v>3</v>
      </c>
      <c r="D197" s="4">
        <f>K195</f>
        <v>36998153.428533047</v>
      </c>
      <c r="E197" s="4">
        <f t="shared" si="21"/>
        <v>573109240.21650386</v>
      </c>
      <c r="F197" s="3">
        <v>1.7999999999999999E-2</v>
      </c>
      <c r="G197" s="4">
        <f t="shared" si="17"/>
        <v>583425206.54040098</v>
      </c>
      <c r="H197" s="4"/>
      <c r="I197" s="5"/>
      <c r="P197" s="4"/>
    </row>
    <row r="198" spans="1:16" s="3" customFormat="1" x14ac:dyDescent="0.3">
      <c r="B198" s="80"/>
      <c r="C198" s="3">
        <v>4</v>
      </c>
      <c r="D198" s="4">
        <f>K195</f>
        <v>36998153.428533047</v>
      </c>
      <c r="E198" s="4">
        <f t="shared" si="21"/>
        <v>620423359.96893406</v>
      </c>
      <c r="F198" s="3">
        <v>1.7999999999999999E-2</v>
      </c>
      <c r="G198" s="4">
        <f t="shared" si="17"/>
        <v>631590980.44837487</v>
      </c>
      <c r="H198" s="4"/>
      <c r="I198" s="5"/>
      <c r="P198" s="4"/>
    </row>
    <row r="199" spans="1:16" s="3" customFormat="1" x14ac:dyDescent="0.3">
      <c r="B199" s="80"/>
      <c r="C199" s="3">
        <v>5</v>
      </c>
      <c r="D199" s="4">
        <f>K195</f>
        <v>36998153.428533047</v>
      </c>
      <c r="E199" s="4">
        <f t="shared" si="21"/>
        <v>643617785.22994792</v>
      </c>
      <c r="F199" s="3">
        <v>1.7999999999999999E-2</v>
      </c>
      <c r="G199" s="4">
        <f t="shared" si="17"/>
        <v>655202905.36408699</v>
      </c>
      <c r="H199" s="4"/>
      <c r="I199" s="5">
        <f xml:space="preserve"> N194</f>
        <v>24971348.64695999</v>
      </c>
      <c r="P199" s="4"/>
    </row>
    <row r="200" spans="1:16" s="3" customFormat="1" x14ac:dyDescent="0.3">
      <c r="B200" s="80"/>
      <c r="C200" s="3">
        <v>6</v>
      </c>
      <c r="D200" s="4">
        <f>K195</f>
        <v>36998153.428533047</v>
      </c>
      <c r="E200" s="4">
        <f t="shared" si="21"/>
        <v>692201058.79262006</v>
      </c>
      <c r="F200" s="3">
        <v>1.7999999999999999E-2</v>
      </c>
      <c r="G200" s="4">
        <f t="shared" si="17"/>
        <v>704660677.85088718</v>
      </c>
      <c r="H200" s="4"/>
      <c r="I200" s="5"/>
      <c r="P200" s="4"/>
    </row>
    <row r="201" spans="1:16" s="3" customFormat="1" x14ac:dyDescent="0.3">
      <c r="B201" s="80"/>
      <c r="C201" s="3">
        <v>7</v>
      </c>
      <c r="D201" s="4">
        <f>K195</f>
        <v>36998153.428533047</v>
      </c>
      <c r="E201" s="4">
        <f t="shared" si="21"/>
        <v>741658831.27942026</v>
      </c>
      <c r="F201" s="3">
        <v>1.7999999999999999E-2</v>
      </c>
      <c r="G201" s="4">
        <f t="shared" si="17"/>
        <v>755008690.24244976</v>
      </c>
      <c r="H201" s="4"/>
      <c r="I201" s="5"/>
      <c r="P201" s="4"/>
    </row>
    <row r="202" spans="1:16" s="3" customFormat="1" x14ac:dyDescent="0.3">
      <c r="B202" s="80"/>
      <c r="C202" s="3">
        <v>8</v>
      </c>
      <c r="D202" s="4">
        <f>K195</f>
        <v>36998153.428533047</v>
      </c>
      <c r="E202" s="4">
        <f t="shared" si="21"/>
        <v>792006843.67098284</v>
      </c>
      <c r="F202" s="3">
        <v>1.7999999999999999E-2</v>
      </c>
      <c r="G202" s="4">
        <f t="shared" si="17"/>
        <v>806262966.85706055</v>
      </c>
      <c r="H202" s="4"/>
      <c r="I202" s="5"/>
      <c r="P202" s="4"/>
    </row>
    <row r="203" spans="1:16" s="3" customFormat="1" x14ac:dyDescent="0.3">
      <c r="B203" s="80"/>
      <c r="C203" s="3">
        <v>9</v>
      </c>
      <c r="D203" s="4">
        <f>K195</f>
        <v>36998153.428533047</v>
      </c>
      <c r="E203" s="4">
        <f t="shared" si="21"/>
        <v>843261120.28559363</v>
      </c>
      <c r="F203" s="3">
        <v>1.7999999999999999E-2</v>
      </c>
      <c r="G203" s="4">
        <f t="shared" si="17"/>
        <v>858439820.45073426</v>
      </c>
      <c r="H203" s="4"/>
      <c r="I203" s="5"/>
      <c r="P203" s="4"/>
    </row>
    <row r="204" spans="1:16" s="3" customFormat="1" x14ac:dyDescent="0.3">
      <c r="B204" s="80"/>
      <c r="C204" s="3">
        <v>10</v>
      </c>
      <c r="D204" s="4">
        <f>K195</f>
        <v>36998153.428533047</v>
      </c>
      <c r="E204" s="4">
        <f t="shared" si="21"/>
        <v>895437973.87926733</v>
      </c>
      <c r="F204" s="3">
        <v>1.7999999999999999E-2</v>
      </c>
      <c r="G204" s="4">
        <f t="shared" si="17"/>
        <v>911555857.4090941</v>
      </c>
      <c r="H204" s="4"/>
      <c r="I204" s="5"/>
      <c r="P204" s="4"/>
    </row>
    <row r="205" spans="1:16" s="3" customFormat="1" x14ac:dyDescent="0.3">
      <c r="B205" s="80"/>
      <c r="C205" s="3">
        <v>11</v>
      </c>
      <c r="D205" s="4">
        <f>K195</f>
        <v>36998153.428533047</v>
      </c>
      <c r="E205" s="4">
        <f t="shared" si="21"/>
        <v>948554010.83762717</v>
      </c>
      <c r="F205" s="3">
        <v>1.7999999999999999E-2</v>
      </c>
      <c r="G205" s="4">
        <f t="shared" si="17"/>
        <v>965627983.03270447</v>
      </c>
      <c r="H205" s="4"/>
      <c r="I205" s="5"/>
      <c r="P205" s="4"/>
    </row>
    <row r="206" spans="1:16" s="3" customFormat="1" x14ac:dyDescent="0.3">
      <c r="B206" s="80"/>
      <c r="C206" s="3">
        <v>12</v>
      </c>
      <c r="D206" s="4">
        <f>K195</f>
        <v>36998153.428533047</v>
      </c>
      <c r="E206" s="4">
        <f t="shared" si="21"/>
        <v>962626136.46123755</v>
      </c>
      <c r="F206" s="3">
        <v>1.7999999999999999E-2</v>
      </c>
      <c r="G206" s="4">
        <f t="shared" si="17"/>
        <v>979953406.91753983</v>
      </c>
      <c r="H206" s="4"/>
      <c r="I206" s="17">
        <v>40000000</v>
      </c>
      <c r="J206" s="4">
        <f xml:space="preserve"> (E195 + SUM(D196:D206)) - SUM(I196:I206)</f>
        <v>822984333.63783324</v>
      </c>
      <c r="K206" s="9">
        <f xml:space="preserve"> G206 - J206</f>
        <v>156969073.2797066</v>
      </c>
      <c r="L206" s="3">
        <v>0.84</v>
      </c>
      <c r="M206" s="4">
        <f xml:space="preserve"> K206 * L206</f>
        <v>131854021.55495353</v>
      </c>
      <c r="N206" s="4">
        <f xml:space="preserve"> K206 - M206</f>
        <v>25115051.724753067</v>
      </c>
      <c r="O206" s="3">
        <f xml:space="preserve"> K206 / J206 * 100</f>
        <v>19.073154477419642</v>
      </c>
      <c r="P206" s="4"/>
    </row>
    <row r="207" spans="1:16" s="3" customFormat="1" x14ac:dyDescent="0.3">
      <c r="A207" s="3">
        <v>18</v>
      </c>
      <c r="B207" s="80">
        <v>2039</v>
      </c>
      <c r="C207" s="3">
        <v>1</v>
      </c>
      <c r="D207" s="4">
        <f>K207</f>
        <v>40831391.954897493</v>
      </c>
      <c r="E207" s="4">
        <f xml:space="preserve"> (G206 / 2) + D207 - I207</f>
        <v>530808095.41366744</v>
      </c>
      <c r="F207" s="3">
        <v>1.7999999999999999E-2</v>
      </c>
      <c r="G207" s="4">
        <f t="shared" si="17"/>
        <v>540362641.13111341</v>
      </c>
      <c r="H207" s="4"/>
      <c r="I207" s="5"/>
      <c r="K207" s="6">
        <f xml:space="preserve"> ((G206 - I207) / 2 / 12)</f>
        <v>40831391.954897493</v>
      </c>
      <c r="M207" s="9">
        <f xml:space="preserve"> (G206 - I207) / 2</f>
        <v>489976703.45876992</v>
      </c>
      <c r="P207" s="4"/>
    </row>
    <row r="208" spans="1:16" s="3" customFormat="1" x14ac:dyDescent="0.3">
      <c r="B208" s="80"/>
      <c r="C208" s="3">
        <v>2</v>
      </c>
      <c r="D208" s="4">
        <f>K207</f>
        <v>40831391.954897493</v>
      </c>
      <c r="E208" s="4">
        <f t="shared" ref="E208:E218" si="22" xml:space="preserve"> G207 + D208 - I208</f>
        <v>581194033.08601093</v>
      </c>
      <c r="F208" s="3">
        <v>1.7999999999999999E-2</v>
      </c>
      <c r="G208" s="4">
        <f t="shared" si="17"/>
        <v>591655525.68155909</v>
      </c>
      <c r="H208" s="4"/>
      <c r="I208" s="5"/>
      <c r="P208" s="4"/>
    </row>
    <row r="209" spans="1:16" s="3" customFormat="1" x14ac:dyDescent="0.3">
      <c r="B209" s="80"/>
      <c r="C209" s="3">
        <v>3</v>
      </c>
      <c r="D209" s="4">
        <f>K207</f>
        <v>40831391.954897493</v>
      </c>
      <c r="E209" s="4">
        <f t="shared" si="22"/>
        <v>632486917.63645661</v>
      </c>
      <c r="F209" s="3">
        <v>1.7999999999999999E-2</v>
      </c>
      <c r="G209" s="4">
        <f t="shared" si="17"/>
        <v>643871682.15391278</v>
      </c>
      <c r="H209" s="4"/>
      <c r="I209" s="5"/>
      <c r="P209" s="4"/>
    </row>
    <row r="210" spans="1:16" s="3" customFormat="1" x14ac:dyDescent="0.3">
      <c r="B210" s="80"/>
      <c r="C210" s="3">
        <v>4</v>
      </c>
      <c r="D210" s="4">
        <f>K207</f>
        <v>40831391.954897493</v>
      </c>
      <c r="E210" s="4">
        <f t="shared" si="22"/>
        <v>684703074.10881031</v>
      </c>
      <c r="F210" s="3">
        <v>1.7999999999999999E-2</v>
      </c>
      <c r="G210" s="4">
        <f t="shared" si="17"/>
        <v>697027729.44276893</v>
      </c>
      <c r="H210" s="4"/>
      <c r="I210" s="5"/>
      <c r="P210" s="4"/>
    </row>
    <row r="211" spans="1:16" s="3" customFormat="1" x14ac:dyDescent="0.3">
      <c r="B211" s="80"/>
      <c r="C211" s="3">
        <v>5</v>
      </c>
      <c r="D211" s="4">
        <f>K207</f>
        <v>40831391.954897493</v>
      </c>
      <c r="E211" s="4">
        <f t="shared" si="22"/>
        <v>712744069.67291343</v>
      </c>
      <c r="F211" s="3">
        <v>1.7999999999999999E-2</v>
      </c>
      <c r="G211" s="4">
        <f t="shared" si="17"/>
        <v>725573462.92702591</v>
      </c>
      <c r="H211" s="4"/>
      <c r="I211" s="5">
        <f xml:space="preserve"> N206</f>
        <v>25115051.724753067</v>
      </c>
      <c r="P211" s="4"/>
    </row>
    <row r="212" spans="1:16" s="3" customFormat="1" x14ac:dyDescent="0.3">
      <c r="B212" s="80"/>
      <c r="C212" s="3">
        <v>6</v>
      </c>
      <c r="D212" s="4">
        <f>K207</f>
        <v>40831391.954897493</v>
      </c>
      <c r="E212" s="4">
        <f t="shared" si="22"/>
        <v>766404854.88192344</v>
      </c>
      <c r="F212" s="3">
        <v>1.7999999999999999E-2</v>
      </c>
      <c r="G212" s="4">
        <f t="shared" si="17"/>
        <v>780200142.26979804</v>
      </c>
      <c r="H212" s="4"/>
      <c r="I212" s="5"/>
      <c r="P212" s="4"/>
    </row>
    <row r="213" spans="1:16" s="3" customFormat="1" x14ac:dyDescent="0.3">
      <c r="B213" s="80"/>
      <c r="C213" s="3">
        <v>7</v>
      </c>
      <c r="D213" s="4">
        <f>K207</f>
        <v>40831391.954897493</v>
      </c>
      <c r="E213" s="4">
        <f t="shared" si="22"/>
        <v>821031534.22469556</v>
      </c>
      <c r="F213" s="3">
        <v>1.7999999999999999E-2</v>
      </c>
      <c r="G213" s="4">
        <f t="shared" si="17"/>
        <v>835810101.84074008</v>
      </c>
      <c r="H213" s="4"/>
      <c r="I213" s="5"/>
      <c r="P213" s="4"/>
    </row>
    <row r="214" spans="1:16" s="3" customFormat="1" x14ac:dyDescent="0.3">
      <c r="B214" s="80"/>
      <c r="C214" s="3">
        <v>8</v>
      </c>
      <c r="D214" s="4">
        <f>K207</f>
        <v>40831391.954897493</v>
      </c>
      <c r="E214" s="4">
        <f t="shared" si="22"/>
        <v>876641493.79563761</v>
      </c>
      <c r="F214" s="3">
        <v>1.7999999999999999E-2</v>
      </c>
      <c r="G214" s="4">
        <f t="shared" si="17"/>
        <v>892421040.68395913</v>
      </c>
      <c r="H214" s="4"/>
      <c r="I214" s="5"/>
      <c r="P214" s="4"/>
    </row>
    <row r="215" spans="1:16" s="3" customFormat="1" x14ac:dyDescent="0.3">
      <c r="B215" s="80"/>
      <c r="C215" s="3">
        <v>9</v>
      </c>
      <c r="D215" s="4">
        <f>K207</f>
        <v>40831391.954897493</v>
      </c>
      <c r="E215" s="4">
        <f t="shared" si="22"/>
        <v>933252432.63885665</v>
      </c>
      <c r="F215" s="3">
        <v>1.7999999999999999E-2</v>
      </c>
      <c r="G215" s="4">
        <f t="shared" si="17"/>
        <v>950050976.42635608</v>
      </c>
      <c r="H215" s="4"/>
      <c r="I215" s="5"/>
      <c r="P215" s="4"/>
    </row>
    <row r="216" spans="1:16" s="3" customFormat="1" x14ac:dyDescent="0.3">
      <c r="B216" s="80"/>
      <c r="C216" s="3">
        <v>10</v>
      </c>
      <c r="D216" s="4">
        <f>K207</f>
        <v>40831391.954897493</v>
      </c>
      <c r="E216" s="4">
        <f t="shared" si="22"/>
        <v>990882368.3812536</v>
      </c>
      <c r="F216" s="3">
        <v>1.7999999999999999E-2</v>
      </c>
      <c r="G216" s="4">
        <f t="shared" si="17"/>
        <v>1008718251.0121162</v>
      </c>
      <c r="H216" s="4"/>
      <c r="I216" s="5"/>
      <c r="P216" s="4"/>
    </row>
    <row r="217" spans="1:16" s="3" customFormat="1" x14ac:dyDescent="0.3">
      <c r="B217" s="80"/>
      <c r="C217" s="3">
        <v>11</v>
      </c>
      <c r="D217" s="4">
        <f>K207</f>
        <v>40831391.954897493</v>
      </c>
      <c r="E217" s="4">
        <f t="shared" si="22"/>
        <v>1049549642.9670137</v>
      </c>
      <c r="F217" s="3">
        <v>1.7999999999999999E-2</v>
      </c>
      <c r="G217" s="4">
        <f t="shared" si="17"/>
        <v>1068441536.5404199</v>
      </c>
      <c r="H217" s="4"/>
      <c r="I217" s="5"/>
      <c r="P217" s="4"/>
    </row>
    <row r="218" spans="1:16" s="3" customFormat="1" x14ac:dyDescent="0.3">
      <c r="B218" s="80"/>
      <c r="C218" s="3">
        <v>12</v>
      </c>
      <c r="D218" s="4">
        <f>K207</f>
        <v>40831391.954897493</v>
      </c>
      <c r="E218" s="4">
        <f t="shared" si="22"/>
        <v>1069272928.4953175</v>
      </c>
      <c r="F218" s="3">
        <v>1.7999999999999999E-2</v>
      </c>
      <c r="G218" s="4">
        <f t="shared" si="17"/>
        <v>1088519841.2082331</v>
      </c>
      <c r="H218" s="4"/>
      <c r="I218" s="17">
        <v>40000000</v>
      </c>
      <c r="J218" s="4">
        <f xml:space="preserve"> (E207 + SUM(D208:D218)) - SUM(I208:I218)</f>
        <v>914838355.19278693</v>
      </c>
      <c r="K218" s="9">
        <f xml:space="preserve"> G218 - J218</f>
        <v>173681486.01544619</v>
      </c>
      <c r="L218" s="3">
        <v>0.84</v>
      </c>
      <c r="M218" s="4">
        <f xml:space="preserve"> K218 * L218</f>
        <v>145892448.25297478</v>
      </c>
      <c r="N218" s="4">
        <f xml:space="preserve"> K218 - M218</f>
        <v>27789037.762471408</v>
      </c>
      <c r="O218" s="3">
        <f xml:space="preserve"> K218 / J218 * 100</f>
        <v>18.984937068892975</v>
      </c>
      <c r="P218" s="4"/>
    </row>
    <row r="219" spans="1:16" s="3" customFormat="1" x14ac:dyDescent="0.3">
      <c r="A219" s="3">
        <v>19</v>
      </c>
      <c r="B219" s="80">
        <v>2040</v>
      </c>
      <c r="C219" s="3">
        <v>1</v>
      </c>
      <c r="D219" s="4">
        <f>K219</f>
        <v>45354993.38367638</v>
      </c>
      <c r="E219" s="4">
        <f xml:space="preserve"> (G218 / 2) + D219 - I219</f>
        <v>589614913.98779297</v>
      </c>
      <c r="F219" s="3">
        <v>1.7999999999999999E-2</v>
      </c>
      <c r="G219" s="4">
        <f t="shared" si="17"/>
        <v>600227982.43957329</v>
      </c>
      <c r="H219" s="4"/>
      <c r="I219" s="5"/>
      <c r="K219" s="6">
        <f xml:space="preserve"> ((G218 - I219) / 2 / 12)</f>
        <v>45354993.38367638</v>
      </c>
      <c r="M219" s="9">
        <f xml:space="preserve"> (G218 - I219) / 2</f>
        <v>544259920.60411656</v>
      </c>
      <c r="P219" s="4"/>
    </row>
    <row r="220" spans="1:16" s="3" customFormat="1" x14ac:dyDescent="0.3">
      <c r="B220" s="80"/>
      <c r="C220" s="3">
        <v>2</v>
      </c>
      <c r="D220" s="4">
        <f>K219</f>
        <v>45354993.38367638</v>
      </c>
      <c r="E220" s="4">
        <f t="shared" ref="E220:E230" si="23" xml:space="preserve"> G219 + D220 - I220</f>
        <v>645582975.8232497</v>
      </c>
      <c r="F220" s="3">
        <v>1.7999999999999999E-2</v>
      </c>
      <c r="G220" s="4">
        <f t="shared" si="17"/>
        <v>657203469.3880682</v>
      </c>
      <c r="H220" s="4"/>
      <c r="I220" s="5"/>
      <c r="P220" s="4"/>
    </row>
    <row r="221" spans="1:16" s="3" customFormat="1" x14ac:dyDescent="0.3">
      <c r="B221" s="80"/>
      <c r="C221" s="3">
        <v>3</v>
      </c>
      <c r="D221" s="4">
        <f>K219</f>
        <v>45354993.38367638</v>
      </c>
      <c r="E221" s="4">
        <f t="shared" si="23"/>
        <v>702558462.77174461</v>
      </c>
      <c r="F221" s="3">
        <v>1.7999999999999999E-2</v>
      </c>
      <c r="G221" s="4">
        <f t="shared" si="17"/>
        <v>715204515.10163605</v>
      </c>
      <c r="H221" s="4"/>
      <c r="I221" s="5"/>
      <c r="P221" s="4"/>
    </row>
    <row r="222" spans="1:16" s="3" customFormat="1" x14ac:dyDescent="0.3">
      <c r="B222" s="80"/>
      <c r="C222" s="3">
        <v>4</v>
      </c>
      <c r="D222" s="4">
        <f>K219</f>
        <v>45354993.38367638</v>
      </c>
      <c r="E222" s="4">
        <f t="shared" si="23"/>
        <v>760559508.48531246</v>
      </c>
      <c r="F222" s="3">
        <v>1.7999999999999999E-2</v>
      </c>
      <c r="G222" s="4">
        <f t="shared" ref="G222:G254" si="24" xml:space="preserve"> (E222 * F222) + E222</f>
        <v>774249579.63804805</v>
      </c>
      <c r="H222" s="4"/>
      <c r="I222" s="5"/>
      <c r="P222" s="4"/>
    </row>
    <row r="223" spans="1:16" s="3" customFormat="1" x14ac:dyDescent="0.3">
      <c r="B223" s="80"/>
      <c r="C223" s="3">
        <v>5</v>
      </c>
      <c r="D223" s="4">
        <f>K219</f>
        <v>45354993.38367638</v>
      </c>
      <c r="E223" s="4">
        <f t="shared" si="23"/>
        <v>791815535.25925303</v>
      </c>
      <c r="F223" s="3">
        <v>1.7999999999999999E-2</v>
      </c>
      <c r="G223" s="4">
        <f t="shared" si="24"/>
        <v>806068214.89391959</v>
      </c>
      <c r="H223" s="4"/>
      <c r="I223" s="5">
        <f xml:space="preserve"> N218</f>
        <v>27789037.762471408</v>
      </c>
      <c r="P223" s="4"/>
    </row>
    <row r="224" spans="1:16" s="3" customFormat="1" x14ac:dyDescent="0.3">
      <c r="B224" s="80"/>
      <c r="C224" s="3">
        <v>6</v>
      </c>
      <c r="D224" s="4">
        <f>K219</f>
        <v>45354993.38367638</v>
      </c>
      <c r="E224" s="4">
        <f t="shared" si="23"/>
        <v>851423208.277596</v>
      </c>
      <c r="F224" s="3">
        <v>1.7999999999999999E-2</v>
      </c>
      <c r="G224" s="4">
        <f t="shared" si="24"/>
        <v>866748826.02659273</v>
      </c>
      <c r="H224" s="4"/>
      <c r="I224" s="5"/>
      <c r="P224" s="4"/>
    </row>
    <row r="225" spans="1:16" s="3" customFormat="1" x14ac:dyDescent="0.3">
      <c r="B225" s="80"/>
      <c r="C225" s="3">
        <v>7</v>
      </c>
      <c r="D225" s="4">
        <f>K219</f>
        <v>45354993.38367638</v>
      </c>
      <c r="E225" s="4">
        <f t="shared" si="23"/>
        <v>912103819.41026914</v>
      </c>
      <c r="F225" s="3">
        <v>1.7999999999999999E-2</v>
      </c>
      <c r="G225" s="4">
        <f t="shared" si="24"/>
        <v>928521688.15965402</v>
      </c>
      <c r="H225" s="4"/>
      <c r="I225" s="5"/>
      <c r="P225" s="4"/>
    </row>
    <row r="226" spans="1:16" s="3" customFormat="1" x14ac:dyDescent="0.3">
      <c r="B226" s="80"/>
      <c r="C226" s="3">
        <v>8</v>
      </c>
      <c r="D226" s="4">
        <f>K219</f>
        <v>45354993.38367638</v>
      </c>
      <c r="E226" s="4">
        <f t="shared" si="23"/>
        <v>973876681.54333043</v>
      </c>
      <c r="F226" s="3">
        <v>1.7999999999999999E-2</v>
      </c>
      <c r="G226" s="4">
        <f t="shared" si="24"/>
        <v>991406461.81111038</v>
      </c>
      <c r="H226" s="4"/>
      <c r="I226" s="5"/>
      <c r="P226" s="4"/>
    </row>
    <row r="227" spans="1:16" s="3" customFormat="1" x14ac:dyDescent="0.3">
      <c r="B227" s="80"/>
      <c r="C227" s="3">
        <v>9</v>
      </c>
      <c r="D227" s="4">
        <f>K219</f>
        <v>45354993.38367638</v>
      </c>
      <c r="E227" s="4">
        <f t="shared" si="23"/>
        <v>1036761455.1947868</v>
      </c>
      <c r="F227" s="3">
        <v>1.7999999999999999E-2</v>
      </c>
      <c r="G227" s="4">
        <f t="shared" si="24"/>
        <v>1055423161.3882929</v>
      </c>
      <c r="H227" s="4"/>
      <c r="I227" s="5"/>
      <c r="P227" s="4"/>
    </row>
    <row r="228" spans="1:16" s="3" customFormat="1" x14ac:dyDescent="0.3">
      <c r="B228" s="80"/>
      <c r="C228" s="3">
        <v>10</v>
      </c>
      <c r="D228" s="4">
        <f>K219</f>
        <v>45354993.38367638</v>
      </c>
      <c r="E228" s="4">
        <f t="shared" si="23"/>
        <v>1100778154.7719693</v>
      </c>
      <c r="F228" s="3">
        <v>1.7999999999999999E-2</v>
      </c>
      <c r="G228" s="4">
        <f t="shared" si="24"/>
        <v>1120592161.5578647</v>
      </c>
      <c r="H228" s="4"/>
      <c r="I228" s="5"/>
      <c r="P228" s="4"/>
    </row>
    <row r="229" spans="1:16" s="3" customFormat="1" x14ac:dyDescent="0.3">
      <c r="B229" s="80"/>
      <c r="C229" s="3">
        <v>11</v>
      </c>
      <c r="D229" s="4">
        <f>K219</f>
        <v>45354993.38367638</v>
      </c>
      <c r="E229" s="4">
        <f t="shared" si="23"/>
        <v>1165947154.941541</v>
      </c>
      <c r="F229" s="3">
        <v>1.7999999999999999E-2</v>
      </c>
      <c r="G229" s="4">
        <f t="shared" si="24"/>
        <v>1186934203.7304888</v>
      </c>
      <c r="H229" s="4"/>
      <c r="I229" s="5"/>
      <c r="P229" s="4"/>
    </row>
    <row r="230" spans="1:16" s="3" customFormat="1" x14ac:dyDescent="0.3">
      <c r="B230" s="80"/>
      <c r="C230" s="3">
        <v>12</v>
      </c>
      <c r="D230" s="4">
        <f>K219</f>
        <v>45354993.38367638</v>
      </c>
      <c r="E230" s="4">
        <f t="shared" si="23"/>
        <v>1192289197.1141651</v>
      </c>
      <c r="F230" s="3">
        <v>1.7999999999999999E-2</v>
      </c>
      <c r="G230" s="4">
        <f t="shared" si="24"/>
        <v>1213750402.66222</v>
      </c>
      <c r="H230" s="4"/>
      <c r="I230" s="17">
        <v>40000000</v>
      </c>
      <c r="J230" s="4">
        <f xml:space="preserve"> (E219 + SUM(D220:D230)) - SUM(I220:I230)</f>
        <v>1020730803.4457619</v>
      </c>
      <c r="K230" s="9">
        <f xml:space="preserve"> G230 - J230</f>
        <v>193019599.21645808</v>
      </c>
      <c r="L230" s="3">
        <v>0.84</v>
      </c>
      <c r="M230" s="4">
        <f xml:space="preserve"> K230 * L230</f>
        <v>162136463.34182477</v>
      </c>
      <c r="N230" s="4">
        <f xml:space="preserve"> K230 - M230</f>
        <v>30883135.874633312</v>
      </c>
      <c r="O230" s="3">
        <f xml:space="preserve"> K230 / J230 * 100</f>
        <v>18.909941638369933</v>
      </c>
      <c r="P230" s="4"/>
    </row>
    <row r="231" spans="1:16" s="3" customFormat="1" x14ac:dyDescent="0.3">
      <c r="A231" s="3">
        <v>20</v>
      </c>
      <c r="B231" s="80">
        <v>2041</v>
      </c>
      <c r="C231" s="3">
        <v>1</v>
      </c>
      <c r="D231" s="4">
        <f>K231</f>
        <v>50572933.444259167</v>
      </c>
      <c r="E231" s="4">
        <f xml:space="preserve"> (G230 / 2) + D231 - I231</f>
        <v>657448134.77536917</v>
      </c>
      <c r="F231" s="3">
        <v>1.7999999999999999E-2</v>
      </c>
      <c r="G231" s="4">
        <f t="shared" si="24"/>
        <v>669282201.20132577</v>
      </c>
      <c r="H231" s="4"/>
      <c r="I231" s="5"/>
      <c r="K231" s="6">
        <f xml:space="preserve"> ((G230 - I231) / 2 / 12)</f>
        <v>50572933.444259167</v>
      </c>
      <c r="M231" s="9">
        <f xml:space="preserve"> (G230 - I231) / 2</f>
        <v>606875201.33111</v>
      </c>
      <c r="P231" s="4"/>
    </row>
    <row r="232" spans="1:16" s="3" customFormat="1" x14ac:dyDescent="0.3">
      <c r="B232" s="80"/>
      <c r="C232" s="3">
        <v>2</v>
      </c>
      <c r="D232" s="4">
        <f>K231</f>
        <v>50572933.444259167</v>
      </c>
      <c r="E232" s="4">
        <f t="shared" ref="E232:E242" si="25" xml:space="preserve"> G231 + D232 - I232</f>
        <v>719855134.64558494</v>
      </c>
      <c r="F232" s="3">
        <v>1.7999999999999999E-2</v>
      </c>
      <c r="G232" s="4">
        <f t="shared" si="24"/>
        <v>732812527.06920552</v>
      </c>
      <c r="H232" s="4"/>
      <c r="I232" s="5"/>
      <c r="P232" s="4"/>
    </row>
    <row r="233" spans="1:16" s="3" customFormat="1" x14ac:dyDescent="0.3">
      <c r="B233" s="80"/>
      <c r="C233" s="3">
        <v>3</v>
      </c>
      <c r="D233" s="4">
        <f>K231</f>
        <v>50572933.444259167</v>
      </c>
      <c r="E233" s="4">
        <f t="shared" si="25"/>
        <v>783385460.51346469</v>
      </c>
      <c r="F233" s="3">
        <v>1.7999999999999999E-2</v>
      </c>
      <c r="G233" s="4">
        <f t="shared" si="24"/>
        <v>797486398.80270708</v>
      </c>
      <c r="H233" s="4"/>
      <c r="I233" s="5"/>
      <c r="P233" s="4"/>
    </row>
    <row r="234" spans="1:16" s="3" customFormat="1" x14ac:dyDescent="0.3">
      <c r="B234" s="80"/>
      <c r="C234" s="3">
        <v>4</v>
      </c>
      <c r="D234" s="4">
        <f>K231</f>
        <v>50572933.444259167</v>
      </c>
      <c r="E234" s="4">
        <f t="shared" si="25"/>
        <v>848059332.24696624</v>
      </c>
      <c r="F234" s="3">
        <v>1.7999999999999999E-2</v>
      </c>
      <c r="G234" s="4">
        <f t="shared" si="24"/>
        <v>863324400.22741163</v>
      </c>
      <c r="H234" s="4"/>
      <c r="I234" s="5"/>
      <c r="P234" s="4"/>
    </row>
    <row r="235" spans="1:16" s="3" customFormat="1" x14ac:dyDescent="0.3">
      <c r="B235" s="80"/>
      <c r="C235" s="3">
        <v>5</v>
      </c>
      <c r="D235" s="4">
        <f>K231</f>
        <v>50572933.444259167</v>
      </c>
      <c r="E235" s="4">
        <f t="shared" si="25"/>
        <v>883014197.79703748</v>
      </c>
      <c r="F235" s="3">
        <v>1.7999999999999999E-2</v>
      </c>
      <c r="G235" s="4">
        <f t="shared" si="24"/>
        <v>898908453.3573842</v>
      </c>
      <c r="H235" s="4"/>
      <c r="I235" s="5">
        <f xml:space="preserve"> N230</f>
        <v>30883135.874633312</v>
      </c>
      <c r="P235" s="4"/>
    </row>
    <row r="236" spans="1:16" s="3" customFormat="1" x14ac:dyDescent="0.3">
      <c r="B236" s="80"/>
      <c r="C236" s="3">
        <v>6</v>
      </c>
      <c r="D236" s="4">
        <f>K231</f>
        <v>50572933.444259167</v>
      </c>
      <c r="E236" s="4">
        <f t="shared" si="25"/>
        <v>949481386.80164337</v>
      </c>
      <c r="F236" s="3">
        <v>1.7999999999999999E-2</v>
      </c>
      <c r="G236" s="4">
        <f t="shared" si="24"/>
        <v>966572051.7640729</v>
      </c>
      <c r="H236" s="4"/>
      <c r="I236" s="5"/>
      <c r="P236" s="4"/>
    </row>
    <row r="237" spans="1:16" s="3" customFormat="1" x14ac:dyDescent="0.3">
      <c r="B237" s="80"/>
      <c r="C237" s="3">
        <v>7</v>
      </c>
      <c r="D237" s="4">
        <f>K231</f>
        <v>50572933.444259167</v>
      </c>
      <c r="E237" s="4">
        <f t="shared" si="25"/>
        <v>1017144985.2083321</v>
      </c>
      <c r="F237" s="3">
        <v>1.7999999999999999E-2</v>
      </c>
      <c r="G237" s="4">
        <f t="shared" si="24"/>
        <v>1035453594.942082</v>
      </c>
      <c r="H237" s="4"/>
      <c r="I237" s="5"/>
      <c r="P237" s="4"/>
    </row>
    <row r="238" spans="1:16" s="3" customFormat="1" x14ac:dyDescent="0.3">
      <c r="B238" s="80"/>
      <c r="C238" s="3">
        <v>8</v>
      </c>
      <c r="D238" s="4">
        <f>K231</f>
        <v>50572933.444259167</v>
      </c>
      <c r="E238" s="4">
        <f t="shared" si="25"/>
        <v>1086026528.3863411</v>
      </c>
      <c r="F238" s="3">
        <v>1.7999999999999999E-2</v>
      </c>
      <c r="G238" s="4">
        <f t="shared" si="24"/>
        <v>1105575005.8972952</v>
      </c>
      <c r="H238" s="4"/>
      <c r="I238" s="5"/>
      <c r="P238" s="4"/>
    </row>
    <row r="239" spans="1:16" s="3" customFormat="1" x14ac:dyDescent="0.3">
      <c r="B239" s="80"/>
      <c r="C239" s="3">
        <v>9</v>
      </c>
      <c r="D239" s="4">
        <f>K231</f>
        <v>50572933.444259167</v>
      </c>
      <c r="E239" s="4">
        <f t="shared" si="25"/>
        <v>1156147939.3415544</v>
      </c>
      <c r="F239" s="3">
        <v>1.7999999999999999E-2</v>
      </c>
      <c r="G239" s="4">
        <f t="shared" si="24"/>
        <v>1176958602.2497025</v>
      </c>
      <c r="H239" s="4"/>
      <c r="I239" s="5"/>
      <c r="P239" s="4"/>
    </row>
    <row r="240" spans="1:16" s="3" customFormat="1" x14ac:dyDescent="0.3">
      <c r="B240" s="80"/>
      <c r="C240" s="3">
        <v>10</v>
      </c>
      <c r="D240" s="4">
        <f>K231</f>
        <v>50572933.444259167</v>
      </c>
      <c r="E240" s="4">
        <f t="shared" si="25"/>
        <v>1227531535.6939616</v>
      </c>
      <c r="F240" s="3">
        <v>1.7999999999999999E-2</v>
      </c>
      <c r="G240" s="4">
        <f t="shared" si="24"/>
        <v>1249627103.336453</v>
      </c>
      <c r="H240" s="4"/>
      <c r="I240" s="5"/>
      <c r="P240" s="4"/>
    </row>
    <row r="241" spans="1:16" s="3" customFormat="1" x14ac:dyDescent="0.3">
      <c r="B241" s="80"/>
      <c r="C241" s="3">
        <v>11</v>
      </c>
      <c r="D241" s="4">
        <f>K231</f>
        <v>50572933.444259167</v>
      </c>
      <c r="E241" s="4">
        <f t="shared" si="25"/>
        <v>1300200036.7807121</v>
      </c>
      <c r="F241" s="3">
        <v>1.7999999999999999E-2</v>
      </c>
      <c r="G241" s="4">
        <f t="shared" si="24"/>
        <v>1323603637.442765</v>
      </c>
      <c r="H241" s="4"/>
      <c r="I241" s="5"/>
      <c r="P241" s="4"/>
    </row>
    <row r="242" spans="1:16" s="3" customFormat="1" x14ac:dyDescent="0.3">
      <c r="B242" s="80"/>
      <c r="C242" s="3">
        <v>12</v>
      </c>
      <c r="D242" s="4">
        <f>K231</f>
        <v>50572933.444259167</v>
      </c>
      <c r="E242" s="4">
        <f t="shared" si="25"/>
        <v>1334176570.8870242</v>
      </c>
      <c r="F242" s="3">
        <v>1.7999999999999999E-2</v>
      </c>
      <c r="G242" s="4">
        <f t="shared" si="24"/>
        <v>1358191749.1629906</v>
      </c>
      <c r="H242" s="4"/>
      <c r="I242" s="17">
        <v>40000000</v>
      </c>
      <c r="J242" s="4">
        <f xml:space="preserve"> (E231 + SUM(D232:D242)) - SUM(I232:I242)</f>
        <v>1142867266.7875867</v>
      </c>
      <c r="K242" s="9">
        <f xml:space="preserve"> G242 - J242</f>
        <v>215324482.37540388</v>
      </c>
      <c r="L242" s="3">
        <v>0.84</v>
      </c>
      <c r="M242" s="4">
        <f xml:space="preserve"> K242 * L242</f>
        <v>180872565.19533926</v>
      </c>
      <c r="N242" s="4">
        <f xml:space="preserve"> K242 - M242</f>
        <v>34451917.180064619</v>
      </c>
      <c r="O242" s="3">
        <f xml:space="preserve"> K242 / J242 * 100</f>
        <v>18.840725308429374</v>
      </c>
      <c r="P242" s="4"/>
    </row>
    <row r="243" spans="1:16" s="3" customFormat="1" x14ac:dyDescent="0.3">
      <c r="A243" s="3">
        <v>21</v>
      </c>
      <c r="B243" s="80">
        <v>2042</v>
      </c>
      <c r="C243" s="3">
        <v>1</v>
      </c>
      <c r="D243" s="4">
        <f>K243</f>
        <v>56591322.881791271</v>
      </c>
      <c r="E243" s="4">
        <f xml:space="preserve"> (G242 / 2) + D243 - I243</f>
        <v>735687197.46328652</v>
      </c>
      <c r="F243" s="3">
        <v>1.7999999999999999E-2</v>
      </c>
      <c r="G243" s="4">
        <f t="shared" si="24"/>
        <v>748929567.01762569</v>
      </c>
      <c r="H243" s="4"/>
      <c r="I243" s="5"/>
      <c r="K243" s="6">
        <f xml:space="preserve"> ((G242 - I243) / 2 / 12)</f>
        <v>56591322.881791271</v>
      </c>
      <c r="M243" s="9">
        <f xml:space="preserve"> (G242 - I243) / 2</f>
        <v>679095874.58149529</v>
      </c>
      <c r="P243" s="4"/>
    </row>
    <row r="244" spans="1:16" x14ac:dyDescent="0.3">
      <c r="A244" s="3"/>
      <c r="B244" s="80"/>
      <c r="C244" s="3">
        <v>2</v>
      </c>
      <c r="D244" s="4">
        <f>K243</f>
        <v>56591322.881791271</v>
      </c>
      <c r="E244" s="4">
        <f t="shared" ref="E244:E254" si="26" xml:space="preserve"> G243 + D244 - I244</f>
        <v>805520889.89941692</v>
      </c>
      <c r="F244" s="3">
        <v>1.7999999999999999E-2</v>
      </c>
      <c r="G244" s="4">
        <f t="shared" si="24"/>
        <v>820020265.91760647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80"/>
      <c r="C245" s="3">
        <v>3</v>
      </c>
      <c r="D245" s="4">
        <f>K243</f>
        <v>56591322.881791271</v>
      </c>
      <c r="E245" s="4">
        <f t="shared" si="26"/>
        <v>876611588.79939771</v>
      </c>
      <c r="F245" s="3">
        <v>1.7999999999999999E-2</v>
      </c>
      <c r="G245" s="4">
        <f t="shared" si="24"/>
        <v>892390597.39778686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80"/>
      <c r="C246" s="3">
        <v>4</v>
      </c>
      <c r="D246" s="4">
        <f>K243</f>
        <v>56591322.881791271</v>
      </c>
      <c r="E246" s="4">
        <f t="shared" si="26"/>
        <v>948981920.27957809</v>
      </c>
      <c r="F246" s="3">
        <v>1.7999999999999999E-2</v>
      </c>
      <c r="G246" s="4">
        <f t="shared" si="24"/>
        <v>966063594.84461045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80"/>
      <c r="C247" s="3">
        <v>5</v>
      </c>
      <c r="D247" s="4">
        <f>K243</f>
        <v>56591322.881791271</v>
      </c>
      <c r="E247" s="4">
        <f t="shared" si="26"/>
        <v>988203000.54633713</v>
      </c>
      <c r="F247" s="3">
        <v>1.7999999999999999E-2</v>
      </c>
      <c r="G247" s="4">
        <f t="shared" si="24"/>
        <v>1005990654.5561712</v>
      </c>
      <c r="H247" s="4"/>
      <c r="I247" s="5">
        <f xml:space="preserve"> N242</f>
        <v>34451917.180064619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80"/>
      <c r="C248" s="3">
        <v>6</v>
      </c>
      <c r="D248" s="4">
        <f>K243</f>
        <v>56591322.881791271</v>
      </c>
      <c r="E248" s="4">
        <f t="shared" si="26"/>
        <v>1062581977.4379624</v>
      </c>
      <c r="F248" s="3">
        <v>1.7999999999999999E-2</v>
      </c>
      <c r="G248" s="4">
        <f t="shared" si="24"/>
        <v>1081708453.0318458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80"/>
      <c r="C249" s="3">
        <v>7</v>
      </c>
      <c r="D249" s="4">
        <f>K243</f>
        <v>56591322.881791271</v>
      </c>
      <c r="E249" s="4">
        <f t="shared" si="26"/>
        <v>1138299775.9136372</v>
      </c>
      <c r="F249" s="3">
        <v>1.7999999999999999E-2</v>
      </c>
      <c r="G249" s="4">
        <f t="shared" si="24"/>
        <v>1158789171.8800826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80"/>
      <c r="C250" s="3">
        <v>8</v>
      </c>
      <c r="D250" s="4">
        <f>K243</f>
        <v>56591322.881791271</v>
      </c>
      <c r="E250" s="4">
        <f t="shared" si="26"/>
        <v>1215380494.761874</v>
      </c>
      <c r="F250" s="3">
        <v>1.7999999999999999E-2</v>
      </c>
      <c r="G250" s="4">
        <f t="shared" si="24"/>
        <v>1237257343.6675878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80"/>
      <c r="C251" s="3">
        <v>9</v>
      </c>
      <c r="D251" s="4">
        <f>K243</f>
        <v>56591322.881791271</v>
      </c>
      <c r="E251" s="4">
        <f t="shared" si="26"/>
        <v>1293848666.5493791</v>
      </c>
      <c r="F251" s="3">
        <v>1.7999999999999999E-2</v>
      </c>
      <c r="G251" s="4">
        <f t="shared" si="24"/>
        <v>1317137942.5472679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80"/>
      <c r="C252" s="3">
        <v>10</v>
      </c>
      <c r="D252" s="4">
        <f>K243</f>
        <v>56591322.881791271</v>
      </c>
      <c r="E252" s="4">
        <f t="shared" si="26"/>
        <v>1373729265.4290593</v>
      </c>
      <c r="F252" s="3">
        <v>1.7999999999999999E-2</v>
      </c>
      <c r="G252" s="4">
        <f t="shared" si="24"/>
        <v>1398456392.2067823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80"/>
      <c r="C253" s="3">
        <v>11</v>
      </c>
      <c r="D253" s="4">
        <f>K243</f>
        <v>56591322.881791271</v>
      </c>
      <c r="E253" s="4">
        <f t="shared" si="26"/>
        <v>1455047715.0885737</v>
      </c>
      <c r="F253" s="3">
        <v>1.7999999999999999E-2</v>
      </c>
      <c r="G253" s="4">
        <f t="shared" si="24"/>
        <v>1481238573.9601681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80"/>
      <c r="C254" s="3">
        <v>12</v>
      </c>
      <c r="D254" s="4">
        <f>K243</f>
        <v>56591322.881791271</v>
      </c>
      <c r="E254" s="4">
        <f t="shared" si="26"/>
        <v>1537829896.8419595</v>
      </c>
      <c r="F254" s="3">
        <v>1.7999999999999999E-2</v>
      </c>
      <c r="G254" s="4">
        <f t="shared" si="24"/>
        <v>1565510834.9851148</v>
      </c>
      <c r="H254" s="4"/>
      <c r="I254" s="5"/>
      <c r="J254" s="4">
        <f xml:space="preserve"> (E243 + SUM(D244:D254)) - SUM(I244:I254)</f>
        <v>1323739831.9829259</v>
      </c>
      <c r="K254" s="9">
        <f xml:space="preserve"> G254 - J254</f>
        <v>241771003.00218892</v>
      </c>
      <c r="L254" s="3">
        <v>0.84</v>
      </c>
      <c r="M254" s="4">
        <f xml:space="preserve"> K254 * L254</f>
        <v>203087642.52183869</v>
      </c>
      <c r="N254" s="4">
        <f xml:space="preserve"> K254 - M254</f>
        <v>38683360.480350226</v>
      </c>
      <c r="O254" s="3">
        <f xml:space="preserve"> K254 / J254 * 100</f>
        <v>18.264238724313568</v>
      </c>
    </row>
  </sheetData>
  <mergeCells count="21"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abSelected="1" workbookViewId="0">
      <selection activeCell="J9" sqref="J9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8"/>
      <c r="B1" s="38"/>
      <c r="C1" s="38"/>
      <c r="D1" s="28" t="s">
        <v>21</v>
      </c>
      <c r="E1" s="28" t="s">
        <v>40</v>
      </c>
      <c r="F1" s="28" t="s">
        <v>25</v>
      </c>
      <c r="G1" s="28" t="s">
        <v>22</v>
      </c>
      <c r="H1" s="28" t="s">
        <v>23</v>
      </c>
      <c r="I1" s="28" t="s">
        <v>41</v>
      </c>
      <c r="J1" s="28" t="s">
        <v>42</v>
      </c>
      <c r="K1" s="44" t="s">
        <v>26</v>
      </c>
      <c r="L1" s="39" t="s">
        <v>43</v>
      </c>
      <c r="Q1" s="25" t="s">
        <v>2</v>
      </c>
    </row>
    <row r="2" spans="1:19" x14ac:dyDescent="0.3">
      <c r="A2" s="38" t="s">
        <v>24</v>
      </c>
      <c r="B2" s="38"/>
      <c r="C2" s="38"/>
      <c r="D2" s="38"/>
      <c r="E2" s="38"/>
      <c r="F2" s="38">
        <v>0</v>
      </c>
      <c r="G2" s="38"/>
      <c r="H2" s="38">
        <v>0</v>
      </c>
      <c r="I2" s="38"/>
      <c r="J2" s="38"/>
      <c r="K2" s="45"/>
      <c r="L2" s="40"/>
    </row>
    <row r="3" spans="1:19" s="21" customFormat="1" x14ac:dyDescent="0.3">
      <c r="A3" s="21">
        <v>1</v>
      </c>
      <c r="B3" s="82">
        <v>2022</v>
      </c>
      <c r="C3" s="21">
        <v>1</v>
      </c>
      <c r="D3" s="22">
        <v>5000000</v>
      </c>
      <c r="E3" s="22"/>
      <c r="F3" s="22">
        <f t="shared" ref="F3:F14" si="0" xml:space="preserve"> H2 + D3 - K3</f>
        <v>5000000</v>
      </c>
      <c r="G3" s="21">
        <v>0.01</v>
      </c>
      <c r="H3" s="22">
        <f xml:space="preserve"> (F3 * G3) + F3</f>
        <v>5050000</v>
      </c>
      <c r="I3" s="22"/>
      <c r="J3" s="22"/>
      <c r="K3" s="46">
        <v>0</v>
      </c>
      <c r="L3" s="23"/>
      <c r="M3" s="54"/>
      <c r="S3" s="22"/>
    </row>
    <row r="4" spans="1:19" s="21" customFormat="1" x14ac:dyDescent="0.3">
      <c r="B4" s="82"/>
      <c r="C4" s="21">
        <v>2</v>
      </c>
      <c r="D4" s="22">
        <v>0</v>
      </c>
      <c r="E4" s="22"/>
      <c r="F4" s="22">
        <f t="shared" si="0"/>
        <v>5050000</v>
      </c>
      <c r="G4" s="21">
        <v>0.01</v>
      </c>
      <c r="H4" s="22">
        <f xml:space="preserve"> (F4 * G4) + F4</f>
        <v>5100500</v>
      </c>
      <c r="I4" s="22"/>
      <c r="J4" s="22"/>
      <c r="K4" s="46">
        <v>0</v>
      </c>
      <c r="L4" s="23"/>
      <c r="M4" s="54"/>
      <c r="S4" s="22"/>
    </row>
    <row r="5" spans="1:19" s="21" customFormat="1" x14ac:dyDescent="0.3">
      <c r="B5" s="82"/>
      <c r="C5" s="21">
        <v>3</v>
      </c>
      <c r="D5" s="22">
        <v>1500000</v>
      </c>
      <c r="E5" s="22"/>
      <c r="F5" s="22">
        <f t="shared" si="0"/>
        <v>6600500</v>
      </c>
      <c r="G5" s="21">
        <v>0.01</v>
      </c>
      <c r="H5" s="22">
        <f xml:space="preserve"> (F5 * G5) + F5</f>
        <v>6666505</v>
      </c>
      <c r="I5" s="22"/>
      <c r="J5" s="22"/>
      <c r="K5" s="46">
        <v>0</v>
      </c>
      <c r="L5" s="23"/>
      <c r="M5" s="54"/>
      <c r="S5" s="22"/>
    </row>
    <row r="6" spans="1:19" s="21" customFormat="1" x14ac:dyDescent="0.3">
      <c r="B6" s="82"/>
      <c r="C6" s="21">
        <v>4</v>
      </c>
      <c r="D6" s="22">
        <v>3500000</v>
      </c>
      <c r="E6" s="22"/>
      <c r="F6" s="22">
        <f t="shared" si="0"/>
        <v>10166505</v>
      </c>
      <c r="G6" s="21">
        <v>0.01</v>
      </c>
      <c r="H6" s="22">
        <f t="shared" ref="H6:H14" si="1" xml:space="preserve"> (F6 * G6) + F6</f>
        <v>10268170.050000001</v>
      </c>
      <c r="I6" s="22"/>
      <c r="J6" s="22"/>
      <c r="K6" s="46">
        <v>0</v>
      </c>
      <c r="L6" s="23"/>
      <c r="M6" s="54"/>
      <c r="S6" s="22"/>
    </row>
    <row r="7" spans="1:19" s="21" customFormat="1" x14ac:dyDescent="0.3">
      <c r="B7" s="82"/>
      <c r="C7" s="21">
        <v>5</v>
      </c>
      <c r="D7" s="22">
        <v>2520000</v>
      </c>
      <c r="E7" s="22"/>
      <c r="F7" s="22">
        <f t="shared" si="0"/>
        <v>11788170.050000001</v>
      </c>
      <c r="G7" s="21">
        <v>0.01</v>
      </c>
      <c r="H7" s="22">
        <f t="shared" si="1"/>
        <v>11906051.750500001</v>
      </c>
      <c r="I7" s="22"/>
      <c r="J7" s="22"/>
      <c r="K7" s="46">
        <v>1000000</v>
      </c>
      <c r="L7" s="23"/>
      <c r="M7" s="54"/>
      <c r="N7" s="26"/>
      <c r="S7" s="22"/>
    </row>
    <row r="8" spans="1:19" s="21" customFormat="1" x14ac:dyDescent="0.3">
      <c r="B8" s="82"/>
      <c r="C8" s="21">
        <v>6</v>
      </c>
      <c r="D8" s="22">
        <v>2500000</v>
      </c>
      <c r="E8" s="22"/>
      <c r="F8" s="22">
        <f t="shared" si="0"/>
        <v>14406051.750500001</v>
      </c>
      <c r="G8" s="21">
        <v>0.01</v>
      </c>
      <c r="H8" s="22">
        <f t="shared" si="1"/>
        <v>14550112.268005</v>
      </c>
      <c r="I8" s="22"/>
      <c r="J8" s="22"/>
      <c r="K8" s="46">
        <v>0</v>
      </c>
      <c r="L8" s="23"/>
      <c r="M8" s="54"/>
      <c r="S8" s="22"/>
    </row>
    <row r="9" spans="1:19" s="21" customFormat="1" x14ac:dyDescent="0.3">
      <c r="B9" s="82"/>
      <c r="C9" s="21">
        <v>7</v>
      </c>
      <c r="D9" s="22">
        <v>2500000</v>
      </c>
      <c r="E9" s="22"/>
      <c r="F9" s="22">
        <f t="shared" si="0"/>
        <v>16450112.268004999</v>
      </c>
      <c r="G9" s="21">
        <v>0.01</v>
      </c>
      <c r="H9" s="22">
        <f t="shared" si="1"/>
        <v>16614613.390685048</v>
      </c>
      <c r="I9" s="22"/>
      <c r="J9" s="22"/>
      <c r="K9" s="46">
        <v>600000</v>
      </c>
      <c r="L9" s="23"/>
      <c r="M9" s="54"/>
      <c r="S9" s="22"/>
    </row>
    <row r="10" spans="1:19" s="21" customFormat="1" x14ac:dyDescent="0.3">
      <c r="B10" s="82"/>
      <c r="C10" s="21">
        <v>8</v>
      </c>
      <c r="D10" s="22">
        <v>2500000</v>
      </c>
      <c r="E10" s="22"/>
      <c r="F10" s="22">
        <f t="shared" si="0"/>
        <v>14058069.390685048</v>
      </c>
      <c r="G10" s="21">
        <v>0.01</v>
      </c>
      <c r="H10" s="22">
        <f t="shared" si="1"/>
        <v>14198650.084591899</v>
      </c>
      <c r="I10" s="22"/>
      <c r="J10" s="22"/>
      <c r="K10" s="46">
        <v>5056544</v>
      </c>
      <c r="L10" s="23"/>
      <c r="M10" s="54"/>
      <c r="S10" s="22"/>
    </row>
    <row r="11" spans="1:19" s="21" customFormat="1" x14ac:dyDescent="0.3">
      <c r="B11" s="82"/>
      <c r="C11" s="21">
        <v>9</v>
      </c>
      <c r="D11" s="22">
        <v>1800000</v>
      </c>
      <c r="E11" s="22">
        <v>4141561</v>
      </c>
      <c r="F11" s="22">
        <f t="shared" si="0"/>
        <v>14398650.084591899</v>
      </c>
      <c r="G11" s="21">
        <v>1.7999999999999999E-2</v>
      </c>
      <c r="H11" s="22">
        <f t="shared" si="1"/>
        <v>14657825.786114553</v>
      </c>
      <c r="I11" s="22"/>
      <c r="J11" s="22"/>
      <c r="K11" s="46">
        <v>1600000</v>
      </c>
      <c r="L11" s="23"/>
      <c r="M11" s="54"/>
      <c r="S11" s="22"/>
    </row>
    <row r="12" spans="1:19" s="12" customFormat="1" x14ac:dyDescent="0.3">
      <c r="B12" s="82"/>
      <c r="C12" s="12">
        <v>10</v>
      </c>
      <c r="D12" s="13">
        <v>4500000</v>
      </c>
      <c r="E12" s="13">
        <f xml:space="preserve"> (E11 + 400000) + ((E11 + 400000) * G12 )</f>
        <v>4623309.0980000002</v>
      </c>
      <c r="F12" s="13">
        <f t="shared" si="0"/>
        <v>15457825.786114551</v>
      </c>
      <c r="G12" s="12">
        <v>1.7999999999999999E-2</v>
      </c>
      <c r="H12" s="13">
        <f t="shared" si="1"/>
        <v>15736066.650264613</v>
      </c>
      <c r="I12" s="13"/>
      <c r="J12" s="13"/>
      <c r="K12" s="48">
        <v>3700000</v>
      </c>
      <c r="L12" s="14"/>
      <c r="M12" s="56"/>
      <c r="S12" s="13"/>
    </row>
    <row r="13" spans="1:19" s="42" customFormat="1" x14ac:dyDescent="0.3">
      <c r="B13" s="82"/>
      <c r="C13" s="42">
        <v>11</v>
      </c>
      <c r="D13" s="41">
        <v>2500000</v>
      </c>
      <c r="E13" s="41">
        <f xml:space="preserve"> (E12 + 400000) + ((E12 + 400000) * G13 )</f>
        <v>5113728.6617640005</v>
      </c>
      <c r="F13" s="41">
        <f t="shared" si="0"/>
        <v>18236066.650264613</v>
      </c>
      <c r="G13" s="42">
        <v>1.7999999999999999E-2</v>
      </c>
      <c r="H13" s="41">
        <f t="shared" si="1"/>
        <v>18564315.849969376</v>
      </c>
      <c r="I13" s="41"/>
      <c r="J13" s="41"/>
      <c r="K13" s="49">
        <v>0</v>
      </c>
      <c r="L13" s="43"/>
      <c r="M13" s="57"/>
      <c r="S13" s="41"/>
    </row>
    <row r="14" spans="1:19" s="18" customFormat="1" x14ac:dyDescent="0.3">
      <c r="B14" s="82"/>
      <c r="C14" s="18">
        <v>12</v>
      </c>
      <c r="D14" s="19">
        <v>2500000</v>
      </c>
      <c r="E14" s="19">
        <f t="shared" ref="E14:E77" si="2" xml:space="preserve"> (E13 + 400000) + ((E13 + 400000) * G14 )</f>
        <v>5612975.7776757525</v>
      </c>
      <c r="F14" s="19">
        <f t="shared" si="0"/>
        <v>21064315.849969376</v>
      </c>
      <c r="G14" s="18">
        <v>1.7999999999999999E-2</v>
      </c>
      <c r="H14" s="19">
        <f t="shared" si="1"/>
        <v>21443473.535268825</v>
      </c>
      <c r="I14" s="19">
        <f xml:space="preserve"> H14 - E14</f>
        <v>15830497.757593073</v>
      </c>
      <c r="J14" s="19"/>
      <c r="K14" s="50">
        <v>0</v>
      </c>
      <c r="L14" s="20">
        <f xml:space="preserve"> I14 / 2</f>
        <v>7915248.8787965365</v>
      </c>
      <c r="M14" s="58">
        <f xml:space="preserve"> (H2 + SUM(D3:D14)) - SUM(K3:K14)</f>
        <v>19363456</v>
      </c>
      <c r="N14" s="19">
        <f xml:space="preserve"> H14 - M14</f>
        <v>2080017.5352688245</v>
      </c>
      <c r="O14" s="18">
        <v>0.84</v>
      </c>
      <c r="P14" s="19">
        <f xml:space="preserve"> N14 * O14</f>
        <v>1747214.7296258125</v>
      </c>
      <c r="Q14" s="19">
        <f xml:space="preserve"> N14 - P14</f>
        <v>332802.80564301205</v>
      </c>
      <c r="R14" s="18">
        <f xml:space="preserve"> N14 / M14 * 100</f>
        <v>10.741974651987871</v>
      </c>
      <c r="S14" s="19"/>
    </row>
    <row r="15" spans="1:19" s="8" customFormat="1" x14ac:dyDescent="0.3">
      <c r="A15" s="8">
        <v>2</v>
      </c>
      <c r="B15" s="82">
        <v>2023</v>
      </c>
      <c r="C15" s="8">
        <v>1</v>
      </c>
      <c r="D15" s="9">
        <f xml:space="preserve"> N15</f>
        <v>3159604.0732330447</v>
      </c>
      <c r="E15" s="41">
        <f t="shared" si="2"/>
        <v>6121209.3416739162</v>
      </c>
      <c r="F15" s="11">
        <f xml:space="preserve"> (I14 / 2) + D15 - K15</f>
        <v>11074852.952029582</v>
      </c>
      <c r="G15" s="8">
        <v>1.7999999999999999E-2</v>
      </c>
      <c r="H15" s="9">
        <f xml:space="preserve"> (F15 * G15) + F15</f>
        <v>11274200.305166114</v>
      </c>
      <c r="I15" s="9"/>
      <c r="J15" s="9">
        <f xml:space="preserve"> D15 + H15</f>
        <v>14433804.37839916</v>
      </c>
      <c r="K15" s="47">
        <v>0</v>
      </c>
      <c r="L15" s="10"/>
      <c r="M15" s="55"/>
      <c r="N15" s="11">
        <f xml:space="preserve"> (L14 / 12) +2500000</f>
        <v>3159604.0732330447</v>
      </c>
      <c r="P15" s="9">
        <f xml:space="preserve"> (H14 / 2 )</f>
        <v>10721736.767634412</v>
      </c>
      <c r="S15" s="9"/>
    </row>
    <row r="16" spans="1:19" s="8" customFormat="1" x14ac:dyDescent="0.3">
      <c r="B16" s="82"/>
      <c r="C16" s="8">
        <v>2</v>
      </c>
      <c r="D16" s="9">
        <f xml:space="preserve"> N15</f>
        <v>3159604.0732330447</v>
      </c>
      <c r="E16" s="41">
        <f t="shared" si="2"/>
        <v>6638591.1098240465</v>
      </c>
      <c r="F16" s="9">
        <f t="shared" ref="F16:F26" si="3" xml:space="preserve"> H15 + D16 - K16</f>
        <v>14433804.37839916</v>
      </c>
      <c r="G16" s="8">
        <v>1.7999999999999999E-2</v>
      </c>
      <c r="H16" s="11">
        <f xml:space="preserve"> (F16 * G16) + F16</f>
        <v>14693612.857210344</v>
      </c>
      <c r="I16" s="9"/>
      <c r="J16" s="9">
        <f xml:space="preserve"> D16 + H16</f>
        <v>17853216.930443387</v>
      </c>
      <c r="K16" s="47">
        <v>0</v>
      </c>
      <c r="L16" s="10"/>
      <c r="M16" s="55"/>
      <c r="S16" s="9"/>
    </row>
    <row r="17" spans="1:19" s="8" customFormat="1" x14ac:dyDescent="0.3">
      <c r="B17" s="82"/>
      <c r="C17" s="8">
        <v>3</v>
      </c>
      <c r="D17" s="9">
        <f xml:space="preserve"> N15</f>
        <v>3159604.0732330447</v>
      </c>
      <c r="E17" s="41">
        <f t="shared" si="2"/>
        <v>7165285.7498008795</v>
      </c>
      <c r="F17" s="9">
        <f t="shared" si="3"/>
        <v>17853216.930443387</v>
      </c>
      <c r="G17" s="8">
        <v>1.7999999999999999E-2</v>
      </c>
      <c r="H17" s="9">
        <f xml:space="preserve"> (F17 * G17) + F17</f>
        <v>18174574.835191369</v>
      </c>
      <c r="I17" s="9"/>
      <c r="J17" s="9">
        <f t="shared" ref="J17:J80" si="4" xml:space="preserve"> D17 + H17</f>
        <v>21334178.908424415</v>
      </c>
      <c r="K17" s="47">
        <v>0</v>
      </c>
      <c r="L17" s="10"/>
      <c r="M17" s="55"/>
      <c r="S17" s="9"/>
    </row>
    <row r="18" spans="1:19" s="8" customFormat="1" x14ac:dyDescent="0.3">
      <c r="B18" s="82"/>
      <c r="C18" s="8">
        <v>4</v>
      </c>
      <c r="D18" s="9">
        <f xml:space="preserve"> N15</f>
        <v>3159604.0732330447</v>
      </c>
      <c r="E18" s="41">
        <f t="shared" si="2"/>
        <v>7701460.8932972951</v>
      </c>
      <c r="F18" s="9">
        <f t="shared" si="3"/>
        <v>21334178.908424415</v>
      </c>
      <c r="G18" s="8">
        <v>1.7999999999999999E-2</v>
      </c>
      <c r="H18" s="9">
        <f t="shared" ref="H18:H26" si="5" xml:space="preserve"> (F18 * G18) + F18</f>
        <v>21718194.128776055</v>
      </c>
      <c r="I18" s="9"/>
      <c r="J18" s="9">
        <f t="shared" si="4"/>
        <v>24877798.2020091</v>
      </c>
      <c r="K18" s="47">
        <v>0</v>
      </c>
      <c r="L18" s="10"/>
      <c r="M18" s="55"/>
      <c r="S18" s="9"/>
    </row>
    <row r="19" spans="1:19" s="8" customFormat="1" x14ac:dyDescent="0.3">
      <c r="B19" s="82"/>
      <c r="C19" s="8">
        <v>5</v>
      </c>
      <c r="D19" s="9">
        <f xml:space="preserve"> N15</f>
        <v>3159604.0732330447</v>
      </c>
      <c r="E19" s="41">
        <f t="shared" si="2"/>
        <v>8247287.1893766467</v>
      </c>
      <c r="F19" s="9">
        <f t="shared" si="3"/>
        <v>24544995.39636609</v>
      </c>
      <c r="G19" s="8">
        <v>1.7999999999999999E-2</v>
      </c>
      <c r="H19" s="9">
        <f t="shared" si="5"/>
        <v>24986805.31350068</v>
      </c>
      <c r="I19" s="9"/>
      <c r="J19" s="9">
        <f t="shared" si="4"/>
        <v>28146409.386733726</v>
      </c>
      <c r="K19" s="47">
        <f xml:space="preserve"> Q14</f>
        <v>332802.80564301205</v>
      </c>
      <c r="L19" s="10"/>
      <c r="M19" s="55"/>
      <c r="S19" s="9"/>
    </row>
    <row r="20" spans="1:19" s="8" customFormat="1" x14ac:dyDescent="0.3">
      <c r="B20" s="82"/>
      <c r="C20" s="8">
        <v>6</v>
      </c>
      <c r="D20" s="9">
        <f xml:space="preserve"> N15</f>
        <v>3159604.0732330447</v>
      </c>
      <c r="E20" s="41">
        <f t="shared" si="2"/>
        <v>8802938.3587854262</v>
      </c>
      <c r="F20" s="9">
        <f t="shared" si="3"/>
        <v>28146409.386733726</v>
      </c>
      <c r="G20" s="8">
        <v>1.7999999999999999E-2</v>
      </c>
      <c r="H20" s="9">
        <f t="shared" si="5"/>
        <v>28653044.755694933</v>
      </c>
      <c r="I20" s="9"/>
      <c r="J20" s="9">
        <f t="shared" si="4"/>
        <v>31812648.828927979</v>
      </c>
      <c r="K20" s="47">
        <v>0</v>
      </c>
      <c r="L20" s="10"/>
      <c r="M20" s="55"/>
      <c r="S20" s="9"/>
    </row>
    <row r="21" spans="1:19" s="8" customFormat="1" x14ac:dyDescent="0.3">
      <c r="B21" s="82"/>
      <c r="C21" s="8">
        <v>7</v>
      </c>
      <c r="D21" s="9">
        <f xml:space="preserve"> N15</f>
        <v>3159604.0732330447</v>
      </c>
      <c r="E21" s="41">
        <f t="shared" si="2"/>
        <v>9368591.249243563</v>
      </c>
      <c r="F21" s="9">
        <f t="shared" si="3"/>
        <v>31812648.828927979</v>
      </c>
      <c r="G21" s="8">
        <v>1.7999999999999999E-2</v>
      </c>
      <c r="H21" s="9">
        <f t="shared" si="5"/>
        <v>32385276.507848684</v>
      </c>
      <c r="I21" s="9"/>
      <c r="J21" s="9">
        <f t="shared" si="4"/>
        <v>35544880.581081726</v>
      </c>
      <c r="K21" s="47">
        <v>0</v>
      </c>
      <c r="L21" s="10"/>
      <c r="M21" s="55"/>
      <c r="S21" s="9"/>
    </row>
    <row r="22" spans="1:19" s="8" customFormat="1" x14ac:dyDescent="0.3">
      <c r="B22" s="82"/>
      <c r="C22" s="8">
        <v>8</v>
      </c>
      <c r="D22" s="9">
        <f xml:space="preserve"> N15</f>
        <v>3159604.0732330447</v>
      </c>
      <c r="E22" s="41">
        <f t="shared" si="2"/>
        <v>9944425.8917299472</v>
      </c>
      <c r="F22" s="9">
        <f t="shared" si="3"/>
        <v>35544880.581081726</v>
      </c>
      <c r="G22" s="8">
        <v>1.7999999999999999E-2</v>
      </c>
      <c r="H22" s="9">
        <f t="shared" si="5"/>
        <v>36184688.431541197</v>
      </c>
      <c r="I22" s="9"/>
      <c r="J22" s="9">
        <f t="shared" si="4"/>
        <v>39344292.504774243</v>
      </c>
      <c r="K22" s="47">
        <v>0</v>
      </c>
      <c r="L22" s="10"/>
      <c r="M22" s="55"/>
      <c r="S22" s="9"/>
    </row>
    <row r="23" spans="1:19" s="8" customFormat="1" x14ac:dyDescent="0.3">
      <c r="B23" s="82"/>
      <c r="C23" s="8">
        <v>9</v>
      </c>
      <c r="D23" s="9">
        <f xml:space="preserve"> N15</f>
        <v>3159604.0732330447</v>
      </c>
      <c r="E23" s="41">
        <f t="shared" si="2"/>
        <v>10530625.557781085</v>
      </c>
      <c r="F23" s="9">
        <f t="shared" si="3"/>
        <v>39344292.504774243</v>
      </c>
      <c r="G23" s="8">
        <v>1.7999999999999999E-2</v>
      </c>
      <c r="H23" s="9">
        <f t="shared" si="5"/>
        <v>40052489.769860178</v>
      </c>
      <c r="I23" s="9"/>
      <c r="J23" s="9">
        <f t="shared" si="4"/>
        <v>43212093.843093224</v>
      </c>
      <c r="K23" s="47">
        <v>0</v>
      </c>
      <c r="L23" s="10"/>
      <c r="M23" s="55"/>
      <c r="S23" s="9"/>
    </row>
    <row r="24" spans="1:19" s="8" customFormat="1" x14ac:dyDescent="0.3">
      <c r="B24" s="82"/>
      <c r="C24" s="8">
        <v>10</v>
      </c>
      <c r="D24" s="9">
        <f xml:space="preserve"> N15</f>
        <v>3159604.0732330447</v>
      </c>
      <c r="E24" s="41">
        <f t="shared" si="2"/>
        <v>11127376.817821145</v>
      </c>
      <c r="F24" s="9">
        <f t="shared" si="3"/>
        <v>43212093.843093224</v>
      </c>
      <c r="G24" s="8">
        <v>1.7999999999999999E-2</v>
      </c>
      <c r="H24" s="9">
        <f t="shared" si="5"/>
        <v>43989911.532268904</v>
      </c>
      <c r="I24" s="9"/>
      <c r="J24" s="9">
        <f t="shared" si="4"/>
        <v>47149515.60550195</v>
      </c>
      <c r="K24" s="47">
        <v>0</v>
      </c>
      <c r="L24" s="10"/>
      <c r="M24" s="55"/>
      <c r="S24" s="9"/>
    </row>
    <row r="25" spans="1:19" s="8" customFormat="1" x14ac:dyDescent="0.3">
      <c r="B25" s="82"/>
      <c r="C25" s="8">
        <v>11</v>
      </c>
      <c r="D25" s="9">
        <f xml:space="preserve"> N15</f>
        <v>3159604.0732330447</v>
      </c>
      <c r="E25" s="41">
        <f t="shared" si="2"/>
        <v>11734869.600541925</v>
      </c>
      <c r="F25" s="9">
        <f t="shared" si="3"/>
        <v>47149515.60550195</v>
      </c>
      <c r="G25" s="8">
        <v>1.7999999999999999E-2</v>
      </c>
      <c r="H25" s="9">
        <f t="shared" si="5"/>
        <v>47998206.886400983</v>
      </c>
      <c r="I25" s="9"/>
      <c r="J25" s="9">
        <f t="shared" si="4"/>
        <v>51157810.959634028</v>
      </c>
      <c r="K25" s="47">
        <v>0</v>
      </c>
      <c r="L25" s="10"/>
      <c r="M25" s="55"/>
      <c r="S25" s="9"/>
    </row>
    <row r="26" spans="1:19" s="18" customFormat="1" x14ac:dyDescent="0.3">
      <c r="B26" s="82"/>
      <c r="C26" s="18">
        <v>12</v>
      </c>
      <c r="D26" s="19">
        <f xml:space="preserve"> N15</f>
        <v>3159604.0732330447</v>
      </c>
      <c r="E26" s="19">
        <f t="shared" si="2"/>
        <v>12353297.253351679</v>
      </c>
      <c r="F26" s="19">
        <f t="shared" si="3"/>
        <v>51157810.959634028</v>
      </c>
      <c r="G26" s="18">
        <v>1.7999999999999999E-2</v>
      </c>
      <c r="H26" s="19">
        <f t="shared" si="5"/>
        <v>52078651.556907438</v>
      </c>
      <c r="I26" s="19">
        <f xml:space="preserve"> H26</f>
        <v>52078651.556907438</v>
      </c>
      <c r="J26" s="9">
        <f t="shared" si="4"/>
        <v>55238255.630140483</v>
      </c>
      <c r="K26" s="50">
        <v>0</v>
      </c>
      <c r="L26" s="20">
        <f xml:space="preserve"> I26 / 2</f>
        <v>26039325.778453719</v>
      </c>
      <c r="M26" s="58">
        <f xml:space="preserve"> (F15 + SUM(D16:D26)) - SUM(K15:K26)</f>
        <v>45497694.951950066</v>
      </c>
      <c r="N26" s="19">
        <f xml:space="preserve"> H26 - M26</f>
        <v>6580956.604957372</v>
      </c>
      <c r="O26" s="18">
        <v>0.84</v>
      </c>
      <c r="P26" s="19">
        <f xml:space="preserve"> N26 * O26</f>
        <v>5528003.5481641926</v>
      </c>
      <c r="Q26" s="19">
        <f xml:space="preserve"> N26 - P26</f>
        <v>1052953.0567931794</v>
      </c>
      <c r="R26" s="18">
        <f xml:space="preserve"> N26 / M26 * 100</f>
        <v>14.464373660923908</v>
      </c>
      <c r="S26" s="19"/>
    </row>
    <row r="27" spans="1:19" s="8" customFormat="1" x14ac:dyDescent="0.3">
      <c r="A27" s="8">
        <v>3</v>
      </c>
      <c r="B27" s="82">
        <v>2024</v>
      </c>
      <c r="C27" s="8">
        <v>1</v>
      </c>
      <c r="D27" s="9">
        <f>N27</f>
        <v>4669943.8148711435</v>
      </c>
      <c r="E27" s="41">
        <f t="shared" si="2"/>
        <v>12982856.603912009</v>
      </c>
      <c r="F27" s="11">
        <f xml:space="preserve"> (I26 / 2) + D27 - K27</f>
        <v>30709269.593324862</v>
      </c>
      <c r="G27" s="8">
        <v>1.7999999999999999E-2</v>
      </c>
      <c r="H27" s="9">
        <f xml:space="preserve"> (F27 * G27) + F27</f>
        <v>31262036.446004711</v>
      </c>
      <c r="I27" s="9"/>
      <c r="J27" s="9">
        <f t="shared" si="4"/>
        <v>35931980.260875851</v>
      </c>
      <c r="K27" s="47">
        <v>0</v>
      </c>
      <c r="L27" s="10"/>
      <c r="M27" s="55"/>
      <c r="N27" s="11">
        <f xml:space="preserve"> (L26 / 12) +2500000</f>
        <v>4669943.8148711435</v>
      </c>
      <c r="P27" s="9">
        <f xml:space="preserve"> (H26 / 2 )</f>
        <v>26039325.778453719</v>
      </c>
      <c r="S27" s="9"/>
    </row>
    <row r="28" spans="1:19" s="42" customFormat="1" x14ac:dyDescent="0.3">
      <c r="B28" s="82"/>
      <c r="C28" s="42">
        <v>2</v>
      </c>
      <c r="D28" s="41">
        <f>N27</f>
        <v>4669943.8148711435</v>
      </c>
      <c r="E28" s="41">
        <f t="shared" si="2"/>
        <v>13623748.022782424</v>
      </c>
      <c r="F28" s="41">
        <f t="shared" ref="F28:F38" si="6" xml:space="preserve"> H27 + D28 - K28</f>
        <v>35931980.260875851</v>
      </c>
      <c r="G28" s="42">
        <v>1.7999999999999999E-2</v>
      </c>
      <c r="H28" s="41">
        <f xml:space="preserve"> (F28 * G28) + F28</f>
        <v>36578755.905571617</v>
      </c>
      <c r="I28" s="41"/>
      <c r="J28" s="9">
        <f t="shared" si="4"/>
        <v>41248699.720442757</v>
      </c>
      <c r="K28" s="49">
        <v>0</v>
      </c>
      <c r="L28" s="43"/>
      <c r="M28" s="57"/>
      <c r="S28" s="41"/>
    </row>
    <row r="29" spans="1:19" s="8" customFormat="1" x14ac:dyDescent="0.3">
      <c r="B29" s="82"/>
      <c r="C29" s="8">
        <v>3</v>
      </c>
      <c r="D29" s="9">
        <f>N27</f>
        <v>4669943.8148711435</v>
      </c>
      <c r="E29" s="41">
        <f t="shared" si="2"/>
        <v>14276175.487192508</v>
      </c>
      <c r="F29" s="9">
        <f t="shared" si="6"/>
        <v>41248699.720442757</v>
      </c>
      <c r="G29" s="8">
        <v>1.7999999999999999E-2</v>
      </c>
      <c r="H29" s="9">
        <f xml:space="preserve"> (F29 * G29) + F29</f>
        <v>41991176.315410726</v>
      </c>
      <c r="I29" s="9"/>
      <c r="J29" s="9">
        <f t="shared" si="4"/>
        <v>46661120.130281866</v>
      </c>
      <c r="K29" s="47">
        <v>0</v>
      </c>
      <c r="L29" s="10"/>
      <c r="M29" s="55"/>
      <c r="S29" s="9"/>
    </row>
    <row r="30" spans="1:19" s="8" customFormat="1" x14ac:dyDescent="0.3">
      <c r="B30" s="82"/>
      <c r="C30" s="8">
        <v>4</v>
      </c>
      <c r="D30" s="9">
        <f>N27</f>
        <v>4669943.8148711435</v>
      </c>
      <c r="E30" s="41">
        <f t="shared" si="2"/>
        <v>14940346.645961974</v>
      </c>
      <c r="F30" s="9">
        <f t="shared" si="6"/>
        <v>46661120.130281866</v>
      </c>
      <c r="G30" s="8">
        <v>1.7999999999999999E-2</v>
      </c>
      <c r="H30" s="9">
        <f t="shared" ref="H30:H93" si="7" xml:space="preserve"> (F30 * G30) + F30</f>
        <v>47501020.29262694</v>
      </c>
      <c r="I30" s="9"/>
      <c r="J30" s="9">
        <f t="shared" si="4"/>
        <v>52170964.10749808</v>
      </c>
      <c r="K30" s="47">
        <v>0</v>
      </c>
      <c r="L30" s="10"/>
      <c r="M30" s="55"/>
      <c r="S30" s="9"/>
    </row>
    <row r="31" spans="1:19" s="8" customFormat="1" x14ac:dyDescent="0.3">
      <c r="B31" s="82"/>
      <c r="C31" s="8">
        <v>5</v>
      </c>
      <c r="D31" s="9">
        <f>N27</f>
        <v>4669943.8148711435</v>
      </c>
      <c r="E31" s="41">
        <f t="shared" si="2"/>
        <v>15616472.885589289</v>
      </c>
      <c r="F31" s="9">
        <f t="shared" si="6"/>
        <v>51118011.050704896</v>
      </c>
      <c r="G31" s="8">
        <v>1.7999999999999999E-2</v>
      </c>
      <c r="H31" s="9">
        <f t="shared" si="7"/>
        <v>52038135.249617584</v>
      </c>
      <c r="I31" s="9"/>
      <c r="J31" s="9">
        <f t="shared" si="4"/>
        <v>56708079.064488724</v>
      </c>
      <c r="K31" s="47">
        <f xml:space="preserve"> Q26</f>
        <v>1052953.0567931794</v>
      </c>
      <c r="L31" s="10"/>
      <c r="M31" s="55"/>
      <c r="S31" s="9"/>
    </row>
    <row r="32" spans="1:19" s="8" customFormat="1" x14ac:dyDescent="0.3">
      <c r="B32" s="82"/>
      <c r="C32" s="8">
        <v>6</v>
      </c>
      <c r="D32" s="9">
        <f>N27</f>
        <v>4669943.8148711435</v>
      </c>
      <c r="E32" s="41">
        <f t="shared" si="2"/>
        <v>16304769.397529896</v>
      </c>
      <c r="F32" s="9">
        <f t="shared" si="6"/>
        <v>56708079.064488724</v>
      </c>
      <c r="G32" s="8">
        <v>1.7999999999999999E-2</v>
      </c>
      <c r="H32" s="9">
        <f t="shared" si="7"/>
        <v>57728824.487649523</v>
      </c>
      <c r="I32" s="9"/>
      <c r="J32" s="9">
        <f t="shared" si="4"/>
        <v>62398768.302520663</v>
      </c>
      <c r="K32" s="47">
        <v>0</v>
      </c>
      <c r="L32" s="10"/>
      <c r="M32" s="55"/>
      <c r="S32" s="9"/>
    </row>
    <row r="33" spans="1:19" s="8" customFormat="1" x14ac:dyDescent="0.3">
      <c r="B33" s="82"/>
      <c r="C33" s="8">
        <v>7</v>
      </c>
      <c r="D33" s="9">
        <f>N27</f>
        <v>4669943.8148711435</v>
      </c>
      <c r="E33" s="41">
        <f t="shared" si="2"/>
        <v>17005455.246685434</v>
      </c>
      <c r="F33" s="9">
        <f t="shared" si="6"/>
        <v>62398768.302520663</v>
      </c>
      <c r="G33" s="8">
        <v>1.7999999999999999E-2</v>
      </c>
      <c r="H33" s="9">
        <f t="shared" si="7"/>
        <v>63521946.131966032</v>
      </c>
      <c r="I33" s="9"/>
      <c r="J33" s="9">
        <f t="shared" si="4"/>
        <v>68191889.946837172</v>
      </c>
      <c r="K33" s="47">
        <v>0</v>
      </c>
      <c r="L33" s="10"/>
      <c r="M33" s="55"/>
      <c r="S33" s="9"/>
    </row>
    <row r="34" spans="1:19" s="8" customFormat="1" x14ac:dyDescent="0.3">
      <c r="B34" s="82"/>
      <c r="C34" s="8">
        <v>8</v>
      </c>
      <c r="D34" s="9">
        <f>N27</f>
        <v>4669943.8148711435</v>
      </c>
      <c r="E34" s="41">
        <f t="shared" si="2"/>
        <v>17718753.441125773</v>
      </c>
      <c r="F34" s="9">
        <f t="shared" si="6"/>
        <v>68191889.946837172</v>
      </c>
      <c r="G34" s="8">
        <v>1.7999999999999999E-2</v>
      </c>
      <c r="H34" s="9">
        <f t="shared" si="7"/>
        <v>69419343.965880245</v>
      </c>
      <c r="I34" s="9"/>
      <c r="J34" s="9">
        <f t="shared" si="4"/>
        <v>74089287.780751392</v>
      </c>
      <c r="K34" s="47">
        <v>0</v>
      </c>
      <c r="L34" s="10"/>
      <c r="M34" s="55"/>
      <c r="S34" s="9"/>
    </row>
    <row r="35" spans="1:19" s="8" customFormat="1" x14ac:dyDescent="0.3">
      <c r="B35" s="82"/>
      <c r="C35" s="8">
        <v>9</v>
      </c>
      <c r="D35" s="9">
        <f>N27</f>
        <v>4669943.8148711435</v>
      </c>
      <c r="E35" s="41">
        <f t="shared" si="2"/>
        <v>18444891.003066037</v>
      </c>
      <c r="F35" s="9">
        <f t="shared" si="6"/>
        <v>74089287.780751392</v>
      </c>
      <c r="G35" s="8">
        <v>1.7999999999999999E-2</v>
      </c>
      <c r="H35" s="9">
        <f t="shared" si="7"/>
        <v>75422894.960804924</v>
      </c>
      <c r="I35" s="9"/>
      <c r="J35" s="9">
        <f t="shared" si="4"/>
        <v>80092838.775676072</v>
      </c>
      <c r="K35" s="47">
        <v>0</v>
      </c>
      <c r="L35" s="10"/>
      <c r="M35" s="55"/>
      <c r="S35" s="9"/>
    </row>
    <row r="36" spans="1:19" s="8" customFormat="1" x14ac:dyDescent="0.3">
      <c r="B36" s="82"/>
      <c r="C36" s="8">
        <v>10</v>
      </c>
      <c r="D36" s="9">
        <f>N27</f>
        <v>4669943.8148711435</v>
      </c>
      <c r="E36" s="41">
        <f t="shared" si="2"/>
        <v>19184099.041121226</v>
      </c>
      <c r="F36" s="9">
        <f t="shared" si="6"/>
        <v>80092838.775676072</v>
      </c>
      <c r="G36" s="8">
        <v>1.7999999999999999E-2</v>
      </c>
      <c r="H36" s="9">
        <f t="shared" si="7"/>
        <v>81534509.873638242</v>
      </c>
      <c r="I36" s="9"/>
      <c r="J36" s="9">
        <f t="shared" si="4"/>
        <v>86204453.68850939</v>
      </c>
      <c r="K36" s="47">
        <v>0</v>
      </c>
      <c r="L36" s="10"/>
      <c r="M36" s="55"/>
      <c r="S36" s="9"/>
    </row>
    <row r="37" spans="1:19" s="8" customFormat="1" x14ac:dyDescent="0.3">
      <c r="B37" s="82"/>
      <c r="C37" s="8">
        <v>11</v>
      </c>
      <c r="D37" s="9">
        <f>N27</f>
        <v>4669943.8148711435</v>
      </c>
      <c r="E37" s="41">
        <f t="shared" si="2"/>
        <v>19936612.823861409</v>
      </c>
      <c r="F37" s="9">
        <f t="shared" si="6"/>
        <v>86204453.68850939</v>
      </c>
      <c r="G37" s="8">
        <v>1.7999999999999999E-2</v>
      </c>
      <c r="H37" s="9">
        <f t="shared" si="7"/>
        <v>87756133.854902565</v>
      </c>
      <c r="I37" s="9"/>
      <c r="J37" s="9">
        <f t="shared" si="4"/>
        <v>92426077.669773713</v>
      </c>
      <c r="K37" s="47">
        <v>0</v>
      </c>
      <c r="L37" s="10"/>
      <c r="M37" s="55"/>
      <c r="S37" s="9"/>
    </row>
    <row r="38" spans="1:19" s="18" customFormat="1" x14ac:dyDescent="0.3">
      <c r="B38" s="82"/>
      <c r="C38" s="18">
        <v>12</v>
      </c>
      <c r="D38" s="19">
        <f>N27</f>
        <v>4669943.8148711435</v>
      </c>
      <c r="E38" s="19">
        <f t="shared" si="2"/>
        <v>20702671.854690913</v>
      </c>
      <c r="F38" s="19">
        <f t="shared" si="6"/>
        <v>92426077.669773713</v>
      </c>
      <c r="G38" s="18">
        <v>1.7999999999999999E-2</v>
      </c>
      <c r="H38" s="19">
        <f t="shared" si="7"/>
        <v>94089747.067829639</v>
      </c>
      <c r="I38" s="19">
        <f xml:space="preserve"> H38</f>
        <v>94089747.067829639</v>
      </c>
      <c r="J38" s="9">
        <f t="shared" si="4"/>
        <v>98759690.882700786</v>
      </c>
      <c r="K38" s="50">
        <v>0</v>
      </c>
      <c r="L38" s="20">
        <f xml:space="preserve"> I38 / 2</f>
        <v>47044873.533914819</v>
      </c>
      <c r="M38" s="58">
        <f xml:space="preserve"> (F27 + SUM(D28:D38)) - SUM(K27:K38)</f>
        <v>81025698.500114262</v>
      </c>
      <c r="N38" s="19">
        <f xml:space="preserve"> H38 - M38</f>
        <v>13064048.567715377</v>
      </c>
      <c r="O38" s="18">
        <v>0.84</v>
      </c>
      <c r="P38" s="19">
        <f xml:space="preserve"> N38 * O38</f>
        <v>10973800.796880916</v>
      </c>
      <c r="Q38" s="19">
        <f xml:space="preserve"> N38 - P38</f>
        <v>2090247.7708344609</v>
      </c>
      <c r="R38" s="18">
        <f xml:space="preserve"> N38 / M38 * 100</f>
        <v>16.12333964352921</v>
      </c>
      <c r="S38" s="19"/>
    </row>
    <row r="39" spans="1:19" s="8" customFormat="1" x14ac:dyDescent="0.3">
      <c r="A39" s="8">
        <v>4</v>
      </c>
      <c r="B39" s="82">
        <v>2025</v>
      </c>
      <c r="C39" s="8">
        <v>1</v>
      </c>
      <c r="D39" s="9">
        <f>N39</f>
        <v>6420406.1278262343</v>
      </c>
      <c r="E39" s="41">
        <f t="shared" si="2"/>
        <v>21482519.94807535</v>
      </c>
      <c r="F39" s="9">
        <f xml:space="preserve"> (H38 / 2) + D39 - K39</f>
        <v>53465279.661741056</v>
      </c>
      <c r="G39" s="8">
        <v>1.7999999999999999E-2</v>
      </c>
      <c r="H39" s="9">
        <f t="shared" si="7"/>
        <v>54427654.695652395</v>
      </c>
      <c r="I39" s="9"/>
      <c r="J39" s="9">
        <f t="shared" si="4"/>
        <v>60848060.823478632</v>
      </c>
      <c r="K39" s="47">
        <v>0</v>
      </c>
      <c r="L39" s="10"/>
      <c r="M39" s="55"/>
      <c r="N39" s="11">
        <f xml:space="preserve"> (L38 / 12) +2500000</f>
        <v>6420406.1278262343</v>
      </c>
      <c r="P39" s="9">
        <f xml:space="preserve"> (H38 / 2 )</f>
        <v>47044873.533914819</v>
      </c>
      <c r="S39" s="9"/>
    </row>
    <row r="40" spans="1:19" s="8" customFormat="1" x14ac:dyDescent="0.3">
      <c r="B40" s="82"/>
      <c r="C40" s="8">
        <v>2</v>
      </c>
      <c r="D40" s="9">
        <f>N39</f>
        <v>6420406.1278262343</v>
      </c>
      <c r="E40" s="41">
        <f t="shared" si="2"/>
        <v>22276405.307140708</v>
      </c>
      <c r="F40" s="9">
        <f t="shared" ref="F40:F50" si="8" xml:space="preserve"> H39 + D40 - K40</f>
        <v>60848060.823478632</v>
      </c>
      <c r="G40" s="8">
        <v>1.7999999999999999E-2</v>
      </c>
      <c r="H40" s="9">
        <f t="shared" si="7"/>
        <v>61943325.918301247</v>
      </c>
      <c r="I40" s="9"/>
      <c r="J40" s="9">
        <f t="shared" si="4"/>
        <v>68363732.046127483</v>
      </c>
      <c r="K40" s="47">
        <v>0</v>
      </c>
      <c r="L40" s="10"/>
      <c r="M40" s="55"/>
      <c r="S40" s="9"/>
    </row>
    <row r="41" spans="1:19" s="8" customFormat="1" x14ac:dyDescent="0.3">
      <c r="B41" s="82"/>
      <c r="C41" s="8">
        <v>3</v>
      </c>
      <c r="D41" s="9">
        <f>N39</f>
        <v>6420406.1278262343</v>
      </c>
      <c r="E41" s="41">
        <f t="shared" si="2"/>
        <v>23084580.602669239</v>
      </c>
      <c r="F41" s="9">
        <f t="shared" si="8"/>
        <v>68363732.046127483</v>
      </c>
      <c r="G41" s="8">
        <v>1.7999999999999999E-2</v>
      </c>
      <c r="H41" s="9">
        <f t="shared" si="7"/>
        <v>69594279.222957775</v>
      </c>
      <c r="I41" s="9"/>
      <c r="J41" s="9">
        <f t="shared" si="4"/>
        <v>76014685.350784004</v>
      </c>
      <c r="K41" s="47">
        <v>0</v>
      </c>
      <c r="L41" s="10"/>
      <c r="M41" s="55"/>
      <c r="S41" s="9"/>
    </row>
    <row r="42" spans="1:19" s="8" customFormat="1" x14ac:dyDescent="0.3">
      <c r="B42" s="82"/>
      <c r="C42" s="8">
        <v>4</v>
      </c>
      <c r="D42" s="9">
        <f>N39</f>
        <v>6420406.1278262343</v>
      </c>
      <c r="E42" s="41">
        <f t="shared" si="2"/>
        <v>23907303.053517286</v>
      </c>
      <c r="F42" s="9">
        <f t="shared" si="8"/>
        <v>76014685.350784004</v>
      </c>
      <c r="G42" s="8">
        <v>1.7999999999999999E-2</v>
      </c>
      <c r="H42" s="9">
        <f t="shared" si="7"/>
        <v>77382949.687098116</v>
      </c>
      <c r="I42" s="9"/>
      <c r="J42" s="9">
        <f t="shared" si="4"/>
        <v>83803355.814924344</v>
      </c>
      <c r="K42" s="47">
        <v>0</v>
      </c>
      <c r="L42" s="10"/>
      <c r="M42" s="55"/>
      <c r="S42" s="9"/>
    </row>
    <row r="43" spans="1:19" s="8" customFormat="1" x14ac:dyDescent="0.3">
      <c r="B43" s="82"/>
      <c r="C43" s="8">
        <v>5</v>
      </c>
      <c r="D43" s="9">
        <f>N39</f>
        <v>6420406.1278262343</v>
      </c>
      <c r="E43" s="41">
        <f t="shared" si="2"/>
        <v>24744834.508480597</v>
      </c>
      <c r="F43" s="9">
        <f t="shared" si="8"/>
        <v>81713108.044089884</v>
      </c>
      <c r="G43" s="8">
        <v>1.7999999999999999E-2</v>
      </c>
      <c r="H43" s="9">
        <f t="shared" si="7"/>
        <v>83183943.988883495</v>
      </c>
      <c r="I43" s="9"/>
      <c r="J43" s="9">
        <f t="shared" si="4"/>
        <v>89604350.116709724</v>
      </c>
      <c r="K43" s="47">
        <f xml:space="preserve"> Q38</f>
        <v>2090247.7708344609</v>
      </c>
      <c r="L43" s="10"/>
      <c r="M43" s="55"/>
      <c r="S43" s="9"/>
    </row>
    <row r="44" spans="1:19" s="8" customFormat="1" x14ac:dyDescent="0.3">
      <c r="B44" s="82"/>
      <c r="C44" s="8">
        <v>6</v>
      </c>
      <c r="D44" s="9">
        <f>N39</f>
        <v>6420406.1278262343</v>
      </c>
      <c r="E44" s="41">
        <f t="shared" si="2"/>
        <v>25597441.529633246</v>
      </c>
      <c r="F44" s="9">
        <f t="shared" si="8"/>
        <v>89604350.116709724</v>
      </c>
      <c r="G44" s="8">
        <v>1.7999999999999999E-2</v>
      </c>
      <c r="H44" s="9">
        <f t="shared" si="7"/>
        <v>91217228.418810502</v>
      </c>
      <c r="I44" s="9"/>
      <c r="J44" s="9">
        <f t="shared" si="4"/>
        <v>97637634.54663673</v>
      </c>
      <c r="K44" s="47">
        <v>0</v>
      </c>
      <c r="L44" s="10"/>
      <c r="M44" s="55"/>
      <c r="S44" s="9"/>
    </row>
    <row r="45" spans="1:19" s="8" customFormat="1" x14ac:dyDescent="0.3">
      <c r="B45" s="82"/>
      <c r="C45" s="8">
        <v>7</v>
      </c>
      <c r="D45" s="9">
        <f>N39</f>
        <v>6420406.1278262343</v>
      </c>
      <c r="E45" s="41">
        <f t="shared" si="2"/>
        <v>26465395.477166645</v>
      </c>
      <c r="F45" s="9">
        <f t="shared" si="8"/>
        <v>97637634.54663673</v>
      </c>
      <c r="G45" s="8">
        <v>1.7999999999999999E-2</v>
      </c>
      <c r="H45" s="9">
        <f t="shared" si="7"/>
        <v>99395111.968476191</v>
      </c>
      <c r="I45" s="9"/>
      <c r="J45" s="9">
        <f t="shared" si="4"/>
        <v>105815518.09630242</v>
      </c>
      <c r="K45" s="47">
        <v>0</v>
      </c>
      <c r="L45" s="10"/>
      <c r="M45" s="55"/>
      <c r="S45" s="9"/>
    </row>
    <row r="46" spans="1:19" s="8" customFormat="1" x14ac:dyDescent="0.3">
      <c r="B46" s="82"/>
      <c r="C46" s="8">
        <v>8</v>
      </c>
      <c r="D46" s="9">
        <f>N39</f>
        <v>6420406.1278262343</v>
      </c>
      <c r="E46" s="41">
        <f t="shared" si="2"/>
        <v>27348972.595755644</v>
      </c>
      <c r="F46" s="9">
        <f t="shared" si="8"/>
        <v>105815518.09630242</v>
      </c>
      <c r="G46" s="8">
        <v>1.7999999999999999E-2</v>
      </c>
      <c r="H46" s="9">
        <f t="shared" si="7"/>
        <v>107720197.42203586</v>
      </c>
      <c r="I46" s="9"/>
      <c r="J46" s="9">
        <f t="shared" si="4"/>
        <v>114140603.54986209</v>
      </c>
      <c r="K46" s="47">
        <v>0</v>
      </c>
      <c r="L46" s="10"/>
      <c r="M46" s="55"/>
      <c r="S46" s="9"/>
    </row>
    <row r="47" spans="1:19" s="8" customFormat="1" x14ac:dyDescent="0.3">
      <c r="B47" s="82"/>
      <c r="C47" s="8">
        <v>9</v>
      </c>
      <c r="D47" s="9">
        <f>N39</f>
        <v>6420406.1278262343</v>
      </c>
      <c r="E47" s="41">
        <f t="shared" si="2"/>
        <v>28248454.102479246</v>
      </c>
      <c r="F47" s="9">
        <f t="shared" si="8"/>
        <v>114140603.54986209</v>
      </c>
      <c r="G47" s="8">
        <v>1.7999999999999999E-2</v>
      </c>
      <c r="H47" s="9">
        <f t="shared" si="7"/>
        <v>116195134.4137596</v>
      </c>
      <c r="I47" s="9"/>
      <c r="J47" s="9">
        <f t="shared" si="4"/>
        <v>122615540.54158583</v>
      </c>
      <c r="K47" s="47">
        <v>0</v>
      </c>
      <c r="L47" s="10"/>
      <c r="M47" s="55"/>
      <c r="S47" s="9"/>
    </row>
    <row r="48" spans="1:19" s="8" customFormat="1" x14ac:dyDescent="0.3">
      <c r="B48" s="82"/>
      <c r="C48" s="8">
        <v>10</v>
      </c>
      <c r="D48" s="9">
        <f>N39</f>
        <v>6420406.1278262343</v>
      </c>
      <c r="E48" s="41">
        <f t="shared" si="2"/>
        <v>29164126.276323874</v>
      </c>
      <c r="F48" s="9">
        <f t="shared" si="8"/>
        <v>122615540.54158583</v>
      </c>
      <c r="G48" s="8">
        <v>1.7999999999999999E-2</v>
      </c>
      <c r="H48" s="9">
        <f t="shared" si="7"/>
        <v>124822620.27133438</v>
      </c>
      <c r="I48" s="9"/>
      <c r="J48" s="9">
        <f t="shared" si="4"/>
        <v>131243026.39916061</v>
      </c>
      <c r="K48" s="47">
        <v>0</v>
      </c>
      <c r="L48" s="10"/>
      <c r="M48" s="55"/>
      <c r="S48" s="9"/>
    </row>
    <row r="49" spans="1:19" s="8" customFormat="1" x14ac:dyDescent="0.3">
      <c r="B49" s="82"/>
      <c r="C49" s="8">
        <v>11</v>
      </c>
      <c r="D49" s="9">
        <f>N39</f>
        <v>6420406.1278262343</v>
      </c>
      <c r="E49" s="41">
        <f t="shared" si="2"/>
        <v>30096280.549297702</v>
      </c>
      <c r="F49" s="9">
        <f t="shared" si="8"/>
        <v>131243026.39916061</v>
      </c>
      <c r="G49" s="8">
        <v>1.7999999999999999E-2</v>
      </c>
      <c r="H49" s="9">
        <f t="shared" si="7"/>
        <v>133605400.8743455</v>
      </c>
      <c r="I49" s="9"/>
      <c r="J49" s="9">
        <f t="shared" si="4"/>
        <v>140025807.00217173</v>
      </c>
      <c r="K49" s="47">
        <v>0</v>
      </c>
      <c r="L49" s="10"/>
      <c r="M49" s="55"/>
      <c r="S49" s="9"/>
    </row>
    <row r="50" spans="1:19" s="18" customFormat="1" x14ac:dyDescent="0.3">
      <c r="B50" s="82"/>
      <c r="C50" s="18">
        <v>12</v>
      </c>
      <c r="D50" s="19">
        <f>N39</f>
        <v>6420406.1278262343</v>
      </c>
      <c r="E50" s="19">
        <f t="shared" si="2"/>
        <v>31045213.599185061</v>
      </c>
      <c r="F50" s="19">
        <f t="shared" si="8"/>
        <v>140025807.00217173</v>
      </c>
      <c r="G50" s="18">
        <v>1.7999999999999999E-2</v>
      </c>
      <c r="H50" s="19">
        <f t="shared" si="7"/>
        <v>142546271.52821082</v>
      </c>
      <c r="I50" s="19">
        <f xml:space="preserve"> H50</f>
        <v>142546271.52821082</v>
      </c>
      <c r="J50" s="9">
        <f t="shared" si="4"/>
        <v>148966677.65603706</v>
      </c>
      <c r="K50" s="50">
        <v>0</v>
      </c>
      <c r="L50" s="20">
        <f xml:space="preserve"> I50 / 2</f>
        <v>71273135.764105409</v>
      </c>
      <c r="M50" s="58">
        <f xml:space="preserve"> (F39 + SUM(D40:D50)) - SUM(K40:K50)</f>
        <v>121999499.29699518</v>
      </c>
      <c r="N50" s="19">
        <f xml:space="preserve"> H50 - M50</f>
        <v>20546772.231215641</v>
      </c>
      <c r="O50" s="18">
        <v>0.84</v>
      </c>
      <c r="P50" s="19">
        <f xml:space="preserve"> N50 * O50</f>
        <v>17259288.674221139</v>
      </c>
      <c r="Q50" s="19">
        <f xml:space="preserve"> N50 - P50</f>
        <v>3287483.5569945015</v>
      </c>
      <c r="R50" s="18">
        <f xml:space="preserve"> N50 / M50 * 100</f>
        <v>16.841685703313132</v>
      </c>
      <c r="S50" s="19"/>
    </row>
    <row r="51" spans="1:19" s="8" customFormat="1" x14ac:dyDescent="0.3">
      <c r="A51" s="8">
        <v>5</v>
      </c>
      <c r="B51" s="82">
        <v>2026</v>
      </c>
      <c r="C51" s="8">
        <v>1</v>
      </c>
      <c r="D51" s="9">
        <f xml:space="preserve"> N51</f>
        <v>8439427.9803421162</v>
      </c>
      <c r="E51" s="41">
        <f t="shared" si="2"/>
        <v>32011227.443970393</v>
      </c>
      <c r="F51" s="9">
        <f xml:space="preserve"> (H50 / 2) + D51 - K51</f>
        <v>79712563.744447529</v>
      </c>
      <c r="G51" s="8">
        <v>1.7999999999999999E-2</v>
      </c>
      <c r="H51" s="9">
        <f t="shared" si="7"/>
        <v>81147389.891847581</v>
      </c>
      <c r="I51" s="9"/>
      <c r="J51" s="9">
        <f t="shared" si="4"/>
        <v>89586817.872189701</v>
      </c>
      <c r="K51" s="47">
        <v>0</v>
      </c>
      <c r="L51" s="10"/>
      <c r="M51" s="55"/>
      <c r="N51" s="11">
        <f xml:space="preserve"> (L50 / 12) +2500000</f>
        <v>8439427.9803421162</v>
      </c>
      <c r="P51" s="9">
        <f xml:space="preserve"> (H50 / 2 )</f>
        <v>71273135.764105409</v>
      </c>
      <c r="S51" s="9"/>
    </row>
    <row r="52" spans="1:19" s="8" customFormat="1" x14ac:dyDescent="0.3">
      <c r="B52" s="82"/>
      <c r="C52" s="8">
        <v>2</v>
      </c>
      <c r="D52" s="9">
        <f xml:space="preserve"> N51</f>
        <v>8439427.9803421162</v>
      </c>
      <c r="E52" s="41">
        <f t="shared" si="2"/>
        <v>32994629.537961859</v>
      </c>
      <c r="F52" s="9">
        <f t="shared" ref="F52:F62" si="9" xml:space="preserve"> H51 + D52 - K52</f>
        <v>89586817.872189701</v>
      </c>
      <c r="G52" s="8">
        <v>1.7999999999999999E-2</v>
      </c>
      <c r="H52" s="9">
        <f t="shared" si="7"/>
        <v>91199380.593889117</v>
      </c>
      <c r="I52" s="9"/>
      <c r="J52" s="9">
        <f t="shared" si="4"/>
        <v>99638808.574231237</v>
      </c>
      <c r="K52" s="47">
        <v>0</v>
      </c>
      <c r="L52" s="10"/>
      <c r="M52" s="55"/>
      <c r="S52" s="9"/>
    </row>
    <row r="53" spans="1:19" s="8" customFormat="1" x14ac:dyDescent="0.3">
      <c r="B53" s="82"/>
      <c r="C53" s="8">
        <v>3</v>
      </c>
      <c r="D53" s="9">
        <f xml:space="preserve"> N51</f>
        <v>8439427.9803421162</v>
      </c>
      <c r="E53" s="41">
        <f t="shared" si="2"/>
        <v>33995732.869645171</v>
      </c>
      <c r="F53" s="9">
        <f t="shared" si="9"/>
        <v>99638808.574231237</v>
      </c>
      <c r="G53" s="8">
        <v>1.7999999999999999E-2</v>
      </c>
      <c r="H53" s="9">
        <f t="shared" si="7"/>
        <v>101432307.1285674</v>
      </c>
      <c r="I53" s="9"/>
      <c r="J53" s="9">
        <f t="shared" si="4"/>
        <v>109871735.10890952</v>
      </c>
      <c r="K53" s="47">
        <v>0</v>
      </c>
      <c r="L53" s="10"/>
      <c r="M53" s="55"/>
      <c r="S53" s="9"/>
    </row>
    <row r="54" spans="1:19" s="8" customFormat="1" x14ac:dyDescent="0.3">
      <c r="B54" s="82"/>
      <c r="C54" s="8">
        <v>4</v>
      </c>
      <c r="D54" s="9">
        <f xml:space="preserve"> N51</f>
        <v>8439427.9803421162</v>
      </c>
      <c r="E54" s="41">
        <f t="shared" si="2"/>
        <v>35014856.061298788</v>
      </c>
      <c r="F54" s="9">
        <f t="shared" si="9"/>
        <v>109871735.10890952</v>
      </c>
      <c r="G54" s="8">
        <v>1.7999999999999999E-2</v>
      </c>
      <c r="H54" s="9">
        <f t="shared" si="7"/>
        <v>111849426.34086989</v>
      </c>
      <c r="I54" s="9"/>
      <c r="J54" s="9">
        <f t="shared" si="4"/>
        <v>120288854.32121201</v>
      </c>
      <c r="K54" s="47">
        <v>0</v>
      </c>
      <c r="L54" s="10"/>
      <c r="M54" s="55"/>
      <c r="S54" s="9"/>
    </row>
    <row r="55" spans="1:19" s="8" customFormat="1" x14ac:dyDescent="0.3">
      <c r="B55" s="82"/>
      <c r="C55" s="8">
        <v>5</v>
      </c>
      <c r="D55" s="9">
        <f xml:space="preserve"> N51</f>
        <v>8439427.9803421162</v>
      </c>
      <c r="E55" s="41">
        <f t="shared" si="2"/>
        <v>36052323.470402166</v>
      </c>
      <c r="F55" s="9">
        <f t="shared" si="9"/>
        <v>117001370.76421751</v>
      </c>
      <c r="G55" s="8">
        <v>1.7999999999999999E-2</v>
      </c>
      <c r="H55" s="9">
        <f t="shared" si="7"/>
        <v>119107395.43797342</v>
      </c>
      <c r="I55" s="9"/>
      <c r="J55" s="9">
        <f t="shared" si="4"/>
        <v>127546823.41831554</v>
      </c>
      <c r="K55" s="47">
        <f xml:space="preserve"> Q50</f>
        <v>3287483.5569945015</v>
      </c>
      <c r="L55" s="10"/>
      <c r="M55" s="55"/>
      <c r="S55" s="9"/>
    </row>
    <row r="56" spans="1:19" s="8" customFormat="1" x14ac:dyDescent="0.3">
      <c r="B56" s="82"/>
      <c r="C56" s="8">
        <v>6</v>
      </c>
      <c r="D56" s="9">
        <f xml:space="preserve"> N51</f>
        <v>8439427.9803421162</v>
      </c>
      <c r="E56" s="41">
        <f t="shared" si="2"/>
        <v>37108465.292869404</v>
      </c>
      <c r="F56" s="9">
        <f t="shared" si="9"/>
        <v>127546823.41831554</v>
      </c>
      <c r="G56" s="8">
        <v>1.7999999999999999E-2</v>
      </c>
      <c r="H56" s="9">
        <f t="shared" si="7"/>
        <v>129842666.23984523</v>
      </c>
      <c r="I56" s="9"/>
      <c r="J56" s="9">
        <f t="shared" si="4"/>
        <v>138282094.22018734</v>
      </c>
      <c r="K56" s="47">
        <v>0</v>
      </c>
      <c r="L56" s="10"/>
      <c r="M56" s="55"/>
      <c r="S56" s="9"/>
    </row>
    <row r="57" spans="1:19" s="8" customFormat="1" x14ac:dyDescent="0.3">
      <c r="B57" s="82"/>
      <c r="C57" s="8">
        <v>7</v>
      </c>
      <c r="D57" s="9">
        <f xml:space="preserve"> N51</f>
        <v>8439427.9803421162</v>
      </c>
      <c r="E57" s="41">
        <f t="shared" si="2"/>
        <v>38183617.668141052</v>
      </c>
      <c r="F57" s="9">
        <f t="shared" si="9"/>
        <v>138282094.22018734</v>
      </c>
      <c r="G57" s="8">
        <v>1.7999999999999999E-2</v>
      </c>
      <c r="H57" s="9">
        <f t="shared" si="7"/>
        <v>140771171.91615072</v>
      </c>
      <c r="I57" s="9"/>
      <c r="J57" s="9">
        <f t="shared" si="4"/>
        <v>149210599.89649284</v>
      </c>
      <c r="K57" s="47">
        <v>0</v>
      </c>
      <c r="L57" s="10"/>
      <c r="M57" s="55"/>
      <c r="S57" s="9"/>
    </row>
    <row r="58" spans="1:19" s="8" customFormat="1" x14ac:dyDescent="0.3">
      <c r="B58" s="82"/>
      <c r="C58" s="8">
        <v>8</v>
      </c>
      <c r="D58" s="9">
        <f xml:space="preserve"> N51</f>
        <v>8439427.9803421162</v>
      </c>
      <c r="E58" s="41">
        <f t="shared" si="2"/>
        <v>39278122.786167592</v>
      </c>
      <c r="F58" s="9">
        <f t="shared" si="9"/>
        <v>149210599.89649284</v>
      </c>
      <c r="G58" s="8">
        <v>1.7999999999999999E-2</v>
      </c>
      <c r="H58" s="9">
        <f t="shared" si="7"/>
        <v>151896390.6946297</v>
      </c>
      <c r="I58" s="9"/>
      <c r="J58" s="9">
        <f t="shared" si="4"/>
        <v>160335818.67497182</v>
      </c>
      <c r="K58" s="47">
        <v>0</v>
      </c>
      <c r="L58" s="10"/>
      <c r="M58" s="55"/>
      <c r="S58" s="9"/>
    </row>
    <row r="59" spans="1:19" s="8" customFormat="1" x14ac:dyDescent="0.3">
      <c r="B59" s="82"/>
      <c r="C59" s="8">
        <v>9</v>
      </c>
      <c r="D59" s="9">
        <f xml:space="preserve"> N51</f>
        <v>8439427.9803421162</v>
      </c>
      <c r="E59" s="41">
        <f t="shared" si="2"/>
        <v>40392328.996318609</v>
      </c>
      <c r="F59" s="9">
        <f t="shared" si="9"/>
        <v>160335818.67497182</v>
      </c>
      <c r="G59" s="8">
        <v>1.7999999999999999E-2</v>
      </c>
      <c r="H59" s="9">
        <f t="shared" si="7"/>
        <v>163221863.41112131</v>
      </c>
      <c r="I59" s="9"/>
      <c r="J59" s="9">
        <f t="shared" si="4"/>
        <v>171661291.39146343</v>
      </c>
      <c r="K59" s="47">
        <v>0</v>
      </c>
      <c r="L59" s="10"/>
      <c r="M59" s="55"/>
      <c r="S59" s="9"/>
    </row>
    <row r="60" spans="1:19" s="8" customFormat="1" x14ac:dyDescent="0.3">
      <c r="B60" s="82"/>
      <c r="C60" s="8">
        <v>10</v>
      </c>
      <c r="D60" s="9">
        <f xml:space="preserve"> N51</f>
        <v>8439427.9803421162</v>
      </c>
      <c r="E60" s="41">
        <f t="shared" si="2"/>
        <v>41526590.918252341</v>
      </c>
      <c r="F60" s="9">
        <f t="shared" si="9"/>
        <v>171661291.39146343</v>
      </c>
      <c r="G60" s="8">
        <v>1.7999999999999999E-2</v>
      </c>
      <c r="H60" s="9">
        <f t="shared" si="7"/>
        <v>174751194.63650978</v>
      </c>
      <c r="I60" s="9"/>
      <c r="J60" s="9">
        <f t="shared" si="4"/>
        <v>183190622.6168519</v>
      </c>
      <c r="K60" s="47">
        <v>0</v>
      </c>
      <c r="L60" s="10"/>
      <c r="M60" s="55"/>
      <c r="S60" s="9"/>
    </row>
    <row r="61" spans="1:19" s="8" customFormat="1" x14ac:dyDescent="0.3">
      <c r="B61" s="82"/>
      <c r="C61" s="8">
        <v>11</v>
      </c>
      <c r="D61" s="9">
        <f xml:space="preserve"> N51</f>
        <v>8439427.9803421162</v>
      </c>
      <c r="E61" s="41">
        <f t="shared" si="2"/>
        <v>42681269.554780886</v>
      </c>
      <c r="F61" s="9">
        <f t="shared" si="9"/>
        <v>183190622.6168519</v>
      </c>
      <c r="G61" s="8">
        <v>1.7999999999999999E-2</v>
      </c>
      <c r="H61" s="9">
        <f t="shared" si="7"/>
        <v>186488053.82395524</v>
      </c>
      <c r="I61" s="9"/>
      <c r="J61" s="9">
        <f t="shared" si="4"/>
        <v>194927481.80429736</v>
      </c>
      <c r="K61" s="47">
        <v>0</v>
      </c>
      <c r="L61" s="10"/>
      <c r="M61" s="55"/>
      <c r="S61" s="9"/>
    </row>
    <row r="62" spans="1:19" s="18" customFormat="1" x14ac:dyDescent="0.3">
      <c r="B62" s="82"/>
      <c r="C62" s="18">
        <v>12</v>
      </c>
      <c r="D62" s="19">
        <f xml:space="preserve"> N51</f>
        <v>8439427.9803421162</v>
      </c>
      <c r="E62" s="19">
        <f t="shared" si="2"/>
        <v>43856732.406766944</v>
      </c>
      <c r="F62" s="19">
        <f t="shared" si="9"/>
        <v>194927481.80429736</v>
      </c>
      <c r="G62" s="18">
        <v>1.7999999999999999E-2</v>
      </c>
      <c r="H62" s="19">
        <f t="shared" si="7"/>
        <v>198436176.47677472</v>
      </c>
      <c r="I62" s="19">
        <f xml:space="preserve"> H62</f>
        <v>198436176.47677472</v>
      </c>
      <c r="J62" s="9">
        <f t="shared" si="4"/>
        <v>206875604.45711684</v>
      </c>
      <c r="K62" s="50">
        <v>0</v>
      </c>
      <c r="L62" s="20">
        <f xml:space="preserve"> I62 / 2</f>
        <v>99218088.238387361</v>
      </c>
      <c r="M62" s="58">
        <f xml:space="preserve"> (F51 + SUM(D52:D62)) - SUM(K52:K62)</f>
        <v>169258787.97121632</v>
      </c>
      <c r="N62" s="19">
        <f xml:space="preserve"> H62 - M62</f>
        <v>29177388.505558401</v>
      </c>
      <c r="O62" s="18">
        <v>0.84</v>
      </c>
      <c r="P62" s="19">
        <f xml:space="preserve"> N62 * O62</f>
        <v>24509006.344669055</v>
      </c>
      <c r="Q62" s="19">
        <f xml:space="preserve"> N62 - P62</f>
        <v>4668382.1608893462</v>
      </c>
      <c r="R62" s="18">
        <f xml:space="preserve"> N62 / M62 * 100</f>
        <v>17.238330047902874</v>
      </c>
      <c r="S62" s="19"/>
    </row>
    <row r="63" spans="1:19" s="8" customFormat="1" x14ac:dyDescent="0.3">
      <c r="A63" s="8">
        <v>6</v>
      </c>
      <c r="B63" s="82">
        <v>2027</v>
      </c>
      <c r="C63" s="8">
        <v>1</v>
      </c>
      <c r="D63" s="9">
        <f>N63</f>
        <v>10768174.019865613</v>
      </c>
      <c r="E63" s="41">
        <f t="shared" si="2"/>
        <v>45053353.590088747</v>
      </c>
      <c r="F63" s="9">
        <f xml:space="preserve"> (H62 / 2) + D63 - K63</f>
        <v>109986262.25825298</v>
      </c>
      <c r="G63" s="8">
        <v>1.7999999999999999E-2</v>
      </c>
      <c r="H63" s="9">
        <f t="shared" si="7"/>
        <v>111966014.97890154</v>
      </c>
      <c r="I63" s="9"/>
      <c r="J63" s="9">
        <f t="shared" si="4"/>
        <v>122734188.99876715</v>
      </c>
      <c r="K63" s="47">
        <v>0</v>
      </c>
      <c r="L63" s="10"/>
      <c r="M63" s="55"/>
      <c r="N63" s="11">
        <f xml:space="preserve"> (L62 / 12) +2500000</f>
        <v>10768174.019865613</v>
      </c>
      <c r="P63" s="9">
        <f xml:space="preserve"> (H62 / 2 )</f>
        <v>99218088.238387361</v>
      </c>
      <c r="S63" s="9"/>
    </row>
    <row r="64" spans="1:19" s="8" customFormat="1" x14ac:dyDescent="0.3">
      <c r="B64" s="82"/>
      <c r="C64" s="8">
        <v>2</v>
      </c>
      <c r="D64" s="9">
        <f>N63</f>
        <v>10768174.019865613</v>
      </c>
      <c r="E64" s="41">
        <f t="shared" si="2"/>
        <v>46271513.954710342</v>
      </c>
      <c r="F64" s="9">
        <f t="shared" ref="F64:F74" si="10" xml:space="preserve"> H63 + D64 - K64</f>
        <v>122734188.99876715</v>
      </c>
      <c r="G64" s="8">
        <v>1.7999999999999999E-2</v>
      </c>
      <c r="H64" s="9">
        <f t="shared" si="7"/>
        <v>124943404.40074496</v>
      </c>
      <c r="I64" s="9"/>
      <c r="J64" s="9">
        <f t="shared" si="4"/>
        <v>135711578.42061058</v>
      </c>
      <c r="K64" s="47">
        <v>0</v>
      </c>
      <c r="L64" s="10"/>
      <c r="M64" s="55"/>
      <c r="S64" s="9"/>
    </row>
    <row r="65" spans="1:19" s="8" customFormat="1" x14ac:dyDescent="0.3">
      <c r="B65" s="82"/>
      <c r="C65" s="8">
        <v>3</v>
      </c>
      <c r="D65" s="9">
        <f>N63</f>
        <v>10768174.019865613</v>
      </c>
      <c r="E65" s="41">
        <f t="shared" si="2"/>
        <v>47511601.205895126</v>
      </c>
      <c r="F65" s="9">
        <f t="shared" si="10"/>
        <v>135711578.42061058</v>
      </c>
      <c r="G65" s="8">
        <v>1.7999999999999999E-2</v>
      </c>
      <c r="H65" s="9">
        <f t="shared" si="7"/>
        <v>138154386.83218157</v>
      </c>
      <c r="I65" s="9"/>
      <c r="J65" s="9">
        <f t="shared" si="4"/>
        <v>148922560.85204718</v>
      </c>
      <c r="K65" s="47">
        <v>0</v>
      </c>
      <c r="L65" s="10"/>
      <c r="M65" s="55"/>
      <c r="S65" s="9"/>
    </row>
    <row r="66" spans="1:19" s="8" customFormat="1" x14ac:dyDescent="0.3">
      <c r="B66" s="82"/>
      <c r="C66" s="8">
        <v>4</v>
      </c>
      <c r="D66" s="9">
        <f>N63</f>
        <v>10768174.019865613</v>
      </c>
      <c r="E66" s="41">
        <f t="shared" si="2"/>
        <v>48774010.027601235</v>
      </c>
      <c r="F66" s="9">
        <f t="shared" si="10"/>
        <v>148922560.85204718</v>
      </c>
      <c r="G66" s="8">
        <v>1.7999999999999999E-2</v>
      </c>
      <c r="H66" s="9">
        <f t="shared" si="7"/>
        <v>151603166.94738403</v>
      </c>
      <c r="I66" s="9"/>
      <c r="J66" s="9">
        <f t="shared" si="4"/>
        <v>162371340.96724963</v>
      </c>
      <c r="K66" s="47">
        <v>0</v>
      </c>
      <c r="L66" s="10"/>
      <c r="M66" s="55"/>
      <c r="S66" s="9"/>
    </row>
    <row r="67" spans="1:19" s="8" customFormat="1" x14ac:dyDescent="0.3">
      <c r="B67" s="82"/>
      <c r="C67" s="8">
        <v>5</v>
      </c>
      <c r="D67" s="9">
        <f>N63</f>
        <v>10768174.019865613</v>
      </c>
      <c r="E67" s="41">
        <f t="shared" si="2"/>
        <v>50059142.208098054</v>
      </c>
      <c r="F67" s="9">
        <f t="shared" si="10"/>
        <v>157702958.80636027</v>
      </c>
      <c r="G67" s="8">
        <v>1.7999999999999999E-2</v>
      </c>
      <c r="H67" s="9">
        <f t="shared" si="7"/>
        <v>160541612.06487477</v>
      </c>
      <c r="I67" s="9"/>
      <c r="J67" s="9">
        <f t="shared" si="4"/>
        <v>171309786.08474037</v>
      </c>
      <c r="K67" s="47">
        <f xml:space="preserve"> Q62</f>
        <v>4668382.1608893462</v>
      </c>
      <c r="L67" s="10"/>
      <c r="M67" s="55"/>
      <c r="S67" s="9"/>
    </row>
    <row r="68" spans="1:19" s="8" customFormat="1" x14ac:dyDescent="0.3">
      <c r="B68" s="82"/>
      <c r="C68" s="8">
        <v>6</v>
      </c>
      <c r="D68" s="9">
        <f>N63</f>
        <v>10768174.019865613</v>
      </c>
      <c r="E68" s="41">
        <f t="shared" si="2"/>
        <v>51367406.76784382</v>
      </c>
      <c r="F68" s="9">
        <f t="shared" si="10"/>
        <v>171309786.08474037</v>
      </c>
      <c r="G68" s="8">
        <v>1.7999999999999999E-2</v>
      </c>
      <c r="H68" s="9">
        <f t="shared" si="7"/>
        <v>174393362.23426569</v>
      </c>
      <c r="I68" s="9"/>
      <c r="J68" s="9">
        <f t="shared" si="4"/>
        <v>185161536.25413129</v>
      </c>
      <c r="K68" s="47">
        <f xml:space="preserve"> Q63</f>
        <v>0</v>
      </c>
      <c r="L68" s="10"/>
      <c r="M68" s="55"/>
      <c r="S68" s="9"/>
    </row>
    <row r="69" spans="1:19" s="8" customFormat="1" x14ac:dyDescent="0.3">
      <c r="B69" s="82"/>
      <c r="C69" s="8">
        <v>7</v>
      </c>
      <c r="D69" s="9">
        <f>N63</f>
        <v>10768174.019865613</v>
      </c>
      <c r="E69" s="41">
        <f t="shared" si="2"/>
        <v>52699220.089665011</v>
      </c>
      <c r="F69" s="9">
        <f t="shared" si="10"/>
        <v>185161536.25413129</v>
      </c>
      <c r="G69" s="8">
        <v>1.7999999999999999E-2</v>
      </c>
      <c r="H69" s="9">
        <f t="shared" si="7"/>
        <v>188494443.90670565</v>
      </c>
      <c r="I69" s="9"/>
      <c r="J69" s="9">
        <f t="shared" si="4"/>
        <v>199262617.92657125</v>
      </c>
      <c r="K69" s="47">
        <v>0</v>
      </c>
      <c r="L69" s="10"/>
      <c r="M69" s="55"/>
      <c r="S69" s="9"/>
    </row>
    <row r="70" spans="1:19" s="8" customFormat="1" x14ac:dyDescent="0.3">
      <c r="B70" s="82"/>
      <c r="C70" s="8">
        <v>8</v>
      </c>
      <c r="D70" s="9">
        <f>N63</f>
        <v>10768174.019865613</v>
      </c>
      <c r="E70" s="41">
        <f t="shared" si="2"/>
        <v>54055006.051278979</v>
      </c>
      <c r="F70" s="9">
        <f t="shared" si="10"/>
        <v>199262617.92657125</v>
      </c>
      <c r="G70" s="8">
        <v>1.7999999999999999E-2</v>
      </c>
      <c r="H70" s="9">
        <f t="shared" si="7"/>
        <v>202849345.04924953</v>
      </c>
      <c r="I70" s="9"/>
      <c r="J70" s="9">
        <f t="shared" si="4"/>
        <v>213617519.06911513</v>
      </c>
      <c r="K70" s="47">
        <v>0</v>
      </c>
      <c r="L70" s="10"/>
      <c r="M70" s="55"/>
      <c r="S70" s="9"/>
    </row>
    <row r="71" spans="1:19" s="8" customFormat="1" x14ac:dyDescent="0.3">
      <c r="B71" s="82"/>
      <c r="C71" s="8">
        <v>9</v>
      </c>
      <c r="D71" s="9">
        <f>N63</f>
        <v>10768174.019865613</v>
      </c>
      <c r="E71" s="41">
        <f t="shared" si="2"/>
        <v>55435196.160201997</v>
      </c>
      <c r="F71" s="9">
        <f t="shared" si="10"/>
        <v>213617519.06911513</v>
      </c>
      <c r="G71" s="8">
        <v>1.7999999999999999E-2</v>
      </c>
      <c r="H71" s="9">
        <f t="shared" si="7"/>
        <v>217462634.41235921</v>
      </c>
      <c r="I71" s="9"/>
      <c r="J71" s="9">
        <f t="shared" si="4"/>
        <v>228230808.43222481</v>
      </c>
      <c r="K71" s="47">
        <v>0</v>
      </c>
      <c r="L71" s="10"/>
      <c r="M71" s="55"/>
      <c r="S71" s="9"/>
    </row>
    <row r="72" spans="1:19" s="8" customFormat="1" x14ac:dyDescent="0.3">
      <c r="B72" s="82"/>
      <c r="C72" s="8">
        <v>10</v>
      </c>
      <c r="D72" s="9">
        <f>N63</f>
        <v>10768174.019865613</v>
      </c>
      <c r="E72" s="41">
        <f t="shared" si="2"/>
        <v>56840229.691085629</v>
      </c>
      <c r="F72" s="9">
        <f t="shared" si="10"/>
        <v>228230808.43222481</v>
      </c>
      <c r="G72" s="8">
        <v>1.7999999999999999E-2</v>
      </c>
      <c r="H72" s="9">
        <f t="shared" si="7"/>
        <v>232338962.98400486</v>
      </c>
      <c r="I72" s="9"/>
      <c r="J72" s="9">
        <f t="shared" si="4"/>
        <v>243107137.00387046</v>
      </c>
      <c r="K72" s="47">
        <v>0</v>
      </c>
      <c r="L72" s="10"/>
      <c r="M72" s="55"/>
      <c r="S72" s="9"/>
    </row>
    <row r="73" spans="1:19" s="8" customFormat="1" x14ac:dyDescent="0.3">
      <c r="B73" s="82"/>
      <c r="C73" s="8">
        <v>11</v>
      </c>
      <c r="D73" s="9">
        <f>N63</f>
        <v>10768174.019865613</v>
      </c>
      <c r="E73" s="41">
        <f t="shared" si="2"/>
        <v>58270553.825525172</v>
      </c>
      <c r="F73" s="9">
        <f t="shared" si="10"/>
        <v>243107137.00387046</v>
      </c>
      <c r="G73" s="8">
        <v>1.7999999999999999E-2</v>
      </c>
      <c r="H73" s="9">
        <f t="shared" si="7"/>
        <v>247483065.46994013</v>
      </c>
      <c r="I73" s="9"/>
      <c r="J73" s="9">
        <f t="shared" si="4"/>
        <v>258251239.48980573</v>
      </c>
      <c r="K73" s="47">
        <v>0</v>
      </c>
      <c r="L73" s="10"/>
      <c r="M73" s="55"/>
      <c r="S73" s="9"/>
    </row>
    <row r="74" spans="1:19" s="18" customFormat="1" x14ac:dyDescent="0.3">
      <c r="B74" s="82"/>
      <c r="C74" s="18">
        <v>12</v>
      </c>
      <c r="D74" s="19">
        <f>N63</f>
        <v>10768174.019865613</v>
      </c>
      <c r="E74" s="19">
        <f t="shared" si="2"/>
        <v>59726623.794384629</v>
      </c>
      <c r="F74" s="19">
        <f t="shared" si="10"/>
        <v>258251239.48980573</v>
      </c>
      <c r="G74" s="18">
        <v>1.7999999999999999E-2</v>
      </c>
      <c r="H74" s="19">
        <f t="shared" si="7"/>
        <v>262899761.80062222</v>
      </c>
      <c r="I74" s="19">
        <f xml:space="preserve"> H74</f>
        <v>262899761.80062222</v>
      </c>
      <c r="J74" s="9">
        <f t="shared" si="4"/>
        <v>273667935.82048786</v>
      </c>
      <c r="K74" s="50">
        <v>0</v>
      </c>
      <c r="L74" s="20">
        <f xml:space="preserve"> I74 / 2</f>
        <v>131449880.90031111</v>
      </c>
      <c r="M74" s="58">
        <f xml:space="preserve"> (F63 + SUM(D64:D74)) - SUM(K64:K74)</f>
        <v>223767794.31588539</v>
      </c>
      <c r="N74" s="19">
        <f xml:space="preserve"> H74 - M74</f>
        <v>39131967.48473683</v>
      </c>
      <c r="O74" s="18">
        <v>0.84</v>
      </c>
      <c r="P74" s="19">
        <f xml:space="preserve"> N74 * O74</f>
        <v>32870852.687178936</v>
      </c>
      <c r="Q74" s="19">
        <f xml:space="preserve"> N74 - P74</f>
        <v>6261114.7975578941</v>
      </c>
      <c r="R74" s="18">
        <f xml:space="preserve"> N74 / M74 * 100</f>
        <v>17.487756718688285</v>
      </c>
      <c r="S74" s="19"/>
    </row>
    <row r="75" spans="1:19" s="8" customFormat="1" x14ac:dyDescent="0.3">
      <c r="A75" s="8">
        <v>7</v>
      </c>
      <c r="B75" s="82">
        <v>2028</v>
      </c>
      <c r="C75" s="8">
        <v>1</v>
      </c>
      <c r="D75" s="9">
        <f xml:space="preserve"> N75</f>
        <v>13454156.741692593</v>
      </c>
      <c r="E75" s="41">
        <f t="shared" si="2"/>
        <v>61208903.022683553</v>
      </c>
      <c r="F75" s="9">
        <f xml:space="preserve"> (H74 / 2) + D75 - K75</f>
        <v>144904037.64200372</v>
      </c>
      <c r="G75" s="8">
        <v>1.7999999999999999E-2</v>
      </c>
      <c r="H75" s="9">
        <f t="shared" si="7"/>
        <v>147512310.31955978</v>
      </c>
      <c r="I75" s="9"/>
      <c r="J75" s="9">
        <f t="shared" si="4"/>
        <v>160966467.06125239</v>
      </c>
      <c r="K75" s="47">
        <v>0</v>
      </c>
      <c r="L75" s="10"/>
      <c r="M75" s="55"/>
      <c r="N75" s="11">
        <f xml:space="preserve"> (L74 / 12) +2500000</f>
        <v>13454156.741692593</v>
      </c>
      <c r="P75" s="9">
        <f xml:space="preserve"> (H74 / 2 )</f>
        <v>131449880.90031111</v>
      </c>
      <c r="S75" s="9"/>
    </row>
    <row r="76" spans="1:19" s="8" customFormat="1" x14ac:dyDescent="0.3">
      <c r="B76" s="82"/>
      <c r="C76" s="8">
        <v>2</v>
      </c>
      <c r="D76" s="9">
        <f xml:space="preserve"> N75</f>
        <v>13454156.741692593</v>
      </c>
      <c r="E76" s="41">
        <f t="shared" si="2"/>
        <v>62717863.277091861</v>
      </c>
      <c r="F76" s="9">
        <f t="shared" ref="F76:F86" si="11" xml:space="preserve"> H75 + D76 - K76</f>
        <v>160966467.06125239</v>
      </c>
      <c r="G76" s="8">
        <v>1.7999999999999999E-2</v>
      </c>
      <c r="H76" s="9">
        <f t="shared" si="7"/>
        <v>163863863.46835494</v>
      </c>
      <c r="I76" s="9"/>
      <c r="J76" s="9">
        <f t="shared" si="4"/>
        <v>177318020.21004754</v>
      </c>
      <c r="K76" s="47">
        <v>0</v>
      </c>
      <c r="L76" s="10"/>
      <c r="M76" s="55"/>
      <c r="S76" s="9"/>
    </row>
    <row r="77" spans="1:19" s="8" customFormat="1" x14ac:dyDescent="0.3">
      <c r="B77" s="82"/>
      <c r="C77" s="8">
        <v>3</v>
      </c>
      <c r="D77" s="9">
        <f xml:space="preserve"> N75</f>
        <v>13454156.741692593</v>
      </c>
      <c r="E77" s="41">
        <f t="shared" si="2"/>
        <v>64253984.816079512</v>
      </c>
      <c r="F77" s="9">
        <f t="shared" si="11"/>
        <v>177318020.21004754</v>
      </c>
      <c r="G77" s="8">
        <v>1.7999999999999999E-2</v>
      </c>
      <c r="H77" s="9">
        <f t="shared" si="7"/>
        <v>180509744.5738284</v>
      </c>
      <c r="I77" s="9"/>
      <c r="J77" s="9">
        <f t="shared" si="4"/>
        <v>193963901.315521</v>
      </c>
      <c r="K77" s="47">
        <v>0</v>
      </c>
      <c r="L77" s="10"/>
      <c r="M77" s="55"/>
      <c r="S77" s="9"/>
    </row>
    <row r="78" spans="1:19" s="8" customFormat="1" x14ac:dyDescent="0.3">
      <c r="B78" s="82"/>
      <c r="C78" s="8">
        <v>4</v>
      </c>
      <c r="D78" s="9">
        <f xml:space="preserve"> N75</f>
        <v>13454156.741692593</v>
      </c>
      <c r="E78" s="41">
        <f t="shared" ref="E78:E134" si="12" xml:space="preserve"> (E77 + 400000) + ((E77 + 400000) * G78 )</f>
        <v>65817756.54276894</v>
      </c>
      <c r="F78" s="9">
        <f t="shared" si="11"/>
        <v>193963901.315521</v>
      </c>
      <c r="G78" s="8">
        <v>1.7999999999999999E-2</v>
      </c>
      <c r="H78" s="9">
        <f t="shared" si="7"/>
        <v>197455251.53920037</v>
      </c>
      <c r="I78" s="9"/>
      <c r="J78" s="9">
        <f t="shared" si="4"/>
        <v>210909408.28089297</v>
      </c>
      <c r="K78" s="47">
        <v>0</v>
      </c>
      <c r="L78" s="10"/>
      <c r="M78" s="55"/>
      <c r="S78" s="9"/>
    </row>
    <row r="79" spans="1:19" s="8" customFormat="1" x14ac:dyDescent="0.3">
      <c r="B79" s="82"/>
      <c r="C79" s="8">
        <v>5</v>
      </c>
      <c r="D79" s="9">
        <f xml:space="preserve"> N75</f>
        <v>13454156.741692593</v>
      </c>
      <c r="E79" s="41">
        <f t="shared" si="12"/>
        <v>67409676.160538778</v>
      </c>
      <c r="F79" s="9">
        <f t="shared" si="11"/>
        <v>204648293.48333508</v>
      </c>
      <c r="G79" s="8">
        <v>1.7999999999999999E-2</v>
      </c>
      <c r="H79" s="9">
        <f t="shared" si="7"/>
        <v>208331962.76603511</v>
      </c>
      <c r="I79" s="9"/>
      <c r="J79" s="9">
        <f t="shared" si="4"/>
        <v>221786119.50772771</v>
      </c>
      <c r="K79" s="47">
        <f xml:space="preserve"> Q74</f>
        <v>6261114.7975578941</v>
      </c>
      <c r="L79" s="10"/>
      <c r="M79" s="55"/>
      <c r="S79" s="9"/>
    </row>
    <row r="80" spans="1:19" s="8" customFormat="1" x14ac:dyDescent="0.3">
      <c r="B80" s="82"/>
      <c r="C80" s="8">
        <v>6</v>
      </c>
      <c r="D80" s="9">
        <f xml:space="preserve"> N75</f>
        <v>13454156.741692593</v>
      </c>
      <c r="E80" s="41">
        <f t="shared" si="12"/>
        <v>69030250.331428468</v>
      </c>
      <c r="F80" s="9">
        <f t="shared" si="11"/>
        <v>221786119.50772771</v>
      </c>
      <c r="G80" s="8">
        <v>1.7999999999999999E-2</v>
      </c>
      <c r="H80" s="9">
        <f t="shared" si="7"/>
        <v>225778269.65886682</v>
      </c>
      <c r="I80" s="9"/>
      <c r="J80" s="9">
        <f t="shared" si="4"/>
        <v>239232426.40055943</v>
      </c>
      <c r="K80" s="47">
        <v>0</v>
      </c>
      <c r="L80" s="10"/>
      <c r="M80" s="55"/>
      <c r="S80" s="9"/>
    </row>
    <row r="81" spans="1:19" s="8" customFormat="1" x14ac:dyDescent="0.3">
      <c r="B81" s="82"/>
      <c r="C81" s="8">
        <v>7</v>
      </c>
      <c r="D81" s="9">
        <f xml:space="preserve"> N75</f>
        <v>13454156.741692593</v>
      </c>
      <c r="E81" s="41">
        <f t="shared" si="12"/>
        <v>70679994.837394178</v>
      </c>
      <c r="F81" s="9">
        <f t="shared" si="11"/>
        <v>239232426.40055943</v>
      </c>
      <c r="G81" s="8">
        <v>1.7999999999999999E-2</v>
      </c>
      <c r="H81" s="9">
        <f t="shared" si="7"/>
        <v>243538610.07576948</v>
      </c>
      <c r="I81" s="9"/>
      <c r="J81" s="9">
        <f t="shared" ref="J81:J144" si="13" xml:space="preserve"> D81 + H81</f>
        <v>256992766.81746209</v>
      </c>
      <c r="K81" s="47">
        <v>0</v>
      </c>
      <c r="L81" s="10"/>
      <c r="M81" s="55"/>
      <c r="S81" s="9"/>
    </row>
    <row r="82" spans="1:19" s="8" customFormat="1" x14ac:dyDescent="0.3">
      <c r="B82" s="82"/>
      <c r="C82" s="8">
        <v>8</v>
      </c>
      <c r="D82" s="9">
        <f xml:space="preserve"> N75</f>
        <v>13454156.741692593</v>
      </c>
      <c r="E82" s="41">
        <f t="shared" si="12"/>
        <v>72359434.744467273</v>
      </c>
      <c r="F82" s="9">
        <f t="shared" si="11"/>
        <v>256992766.81746209</v>
      </c>
      <c r="G82" s="8">
        <v>1.7999999999999999E-2</v>
      </c>
      <c r="H82" s="9">
        <f t="shared" si="7"/>
        <v>261618636.6201764</v>
      </c>
      <c r="I82" s="9"/>
      <c r="J82" s="9">
        <f t="shared" si="13"/>
        <v>275072793.36186898</v>
      </c>
      <c r="K82" s="47">
        <v>0</v>
      </c>
      <c r="L82" s="10"/>
      <c r="M82" s="55"/>
      <c r="S82" s="9"/>
    </row>
    <row r="83" spans="1:19" s="8" customFormat="1" x14ac:dyDescent="0.3">
      <c r="B83" s="82"/>
      <c r="C83" s="8">
        <v>9</v>
      </c>
      <c r="D83" s="9">
        <f xml:space="preserve"> N75</f>
        <v>13454156.741692593</v>
      </c>
      <c r="E83" s="41">
        <f t="shared" si="12"/>
        <v>74069104.569867685</v>
      </c>
      <c r="F83" s="9">
        <f t="shared" si="11"/>
        <v>275072793.36186898</v>
      </c>
      <c r="G83" s="8">
        <v>1.7999999999999999E-2</v>
      </c>
      <c r="H83" s="9">
        <f t="shared" si="7"/>
        <v>280024103.64238262</v>
      </c>
      <c r="I83" s="9"/>
      <c r="J83" s="9">
        <f t="shared" si="13"/>
        <v>293478260.38407522</v>
      </c>
      <c r="K83" s="47">
        <v>0</v>
      </c>
      <c r="L83" s="10"/>
      <c r="M83" s="55"/>
      <c r="S83" s="9"/>
    </row>
    <row r="84" spans="1:19" s="8" customFormat="1" x14ac:dyDescent="0.3">
      <c r="B84" s="82"/>
      <c r="C84" s="8">
        <v>10</v>
      </c>
      <c r="D84" s="9">
        <f xml:space="preserve"> N75</f>
        <v>13454156.741692593</v>
      </c>
      <c r="E84" s="41">
        <f t="shared" si="12"/>
        <v>75809548.452125311</v>
      </c>
      <c r="F84" s="9">
        <f t="shared" si="11"/>
        <v>293478260.38407522</v>
      </c>
      <c r="G84" s="8">
        <v>1.7999999999999999E-2</v>
      </c>
      <c r="H84" s="9">
        <f t="shared" si="7"/>
        <v>298760869.0709886</v>
      </c>
      <c r="I84" s="9"/>
      <c r="J84" s="9">
        <f t="shared" si="13"/>
        <v>312215025.8126812</v>
      </c>
      <c r="K84" s="47">
        <v>0</v>
      </c>
      <c r="L84" s="10"/>
      <c r="M84" s="55"/>
      <c r="S84" s="9"/>
    </row>
    <row r="85" spans="1:19" s="8" customFormat="1" x14ac:dyDescent="0.3">
      <c r="B85" s="82"/>
      <c r="C85" s="8">
        <v>11</v>
      </c>
      <c r="D85" s="9">
        <f xml:space="preserve"> N75</f>
        <v>13454156.741692593</v>
      </c>
      <c r="E85" s="41">
        <f t="shared" si="12"/>
        <v>77581320.324263573</v>
      </c>
      <c r="F85" s="9">
        <f t="shared" si="11"/>
        <v>312215025.8126812</v>
      </c>
      <c r="G85" s="8">
        <v>1.7999999999999999E-2</v>
      </c>
      <c r="H85" s="9">
        <f t="shared" si="7"/>
        <v>317834896.27730948</v>
      </c>
      <c r="I85" s="9"/>
      <c r="J85" s="9">
        <f t="shared" si="13"/>
        <v>331289053.01900208</v>
      </c>
      <c r="K85" s="47">
        <v>0</v>
      </c>
      <c r="L85" s="10"/>
      <c r="M85" s="55"/>
      <c r="S85" s="9"/>
    </row>
    <row r="86" spans="1:19" s="18" customFormat="1" x14ac:dyDescent="0.3">
      <c r="B86" s="82"/>
      <c r="C86" s="18">
        <v>12</v>
      </c>
      <c r="D86" s="19">
        <f xml:space="preserve"> N75</f>
        <v>13454156.741692593</v>
      </c>
      <c r="E86" s="19">
        <f t="shared" si="12"/>
        <v>79384984.090100318</v>
      </c>
      <c r="F86" s="19">
        <f t="shared" si="11"/>
        <v>331289053.01900208</v>
      </c>
      <c r="G86" s="18">
        <v>1.7999999999999999E-2</v>
      </c>
      <c r="H86" s="19">
        <f t="shared" si="7"/>
        <v>337252255.97334409</v>
      </c>
      <c r="I86" s="19">
        <f xml:space="preserve"> H86</f>
        <v>337252255.97334409</v>
      </c>
      <c r="J86" s="9">
        <f t="shared" si="13"/>
        <v>350706412.71503669</v>
      </c>
      <c r="K86" s="50">
        <v>0</v>
      </c>
      <c r="L86" s="20">
        <f xml:space="preserve"> I86 / 2</f>
        <v>168626127.98667204</v>
      </c>
      <c r="M86" s="58">
        <f xml:space="preserve"> (F75 + SUM(D76:D86)) - SUM(K76:K86)</f>
        <v>286638647.00306433</v>
      </c>
      <c r="N86" s="19">
        <f xml:space="preserve"> H86 - M86</f>
        <v>50613608.970279753</v>
      </c>
      <c r="O86" s="18">
        <v>0.84</v>
      </c>
      <c r="P86" s="19">
        <f xml:space="preserve"> N86 * O86</f>
        <v>42515431.535034992</v>
      </c>
      <c r="Q86" s="19">
        <f xml:space="preserve"> N86 - P86</f>
        <v>8098177.4352447614</v>
      </c>
      <c r="R86" s="18">
        <f xml:space="preserve"> N86 / M86 * 100</f>
        <v>17.657636016450589</v>
      </c>
      <c r="S86" s="19"/>
    </row>
    <row r="87" spans="1:19" s="8" customFormat="1" x14ac:dyDescent="0.3">
      <c r="A87" s="8">
        <v>8</v>
      </c>
      <c r="B87" s="82">
        <v>2029</v>
      </c>
      <c r="C87" s="8">
        <v>1</v>
      </c>
      <c r="D87" s="9">
        <f xml:space="preserve"> N87</f>
        <v>16552177.33222267</v>
      </c>
      <c r="E87" s="41">
        <f t="shared" si="12"/>
        <v>81221113.803722128</v>
      </c>
      <c r="F87" s="9">
        <f xml:space="preserve"> (H86 / 2) + D87 - K87</f>
        <v>185178305.31889471</v>
      </c>
      <c r="G87" s="8">
        <v>1.7999999999999999E-2</v>
      </c>
      <c r="H87" s="9">
        <f t="shared" si="7"/>
        <v>188511514.81463483</v>
      </c>
      <c r="I87" s="9"/>
      <c r="J87" s="9">
        <f t="shared" si="13"/>
        <v>205063692.1468575</v>
      </c>
      <c r="K87" s="47">
        <v>0</v>
      </c>
      <c r="L87" s="10"/>
      <c r="M87" s="55"/>
      <c r="N87" s="11">
        <f xml:space="preserve"> (L86 / 12) +2500000</f>
        <v>16552177.33222267</v>
      </c>
      <c r="P87" s="9">
        <f xml:space="preserve"> (H86 / 2 )</f>
        <v>168626127.98667204</v>
      </c>
      <c r="S87" s="9"/>
    </row>
    <row r="88" spans="1:19" s="8" customFormat="1" x14ac:dyDescent="0.3">
      <c r="B88" s="82"/>
      <c r="C88" s="8">
        <v>2</v>
      </c>
      <c r="D88" s="9">
        <f xml:space="preserve"> N87</f>
        <v>16552177.33222267</v>
      </c>
      <c r="E88" s="41">
        <f t="shared" si="12"/>
        <v>83090293.852189124</v>
      </c>
      <c r="F88" s="9">
        <f t="shared" ref="F88:F98" si="14" xml:space="preserve"> H87 + D88 - K88</f>
        <v>205063692.1468575</v>
      </c>
      <c r="G88" s="8">
        <v>1.7999999999999999E-2</v>
      </c>
      <c r="H88" s="9">
        <f t="shared" si="7"/>
        <v>208754838.60550094</v>
      </c>
      <c r="I88" s="9"/>
      <c r="J88" s="9">
        <f t="shared" si="13"/>
        <v>225307015.93772361</v>
      </c>
      <c r="K88" s="47">
        <v>0</v>
      </c>
      <c r="L88" s="10"/>
      <c r="M88" s="55"/>
      <c r="S88" s="9"/>
    </row>
    <row r="89" spans="1:19" s="8" customFormat="1" x14ac:dyDescent="0.3">
      <c r="B89" s="82"/>
      <c r="C89" s="8">
        <v>3</v>
      </c>
      <c r="D89" s="9">
        <f xml:space="preserve"> N87</f>
        <v>16552177.33222267</v>
      </c>
      <c r="E89" s="41">
        <f t="shared" si="12"/>
        <v>84993119.141528532</v>
      </c>
      <c r="F89" s="9">
        <f t="shared" si="14"/>
        <v>225307015.93772361</v>
      </c>
      <c r="G89" s="8">
        <v>1.7999999999999999E-2</v>
      </c>
      <c r="H89" s="9">
        <f t="shared" si="7"/>
        <v>229362542.22460264</v>
      </c>
      <c r="I89" s="9"/>
      <c r="J89" s="9">
        <f t="shared" si="13"/>
        <v>245914719.55682531</v>
      </c>
      <c r="K89" s="47">
        <v>0</v>
      </c>
      <c r="L89" s="10"/>
      <c r="M89" s="55"/>
      <c r="S89" s="9"/>
    </row>
    <row r="90" spans="1:19" s="8" customFormat="1" x14ac:dyDescent="0.3">
      <c r="B90" s="82"/>
      <c r="C90" s="8">
        <v>4</v>
      </c>
      <c r="D90" s="9">
        <f xml:space="preserve"> N87</f>
        <v>16552177.33222267</v>
      </c>
      <c r="E90" s="41">
        <f t="shared" si="12"/>
        <v>86930195.286076039</v>
      </c>
      <c r="F90" s="9">
        <f t="shared" si="14"/>
        <v>245914719.55682531</v>
      </c>
      <c r="G90" s="8">
        <v>1.7999999999999999E-2</v>
      </c>
      <c r="H90" s="9">
        <f t="shared" si="7"/>
        <v>250341184.50884816</v>
      </c>
      <c r="I90" s="9"/>
      <c r="J90" s="9">
        <f t="shared" si="13"/>
        <v>266893361.84107083</v>
      </c>
      <c r="K90" s="47">
        <v>0</v>
      </c>
      <c r="L90" s="10"/>
      <c r="M90" s="55"/>
      <c r="S90" s="9"/>
    </row>
    <row r="91" spans="1:19" s="8" customFormat="1" x14ac:dyDescent="0.3">
      <c r="B91" s="82"/>
      <c r="C91" s="8">
        <v>5</v>
      </c>
      <c r="D91" s="9">
        <f xml:space="preserve"> N87</f>
        <v>16552177.33222267</v>
      </c>
      <c r="E91" s="41">
        <f t="shared" si="12"/>
        <v>88902138.801225409</v>
      </c>
      <c r="F91" s="9">
        <f t="shared" si="14"/>
        <v>258795184.40582606</v>
      </c>
      <c r="G91" s="8">
        <v>1.7999999999999999E-2</v>
      </c>
      <c r="H91" s="9">
        <f t="shared" si="7"/>
        <v>263453497.72513092</v>
      </c>
      <c r="I91" s="9"/>
      <c r="J91" s="9">
        <f t="shared" si="13"/>
        <v>280005675.05735362</v>
      </c>
      <c r="K91" s="47">
        <f xml:space="preserve"> Q86</f>
        <v>8098177.4352447614</v>
      </c>
      <c r="L91" s="10"/>
      <c r="M91" s="55"/>
      <c r="S91" s="9"/>
    </row>
    <row r="92" spans="1:19" s="8" customFormat="1" x14ac:dyDescent="0.3">
      <c r="B92" s="82"/>
      <c r="C92" s="8">
        <v>6</v>
      </c>
      <c r="D92" s="9">
        <f xml:space="preserve"> N87</f>
        <v>16552177.33222267</v>
      </c>
      <c r="E92" s="41">
        <f t="shared" si="12"/>
        <v>90909577.299647465</v>
      </c>
      <c r="F92" s="9">
        <f t="shared" si="14"/>
        <v>280005675.05735362</v>
      </c>
      <c r="G92" s="8">
        <v>1.7999999999999999E-2</v>
      </c>
      <c r="H92" s="9">
        <f t="shared" si="7"/>
        <v>285045777.208386</v>
      </c>
      <c r="I92" s="9"/>
      <c r="J92" s="9">
        <f t="shared" si="13"/>
        <v>301597954.54060864</v>
      </c>
      <c r="K92" s="47">
        <v>0</v>
      </c>
      <c r="L92" s="10"/>
      <c r="M92" s="55"/>
      <c r="S92" s="9"/>
    </row>
    <row r="93" spans="1:19" s="8" customFormat="1" x14ac:dyDescent="0.3">
      <c r="B93" s="82"/>
      <c r="C93" s="8">
        <v>7</v>
      </c>
      <c r="D93" s="9">
        <f xml:space="preserve"> N87</f>
        <v>16552177.33222267</v>
      </c>
      <c r="E93" s="41">
        <f t="shared" si="12"/>
        <v>92953149.691041127</v>
      </c>
      <c r="F93" s="9">
        <f t="shared" si="14"/>
        <v>301597954.54060864</v>
      </c>
      <c r="G93" s="8">
        <v>1.7999999999999999E-2</v>
      </c>
      <c r="H93" s="9">
        <f t="shared" si="7"/>
        <v>307026717.72233957</v>
      </c>
      <c r="I93" s="9"/>
      <c r="J93" s="9">
        <f t="shared" si="13"/>
        <v>323578895.05456221</v>
      </c>
      <c r="K93" s="47">
        <v>0</v>
      </c>
      <c r="L93" s="10"/>
      <c r="M93" s="55"/>
      <c r="S93" s="9"/>
    </row>
    <row r="94" spans="1:19" s="8" customFormat="1" x14ac:dyDescent="0.3">
      <c r="B94" s="82"/>
      <c r="C94" s="8">
        <v>8</v>
      </c>
      <c r="D94" s="9">
        <f xml:space="preserve"> N87</f>
        <v>16552177.33222267</v>
      </c>
      <c r="E94" s="41">
        <f t="shared" si="12"/>
        <v>95033506.385479867</v>
      </c>
      <c r="F94" s="9">
        <f t="shared" si="14"/>
        <v>323578895.05456221</v>
      </c>
      <c r="G94" s="8">
        <v>1.7999999999999999E-2</v>
      </c>
      <c r="H94" s="9">
        <f t="shared" ref="H94:H157" si="15" xml:space="preserve"> (F94 * G94) + F94</f>
        <v>329403315.16554433</v>
      </c>
      <c r="I94" s="9"/>
      <c r="J94" s="9">
        <f t="shared" si="13"/>
        <v>345955492.49776697</v>
      </c>
      <c r="K94" s="47">
        <v>0</v>
      </c>
      <c r="L94" s="10"/>
      <c r="M94" s="55"/>
      <c r="S94" s="9"/>
    </row>
    <row r="95" spans="1:19" s="8" customFormat="1" x14ac:dyDescent="0.3">
      <c r="B95" s="82"/>
      <c r="C95" s="8">
        <v>9</v>
      </c>
      <c r="D95" s="9">
        <f xml:space="preserve"> N87</f>
        <v>16552177.33222267</v>
      </c>
      <c r="E95" s="41">
        <f t="shared" si="12"/>
        <v>97151309.500418499</v>
      </c>
      <c r="F95" s="9">
        <f t="shared" si="14"/>
        <v>345955492.49776697</v>
      </c>
      <c r="G95" s="8">
        <v>1.7999999999999999E-2</v>
      </c>
      <c r="H95" s="9">
        <f t="shared" si="15"/>
        <v>352182691.36272675</v>
      </c>
      <c r="I95" s="9"/>
      <c r="J95" s="9">
        <f t="shared" si="13"/>
        <v>368734868.69494939</v>
      </c>
      <c r="K95" s="47">
        <v>0</v>
      </c>
      <c r="L95" s="10"/>
      <c r="M95" s="55"/>
      <c r="S95" s="9"/>
    </row>
    <row r="96" spans="1:19" s="8" customFormat="1" x14ac:dyDescent="0.3">
      <c r="B96" s="82"/>
      <c r="C96" s="8">
        <v>10</v>
      </c>
      <c r="D96" s="9">
        <f xml:space="preserve"> N87</f>
        <v>16552177.33222267</v>
      </c>
      <c r="E96" s="41">
        <f t="shared" si="12"/>
        <v>99307233.071426034</v>
      </c>
      <c r="F96" s="9">
        <f t="shared" si="14"/>
        <v>368734868.69494939</v>
      </c>
      <c r="G96" s="8">
        <v>1.7999999999999999E-2</v>
      </c>
      <c r="H96" s="9">
        <f t="shared" si="15"/>
        <v>375372096.33145845</v>
      </c>
      <c r="I96" s="9"/>
      <c r="J96" s="9">
        <f t="shared" si="13"/>
        <v>391924273.66368115</v>
      </c>
      <c r="K96" s="47">
        <v>0</v>
      </c>
      <c r="L96" s="10"/>
      <c r="M96" s="55"/>
      <c r="S96" s="9"/>
    </row>
    <row r="97" spans="1:19" s="8" customFormat="1" x14ac:dyDescent="0.3">
      <c r="B97" s="82"/>
      <c r="C97" s="8">
        <v>11</v>
      </c>
      <c r="D97" s="9">
        <f xml:space="preserve"> N87</f>
        <v>16552177.33222267</v>
      </c>
      <c r="E97" s="41">
        <f t="shared" si="12"/>
        <v>101501963.2667117</v>
      </c>
      <c r="F97" s="9">
        <f t="shared" si="14"/>
        <v>391924273.66368115</v>
      </c>
      <c r="G97" s="8">
        <v>1.7999999999999999E-2</v>
      </c>
      <c r="H97" s="9">
        <f t="shared" si="15"/>
        <v>398978910.58962739</v>
      </c>
      <c r="I97" s="9"/>
      <c r="J97" s="9">
        <f t="shared" si="13"/>
        <v>415531087.92185009</v>
      </c>
      <c r="K97" s="47">
        <v>0</v>
      </c>
      <c r="L97" s="10"/>
      <c r="M97" s="55"/>
      <c r="S97" s="9"/>
    </row>
    <row r="98" spans="1:19" s="18" customFormat="1" x14ac:dyDescent="0.3">
      <c r="B98" s="82"/>
      <c r="C98" s="18">
        <v>12</v>
      </c>
      <c r="D98" s="19">
        <f xml:space="preserve"> N87</f>
        <v>16552177.33222267</v>
      </c>
      <c r="E98" s="19">
        <f t="shared" si="12"/>
        <v>103736198.60551251</v>
      </c>
      <c r="F98" s="19">
        <f t="shared" si="14"/>
        <v>415531087.92185009</v>
      </c>
      <c r="G98" s="18">
        <v>1.7999999999999999E-2</v>
      </c>
      <c r="H98" s="19">
        <f t="shared" si="15"/>
        <v>423010647.50444341</v>
      </c>
      <c r="I98" s="19">
        <f xml:space="preserve"> H98</f>
        <v>423010647.50444341</v>
      </c>
      <c r="J98" s="9">
        <f t="shared" si="13"/>
        <v>439562824.83666611</v>
      </c>
      <c r="K98" s="50">
        <v>0</v>
      </c>
      <c r="L98" s="20">
        <f xml:space="preserve"> I98 / 2</f>
        <v>211505323.7522217</v>
      </c>
      <c r="M98" s="58">
        <f xml:space="preserve"> (F87 + SUM(D88:D98)) - SUM(K88:K98)</f>
        <v>359154078.53809935</v>
      </c>
      <c r="N98" s="19">
        <f xml:space="preserve"> H98 - M98</f>
        <v>63856568.966344059</v>
      </c>
      <c r="O98" s="18">
        <v>0.84</v>
      </c>
      <c r="P98" s="19">
        <f xml:space="preserve"> N98 * O98</f>
        <v>53639517.931729004</v>
      </c>
      <c r="Q98" s="19">
        <f xml:space="preserve"> N98 - P98</f>
        <v>10217051.034615055</v>
      </c>
      <c r="R98" s="18">
        <f xml:space="preserve"> N98 / M98 * 100</f>
        <v>17.779714273680483</v>
      </c>
      <c r="S98" s="19"/>
    </row>
    <row r="99" spans="1:19" s="8" customFormat="1" x14ac:dyDescent="0.3">
      <c r="A99" s="8">
        <v>9</v>
      </c>
      <c r="B99" s="82">
        <v>2030</v>
      </c>
      <c r="C99" s="8">
        <v>1</v>
      </c>
      <c r="D99" s="9">
        <f>N99</f>
        <v>20125443.646018475</v>
      </c>
      <c r="E99" s="41">
        <f t="shared" si="12"/>
        <v>106010650.18041174</v>
      </c>
      <c r="F99" s="9">
        <f xml:space="preserve"> (H98 / 2) + D99 - K99</f>
        <v>231630767.39824018</v>
      </c>
      <c r="G99" s="8">
        <v>1.7999999999999999E-2</v>
      </c>
      <c r="H99" s="9">
        <f t="shared" si="15"/>
        <v>235800121.2114085</v>
      </c>
      <c r="I99" s="9"/>
      <c r="J99" s="9">
        <f t="shared" si="13"/>
        <v>255925564.85742697</v>
      </c>
      <c r="K99" s="47">
        <v>0</v>
      </c>
      <c r="L99" s="10"/>
      <c r="M99" s="55"/>
      <c r="N99" s="11">
        <f xml:space="preserve"> (L98 / 12) +2500000</f>
        <v>20125443.646018475</v>
      </c>
      <c r="P99" s="9">
        <f xml:space="preserve"> (H98 / 2 )</f>
        <v>211505323.7522217</v>
      </c>
      <c r="S99" s="9"/>
    </row>
    <row r="100" spans="1:19" s="8" customFormat="1" x14ac:dyDescent="0.3">
      <c r="B100" s="82"/>
      <c r="C100" s="8">
        <v>2</v>
      </c>
      <c r="D100" s="9">
        <f>N99</f>
        <v>20125443.646018475</v>
      </c>
      <c r="E100" s="41">
        <f t="shared" si="12"/>
        <v>108326041.88365915</v>
      </c>
      <c r="F100" s="9">
        <f t="shared" ref="F100:F110" si="16" xml:space="preserve"> H99 + D100 - K100</f>
        <v>255925564.85742697</v>
      </c>
      <c r="G100" s="8">
        <v>1.7999999999999999E-2</v>
      </c>
      <c r="H100" s="9">
        <f t="shared" si="15"/>
        <v>260532225.02486065</v>
      </c>
      <c r="I100" s="9"/>
      <c r="J100" s="9">
        <f t="shared" si="13"/>
        <v>280657668.67087913</v>
      </c>
      <c r="K100" s="47">
        <v>0</v>
      </c>
      <c r="L100" s="10"/>
      <c r="M100" s="55"/>
      <c r="S100" s="9"/>
    </row>
    <row r="101" spans="1:19" s="8" customFormat="1" x14ac:dyDescent="0.3">
      <c r="B101" s="82"/>
      <c r="C101" s="8">
        <v>3</v>
      </c>
      <c r="D101" s="9">
        <f>N99</f>
        <v>20125443.646018475</v>
      </c>
      <c r="E101" s="41">
        <f t="shared" si="12"/>
        <v>110683110.63756502</v>
      </c>
      <c r="F101" s="9">
        <f t="shared" si="16"/>
        <v>280657668.67087913</v>
      </c>
      <c r="G101" s="8">
        <v>1.7999999999999999E-2</v>
      </c>
      <c r="H101" s="9">
        <f t="shared" si="15"/>
        <v>285709506.70695496</v>
      </c>
      <c r="I101" s="9"/>
      <c r="J101" s="9">
        <f t="shared" si="13"/>
        <v>305834950.35297346</v>
      </c>
      <c r="K101" s="47">
        <v>0</v>
      </c>
      <c r="L101" s="10"/>
      <c r="M101" s="55"/>
      <c r="S101" s="9"/>
    </row>
    <row r="102" spans="1:19" s="8" customFormat="1" x14ac:dyDescent="0.3">
      <c r="B102" s="82"/>
      <c r="C102" s="8">
        <v>4</v>
      </c>
      <c r="D102" s="9">
        <f>N99</f>
        <v>20125443.646018475</v>
      </c>
      <c r="E102" s="41">
        <f t="shared" si="12"/>
        <v>113082606.62904118</v>
      </c>
      <c r="F102" s="9">
        <f t="shared" si="16"/>
        <v>305834950.35297346</v>
      </c>
      <c r="G102" s="8">
        <v>1.7999999999999999E-2</v>
      </c>
      <c r="H102" s="9">
        <f t="shared" si="15"/>
        <v>311339979.45932698</v>
      </c>
      <c r="I102" s="9"/>
      <c r="J102" s="9">
        <f t="shared" si="13"/>
        <v>331465423.10534549</v>
      </c>
      <c r="K102" s="47">
        <v>0</v>
      </c>
      <c r="L102" s="10"/>
      <c r="M102" s="55"/>
      <c r="S102" s="9"/>
    </row>
    <row r="103" spans="1:19" s="8" customFormat="1" x14ac:dyDescent="0.3">
      <c r="B103" s="82"/>
      <c r="C103" s="8">
        <v>5</v>
      </c>
      <c r="D103" s="9">
        <f>N99</f>
        <v>20125443.646018475</v>
      </c>
      <c r="E103" s="41">
        <f t="shared" si="12"/>
        <v>115525293.54836392</v>
      </c>
      <c r="F103" s="9">
        <f t="shared" si="16"/>
        <v>321248372.07073045</v>
      </c>
      <c r="G103" s="8">
        <v>1.7999999999999999E-2</v>
      </c>
      <c r="H103" s="9">
        <f t="shared" si="15"/>
        <v>327030842.76800358</v>
      </c>
      <c r="I103" s="9"/>
      <c r="J103" s="9">
        <f t="shared" si="13"/>
        <v>347156286.41402209</v>
      </c>
      <c r="K103" s="47">
        <f xml:space="preserve"> Q98</f>
        <v>10217051.034615055</v>
      </c>
      <c r="L103" s="10"/>
      <c r="M103" s="55"/>
      <c r="S103" s="9"/>
    </row>
    <row r="104" spans="1:19" s="8" customFormat="1" x14ac:dyDescent="0.3">
      <c r="B104" s="82"/>
      <c r="C104" s="8">
        <v>6</v>
      </c>
      <c r="D104" s="9">
        <f>N99</f>
        <v>20125443.646018475</v>
      </c>
      <c r="E104" s="41">
        <f t="shared" si="12"/>
        <v>118011948.83223447</v>
      </c>
      <c r="F104" s="9">
        <f t="shared" si="16"/>
        <v>347156286.41402209</v>
      </c>
      <c r="G104" s="8">
        <v>1.7999999999999999E-2</v>
      </c>
      <c r="H104" s="9">
        <f t="shared" si="15"/>
        <v>353405099.56947446</v>
      </c>
      <c r="I104" s="9"/>
      <c r="J104" s="9">
        <f t="shared" si="13"/>
        <v>373530543.21549296</v>
      </c>
      <c r="K104" s="47">
        <v>0</v>
      </c>
      <c r="L104" s="10"/>
      <c r="M104" s="55"/>
      <c r="S104" s="9"/>
    </row>
    <row r="105" spans="1:19" s="8" customFormat="1" x14ac:dyDescent="0.3">
      <c r="B105" s="82"/>
      <c r="C105" s="8">
        <v>7</v>
      </c>
      <c r="D105" s="9">
        <f>N99</f>
        <v>20125443.646018475</v>
      </c>
      <c r="E105" s="41">
        <f t="shared" si="12"/>
        <v>120543363.91121469</v>
      </c>
      <c r="F105" s="9">
        <f t="shared" si="16"/>
        <v>373530543.21549296</v>
      </c>
      <c r="G105" s="8">
        <v>1.7999999999999999E-2</v>
      </c>
      <c r="H105" s="9">
        <f t="shared" si="15"/>
        <v>380254092.99337184</v>
      </c>
      <c r="I105" s="9"/>
      <c r="J105" s="9">
        <f t="shared" si="13"/>
        <v>400379536.63939035</v>
      </c>
      <c r="K105" s="47">
        <v>0</v>
      </c>
      <c r="L105" s="10"/>
      <c r="M105" s="55"/>
      <c r="S105" s="9"/>
    </row>
    <row r="106" spans="1:19" s="8" customFormat="1" x14ac:dyDescent="0.3">
      <c r="B106" s="82"/>
      <c r="C106" s="8">
        <v>8</v>
      </c>
      <c r="D106" s="9">
        <f>N99</f>
        <v>20125443.646018475</v>
      </c>
      <c r="E106" s="41">
        <f t="shared" si="12"/>
        <v>123120344.46161656</v>
      </c>
      <c r="F106" s="9">
        <f t="shared" si="16"/>
        <v>400379536.63939035</v>
      </c>
      <c r="G106" s="8">
        <v>1.7999999999999999E-2</v>
      </c>
      <c r="H106" s="9">
        <f t="shared" si="15"/>
        <v>407586368.29889935</v>
      </c>
      <c r="I106" s="9"/>
      <c r="J106" s="9">
        <f t="shared" si="13"/>
        <v>427711811.9449178</v>
      </c>
      <c r="K106" s="47">
        <v>0</v>
      </c>
      <c r="L106" s="10"/>
      <c r="M106" s="55"/>
      <c r="S106" s="9"/>
    </row>
    <row r="107" spans="1:19" s="8" customFormat="1" x14ac:dyDescent="0.3">
      <c r="B107" s="82"/>
      <c r="C107" s="8">
        <v>9</v>
      </c>
      <c r="D107" s="9">
        <f>N99</f>
        <v>20125443.646018475</v>
      </c>
      <c r="E107" s="41">
        <f t="shared" si="12"/>
        <v>125743710.66192566</v>
      </c>
      <c r="F107" s="9">
        <f t="shared" si="16"/>
        <v>427711811.9449178</v>
      </c>
      <c r="G107" s="8">
        <v>1.7999999999999999E-2</v>
      </c>
      <c r="H107" s="9">
        <f t="shared" si="15"/>
        <v>435410624.55992633</v>
      </c>
      <c r="I107" s="9"/>
      <c r="J107" s="9">
        <f t="shared" si="13"/>
        <v>455536068.20594478</v>
      </c>
      <c r="K107" s="47">
        <v>0</v>
      </c>
      <c r="L107" s="10"/>
      <c r="M107" s="55"/>
      <c r="S107" s="9"/>
    </row>
    <row r="108" spans="1:19" s="8" customFormat="1" x14ac:dyDescent="0.3">
      <c r="B108" s="82"/>
      <c r="C108" s="8">
        <v>10</v>
      </c>
      <c r="D108" s="9">
        <f>N99</f>
        <v>20125443.646018475</v>
      </c>
      <c r="E108" s="41">
        <f t="shared" si="12"/>
        <v>128414297.45384032</v>
      </c>
      <c r="F108" s="9">
        <f t="shared" si="16"/>
        <v>455536068.20594478</v>
      </c>
      <c r="G108" s="8">
        <v>1.7999999999999999E-2</v>
      </c>
      <c r="H108" s="9">
        <f t="shared" si="15"/>
        <v>463735717.4336518</v>
      </c>
      <c r="I108" s="9"/>
      <c r="J108" s="9">
        <f t="shared" si="13"/>
        <v>483861161.07967031</v>
      </c>
      <c r="K108" s="47">
        <v>0</v>
      </c>
      <c r="L108" s="10"/>
      <c r="M108" s="55"/>
      <c r="S108" s="9"/>
    </row>
    <row r="109" spans="1:19" s="8" customFormat="1" x14ac:dyDescent="0.3">
      <c r="B109" s="82"/>
      <c r="C109" s="8">
        <v>11</v>
      </c>
      <c r="D109" s="9">
        <f>N99</f>
        <v>20125443.646018475</v>
      </c>
      <c r="E109" s="41">
        <f t="shared" si="12"/>
        <v>131132954.80800945</v>
      </c>
      <c r="F109" s="9">
        <f t="shared" si="16"/>
        <v>483861161.07967031</v>
      </c>
      <c r="G109" s="8">
        <v>1.7999999999999999E-2</v>
      </c>
      <c r="H109" s="9">
        <f t="shared" si="15"/>
        <v>492570661.9791044</v>
      </c>
      <c r="I109" s="9"/>
      <c r="J109" s="9">
        <f t="shared" si="13"/>
        <v>512696105.6251229</v>
      </c>
      <c r="K109" s="47">
        <v>0</v>
      </c>
      <c r="L109" s="10"/>
      <c r="M109" s="55"/>
      <c r="S109" s="9"/>
    </row>
    <row r="110" spans="1:19" s="18" customFormat="1" x14ac:dyDescent="0.3">
      <c r="B110" s="82"/>
      <c r="C110" s="18">
        <v>12</v>
      </c>
      <c r="D110" s="19">
        <f>N99</f>
        <v>20125443.646018475</v>
      </c>
      <c r="E110" s="19">
        <f t="shared" si="12"/>
        <v>133900547.99455361</v>
      </c>
      <c r="F110" s="19">
        <f t="shared" si="16"/>
        <v>512696105.6251229</v>
      </c>
      <c r="G110" s="18">
        <v>1.7999999999999999E-2</v>
      </c>
      <c r="H110" s="19">
        <f t="shared" si="15"/>
        <v>521924635.52637511</v>
      </c>
      <c r="I110" s="19">
        <f xml:space="preserve"> H110</f>
        <v>521924635.52637511</v>
      </c>
      <c r="J110" s="9">
        <f t="shared" si="13"/>
        <v>542050079.17239356</v>
      </c>
      <c r="K110" s="50">
        <v>0</v>
      </c>
      <c r="L110" s="20">
        <f xml:space="preserve"> I110 / 2</f>
        <v>260962317.76318756</v>
      </c>
      <c r="M110" s="58">
        <f xml:space="preserve"> (F99 + SUM(D100:D110)) - SUM(K100:K110)</f>
        <v>442793596.46982837</v>
      </c>
      <c r="N110" s="19">
        <f xml:space="preserve"> H110 - M110</f>
        <v>79131039.056546748</v>
      </c>
      <c r="O110" s="18">
        <v>0.84</v>
      </c>
      <c r="P110" s="19">
        <f xml:space="preserve"> N110 * O110</f>
        <v>66470072.807499267</v>
      </c>
      <c r="Q110" s="19">
        <f xml:space="preserve"> N110 - P110</f>
        <v>12660966.249047481</v>
      </c>
      <c r="R110" s="18">
        <f xml:space="preserve"> N110 / M110 * 100</f>
        <v>17.870863464923364</v>
      </c>
      <c r="S110" s="19"/>
    </row>
    <row r="111" spans="1:19" s="8" customFormat="1" x14ac:dyDescent="0.3">
      <c r="A111" s="8">
        <v>10</v>
      </c>
      <c r="B111" s="82">
        <v>2031</v>
      </c>
      <c r="C111" s="8">
        <v>1</v>
      </c>
      <c r="D111" s="9">
        <f>N111</f>
        <v>24246859.813598964</v>
      </c>
      <c r="E111" s="41">
        <f t="shared" si="12"/>
        <v>136717957.8584556</v>
      </c>
      <c r="F111" s="9">
        <f xml:space="preserve"> (H110 / 2) + D111 - K111</f>
        <v>285209177.57678652</v>
      </c>
      <c r="G111" s="8">
        <v>1.7999999999999999E-2</v>
      </c>
      <c r="H111" s="9">
        <f t="shared" si="15"/>
        <v>290342942.77316868</v>
      </c>
      <c r="I111" s="9"/>
      <c r="J111" s="9">
        <f t="shared" si="13"/>
        <v>314589802.58676767</v>
      </c>
      <c r="K111" s="47">
        <v>0</v>
      </c>
      <c r="L111" s="10"/>
      <c r="M111" s="55"/>
      <c r="N111" s="11">
        <f xml:space="preserve"> (L110 / 12) +2500000</f>
        <v>24246859.813598964</v>
      </c>
      <c r="P111" s="9">
        <f xml:space="preserve"> (H110 / 2 )</f>
        <v>260962317.76318756</v>
      </c>
      <c r="S111" s="9"/>
    </row>
    <row r="112" spans="1:19" s="8" customFormat="1" x14ac:dyDescent="0.3">
      <c r="B112" s="82"/>
      <c r="C112" s="8">
        <v>2</v>
      </c>
      <c r="D112" s="9">
        <f>N111</f>
        <v>24246859.813598964</v>
      </c>
      <c r="E112" s="41">
        <f t="shared" si="12"/>
        <v>139586081.09990779</v>
      </c>
      <c r="F112" s="9">
        <f t="shared" ref="F112:F122" si="17" xml:space="preserve"> H111 + D112 - K112</f>
        <v>314589802.58676767</v>
      </c>
      <c r="G112" s="8">
        <v>1.7999999999999999E-2</v>
      </c>
      <c r="H112" s="9">
        <f t="shared" si="15"/>
        <v>320252419.03332949</v>
      </c>
      <c r="I112" s="9"/>
      <c r="J112" s="9">
        <f t="shared" si="13"/>
        <v>344499278.84692848</v>
      </c>
      <c r="K112" s="47">
        <v>0</v>
      </c>
      <c r="L112" s="10"/>
      <c r="M112" s="55"/>
      <c r="S112" s="9"/>
    </row>
    <row r="113" spans="1:19" s="8" customFormat="1" x14ac:dyDescent="0.3">
      <c r="B113" s="82"/>
      <c r="C113" s="8">
        <v>3</v>
      </c>
      <c r="D113" s="9">
        <f>N111</f>
        <v>24246859.813598964</v>
      </c>
      <c r="E113" s="41">
        <f t="shared" si="12"/>
        <v>142505830.55970612</v>
      </c>
      <c r="F113" s="9">
        <f t="shared" si="17"/>
        <v>344499278.84692848</v>
      </c>
      <c r="G113" s="8">
        <v>1.7999999999999999E-2</v>
      </c>
      <c r="H113" s="9">
        <f t="shared" si="15"/>
        <v>350700265.86617321</v>
      </c>
      <c r="I113" s="9"/>
      <c r="J113" s="9">
        <f t="shared" si="13"/>
        <v>374947125.6797722</v>
      </c>
      <c r="K113" s="47">
        <v>0</v>
      </c>
      <c r="L113" s="10"/>
      <c r="M113" s="55"/>
      <c r="S113" s="9"/>
    </row>
    <row r="114" spans="1:19" s="8" customFormat="1" x14ac:dyDescent="0.3">
      <c r="B114" s="82"/>
      <c r="C114" s="8">
        <v>4</v>
      </c>
      <c r="D114" s="9">
        <f>N111</f>
        <v>24246859.813598964</v>
      </c>
      <c r="E114" s="41">
        <f t="shared" si="12"/>
        <v>145478135.50978082</v>
      </c>
      <c r="F114" s="9">
        <f t="shared" si="17"/>
        <v>374947125.6797722</v>
      </c>
      <c r="G114" s="8">
        <v>1.7999999999999999E-2</v>
      </c>
      <c r="H114" s="9">
        <f t="shared" si="15"/>
        <v>381696173.94200808</v>
      </c>
      <c r="I114" s="9"/>
      <c r="J114" s="9">
        <f t="shared" si="13"/>
        <v>405943033.75560707</v>
      </c>
      <c r="K114" s="47">
        <v>0</v>
      </c>
      <c r="L114" s="10"/>
      <c r="M114" s="55"/>
      <c r="S114" s="9"/>
    </row>
    <row r="115" spans="1:19" s="8" customFormat="1" x14ac:dyDescent="0.3">
      <c r="B115" s="82"/>
      <c r="C115" s="8">
        <v>5</v>
      </c>
      <c r="D115" s="9">
        <f>N111</f>
        <v>24246859.813598964</v>
      </c>
      <c r="E115" s="41">
        <f t="shared" si="12"/>
        <v>148503941.94895688</v>
      </c>
      <c r="F115" s="9">
        <f t="shared" si="17"/>
        <v>393282067.50655961</v>
      </c>
      <c r="G115" s="8">
        <v>1.7999999999999999E-2</v>
      </c>
      <c r="H115" s="9">
        <f t="shared" si="15"/>
        <v>400361144.72167766</v>
      </c>
      <c r="I115" s="9"/>
      <c r="J115" s="9">
        <f t="shared" si="13"/>
        <v>424608004.53527665</v>
      </c>
      <c r="K115" s="47">
        <f xml:space="preserve"> Q110</f>
        <v>12660966.249047481</v>
      </c>
      <c r="L115" s="10"/>
      <c r="M115" s="55"/>
      <c r="S115" s="9"/>
    </row>
    <row r="116" spans="1:19" s="8" customFormat="1" x14ac:dyDescent="0.3">
      <c r="B116" s="82"/>
      <c r="C116" s="8">
        <v>6</v>
      </c>
      <c r="D116" s="9">
        <f>N111</f>
        <v>24246859.813598964</v>
      </c>
      <c r="E116" s="41">
        <f t="shared" si="12"/>
        <v>151584212.9040381</v>
      </c>
      <c r="F116" s="9">
        <f t="shared" si="17"/>
        <v>424608004.53527665</v>
      </c>
      <c r="G116" s="8">
        <v>1.7999999999999999E-2</v>
      </c>
      <c r="H116" s="9">
        <f t="shared" si="15"/>
        <v>432250948.61691165</v>
      </c>
      <c r="I116" s="9"/>
      <c r="J116" s="9">
        <f t="shared" si="13"/>
        <v>456497808.43051064</v>
      </c>
      <c r="K116" s="47">
        <v>0</v>
      </c>
      <c r="L116" s="10"/>
      <c r="M116" s="55"/>
      <c r="S116" s="9"/>
    </row>
    <row r="117" spans="1:19" s="8" customFormat="1" x14ac:dyDescent="0.3">
      <c r="B117" s="82"/>
      <c r="C117" s="8">
        <v>7</v>
      </c>
      <c r="D117" s="9">
        <f>N111</f>
        <v>24246859.813598964</v>
      </c>
      <c r="E117" s="41">
        <f t="shared" si="12"/>
        <v>154719928.73631078</v>
      </c>
      <c r="F117" s="9">
        <f t="shared" si="17"/>
        <v>456497808.43051064</v>
      </c>
      <c r="G117" s="8">
        <v>1.7999999999999999E-2</v>
      </c>
      <c r="H117" s="9">
        <f t="shared" si="15"/>
        <v>464714768.98225981</v>
      </c>
      <c r="I117" s="9"/>
      <c r="J117" s="9">
        <f t="shared" si="13"/>
        <v>488961628.7958588</v>
      </c>
      <c r="K117" s="47">
        <v>0</v>
      </c>
      <c r="L117" s="10"/>
      <c r="M117" s="55"/>
      <c r="S117" s="9"/>
    </row>
    <row r="118" spans="1:19" s="8" customFormat="1" x14ac:dyDescent="0.3">
      <c r="B118" s="82"/>
      <c r="C118" s="8">
        <v>8</v>
      </c>
      <c r="D118" s="9">
        <f>N111</f>
        <v>24246859.813598964</v>
      </c>
      <c r="E118" s="41">
        <f t="shared" si="12"/>
        <v>157912087.45356438</v>
      </c>
      <c r="F118" s="9">
        <f t="shared" si="17"/>
        <v>488961628.7958588</v>
      </c>
      <c r="G118" s="8">
        <v>1.7999999999999999E-2</v>
      </c>
      <c r="H118" s="9">
        <f t="shared" si="15"/>
        <v>497762938.11418426</v>
      </c>
      <c r="I118" s="9"/>
      <c r="J118" s="9">
        <f t="shared" si="13"/>
        <v>522009797.92778325</v>
      </c>
      <c r="K118" s="47">
        <v>0</v>
      </c>
      <c r="L118" s="10"/>
      <c r="M118" s="55"/>
      <c r="S118" s="9"/>
    </row>
    <row r="119" spans="1:19" s="8" customFormat="1" x14ac:dyDescent="0.3">
      <c r="B119" s="82"/>
      <c r="C119" s="8">
        <v>9</v>
      </c>
      <c r="D119" s="9">
        <f>N111</f>
        <v>24246859.813598964</v>
      </c>
      <c r="E119" s="41">
        <f t="shared" si="12"/>
        <v>161161705.02772853</v>
      </c>
      <c r="F119" s="9">
        <f t="shared" si="17"/>
        <v>522009797.92778325</v>
      </c>
      <c r="G119" s="8">
        <v>1.7999999999999999E-2</v>
      </c>
      <c r="H119" s="9">
        <f t="shared" si="15"/>
        <v>531405974.29048336</v>
      </c>
      <c r="I119" s="9"/>
      <c r="J119" s="9">
        <f t="shared" si="13"/>
        <v>555652834.10408235</v>
      </c>
      <c r="K119" s="47">
        <v>0</v>
      </c>
      <c r="L119" s="10"/>
      <c r="M119" s="55"/>
      <c r="S119" s="9"/>
    </row>
    <row r="120" spans="1:19" s="8" customFormat="1" x14ac:dyDescent="0.3">
      <c r="B120" s="82"/>
      <c r="C120" s="8">
        <v>10</v>
      </c>
      <c r="D120" s="9">
        <f>N111</f>
        <v>24246859.813598964</v>
      </c>
      <c r="E120" s="41">
        <f t="shared" si="12"/>
        <v>164469815.71822765</v>
      </c>
      <c r="F120" s="9">
        <f t="shared" si="17"/>
        <v>555652834.10408235</v>
      </c>
      <c r="G120" s="8">
        <v>1.7999999999999999E-2</v>
      </c>
      <c r="H120" s="9">
        <f t="shared" si="15"/>
        <v>565654585.1179558</v>
      </c>
      <c r="I120" s="9"/>
      <c r="J120" s="9">
        <f t="shared" si="13"/>
        <v>589901444.93155479</v>
      </c>
      <c r="K120" s="47">
        <v>0</v>
      </c>
      <c r="L120" s="10"/>
      <c r="M120" s="55"/>
      <c r="S120" s="9"/>
    </row>
    <row r="121" spans="1:19" s="8" customFormat="1" x14ac:dyDescent="0.3">
      <c r="B121" s="82"/>
      <c r="C121" s="8">
        <v>11</v>
      </c>
      <c r="D121" s="9">
        <f>N111</f>
        <v>24246859.813598964</v>
      </c>
      <c r="E121" s="41">
        <f t="shared" si="12"/>
        <v>167837472.40115574</v>
      </c>
      <c r="F121" s="9">
        <f t="shared" si="17"/>
        <v>589901444.93155479</v>
      </c>
      <c r="G121" s="8">
        <v>1.7999999999999999E-2</v>
      </c>
      <c r="H121" s="9">
        <f t="shared" si="15"/>
        <v>600519670.94032276</v>
      </c>
      <c r="I121" s="9"/>
      <c r="J121" s="9">
        <f t="shared" si="13"/>
        <v>624766530.75392175</v>
      </c>
      <c r="K121" s="47">
        <v>0</v>
      </c>
      <c r="L121" s="10"/>
      <c r="M121" s="55"/>
      <c r="S121" s="9"/>
    </row>
    <row r="122" spans="1:19" s="18" customFormat="1" x14ac:dyDescent="0.3">
      <c r="B122" s="82"/>
      <c r="C122" s="18">
        <v>12</v>
      </c>
      <c r="D122" s="19">
        <f>N111</f>
        <v>24246859.813598964</v>
      </c>
      <c r="E122" s="19">
        <f t="shared" si="12"/>
        <v>171265746.90437654</v>
      </c>
      <c r="F122" s="19">
        <f t="shared" si="17"/>
        <v>624766530.75392175</v>
      </c>
      <c r="G122" s="18">
        <v>1.7999999999999999E-2</v>
      </c>
      <c r="H122" s="19">
        <f t="shared" si="15"/>
        <v>636012328.30749238</v>
      </c>
      <c r="I122" s="19">
        <f xml:space="preserve"> H122</f>
        <v>636012328.30749238</v>
      </c>
      <c r="J122" s="9">
        <f t="shared" si="13"/>
        <v>660259188.12109137</v>
      </c>
      <c r="K122" s="50">
        <v>0</v>
      </c>
      <c r="L122" s="20">
        <f xml:space="preserve"> I122 / 2</f>
        <v>318006164.15374619</v>
      </c>
      <c r="M122" s="58">
        <f xml:space="preserve"> (F111 + SUM(D112:D122)) - SUM(K112:K122)</f>
        <v>539263669.27732754</v>
      </c>
      <c r="N122" s="19">
        <f xml:space="preserve"> H122 - M122</f>
        <v>96748659.030164838</v>
      </c>
      <c r="O122" s="18">
        <v>0.84</v>
      </c>
      <c r="P122" s="19">
        <f xml:space="preserve"> N122 * O122</f>
        <v>81268873.585338458</v>
      </c>
      <c r="Q122" s="19">
        <f xml:space="preserve"> N122 - P122</f>
        <v>15479785.444826379</v>
      </c>
      <c r="R122" s="18">
        <f xml:space="preserve"> N122 / M122 * 100</f>
        <v>17.94088208460597</v>
      </c>
      <c r="S122" s="19"/>
    </row>
    <row r="123" spans="1:19" s="8" customFormat="1" x14ac:dyDescent="0.3">
      <c r="A123" s="8">
        <v>11</v>
      </c>
      <c r="B123" s="82">
        <v>2032</v>
      </c>
      <c r="C123" s="8">
        <v>1</v>
      </c>
      <c r="D123" s="9">
        <f>N123</f>
        <v>29000513.67947885</v>
      </c>
      <c r="E123" s="41">
        <f t="shared" si="12"/>
        <v>174755730.34865531</v>
      </c>
      <c r="F123" s="9">
        <f xml:space="preserve"> (H122 / 2) + D123 - K123</f>
        <v>347006677.83322501</v>
      </c>
      <c r="G123" s="8">
        <v>1.7999999999999999E-2</v>
      </c>
      <c r="H123" s="9">
        <f t="shared" si="15"/>
        <v>353252798.03422308</v>
      </c>
      <c r="I123" s="9"/>
      <c r="J123" s="9">
        <f t="shared" si="13"/>
        <v>382253311.7137019</v>
      </c>
      <c r="K123" s="47"/>
      <c r="L123" s="10"/>
      <c r="M123" s="55"/>
      <c r="N123" s="11">
        <f xml:space="preserve"> (L122 / 12) +2500000</f>
        <v>29000513.67947885</v>
      </c>
      <c r="P123" s="9">
        <f xml:space="preserve"> (H122 / 2 )</f>
        <v>318006164.15374619</v>
      </c>
      <c r="S123" s="9"/>
    </row>
    <row r="124" spans="1:19" s="8" customFormat="1" x14ac:dyDescent="0.3">
      <c r="B124" s="82"/>
      <c r="C124" s="8">
        <v>2</v>
      </c>
      <c r="D124" s="9">
        <f>N123</f>
        <v>29000513.67947885</v>
      </c>
      <c r="E124" s="41">
        <f t="shared" si="12"/>
        <v>178308533.4949311</v>
      </c>
      <c r="F124" s="9">
        <f t="shared" ref="F124:F134" si="18" xml:space="preserve"> H123 + D124 - K124</f>
        <v>382253311.7137019</v>
      </c>
      <c r="G124" s="8">
        <v>1.7999999999999999E-2</v>
      </c>
      <c r="H124" s="9">
        <f t="shared" si="15"/>
        <v>389133871.32454854</v>
      </c>
      <c r="I124" s="9"/>
      <c r="J124" s="9">
        <f t="shared" si="13"/>
        <v>418134385.00402737</v>
      </c>
      <c r="K124" s="47"/>
      <c r="L124" s="10"/>
      <c r="M124" s="55"/>
      <c r="S124" s="9"/>
    </row>
    <row r="125" spans="1:19" s="8" customFormat="1" x14ac:dyDescent="0.3">
      <c r="B125" s="82"/>
      <c r="C125" s="8">
        <v>3</v>
      </c>
      <c r="D125" s="9">
        <f>N123</f>
        <v>29000513.67947885</v>
      </c>
      <c r="E125" s="41">
        <f t="shared" si="12"/>
        <v>181925287.09783986</v>
      </c>
      <c r="F125" s="9">
        <f t="shared" si="18"/>
        <v>418134385.00402737</v>
      </c>
      <c r="G125" s="8">
        <v>1.7999999999999999E-2</v>
      </c>
      <c r="H125" s="9">
        <f t="shared" si="15"/>
        <v>425660803.93409985</v>
      </c>
      <c r="I125" s="9"/>
      <c r="J125" s="9">
        <f t="shared" si="13"/>
        <v>454661317.61357868</v>
      </c>
      <c r="K125" s="47"/>
      <c r="L125" s="10"/>
      <c r="M125" s="55"/>
      <c r="S125" s="9"/>
    </row>
    <row r="126" spans="1:19" s="8" customFormat="1" x14ac:dyDescent="0.3">
      <c r="B126" s="82"/>
      <c r="C126" s="8">
        <v>4</v>
      </c>
      <c r="D126" s="9">
        <f>N123</f>
        <v>29000513.67947885</v>
      </c>
      <c r="E126" s="41">
        <f t="shared" si="12"/>
        <v>185607142.26560098</v>
      </c>
      <c r="F126" s="9">
        <f t="shared" si="18"/>
        <v>454661317.61357868</v>
      </c>
      <c r="G126" s="8">
        <v>1.7999999999999999E-2</v>
      </c>
      <c r="H126" s="9">
        <f t="shared" si="15"/>
        <v>462845221.33062309</v>
      </c>
      <c r="I126" s="9"/>
      <c r="J126" s="9">
        <f t="shared" si="13"/>
        <v>491845735.01010191</v>
      </c>
      <c r="K126" s="47"/>
      <c r="L126" s="10"/>
      <c r="M126" s="55"/>
      <c r="S126" s="9"/>
    </row>
    <row r="127" spans="1:19" s="8" customFormat="1" x14ac:dyDescent="0.3">
      <c r="B127" s="82"/>
      <c r="C127" s="8">
        <v>5</v>
      </c>
      <c r="D127" s="9">
        <f>N123</f>
        <v>29000513.67947885</v>
      </c>
      <c r="E127" s="41">
        <f t="shared" si="12"/>
        <v>189355270.8263818</v>
      </c>
      <c r="F127" s="9">
        <f t="shared" si="18"/>
        <v>476365949.56527555</v>
      </c>
      <c r="G127" s="8">
        <v>1.7999999999999999E-2</v>
      </c>
      <c r="H127" s="9">
        <f t="shared" si="15"/>
        <v>484940536.6574505</v>
      </c>
      <c r="I127" s="9"/>
      <c r="J127" s="9">
        <f t="shared" si="13"/>
        <v>513941050.33692932</v>
      </c>
      <c r="K127" s="47">
        <f xml:space="preserve"> Q122</f>
        <v>15479785.444826379</v>
      </c>
      <c r="L127" s="10"/>
      <c r="M127" s="55"/>
      <c r="S127" s="9"/>
    </row>
    <row r="128" spans="1:19" s="8" customFormat="1" x14ac:dyDescent="0.3">
      <c r="B128" s="82"/>
      <c r="C128" s="8">
        <v>6</v>
      </c>
      <c r="D128" s="9">
        <f>N123</f>
        <v>29000513.67947885</v>
      </c>
      <c r="E128" s="41">
        <f t="shared" si="12"/>
        <v>193170865.70125666</v>
      </c>
      <c r="F128" s="9">
        <f t="shared" si="18"/>
        <v>513941050.33692932</v>
      </c>
      <c r="G128" s="8">
        <v>1.7999999999999999E-2</v>
      </c>
      <c r="H128" s="9">
        <f t="shared" si="15"/>
        <v>523191989.24299407</v>
      </c>
      <c r="I128" s="9"/>
      <c r="J128" s="9">
        <f t="shared" si="13"/>
        <v>552192502.92247295</v>
      </c>
      <c r="K128" s="47"/>
      <c r="L128" s="10"/>
      <c r="M128" s="55"/>
      <c r="S128" s="9"/>
    </row>
    <row r="129" spans="1:19" s="8" customFormat="1" x14ac:dyDescent="0.3">
      <c r="B129" s="82"/>
      <c r="C129" s="8">
        <v>7</v>
      </c>
      <c r="D129" s="9">
        <f>N123</f>
        <v>29000513.67947885</v>
      </c>
      <c r="E129" s="41">
        <f t="shared" si="12"/>
        <v>197055141.28387928</v>
      </c>
      <c r="F129" s="9">
        <f t="shared" si="18"/>
        <v>552192502.92247295</v>
      </c>
      <c r="G129" s="8">
        <v>1.7999999999999999E-2</v>
      </c>
      <c r="H129" s="9">
        <f t="shared" si="15"/>
        <v>562131967.97507751</v>
      </c>
      <c r="I129" s="9"/>
      <c r="J129" s="9">
        <f t="shared" si="13"/>
        <v>591132481.65455639</v>
      </c>
      <c r="K129" s="47"/>
      <c r="L129" s="10"/>
      <c r="M129" s="55"/>
      <c r="S129" s="9"/>
    </row>
    <row r="130" spans="1:19" s="8" customFormat="1" x14ac:dyDescent="0.3">
      <c r="B130" s="82"/>
      <c r="C130" s="8">
        <v>8</v>
      </c>
      <c r="D130" s="9">
        <f>N123</f>
        <v>29000513.67947885</v>
      </c>
      <c r="E130" s="41">
        <f t="shared" si="12"/>
        <v>201009333.82698911</v>
      </c>
      <c r="F130" s="9">
        <f t="shared" si="18"/>
        <v>591132481.65455639</v>
      </c>
      <c r="G130" s="8">
        <v>1.7999999999999999E-2</v>
      </c>
      <c r="H130" s="9">
        <f t="shared" si="15"/>
        <v>601772866.32433844</v>
      </c>
      <c r="I130" s="9"/>
      <c r="J130" s="9">
        <f t="shared" si="13"/>
        <v>630773380.00381732</v>
      </c>
      <c r="K130" s="47"/>
      <c r="L130" s="10"/>
      <c r="M130" s="55"/>
      <c r="S130" s="9"/>
    </row>
    <row r="131" spans="1:19" s="8" customFormat="1" x14ac:dyDescent="0.3">
      <c r="B131" s="82"/>
      <c r="C131" s="8">
        <v>9</v>
      </c>
      <c r="D131" s="9">
        <f>N123</f>
        <v>29000513.67947885</v>
      </c>
      <c r="E131" s="41">
        <f t="shared" si="12"/>
        <v>205034701.83587492</v>
      </c>
      <c r="F131" s="9">
        <f t="shared" si="18"/>
        <v>630773380.00381732</v>
      </c>
      <c r="G131" s="8">
        <v>1.7999999999999999E-2</v>
      </c>
      <c r="H131" s="9">
        <f t="shared" si="15"/>
        <v>642127300.84388602</v>
      </c>
      <c r="I131" s="9"/>
      <c r="J131" s="9">
        <f t="shared" si="13"/>
        <v>671127814.5233649</v>
      </c>
      <c r="K131" s="47"/>
      <c r="L131" s="10"/>
      <c r="M131" s="55"/>
      <c r="S131" s="9"/>
    </row>
    <row r="132" spans="1:19" s="8" customFormat="1" x14ac:dyDescent="0.3">
      <c r="B132" s="82"/>
      <c r="C132" s="8">
        <v>10</v>
      </c>
      <c r="D132" s="9">
        <f>N123</f>
        <v>29000513.67947885</v>
      </c>
      <c r="E132" s="41">
        <f t="shared" si="12"/>
        <v>209132526.46892068</v>
      </c>
      <c r="F132" s="9">
        <f t="shared" si="18"/>
        <v>671127814.5233649</v>
      </c>
      <c r="G132" s="8">
        <v>1.7999999999999999E-2</v>
      </c>
      <c r="H132" s="9">
        <f t="shared" si="15"/>
        <v>683208115.18478549</v>
      </c>
      <c r="I132" s="9"/>
      <c r="J132" s="9">
        <f t="shared" si="13"/>
        <v>712208628.86426437</v>
      </c>
      <c r="K132" s="47"/>
      <c r="L132" s="10"/>
      <c r="M132" s="55"/>
      <c r="S132" s="9"/>
    </row>
    <row r="133" spans="1:19" s="8" customFormat="1" x14ac:dyDescent="0.3">
      <c r="B133" s="82"/>
      <c r="C133" s="8">
        <v>11</v>
      </c>
      <c r="D133" s="9">
        <f>N123</f>
        <v>29000513.67947885</v>
      </c>
      <c r="E133" s="41">
        <f t="shared" si="12"/>
        <v>213304111.94536126</v>
      </c>
      <c r="F133" s="9">
        <f t="shared" si="18"/>
        <v>712208628.86426437</v>
      </c>
      <c r="G133" s="8">
        <v>1.7999999999999999E-2</v>
      </c>
      <c r="H133" s="9">
        <f t="shared" si="15"/>
        <v>725028384.18382108</v>
      </c>
      <c r="I133" s="9"/>
      <c r="J133" s="9">
        <f t="shared" si="13"/>
        <v>754028897.86329997</v>
      </c>
      <c r="K133" s="47"/>
      <c r="L133" s="10"/>
      <c r="M133" s="55"/>
      <c r="S133" s="9"/>
    </row>
    <row r="134" spans="1:19" s="18" customFormat="1" x14ac:dyDescent="0.3">
      <c r="B134" s="82"/>
      <c r="C134" s="18">
        <v>12</v>
      </c>
      <c r="D134" s="19">
        <f>N123</f>
        <v>29000513.67947885</v>
      </c>
      <c r="E134" s="19">
        <f t="shared" si="12"/>
        <v>217550785.96037775</v>
      </c>
      <c r="F134" s="19">
        <f t="shared" si="18"/>
        <v>718028897.86329997</v>
      </c>
      <c r="G134" s="18">
        <v>1.7999999999999999E-2</v>
      </c>
      <c r="H134" s="19">
        <f t="shared" si="15"/>
        <v>730953418.0248394</v>
      </c>
      <c r="I134" s="19">
        <f xml:space="preserve"> H134</f>
        <v>730953418.0248394</v>
      </c>
      <c r="J134" s="9">
        <f t="shared" si="13"/>
        <v>759953931.70431828</v>
      </c>
      <c r="K134" s="51">
        <v>36000000</v>
      </c>
      <c r="L134" s="20">
        <f xml:space="preserve"> (I134-K134) / 2</f>
        <v>347476709.0124197</v>
      </c>
      <c r="M134" s="58">
        <f xml:space="preserve"> (F123 + SUM(D124:D134)) - SUM(K124:K134)</f>
        <v>614532542.86266589</v>
      </c>
      <c r="N134" s="19">
        <f xml:space="preserve"> H134 - M134</f>
        <v>116420875.16217351</v>
      </c>
      <c r="O134" s="18">
        <v>0.84</v>
      </c>
      <c r="P134" s="19">
        <f xml:space="preserve"> N134 * O134</f>
        <v>97793535.136225745</v>
      </c>
      <c r="Q134" s="19">
        <f xml:space="preserve"> N134 - P134</f>
        <v>18627340.025947765</v>
      </c>
      <c r="R134" s="18">
        <f xml:space="preserve"> N134 / M134 * 100</f>
        <v>18.94462327736986</v>
      </c>
      <c r="S134" s="19"/>
    </row>
    <row r="135" spans="1:19" s="12" customFormat="1" x14ac:dyDescent="0.3">
      <c r="A135" s="12">
        <v>12</v>
      </c>
      <c r="B135" s="81">
        <v>2033</v>
      </c>
      <c r="C135" s="12">
        <v>1</v>
      </c>
      <c r="D135" s="13">
        <f>N135</f>
        <v>31456392.417701643</v>
      </c>
      <c r="E135" s="41">
        <f xml:space="preserve"> (E134) + ((E134) * G135 )</f>
        <v>221466700.10766456</v>
      </c>
      <c r="F135" s="13">
        <f xml:space="preserve"> (H134 / 2) + D135 - K135</f>
        <v>396933101.43012136</v>
      </c>
      <c r="G135" s="12">
        <v>1.7999999999999999E-2</v>
      </c>
      <c r="H135" s="13">
        <f t="shared" si="15"/>
        <v>404077897.25586355</v>
      </c>
      <c r="I135" s="13"/>
      <c r="J135" s="9">
        <f t="shared" si="13"/>
        <v>435534289.67356521</v>
      </c>
      <c r="K135" s="48">
        <v>0</v>
      </c>
      <c r="L135" s="14"/>
      <c r="M135" s="56"/>
      <c r="N135" s="11">
        <f xml:space="preserve"> (L134 / 12) +2500000</f>
        <v>31456392.417701643</v>
      </c>
      <c r="P135" s="13">
        <f xml:space="preserve"> (H134 - K135) / 2</f>
        <v>365476709.0124197</v>
      </c>
      <c r="Q135" s="16" t="s">
        <v>0</v>
      </c>
      <c r="S135" s="13"/>
    </row>
    <row r="136" spans="1:19" s="12" customFormat="1" x14ac:dyDescent="0.3">
      <c r="B136" s="81"/>
      <c r="C136" s="12">
        <v>2</v>
      </c>
      <c r="D136" s="13">
        <f>N135</f>
        <v>31456392.417701643</v>
      </c>
      <c r="E136" s="41">
        <f xml:space="preserve"> (E135) + ((E135) * G136 )</f>
        <v>225453100.7096025</v>
      </c>
      <c r="F136" s="13">
        <f t="shared" ref="F136:F146" si="19" xml:space="preserve"> H135 + D136 - K136</f>
        <v>435534289.67356521</v>
      </c>
      <c r="G136" s="12">
        <v>1.7999999999999999E-2</v>
      </c>
      <c r="H136" s="13">
        <f t="shared" si="15"/>
        <v>443373906.88768935</v>
      </c>
      <c r="I136" s="13"/>
      <c r="J136" s="9">
        <f t="shared" si="13"/>
        <v>474830299.30539101</v>
      </c>
      <c r="K136" s="48"/>
      <c r="L136" s="14"/>
      <c r="M136" s="56"/>
      <c r="S136" s="13"/>
    </row>
    <row r="137" spans="1:19" s="12" customFormat="1" x14ac:dyDescent="0.3">
      <c r="B137" s="81"/>
      <c r="C137" s="12">
        <v>3</v>
      </c>
      <c r="D137" s="13">
        <f>N135</f>
        <v>31456392.417701643</v>
      </c>
      <c r="E137" s="41">
        <f t="shared" ref="E137:E194" si="20" xml:space="preserve"> (E136) + ((E136) * G137 )</f>
        <v>229511256.52237535</v>
      </c>
      <c r="F137" s="13">
        <f t="shared" si="19"/>
        <v>474830299.30539101</v>
      </c>
      <c r="G137" s="12">
        <v>1.7999999999999999E-2</v>
      </c>
      <c r="H137" s="13">
        <f t="shared" si="15"/>
        <v>483377244.69288802</v>
      </c>
      <c r="I137" s="13"/>
      <c r="J137" s="9">
        <f t="shared" si="13"/>
        <v>514833637.11058968</v>
      </c>
      <c r="K137" s="48"/>
      <c r="L137" s="14"/>
      <c r="M137" s="56"/>
      <c r="S137" s="13"/>
    </row>
    <row r="138" spans="1:19" s="12" customFormat="1" x14ac:dyDescent="0.3">
      <c r="B138" s="81"/>
      <c r="C138" s="12">
        <v>4</v>
      </c>
      <c r="D138" s="13">
        <f>N135</f>
        <v>31456392.417701643</v>
      </c>
      <c r="E138" s="41">
        <f t="shared" si="20"/>
        <v>233642459.13977811</v>
      </c>
      <c r="F138" s="13">
        <f t="shared" si="19"/>
        <v>514833637.11058968</v>
      </c>
      <c r="G138" s="12">
        <v>1.7999999999999999E-2</v>
      </c>
      <c r="H138" s="13">
        <f t="shared" si="15"/>
        <v>524100642.57858032</v>
      </c>
      <c r="I138" s="13"/>
      <c r="J138" s="9">
        <f t="shared" si="13"/>
        <v>555557034.99628198</v>
      </c>
      <c r="K138" s="48"/>
      <c r="L138" s="14"/>
      <c r="M138" s="56"/>
      <c r="S138" s="13"/>
    </row>
    <row r="139" spans="1:19" s="12" customFormat="1" x14ac:dyDescent="0.3">
      <c r="B139" s="81"/>
      <c r="C139" s="12">
        <v>5</v>
      </c>
      <c r="D139" s="13">
        <f>N135</f>
        <v>31456392.417701643</v>
      </c>
      <c r="E139" s="41">
        <f t="shared" si="20"/>
        <v>237848023.4042941</v>
      </c>
      <c r="F139" s="13">
        <f t="shared" si="19"/>
        <v>536929694.97033417</v>
      </c>
      <c r="G139" s="12">
        <v>1.7999999999999999E-2</v>
      </c>
      <c r="H139" s="13">
        <f t="shared" si="15"/>
        <v>546594429.47980022</v>
      </c>
      <c r="I139" s="13"/>
      <c r="J139" s="9">
        <f t="shared" si="13"/>
        <v>578050821.89750183</v>
      </c>
      <c r="K139" s="48">
        <f xml:space="preserve"> Q134</f>
        <v>18627340.025947765</v>
      </c>
      <c r="L139" s="14"/>
      <c r="M139" s="56"/>
      <c r="S139" s="13"/>
    </row>
    <row r="140" spans="1:19" s="12" customFormat="1" x14ac:dyDescent="0.3">
      <c r="B140" s="81"/>
      <c r="C140" s="12">
        <v>6</v>
      </c>
      <c r="D140" s="13">
        <f>N135</f>
        <v>31456392.417701643</v>
      </c>
      <c r="E140" s="41">
        <f t="shared" si="20"/>
        <v>242129287.82557139</v>
      </c>
      <c r="F140" s="13">
        <f t="shared" si="19"/>
        <v>578050821.89750183</v>
      </c>
      <c r="G140" s="12">
        <v>1.7999999999999999E-2</v>
      </c>
      <c r="H140" s="13">
        <f t="shared" si="15"/>
        <v>588455736.69165683</v>
      </c>
      <c r="I140" s="13"/>
      <c r="J140" s="9">
        <f t="shared" si="13"/>
        <v>619912129.10935843</v>
      </c>
      <c r="K140" s="48"/>
      <c r="L140" s="14"/>
      <c r="M140" s="56"/>
      <c r="S140" s="13"/>
    </row>
    <row r="141" spans="1:19" s="12" customFormat="1" x14ac:dyDescent="0.3">
      <c r="B141" s="81"/>
      <c r="C141" s="12">
        <v>7</v>
      </c>
      <c r="D141" s="13">
        <f>N135</f>
        <v>31456392.417701643</v>
      </c>
      <c r="E141" s="41">
        <f t="shared" si="20"/>
        <v>246487615.00643167</v>
      </c>
      <c r="F141" s="13">
        <f t="shared" si="19"/>
        <v>619912129.10935843</v>
      </c>
      <c r="G141" s="12">
        <v>1.7999999999999999E-2</v>
      </c>
      <c r="H141" s="13">
        <f t="shared" si="15"/>
        <v>631070547.43332684</v>
      </c>
      <c r="I141" s="13"/>
      <c r="J141" s="9">
        <f t="shared" si="13"/>
        <v>662526939.85102844</v>
      </c>
      <c r="K141" s="48"/>
      <c r="L141" s="14"/>
      <c r="M141" s="56"/>
      <c r="S141" s="13"/>
    </row>
    <row r="142" spans="1:19" s="12" customFormat="1" x14ac:dyDescent="0.3">
      <c r="B142" s="81"/>
      <c r="C142" s="12">
        <v>8</v>
      </c>
      <c r="D142" s="13">
        <f>N135</f>
        <v>31456392.417701643</v>
      </c>
      <c r="E142" s="41">
        <f t="shared" si="20"/>
        <v>250924392.07654744</v>
      </c>
      <c r="F142" s="13">
        <f t="shared" si="19"/>
        <v>662526939.85102844</v>
      </c>
      <c r="G142" s="12">
        <v>1.7999999999999999E-2</v>
      </c>
      <c r="H142" s="13">
        <f t="shared" si="15"/>
        <v>674452424.76834691</v>
      </c>
      <c r="I142" s="13"/>
      <c r="J142" s="9">
        <f t="shared" si="13"/>
        <v>705908817.18604851</v>
      </c>
      <c r="K142" s="48"/>
      <c r="L142" s="14"/>
      <c r="M142" s="56"/>
      <c r="S142" s="13"/>
    </row>
    <row r="143" spans="1:19" s="12" customFormat="1" x14ac:dyDescent="0.3">
      <c r="B143" s="81"/>
      <c r="C143" s="12">
        <v>9</v>
      </c>
      <c r="D143" s="13">
        <f>N135</f>
        <v>31456392.417701643</v>
      </c>
      <c r="E143" s="41">
        <f t="shared" si="20"/>
        <v>255441031.13392529</v>
      </c>
      <c r="F143" s="13">
        <f t="shared" si="19"/>
        <v>705908817.18604851</v>
      </c>
      <c r="G143" s="12">
        <v>1.7999999999999999E-2</v>
      </c>
      <c r="H143" s="13">
        <f t="shared" si="15"/>
        <v>718615175.89539742</v>
      </c>
      <c r="I143" s="13"/>
      <c r="J143" s="9">
        <f t="shared" si="13"/>
        <v>750071568.31309903</v>
      </c>
      <c r="K143" s="48"/>
      <c r="L143" s="14"/>
      <c r="M143" s="56"/>
      <c r="S143" s="13"/>
    </row>
    <row r="144" spans="1:19" s="12" customFormat="1" x14ac:dyDescent="0.3">
      <c r="B144" s="81"/>
      <c r="C144" s="12">
        <v>10</v>
      </c>
      <c r="D144" s="13">
        <f>N135</f>
        <v>31456392.417701643</v>
      </c>
      <c r="E144" s="41">
        <f t="shared" si="20"/>
        <v>260038969.69433594</v>
      </c>
      <c r="F144" s="13">
        <f t="shared" si="19"/>
        <v>750071568.31309903</v>
      </c>
      <c r="G144" s="12">
        <v>1.7999999999999999E-2</v>
      </c>
      <c r="H144" s="13">
        <f t="shared" si="15"/>
        <v>763572856.54273486</v>
      </c>
      <c r="I144" s="13"/>
      <c r="J144" s="9">
        <f t="shared" si="13"/>
        <v>795029248.96043646</v>
      </c>
      <c r="K144" s="48"/>
      <c r="L144" s="14"/>
      <c r="M144" s="56"/>
      <c r="S144" s="13"/>
    </row>
    <row r="145" spans="1:19" s="12" customFormat="1" x14ac:dyDescent="0.3">
      <c r="B145" s="81"/>
      <c r="C145" s="12">
        <v>11</v>
      </c>
      <c r="D145" s="13">
        <f>N135</f>
        <v>31456392.417701643</v>
      </c>
      <c r="E145" s="41">
        <f t="shared" si="20"/>
        <v>264719671.14883399</v>
      </c>
      <c r="F145" s="13">
        <f t="shared" si="19"/>
        <v>795029248.96043646</v>
      </c>
      <c r="G145" s="12">
        <v>1.7999999999999999E-2</v>
      </c>
      <c r="H145" s="13">
        <f t="shared" si="15"/>
        <v>809339775.4417243</v>
      </c>
      <c r="I145" s="13"/>
      <c r="J145" s="9">
        <f t="shared" ref="J145:J194" si="21" xml:space="preserve"> D145 + H145</f>
        <v>840796167.8594259</v>
      </c>
      <c r="K145" s="48"/>
      <c r="L145" s="14"/>
      <c r="M145" s="56"/>
      <c r="S145" s="13"/>
    </row>
    <row r="146" spans="1:19" s="18" customFormat="1" x14ac:dyDescent="0.3">
      <c r="B146" s="81"/>
      <c r="C146" s="18">
        <v>12</v>
      </c>
      <c r="D146" s="19">
        <f>N135</f>
        <v>31456392.417701643</v>
      </c>
      <c r="E146" s="19">
        <f t="shared" si="20"/>
        <v>269484625.22951299</v>
      </c>
      <c r="F146" s="19">
        <f t="shared" si="19"/>
        <v>804796167.8594259</v>
      </c>
      <c r="G146" s="18">
        <v>1.7999999999999999E-2</v>
      </c>
      <c r="H146" s="19">
        <f t="shared" si="15"/>
        <v>819282498.88089561</v>
      </c>
      <c r="I146" s="19">
        <f xml:space="preserve"> H146</f>
        <v>819282498.88089561</v>
      </c>
      <c r="J146" s="9">
        <f t="shared" si="21"/>
        <v>850738891.29859722</v>
      </c>
      <c r="K146" s="51">
        <v>36000000</v>
      </c>
      <c r="L146" s="20">
        <f xml:space="preserve"> (I146-K146) / 2</f>
        <v>391641249.44044781</v>
      </c>
      <c r="M146" s="58">
        <f xml:space="preserve"> (F135 + SUM(D136:D146)) - SUM(K136:K146)</f>
        <v>688326077.99889159</v>
      </c>
      <c r="N146" s="19">
        <f xml:space="preserve"> H146 - M146</f>
        <v>130956420.88200402</v>
      </c>
      <c r="O146" s="18">
        <v>0.84</v>
      </c>
      <c r="P146" s="19">
        <f xml:space="preserve"> N146 * O146</f>
        <v>110003393.54088338</v>
      </c>
      <c r="Q146" s="19">
        <f xml:space="preserve"> N146 - P146</f>
        <v>20953027.341120645</v>
      </c>
      <c r="R146" s="18">
        <f xml:space="preserve"> N146 / M146 * 100</f>
        <v>19.025346426321928</v>
      </c>
      <c r="S146" s="19"/>
    </row>
    <row r="147" spans="1:19" s="12" customFormat="1" x14ac:dyDescent="0.3">
      <c r="A147" s="12">
        <v>13</v>
      </c>
      <c r="B147" s="81">
        <v>2034</v>
      </c>
      <c r="C147" s="12">
        <v>1</v>
      </c>
      <c r="D147" s="13">
        <f>N147</f>
        <v>35136770.786703989</v>
      </c>
      <c r="E147" s="41">
        <f t="shared" si="20"/>
        <v>274335348.48364425</v>
      </c>
      <c r="F147" s="13">
        <f xml:space="preserve"> (H146 / 2) + D147 - K147</f>
        <v>444778020.22715181</v>
      </c>
      <c r="G147" s="12">
        <v>1.7999999999999999E-2</v>
      </c>
      <c r="H147" s="13">
        <f t="shared" si="15"/>
        <v>452784024.59124053</v>
      </c>
      <c r="I147" s="13"/>
      <c r="J147" s="9">
        <f t="shared" si="21"/>
        <v>487920795.37794453</v>
      </c>
      <c r="K147" s="48"/>
      <c r="L147" s="14"/>
      <c r="M147" s="56"/>
      <c r="N147" s="11">
        <f xml:space="preserve"> (L146 / 12) +2500000</f>
        <v>35136770.786703989</v>
      </c>
      <c r="P147" s="9">
        <f xml:space="preserve"> (H146 - K147) / 2</f>
        <v>409641249.44044781</v>
      </c>
      <c r="S147" s="13"/>
    </row>
    <row r="148" spans="1:19" s="12" customFormat="1" x14ac:dyDescent="0.3">
      <c r="B148" s="81"/>
      <c r="C148" s="12">
        <v>2</v>
      </c>
      <c r="D148" s="13">
        <f>N147</f>
        <v>35136770.786703989</v>
      </c>
      <c r="E148" s="41">
        <f t="shared" si="20"/>
        <v>279273384.75634986</v>
      </c>
      <c r="F148" s="13">
        <f t="shared" ref="F148:F158" si="22" xml:space="preserve"> H147 + D148 - K148</f>
        <v>487920795.37794453</v>
      </c>
      <c r="G148" s="12">
        <v>1.7999999999999999E-2</v>
      </c>
      <c r="H148" s="13">
        <f t="shared" si="15"/>
        <v>496703369.69474751</v>
      </c>
      <c r="I148" s="13"/>
      <c r="J148" s="9">
        <f t="shared" si="21"/>
        <v>531840140.48145151</v>
      </c>
      <c r="K148" s="48"/>
      <c r="L148" s="14"/>
      <c r="M148" s="56"/>
      <c r="S148" s="13"/>
    </row>
    <row r="149" spans="1:19" s="12" customFormat="1" x14ac:dyDescent="0.3">
      <c r="B149" s="81"/>
      <c r="C149" s="12">
        <v>3</v>
      </c>
      <c r="D149" s="13">
        <f>N147</f>
        <v>35136770.786703989</v>
      </c>
      <c r="E149" s="41">
        <f t="shared" si="20"/>
        <v>284300305.68196416</v>
      </c>
      <c r="F149" s="13">
        <f t="shared" si="22"/>
        <v>531840140.48145151</v>
      </c>
      <c r="G149" s="12">
        <v>1.7999999999999999E-2</v>
      </c>
      <c r="H149" s="13">
        <f t="shared" si="15"/>
        <v>541413263.01011765</v>
      </c>
      <c r="I149" s="13"/>
      <c r="J149" s="9">
        <f t="shared" si="21"/>
        <v>576550033.79682159</v>
      </c>
      <c r="K149" s="48"/>
      <c r="L149" s="14"/>
      <c r="M149" s="56"/>
      <c r="S149" s="13"/>
    </row>
    <row r="150" spans="1:19" s="12" customFormat="1" x14ac:dyDescent="0.3">
      <c r="B150" s="81"/>
      <c r="C150" s="12">
        <v>4</v>
      </c>
      <c r="D150" s="13">
        <f>N147</f>
        <v>35136770.786703989</v>
      </c>
      <c r="E150" s="41">
        <f t="shared" si="20"/>
        <v>289417711.18423951</v>
      </c>
      <c r="F150" s="13">
        <f t="shared" si="22"/>
        <v>576550033.79682159</v>
      </c>
      <c r="G150" s="12">
        <v>1.7999999999999999E-2</v>
      </c>
      <c r="H150" s="13">
        <f t="shared" si="15"/>
        <v>586927934.40516436</v>
      </c>
      <c r="I150" s="13"/>
      <c r="J150" s="9">
        <f t="shared" si="21"/>
        <v>622064705.19186831</v>
      </c>
      <c r="K150" s="48"/>
      <c r="L150" s="14"/>
      <c r="M150" s="56"/>
      <c r="S150" s="13"/>
    </row>
    <row r="151" spans="1:19" s="12" customFormat="1" x14ac:dyDescent="0.3">
      <c r="B151" s="81"/>
      <c r="C151" s="12">
        <v>5</v>
      </c>
      <c r="D151" s="13">
        <f>N147</f>
        <v>35136770.786703989</v>
      </c>
      <c r="E151" s="41">
        <f t="shared" si="20"/>
        <v>294627229.98555583</v>
      </c>
      <c r="F151" s="13">
        <f t="shared" si="22"/>
        <v>601111677.8507477</v>
      </c>
      <c r="G151" s="12">
        <v>1.7999999999999999E-2</v>
      </c>
      <c r="H151" s="13">
        <f t="shared" si="15"/>
        <v>611931688.0520612</v>
      </c>
      <c r="I151" s="13"/>
      <c r="J151" s="9">
        <f t="shared" si="21"/>
        <v>647068458.83876514</v>
      </c>
      <c r="K151" s="48">
        <f xml:space="preserve"> Q146</f>
        <v>20953027.341120645</v>
      </c>
      <c r="L151" s="14"/>
      <c r="M151" s="56"/>
      <c r="S151" s="13"/>
    </row>
    <row r="152" spans="1:19" s="12" customFormat="1" x14ac:dyDescent="0.3">
      <c r="B152" s="81"/>
      <c r="C152" s="12">
        <v>6</v>
      </c>
      <c r="D152" s="13">
        <f>N147</f>
        <v>35136770.786703989</v>
      </c>
      <c r="E152" s="41">
        <f t="shared" si="20"/>
        <v>299930520.12529582</v>
      </c>
      <c r="F152" s="13">
        <f t="shared" si="22"/>
        <v>647068458.83876514</v>
      </c>
      <c r="G152" s="12">
        <v>1.7999999999999999E-2</v>
      </c>
      <c r="H152" s="13">
        <f t="shared" si="15"/>
        <v>658715691.09786296</v>
      </c>
      <c r="I152" s="13"/>
      <c r="J152" s="9">
        <f t="shared" si="21"/>
        <v>693852461.8845669</v>
      </c>
      <c r="K152" s="48"/>
      <c r="L152" s="14"/>
      <c r="M152" s="56"/>
      <c r="S152" s="13"/>
    </row>
    <row r="153" spans="1:19" s="12" customFormat="1" x14ac:dyDescent="0.3">
      <c r="B153" s="81"/>
      <c r="C153" s="12">
        <v>7</v>
      </c>
      <c r="D153" s="13">
        <f>N147</f>
        <v>35136770.786703989</v>
      </c>
      <c r="E153" s="41">
        <f t="shared" si="20"/>
        <v>305329269.48755115</v>
      </c>
      <c r="F153" s="13">
        <f t="shared" si="22"/>
        <v>693852461.8845669</v>
      </c>
      <c r="G153" s="12">
        <v>1.7999999999999999E-2</v>
      </c>
      <c r="H153" s="13">
        <f t="shared" si="15"/>
        <v>706341806.19848907</v>
      </c>
      <c r="I153" s="13"/>
      <c r="J153" s="9">
        <f t="shared" si="21"/>
        <v>741478576.98519301</v>
      </c>
      <c r="K153" s="48"/>
      <c r="L153" s="14"/>
      <c r="M153" s="56"/>
      <c r="S153" s="13"/>
    </row>
    <row r="154" spans="1:19" s="12" customFormat="1" x14ac:dyDescent="0.3">
      <c r="B154" s="81"/>
      <c r="C154" s="12">
        <v>8</v>
      </c>
      <c r="D154" s="13">
        <f>N147</f>
        <v>35136770.786703989</v>
      </c>
      <c r="E154" s="41">
        <f t="shared" si="20"/>
        <v>310825196.33832705</v>
      </c>
      <c r="F154" s="13">
        <f t="shared" si="22"/>
        <v>741478576.98519301</v>
      </c>
      <c r="G154" s="12">
        <v>1.7999999999999999E-2</v>
      </c>
      <c r="H154" s="13">
        <f t="shared" si="15"/>
        <v>754825191.3709265</v>
      </c>
      <c r="I154" s="13"/>
      <c r="J154" s="9">
        <f t="shared" si="21"/>
        <v>789961962.15763044</v>
      </c>
      <c r="K154" s="48"/>
      <c r="L154" s="14"/>
      <c r="M154" s="56"/>
      <c r="S154" s="13"/>
    </row>
    <row r="155" spans="1:19" s="12" customFormat="1" x14ac:dyDescent="0.3">
      <c r="B155" s="81"/>
      <c r="C155" s="12">
        <v>9</v>
      </c>
      <c r="D155" s="13">
        <f>N147</f>
        <v>35136770.786703989</v>
      </c>
      <c r="E155" s="41">
        <f t="shared" si="20"/>
        <v>316420049.87241691</v>
      </c>
      <c r="F155" s="13">
        <f t="shared" si="22"/>
        <v>789961962.15763044</v>
      </c>
      <c r="G155" s="12">
        <v>1.7999999999999999E-2</v>
      </c>
      <c r="H155" s="13">
        <f t="shared" si="15"/>
        <v>804181277.47646785</v>
      </c>
      <c r="I155" s="13"/>
      <c r="J155" s="9">
        <f t="shared" si="21"/>
        <v>839318048.26317179</v>
      </c>
      <c r="K155" s="48"/>
      <c r="L155" s="14"/>
      <c r="M155" s="56"/>
      <c r="S155" s="13"/>
    </row>
    <row r="156" spans="1:19" s="12" customFormat="1" x14ac:dyDescent="0.3">
      <c r="B156" s="81"/>
      <c r="C156" s="12">
        <v>10</v>
      </c>
      <c r="D156" s="13">
        <f>N147</f>
        <v>35136770.786703989</v>
      </c>
      <c r="E156" s="41">
        <f t="shared" si="20"/>
        <v>322115610.77012044</v>
      </c>
      <c r="F156" s="13">
        <f t="shared" si="22"/>
        <v>839318048.26317179</v>
      </c>
      <c r="G156" s="12">
        <v>1.7999999999999999E-2</v>
      </c>
      <c r="H156" s="13">
        <f t="shared" si="15"/>
        <v>854425773.13190889</v>
      </c>
      <c r="I156" s="13"/>
      <c r="J156" s="9">
        <f t="shared" si="21"/>
        <v>889562543.91861284</v>
      </c>
      <c r="K156" s="48"/>
      <c r="L156" s="14"/>
      <c r="M156" s="56"/>
      <c r="S156" s="13"/>
    </row>
    <row r="157" spans="1:19" s="12" customFormat="1" x14ac:dyDescent="0.3">
      <c r="B157" s="81"/>
      <c r="C157" s="12">
        <v>11</v>
      </c>
      <c r="D157" s="13">
        <f>N147</f>
        <v>35136770.786703989</v>
      </c>
      <c r="E157" s="41">
        <f t="shared" si="20"/>
        <v>327913691.76398259</v>
      </c>
      <c r="F157" s="13">
        <f t="shared" si="22"/>
        <v>889562543.91861284</v>
      </c>
      <c r="G157" s="12">
        <v>1.7999999999999999E-2</v>
      </c>
      <c r="H157" s="13">
        <f t="shared" si="15"/>
        <v>905574669.70914781</v>
      </c>
      <c r="I157" s="13"/>
      <c r="J157" s="9">
        <f t="shared" si="21"/>
        <v>940711440.49585176</v>
      </c>
      <c r="K157" s="48"/>
      <c r="L157" s="14"/>
      <c r="M157" s="56"/>
      <c r="S157" s="13"/>
    </row>
    <row r="158" spans="1:19" s="18" customFormat="1" x14ac:dyDescent="0.3">
      <c r="B158" s="81"/>
      <c r="C158" s="18">
        <v>12</v>
      </c>
      <c r="D158" s="19">
        <f>N147</f>
        <v>35136770.786703989</v>
      </c>
      <c r="E158" s="19">
        <f t="shared" si="20"/>
        <v>333816138.2157343</v>
      </c>
      <c r="F158" s="19">
        <f t="shared" si="22"/>
        <v>904711440.49585176</v>
      </c>
      <c r="G158" s="18">
        <v>1.7999999999999999E-2</v>
      </c>
      <c r="H158" s="19">
        <f t="shared" ref="H158:H194" si="23" xml:space="preserve"> (F158 * G158) + F158</f>
        <v>920996246.42477703</v>
      </c>
      <c r="I158" s="19">
        <f xml:space="preserve"> H158</f>
        <v>920996246.42477703</v>
      </c>
      <c r="J158" s="9">
        <f t="shared" si="21"/>
        <v>956133017.21148098</v>
      </c>
      <c r="K158" s="51">
        <v>36000000</v>
      </c>
      <c r="L158" s="20">
        <f xml:space="preserve"> (I158-K158) / 2</f>
        <v>442498123.21238852</v>
      </c>
      <c r="M158" s="58">
        <f xml:space="preserve"> (F147 + SUM(D148:D158)) - SUM(K148:K158)</f>
        <v>774329471.53977525</v>
      </c>
      <c r="N158" s="19">
        <f xml:space="preserve"> H158 - M158</f>
        <v>146666774.88500178</v>
      </c>
      <c r="O158" s="18">
        <v>0.84</v>
      </c>
      <c r="P158" s="19">
        <f xml:space="preserve"> N158 * O158</f>
        <v>123200090.90340149</v>
      </c>
      <c r="Q158" s="19">
        <f xml:space="preserve"> N158 - P158</f>
        <v>23466683.981600285</v>
      </c>
      <c r="R158" s="18">
        <f xml:space="preserve"> N158 / M158 * 100</f>
        <v>18.941132977071234</v>
      </c>
      <c r="S158" s="19"/>
    </row>
    <row r="159" spans="1:19" s="12" customFormat="1" x14ac:dyDescent="0.3">
      <c r="A159" s="12">
        <v>14</v>
      </c>
      <c r="B159" s="81">
        <v>2035</v>
      </c>
      <c r="C159" s="12">
        <v>1</v>
      </c>
      <c r="D159" s="13">
        <f>N159</f>
        <v>39374843.601032376</v>
      </c>
      <c r="E159" s="41">
        <f t="shared" si="20"/>
        <v>339824828.70361751</v>
      </c>
      <c r="F159" s="13">
        <f xml:space="preserve"> (H158 / 2) + D159 - K159</f>
        <v>499872966.81342089</v>
      </c>
      <c r="G159" s="12">
        <v>1.7999999999999999E-2</v>
      </c>
      <c r="H159" s="13">
        <f t="shared" si="23"/>
        <v>508870680.21606249</v>
      </c>
      <c r="I159" s="13"/>
      <c r="J159" s="9">
        <f t="shared" si="21"/>
        <v>548245523.8170948</v>
      </c>
      <c r="K159" s="48"/>
      <c r="L159" s="14"/>
      <c r="M159" s="56"/>
      <c r="N159" s="11">
        <f xml:space="preserve"> (L158 / 12) +2500000</f>
        <v>39374843.601032376</v>
      </c>
      <c r="P159" s="9">
        <f xml:space="preserve"> (H158 - K159) / 2</f>
        <v>460498123.21238852</v>
      </c>
      <c r="S159" s="13"/>
    </row>
    <row r="160" spans="1:19" s="12" customFormat="1" x14ac:dyDescent="0.3">
      <c r="B160" s="81"/>
      <c r="C160" s="12">
        <v>2</v>
      </c>
      <c r="D160" s="13">
        <f>N159</f>
        <v>39374843.601032376</v>
      </c>
      <c r="E160" s="41">
        <f t="shared" si="20"/>
        <v>345941675.62028265</v>
      </c>
      <c r="F160" s="13">
        <f t="shared" ref="F160:F170" si="24" xml:space="preserve"> H159 + D160 - K160</f>
        <v>548245523.8170948</v>
      </c>
      <c r="G160" s="12">
        <v>1.7999999999999999E-2</v>
      </c>
      <c r="H160" s="13">
        <f t="shared" si="23"/>
        <v>558113943.24580252</v>
      </c>
      <c r="I160" s="13"/>
      <c r="J160" s="9">
        <f t="shared" si="21"/>
        <v>597488786.8468349</v>
      </c>
      <c r="K160" s="48"/>
      <c r="L160" s="14"/>
      <c r="M160" s="56"/>
      <c r="S160" s="13"/>
    </row>
    <row r="161" spans="1:19" s="12" customFormat="1" x14ac:dyDescent="0.3">
      <c r="B161" s="81"/>
      <c r="C161" s="12">
        <v>3</v>
      </c>
      <c r="D161" s="13">
        <f>N159</f>
        <v>39374843.601032376</v>
      </c>
      <c r="E161" s="41">
        <f t="shared" si="20"/>
        <v>352168625.78144771</v>
      </c>
      <c r="F161" s="13">
        <f t="shared" si="24"/>
        <v>597488786.8468349</v>
      </c>
      <c r="G161" s="12">
        <v>1.7999999999999999E-2</v>
      </c>
      <c r="H161" s="13">
        <f t="shared" si="23"/>
        <v>608243585.01007795</v>
      </c>
      <c r="I161" s="13"/>
      <c r="J161" s="9">
        <f t="shared" si="21"/>
        <v>647618428.61111033</v>
      </c>
      <c r="K161" s="48"/>
      <c r="L161" s="14"/>
      <c r="M161" s="56"/>
      <c r="S161" s="13"/>
    </row>
    <row r="162" spans="1:19" s="12" customFormat="1" x14ac:dyDescent="0.3">
      <c r="B162" s="81"/>
      <c r="C162" s="12">
        <v>4</v>
      </c>
      <c r="D162" s="13">
        <f>N159</f>
        <v>39374843.601032376</v>
      </c>
      <c r="E162" s="41">
        <f t="shared" si="20"/>
        <v>358507661.04551375</v>
      </c>
      <c r="F162" s="13">
        <f t="shared" si="24"/>
        <v>647618428.61111033</v>
      </c>
      <c r="G162" s="12">
        <v>1.7999999999999999E-2</v>
      </c>
      <c r="H162" s="13">
        <f t="shared" si="23"/>
        <v>659275560.32611036</v>
      </c>
      <c r="I162" s="13"/>
      <c r="J162" s="9">
        <f t="shared" si="21"/>
        <v>698650403.92714274</v>
      </c>
      <c r="K162" s="48"/>
      <c r="L162" s="14"/>
      <c r="M162" s="56"/>
      <c r="S162" s="13"/>
    </row>
    <row r="163" spans="1:19" s="12" customFormat="1" x14ac:dyDescent="0.3">
      <c r="B163" s="81"/>
      <c r="C163" s="12">
        <v>5</v>
      </c>
      <c r="D163" s="13">
        <f>N159</f>
        <v>39374843.601032376</v>
      </c>
      <c r="E163" s="41">
        <f t="shared" si="20"/>
        <v>364960798.94433302</v>
      </c>
      <c r="F163" s="13">
        <f t="shared" si="24"/>
        <v>675183719.94554245</v>
      </c>
      <c r="G163" s="12">
        <v>1.7999999999999999E-2</v>
      </c>
      <c r="H163" s="13">
        <f t="shared" si="23"/>
        <v>687337026.90456223</v>
      </c>
      <c r="I163" s="13"/>
      <c r="J163" s="9">
        <f t="shared" si="21"/>
        <v>726711870.50559461</v>
      </c>
      <c r="K163" s="48">
        <f xml:space="preserve"> Q158</f>
        <v>23466683.981600285</v>
      </c>
      <c r="L163" s="14"/>
      <c r="M163" s="56"/>
      <c r="S163" s="13"/>
    </row>
    <row r="164" spans="1:19" s="12" customFormat="1" x14ac:dyDescent="0.3">
      <c r="B164" s="81"/>
      <c r="C164" s="12">
        <v>6</v>
      </c>
      <c r="D164" s="13">
        <f>N159</f>
        <v>39374843.601032376</v>
      </c>
      <c r="E164" s="41">
        <f t="shared" si="20"/>
        <v>371530093.32533103</v>
      </c>
      <c r="F164" s="13">
        <f t="shared" si="24"/>
        <v>726711870.50559461</v>
      </c>
      <c r="G164" s="12">
        <v>1.7999999999999999E-2</v>
      </c>
      <c r="H164" s="13">
        <f t="shared" si="23"/>
        <v>739792684.17469525</v>
      </c>
      <c r="I164" s="13"/>
      <c r="J164" s="9">
        <f t="shared" si="21"/>
        <v>779167527.77572763</v>
      </c>
      <c r="K164" s="48"/>
      <c r="L164" s="14"/>
      <c r="M164" s="56"/>
      <c r="S164" s="13"/>
    </row>
    <row r="165" spans="1:19" s="12" customFormat="1" x14ac:dyDescent="0.3">
      <c r="B165" s="81"/>
      <c r="C165" s="12">
        <v>7</v>
      </c>
      <c r="D165" s="13">
        <f>N159</f>
        <v>39374843.601032376</v>
      </c>
      <c r="E165" s="41">
        <f t="shared" si="20"/>
        <v>378217635.00518698</v>
      </c>
      <c r="F165" s="13">
        <f t="shared" si="24"/>
        <v>779167527.77572763</v>
      </c>
      <c r="G165" s="12">
        <v>1.7999999999999999E-2</v>
      </c>
      <c r="H165" s="13">
        <f t="shared" si="23"/>
        <v>793192543.27569067</v>
      </c>
      <c r="I165" s="13"/>
      <c r="J165" s="9">
        <f t="shared" si="21"/>
        <v>832567386.87672305</v>
      </c>
      <c r="K165" s="48"/>
      <c r="L165" s="14"/>
      <c r="M165" s="56"/>
      <c r="S165" s="13"/>
    </row>
    <row r="166" spans="1:19" s="12" customFormat="1" x14ac:dyDescent="0.3">
      <c r="B166" s="81"/>
      <c r="C166" s="12">
        <v>8</v>
      </c>
      <c r="D166" s="13">
        <f>N159</f>
        <v>39374843.601032376</v>
      </c>
      <c r="E166" s="41">
        <f t="shared" si="20"/>
        <v>385025552.43528032</v>
      </c>
      <c r="F166" s="13">
        <f t="shared" si="24"/>
        <v>832567386.87672305</v>
      </c>
      <c r="G166" s="12">
        <v>1.7999999999999999E-2</v>
      </c>
      <c r="H166" s="13">
        <f t="shared" si="23"/>
        <v>847553599.84050405</v>
      </c>
      <c r="I166" s="13"/>
      <c r="J166" s="9">
        <f t="shared" si="21"/>
        <v>886928443.44153643</v>
      </c>
      <c r="K166" s="48"/>
      <c r="L166" s="14"/>
      <c r="M166" s="56"/>
      <c r="S166" s="13"/>
    </row>
    <row r="167" spans="1:19" s="12" customFormat="1" x14ac:dyDescent="0.3">
      <c r="B167" s="81"/>
      <c r="C167" s="12">
        <v>9</v>
      </c>
      <c r="D167" s="13">
        <f>N159</f>
        <v>39374843.601032376</v>
      </c>
      <c r="E167" s="41">
        <f t="shared" si="20"/>
        <v>391956012.37911534</v>
      </c>
      <c r="F167" s="13">
        <f t="shared" si="24"/>
        <v>886928443.44153643</v>
      </c>
      <c r="G167" s="12">
        <v>1.7999999999999999E-2</v>
      </c>
      <c r="H167" s="13">
        <f t="shared" si="23"/>
        <v>902893155.42348409</v>
      </c>
      <c r="I167" s="13"/>
      <c r="J167" s="9">
        <f t="shared" si="21"/>
        <v>942267999.02451646</v>
      </c>
      <c r="K167" s="48"/>
      <c r="L167" s="14"/>
      <c r="M167" s="56"/>
      <c r="S167" s="13"/>
    </row>
    <row r="168" spans="1:19" s="12" customFormat="1" x14ac:dyDescent="0.3">
      <c r="B168" s="81"/>
      <c r="C168" s="12">
        <v>10</v>
      </c>
      <c r="D168" s="13">
        <f>N159</f>
        <v>39374843.601032376</v>
      </c>
      <c r="E168" s="41">
        <f t="shared" si="20"/>
        <v>399011220.60193944</v>
      </c>
      <c r="F168" s="13">
        <f t="shared" si="24"/>
        <v>942267999.02451646</v>
      </c>
      <c r="G168" s="12">
        <v>1.7999999999999999E-2</v>
      </c>
      <c r="H168" s="13">
        <f t="shared" si="23"/>
        <v>959228823.00695777</v>
      </c>
      <c r="I168" s="13"/>
      <c r="J168" s="9">
        <f t="shared" si="21"/>
        <v>998603666.60799015</v>
      </c>
      <c r="K168" s="48"/>
      <c r="L168" s="14"/>
      <c r="M168" s="56"/>
      <c r="S168" s="13"/>
    </row>
    <row r="169" spans="1:19" s="12" customFormat="1" x14ac:dyDescent="0.3">
      <c r="B169" s="81"/>
      <c r="C169" s="12">
        <v>11</v>
      </c>
      <c r="D169" s="13">
        <f>N159</f>
        <v>39374843.601032376</v>
      </c>
      <c r="E169" s="41">
        <f t="shared" si="20"/>
        <v>406193422.57277435</v>
      </c>
      <c r="F169" s="13">
        <f t="shared" si="24"/>
        <v>998603666.60799015</v>
      </c>
      <c r="G169" s="12">
        <v>1.7999999999999999E-2</v>
      </c>
      <c r="H169" s="13">
        <f t="shared" si="23"/>
        <v>1016578532.606934</v>
      </c>
      <c r="I169" s="13"/>
      <c r="J169" s="9">
        <f t="shared" si="21"/>
        <v>1055953376.2079663</v>
      </c>
      <c r="K169" s="48"/>
      <c r="L169" s="14"/>
      <c r="M169" s="56"/>
      <c r="S169" s="13"/>
    </row>
    <row r="170" spans="1:19" s="18" customFormat="1" x14ac:dyDescent="0.3">
      <c r="B170" s="81"/>
      <c r="C170" s="18">
        <v>12</v>
      </c>
      <c r="D170" s="19">
        <f>N159</f>
        <v>39374843.601032376</v>
      </c>
      <c r="E170" s="19">
        <f t="shared" si="20"/>
        <v>413504904.1790843</v>
      </c>
      <c r="F170" s="19">
        <f t="shared" si="24"/>
        <v>1019953376.2079663</v>
      </c>
      <c r="G170" s="18">
        <v>1.7999999999999999E-2</v>
      </c>
      <c r="H170" s="19">
        <f t="shared" si="23"/>
        <v>1038312536.9797097</v>
      </c>
      <c r="I170" s="19">
        <f xml:space="preserve"> H170</f>
        <v>1038312536.9797097</v>
      </c>
      <c r="J170" s="9">
        <f t="shared" si="21"/>
        <v>1077687380.5807421</v>
      </c>
      <c r="K170" s="51">
        <v>36000000</v>
      </c>
      <c r="L170" s="20">
        <f xml:space="preserve"> (I170-K170) / 2</f>
        <v>501156268.48985487</v>
      </c>
      <c r="M170" s="58">
        <f xml:space="preserve"> (F159 + SUM(D160:D170)) - SUM(K160:K170)</f>
        <v>873529562.44317675</v>
      </c>
      <c r="N170" s="19">
        <f xml:space="preserve"> H170 - M170</f>
        <v>164782974.536533</v>
      </c>
      <c r="O170" s="18">
        <v>0.84</v>
      </c>
      <c r="P170" s="19">
        <f xml:space="preserve"> N170 * O170</f>
        <v>138417698.6106877</v>
      </c>
      <c r="Q170" s="19">
        <f xml:space="preserve"> N170 - P170</f>
        <v>26365275.925845295</v>
      </c>
      <c r="R170" s="18">
        <f xml:space="preserve"> N170 / M170 * 100</f>
        <v>18.864040969105972</v>
      </c>
      <c r="S170" s="19"/>
    </row>
    <row r="171" spans="1:19" s="12" customFormat="1" x14ac:dyDescent="0.3">
      <c r="A171" s="12">
        <v>15</v>
      </c>
      <c r="B171" s="81">
        <v>2036</v>
      </c>
      <c r="C171" s="12">
        <v>1</v>
      </c>
      <c r="D171" s="13">
        <f>N171</f>
        <v>44263022.374154575</v>
      </c>
      <c r="E171" s="41">
        <f t="shared" si="20"/>
        <v>420947992.45430779</v>
      </c>
      <c r="F171" s="13">
        <f xml:space="preserve"> (H170 / 2) + D171 - K171</f>
        <v>563419290.8640095</v>
      </c>
      <c r="G171" s="12">
        <v>1.7999999999999999E-2</v>
      </c>
      <c r="H171" s="13">
        <f t="shared" si="23"/>
        <v>573560838.09956169</v>
      </c>
      <c r="I171" s="13"/>
      <c r="J171" s="9">
        <f t="shared" si="21"/>
        <v>617823860.47371626</v>
      </c>
      <c r="K171" s="48"/>
      <c r="L171" s="14"/>
      <c r="M171" s="56"/>
      <c r="N171" s="11">
        <f xml:space="preserve"> (L170 / 12) +2500000</f>
        <v>44263022.374154575</v>
      </c>
      <c r="P171" s="9">
        <f xml:space="preserve"> (H170 - K171) / 2</f>
        <v>519156268.48985487</v>
      </c>
      <c r="S171" s="13"/>
    </row>
    <row r="172" spans="1:19" s="12" customFormat="1" x14ac:dyDescent="0.3">
      <c r="B172" s="81"/>
      <c r="C172" s="12">
        <v>2</v>
      </c>
      <c r="D172" s="13">
        <f>N171</f>
        <v>44263022.374154575</v>
      </c>
      <c r="E172" s="41">
        <f t="shared" si="20"/>
        <v>428525056.31848532</v>
      </c>
      <c r="F172" s="13">
        <f t="shared" ref="F172:F182" si="25" xml:space="preserve"> H171 + D172 - K172</f>
        <v>617823860.47371626</v>
      </c>
      <c r="G172" s="12">
        <v>1.7999999999999999E-2</v>
      </c>
      <c r="H172" s="13">
        <f t="shared" si="23"/>
        <v>628944689.9622432</v>
      </c>
      <c r="I172" s="13"/>
      <c r="J172" s="9">
        <f t="shared" si="21"/>
        <v>673207712.33639777</v>
      </c>
      <c r="K172" s="48"/>
      <c r="L172" s="14"/>
      <c r="M172" s="56"/>
      <c r="S172" s="13"/>
    </row>
    <row r="173" spans="1:19" s="12" customFormat="1" x14ac:dyDescent="0.3">
      <c r="B173" s="81"/>
      <c r="C173" s="12">
        <v>3</v>
      </c>
      <c r="D173" s="13">
        <f>N171</f>
        <v>44263022.374154575</v>
      </c>
      <c r="E173" s="41">
        <f t="shared" si="20"/>
        <v>436238507.33221805</v>
      </c>
      <c r="F173" s="13">
        <f t="shared" si="25"/>
        <v>673207712.33639777</v>
      </c>
      <c r="G173" s="12">
        <v>1.7999999999999999E-2</v>
      </c>
      <c r="H173" s="13">
        <f t="shared" si="23"/>
        <v>685325451.15845287</v>
      </c>
      <c r="I173" s="13"/>
      <c r="J173" s="9">
        <f t="shared" si="21"/>
        <v>729588473.53260744</v>
      </c>
      <c r="K173" s="48"/>
      <c r="L173" s="14"/>
      <c r="M173" s="56"/>
      <c r="S173" s="13"/>
    </row>
    <row r="174" spans="1:19" s="12" customFormat="1" x14ac:dyDescent="0.3">
      <c r="B174" s="81"/>
      <c r="C174" s="12">
        <v>4</v>
      </c>
      <c r="D174" s="13">
        <f>N171</f>
        <v>44263022.374154575</v>
      </c>
      <c r="E174" s="41">
        <f t="shared" si="20"/>
        <v>444090800.46419799</v>
      </c>
      <c r="F174" s="13">
        <f t="shared" si="25"/>
        <v>729588473.53260744</v>
      </c>
      <c r="G174" s="12">
        <v>1.7999999999999999E-2</v>
      </c>
      <c r="H174" s="13">
        <f t="shared" si="23"/>
        <v>742721066.05619442</v>
      </c>
      <c r="I174" s="13"/>
      <c r="J174" s="9">
        <f t="shared" si="21"/>
        <v>786984088.43034899</v>
      </c>
      <c r="K174" s="48"/>
      <c r="L174" s="14"/>
      <c r="M174" s="56"/>
      <c r="S174" s="13"/>
    </row>
    <row r="175" spans="1:19" s="12" customFormat="1" x14ac:dyDescent="0.3">
      <c r="B175" s="81"/>
      <c r="C175" s="12">
        <v>5</v>
      </c>
      <c r="D175" s="13">
        <f>N171</f>
        <v>44263022.374154575</v>
      </c>
      <c r="E175" s="41">
        <f t="shared" si="20"/>
        <v>452084434.87255353</v>
      </c>
      <c r="F175" s="13">
        <f t="shared" si="25"/>
        <v>760618812.50450373</v>
      </c>
      <c r="G175" s="12">
        <v>1.7999999999999999E-2</v>
      </c>
      <c r="H175" s="13">
        <f t="shared" si="23"/>
        <v>774309951.12958479</v>
      </c>
      <c r="I175" s="13"/>
      <c r="J175" s="9">
        <f t="shared" si="21"/>
        <v>818572973.50373936</v>
      </c>
      <c r="K175" s="48">
        <f xml:space="preserve"> Q170</f>
        <v>26365275.925845295</v>
      </c>
      <c r="L175" s="14"/>
      <c r="M175" s="56"/>
      <c r="S175" s="13"/>
    </row>
    <row r="176" spans="1:19" s="12" customFormat="1" x14ac:dyDescent="0.3">
      <c r="B176" s="81"/>
      <c r="C176" s="12">
        <v>6</v>
      </c>
      <c r="D176" s="13">
        <f>N171</f>
        <v>44263022.374154575</v>
      </c>
      <c r="E176" s="41">
        <f t="shared" si="20"/>
        <v>460221954.70025951</v>
      </c>
      <c r="F176" s="13">
        <f t="shared" si="25"/>
        <v>818572973.50373936</v>
      </c>
      <c r="G176" s="12">
        <v>1.7999999999999999E-2</v>
      </c>
      <c r="H176" s="13">
        <f t="shared" si="23"/>
        <v>833307287.02680671</v>
      </c>
      <c r="I176" s="13"/>
      <c r="J176" s="9">
        <f t="shared" si="21"/>
        <v>877570309.40096128</v>
      </c>
      <c r="K176" s="48"/>
      <c r="L176" s="14"/>
      <c r="M176" s="56"/>
      <c r="S176" s="13"/>
    </row>
    <row r="177" spans="1:19" s="12" customFormat="1" x14ac:dyDescent="0.3">
      <c r="B177" s="81"/>
      <c r="C177" s="12">
        <v>7</v>
      </c>
      <c r="D177" s="13">
        <f>N171</f>
        <v>44263022.374154575</v>
      </c>
      <c r="E177" s="41">
        <f t="shared" si="20"/>
        <v>468505949.88486415</v>
      </c>
      <c r="F177" s="13">
        <f t="shared" si="25"/>
        <v>877570309.40096128</v>
      </c>
      <c r="G177" s="12">
        <v>1.7999999999999999E-2</v>
      </c>
      <c r="H177" s="13">
        <f t="shared" si="23"/>
        <v>893366574.9701786</v>
      </c>
      <c r="I177" s="13"/>
      <c r="J177" s="9">
        <f t="shared" si="21"/>
        <v>937629597.34433317</v>
      </c>
      <c r="K177" s="48"/>
      <c r="L177" s="14"/>
      <c r="M177" s="56"/>
      <c r="S177" s="13"/>
    </row>
    <row r="178" spans="1:19" s="12" customFormat="1" x14ac:dyDescent="0.3">
      <c r="B178" s="81"/>
      <c r="C178" s="12">
        <v>8</v>
      </c>
      <c r="D178" s="13">
        <f>N171</f>
        <v>44263022.374154575</v>
      </c>
      <c r="E178" s="41">
        <f t="shared" si="20"/>
        <v>476939056.98279172</v>
      </c>
      <c r="F178" s="13">
        <f t="shared" si="25"/>
        <v>937629597.34433317</v>
      </c>
      <c r="G178" s="12">
        <v>1.7999999999999999E-2</v>
      </c>
      <c r="H178" s="13">
        <f t="shared" si="23"/>
        <v>954506930.09653115</v>
      </c>
      <c r="I178" s="13"/>
      <c r="J178" s="9">
        <f t="shared" si="21"/>
        <v>998769952.47068572</v>
      </c>
      <c r="K178" s="48"/>
      <c r="L178" s="14"/>
      <c r="M178" s="56"/>
      <c r="S178" s="13"/>
    </row>
    <row r="179" spans="1:19" s="12" customFormat="1" x14ac:dyDescent="0.3">
      <c r="B179" s="81"/>
      <c r="C179" s="12">
        <v>9</v>
      </c>
      <c r="D179" s="13">
        <f>N171</f>
        <v>44263022.374154575</v>
      </c>
      <c r="E179" s="41">
        <f t="shared" si="20"/>
        <v>485523960.00848198</v>
      </c>
      <c r="F179" s="13">
        <f t="shared" si="25"/>
        <v>998769952.47068572</v>
      </c>
      <c r="G179" s="12">
        <v>1.7999999999999999E-2</v>
      </c>
      <c r="H179" s="13">
        <f t="shared" si="23"/>
        <v>1016747811.6151581</v>
      </c>
      <c r="I179" s="13"/>
      <c r="J179" s="9">
        <f t="shared" si="21"/>
        <v>1061010833.9893126</v>
      </c>
      <c r="K179" s="48"/>
      <c r="L179" s="14"/>
      <c r="M179" s="56"/>
      <c r="S179" s="13"/>
    </row>
    <row r="180" spans="1:19" s="12" customFormat="1" x14ac:dyDescent="0.3">
      <c r="B180" s="81"/>
      <c r="C180" s="12">
        <v>10</v>
      </c>
      <c r="D180" s="13">
        <f>N171</f>
        <v>44263022.374154575</v>
      </c>
      <c r="E180" s="41">
        <f t="shared" si="20"/>
        <v>494263391.28863466</v>
      </c>
      <c r="F180" s="13">
        <f t="shared" si="25"/>
        <v>1061010833.9893126</v>
      </c>
      <c r="G180" s="12">
        <v>1.7999999999999999E-2</v>
      </c>
      <c r="H180" s="13">
        <f t="shared" si="23"/>
        <v>1080109029.0011203</v>
      </c>
      <c r="I180" s="13"/>
      <c r="J180" s="9">
        <f t="shared" si="21"/>
        <v>1124372051.3752749</v>
      </c>
      <c r="K180" s="48"/>
      <c r="L180" s="14"/>
      <c r="M180" s="56"/>
      <c r="S180" s="13"/>
    </row>
    <row r="181" spans="1:19" s="12" customFormat="1" x14ac:dyDescent="0.3">
      <c r="B181" s="81"/>
      <c r="C181" s="12">
        <v>11</v>
      </c>
      <c r="D181" s="13">
        <f>N171</f>
        <v>44263022.374154575</v>
      </c>
      <c r="E181" s="41">
        <f t="shared" si="20"/>
        <v>503160132.33183008</v>
      </c>
      <c r="F181" s="13">
        <f t="shared" si="25"/>
        <v>1124372051.3752749</v>
      </c>
      <c r="G181" s="12">
        <v>1.7999999999999999E-2</v>
      </c>
      <c r="H181" s="13">
        <f t="shared" si="23"/>
        <v>1144610748.3000298</v>
      </c>
      <c r="I181" s="13"/>
      <c r="J181" s="9">
        <f t="shared" si="21"/>
        <v>1188873770.6741843</v>
      </c>
      <c r="K181" s="48"/>
      <c r="L181" s="14"/>
      <c r="M181" s="56"/>
      <c r="S181" s="13"/>
    </row>
    <row r="182" spans="1:19" s="18" customFormat="1" x14ac:dyDescent="0.3">
      <c r="B182" s="81"/>
      <c r="C182" s="18">
        <v>12</v>
      </c>
      <c r="D182" s="19">
        <f>N171</f>
        <v>44263022.374154575</v>
      </c>
      <c r="E182" s="19">
        <f t="shared" si="20"/>
        <v>512217014.71380305</v>
      </c>
      <c r="F182" s="19">
        <f t="shared" si="25"/>
        <v>1152873770.6741843</v>
      </c>
      <c r="G182" s="18">
        <v>1.7999999999999999E-2</v>
      </c>
      <c r="H182" s="19">
        <f t="shared" si="23"/>
        <v>1173625498.5463197</v>
      </c>
      <c r="I182" s="19">
        <f xml:space="preserve"> H182</f>
        <v>1173625498.5463197</v>
      </c>
      <c r="J182" s="9">
        <f t="shared" si="21"/>
        <v>1217888520.9204743</v>
      </c>
      <c r="K182" s="51">
        <v>36000000</v>
      </c>
      <c r="L182" s="20">
        <f xml:space="preserve"> (I182-K182) / 2</f>
        <v>568812749.27315986</v>
      </c>
      <c r="M182" s="58">
        <f xml:space="preserve"> (F171 + SUM(D172:D182)) - SUM(K172:K182)</f>
        <v>987947261.0538646</v>
      </c>
      <c r="N182" s="19">
        <f xml:space="preserve"> H182 - M182</f>
        <v>185678237.49245512</v>
      </c>
      <c r="O182" s="18">
        <v>0.84</v>
      </c>
      <c r="P182" s="19">
        <f xml:space="preserve"> N182 * O182</f>
        <v>155969719.4936623</v>
      </c>
      <c r="Q182" s="19">
        <f xml:space="preserve"> N182 - P182</f>
        <v>29708517.998792827</v>
      </c>
      <c r="R182" s="18">
        <f xml:space="preserve"> N182 / M182 * 100</f>
        <v>18.794347108608626</v>
      </c>
      <c r="S182" s="19"/>
    </row>
    <row r="183" spans="1:19" s="12" customFormat="1" x14ac:dyDescent="0.3">
      <c r="A183" s="12">
        <v>16</v>
      </c>
      <c r="B183" s="81">
        <v>2037</v>
      </c>
      <c r="C183" s="12">
        <v>1</v>
      </c>
      <c r="D183" s="13">
        <f>N183</f>
        <v>49901062.439429991</v>
      </c>
      <c r="E183" s="41">
        <f t="shared" si="20"/>
        <v>521436920.97865152</v>
      </c>
      <c r="F183" s="13">
        <f xml:space="preserve"> (H182 / 2) + D183 - K183</f>
        <v>636713811.71258986</v>
      </c>
      <c r="G183" s="12">
        <v>1.7999999999999999E-2</v>
      </c>
      <c r="H183" s="13">
        <f t="shared" si="23"/>
        <v>648174660.32341647</v>
      </c>
      <c r="I183" s="13"/>
      <c r="J183" s="9">
        <f t="shared" si="21"/>
        <v>698075722.76284647</v>
      </c>
      <c r="K183" s="48"/>
      <c r="L183" s="14"/>
      <c r="M183" s="56"/>
      <c r="N183" s="11">
        <f xml:space="preserve"> (L182 / 12) +2500000</f>
        <v>49901062.439429991</v>
      </c>
      <c r="P183" s="9">
        <f xml:space="preserve"> (H182 - K183) / 2</f>
        <v>586812749.27315986</v>
      </c>
      <c r="S183" s="13"/>
    </row>
    <row r="184" spans="1:19" s="12" customFormat="1" x14ac:dyDescent="0.3">
      <c r="B184" s="81"/>
      <c r="C184" s="12">
        <v>2</v>
      </c>
      <c r="D184" s="13">
        <f>N183</f>
        <v>49901062.439429991</v>
      </c>
      <c r="E184" s="41">
        <f t="shared" si="20"/>
        <v>530822785.55626726</v>
      </c>
      <c r="F184" s="13">
        <f t="shared" ref="F184:F194" si="26" xml:space="preserve"> H183 + D184 - K184</f>
        <v>698075722.76284647</v>
      </c>
      <c r="G184" s="12">
        <v>1.7999999999999999E-2</v>
      </c>
      <c r="H184" s="13">
        <f t="shared" si="23"/>
        <v>710641085.77257776</v>
      </c>
      <c r="I184" s="13"/>
      <c r="J184" s="9">
        <f t="shared" si="21"/>
        <v>760542148.21200776</v>
      </c>
      <c r="K184" s="48"/>
      <c r="L184" s="14"/>
      <c r="M184" s="56"/>
      <c r="S184" s="13"/>
    </row>
    <row r="185" spans="1:19" s="12" customFormat="1" x14ac:dyDescent="0.3">
      <c r="B185" s="81"/>
      <c r="C185" s="12">
        <v>3</v>
      </c>
      <c r="D185" s="13">
        <f>N183</f>
        <v>49901062.439429991</v>
      </c>
      <c r="E185" s="41">
        <f t="shared" si="20"/>
        <v>540377595.69628012</v>
      </c>
      <c r="F185" s="13">
        <f t="shared" si="26"/>
        <v>760542148.21200776</v>
      </c>
      <c r="G185" s="12">
        <v>1.7999999999999999E-2</v>
      </c>
      <c r="H185" s="13">
        <f t="shared" si="23"/>
        <v>774231906.87982392</v>
      </c>
      <c r="I185" s="13"/>
      <c r="J185" s="9">
        <f t="shared" si="21"/>
        <v>824132969.31925392</v>
      </c>
      <c r="K185" s="48"/>
      <c r="L185" s="14"/>
      <c r="M185" s="56"/>
      <c r="S185" s="13"/>
    </row>
    <row r="186" spans="1:19" s="12" customFormat="1" x14ac:dyDescent="0.3">
      <c r="B186" s="81"/>
      <c r="C186" s="12">
        <v>4</v>
      </c>
      <c r="D186" s="13">
        <f>N183</f>
        <v>49901062.439429991</v>
      </c>
      <c r="E186" s="41">
        <f t="shared" si="20"/>
        <v>550104392.41881311</v>
      </c>
      <c r="F186" s="13">
        <f t="shared" si="26"/>
        <v>824132969.31925392</v>
      </c>
      <c r="G186" s="12">
        <v>1.7999999999999999E-2</v>
      </c>
      <c r="H186" s="13">
        <f t="shared" si="23"/>
        <v>838967362.76700044</v>
      </c>
      <c r="I186" s="13"/>
      <c r="J186" s="9">
        <f t="shared" si="21"/>
        <v>888868425.20643044</v>
      </c>
      <c r="K186" s="48"/>
      <c r="L186" s="14"/>
      <c r="M186" s="56"/>
      <c r="S186" s="13"/>
    </row>
    <row r="187" spans="1:19" s="12" customFormat="1" x14ac:dyDescent="0.3">
      <c r="B187" s="81"/>
      <c r="C187" s="12">
        <v>5</v>
      </c>
      <c r="D187" s="13">
        <f>N183</f>
        <v>49901062.439429991</v>
      </c>
      <c r="E187" s="41">
        <f t="shared" si="20"/>
        <v>560006271.48235178</v>
      </c>
      <c r="F187" s="13">
        <f t="shared" si="26"/>
        <v>859159907.20763755</v>
      </c>
      <c r="G187" s="12">
        <v>1.7999999999999999E-2</v>
      </c>
      <c r="H187" s="13">
        <f t="shared" si="23"/>
        <v>874624785.53737497</v>
      </c>
      <c r="I187" s="13"/>
      <c r="J187" s="9">
        <f t="shared" si="21"/>
        <v>924525847.97680497</v>
      </c>
      <c r="K187" s="48">
        <f xml:space="preserve"> Q182</f>
        <v>29708517.998792827</v>
      </c>
      <c r="L187" s="14"/>
      <c r="M187" s="56"/>
      <c r="S187" s="13"/>
    </row>
    <row r="188" spans="1:19" s="12" customFormat="1" x14ac:dyDescent="0.3">
      <c r="B188" s="81"/>
      <c r="C188" s="12">
        <v>6</v>
      </c>
      <c r="D188" s="13">
        <f>N183</f>
        <v>49901062.439429991</v>
      </c>
      <c r="E188" s="41">
        <f t="shared" si="20"/>
        <v>570086384.36903405</v>
      </c>
      <c r="F188" s="13">
        <f t="shared" si="26"/>
        <v>924525847.97680497</v>
      </c>
      <c r="G188" s="12">
        <v>1.7999999999999999E-2</v>
      </c>
      <c r="H188" s="13">
        <f t="shared" si="23"/>
        <v>941167313.24038744</v>
      </c>
      <c r="I188" s="13"/>
      <c r="J188" s="9">
        <f t="shared" si="21"/>
        <v>991068375.67981744</v>
      </c>
      <c r="K188" s="48"/>
      <c r="L188" s="14"/>
      <c r="M188" s="56"/>
      <c r="S188" s="13"/>
    </row>
    <row r="189" spans="1:19" s="12" customFormat="1" x14ac:dyDescent="0.3">
      <c r="B189" s="81"/>
      <c r="C189" s="12">
        <v>7</v>
      </c>
      <c r="D189" s="13">
        <f>N183</f>
        <v>49901062.439429991</v>
      </c>
      <c r="E189" s="41">
        <f t="shared" si="20"/>
        <v>580347939.28767669</v>
      </c>
      <c r="F189" s="13">
        <f t="shared" si="26"/>
        <v>991068375.67981744</v>
      </c>
      <c r="G189" s="12">
        <v>1.7999999999999999E-2</v>
      </c>
      <c r="H189" s="13">
        <f t="shared" si="23"/>
        <v>1008907606.4420542</v>
      </c>
      <c r="I189" s="13"/>
      <c r="J189" s="9">
        <f t="shared" si="21"/>
        <v>1058808668.8814842</v>
      </c>
      <c r="K189" s="48"/>
      <c r="L189" s="14"/>
      <c r="M189" s="56"/>
      <c r="S189" s="13"/>
    </row>
    <row r="190" spans="1:19" s="12" customFormat="1" x14ac:dyDescent="0.3">
      <c r="B190" s="81"/>
      <c r="C190" s="12">
        <v>8</v>
      </c>
      <c r="D190" s="13">
        <f>N183</f>
        <v>49901062.439429991</v>
      </c>
      <c r="E190" s="41">
        <f t="shared" si="20"/>
        <v>590794202.19485486</v>
      </c>
      <c r="F190" s="13">
        <f t="shared" si="26"/>
        <v>1058808668.8814842</v>
      </c>
      <c r="G190" s="12">
        <v>1.7999999999999999E-2</v>
      </c>
      <c r="H190" s="13">
        <f t="shared" si="23"/>
        <v>1077867224.921351</v>
      </c>
      <c r="I190" s="13"/>
      <c r="J190" s="9">
        <f t="shared" si="21"/>
        <v>1127768287.360781</v>
      </c>
      <c r="K190" s="48"/>
      <c r="L190" s="14"/>
      <c r="M190" s="56"/>
      <c r="S190" s="13"/>
    </row>
    <row r="191" spans="1:19" s="12" customFormat="1" x14ac:dyDescent="0.3">
      <c r="B191" s="81"/>
      <c r="C191" s="12">
        <v>9</v>
      </c>
      <c r="D191" s="13">
        <f>N183</f>
        <v>49901062.439429991</v>
      </c>
      <c r="E191" s="41">
        <f t="shared" si="20"/>
        <v>601428497.83436227</v>
      </c>
      <c r="F191" s="13">
        <f t="shared" si="26"/>
        <v>1127768287.360781</v>
      </c>
      <c r="G191" s="12">
        <v>1.7999999999999999E-2</v>
      </c>
      <c r="H191" s="13">
        <f t="shared" si="23"/>
        <v>1148068116.5332751</v>
      </c>
      <c r="I191" s="13"/>
      <c r="J191" s="9">
        <f t="shared" si="21"/>
        <v>1197969178.9727051</v>
      </c>
      <c r="K191" s="48"/>
      <c r="L191" s="14"/>
      <c r="M191" s="56"/>
      <c r="S191" s="13"/>
    </row>
    <row r="192" spans="1:19" s="12" customFormat="1" x14ac:dyDescent="0.3">
      <c r="B192" s="81"/>
      <c r="C192" s="12">
        <v>10</v>
      </c>
      <c r="D192" s="13">
        <f>N183</f>
        <v>49901062.439429991</v>
      </c>
      <c r="E192" s="41">
        <f t="shared" si="20"/>
        <v>612254210.79538083</v>
      </c>
      <c r="F192" s="13">
        <f t="shared" si="26"/>
        <v>1197969178.9727051</v>
      </c>
      <c r="G192" s="12">
        <v>1.7999999999999999E-2</v>
      </c>
      <c r="H192" s="13">
        <f t="shared" si="23"/>
        <v>1219532624.1942139</v>
      </c>
      <c r="I192" s="13"/>
      <c r="J192" s="9">
        <f t="shared" si="21"/>
        <v>1269433686.6336439</v>
      </c>
      <c r="K192" s="48"/>
      <c r="L192" s="14"/>
      <c r="M192" s="56"/>
      <c r="S192" s="13"/>
    </row>
    <row r="193" spans="1:19" s="12" customFormat="1" x14ac:dyDescent="0.3">
      <c r="B193" s="81"/>
      <c r="C193" s="12">
        <v>11</v>
      </c>
      <c r="D193" s="13">
        <f>N183</f>
        <v>49901062.439429991</v>
      </c>
      <c r="E193" s="41">
        <f t="shared" si="20"/>
        <v>623274786.58969772</v>
      </c>
      <c r="F193" s="13">
        <f t="shared" si="26"/>
        <v>1269433686.6336439</v>
      </c>
      <c r="G193" s="12">
        <v>1.7999999999999999E-2</v>
      </c>
      <c r="H193" s="13">
        <f t="shared" si="23"/>
        <v>1292283492.9930494</v>
      </c>
      <c r="I193" s="13"/>
      <c r="J193" s="9">
        <f t="shared" si="21"/>
        <v>1342184555.4324794</v>
      </c>
      <c r="K193" s="48"/>
      <c r="L193" s="14"/>
      <c r="M193" s="56"/>
      <c r="S193" s="13"/>
    </row>
    <row r="194" spans="1:19" s="18" customFormat="1" x14ac:dyDescent="0.3">
      <c r="B194" s="81"/>
      <c r="C194" s="18">
        <v>12</v>
      </c>
      <c r="D194" s="19">
        <f>N183</f>
        <v>49901062.439429991</v>
      </c>
      <c r="E194" s="19">
        <f t="shared" si="20"/>
        <v>634493732.74831223</v>
      </c>
      <c r="F194" s="19">
        <f t="shared" si="26"/>
        <v>1306184555.4324794</v>
      </c>
      <c r="G194" s="18">
        <v>1.7999999999999999E-2</v>
      </c>
      <c r="H194" s="19">
        <f t="shared" si="23"/>
        <v>1329695877.430264</v>
      </c>
      <c r="I194" s="19">
        <f xml:space="preserve"> H194</f>
        <v>1329695877.430264</v>
      </c>
      <c r="J194" s="9">
        <f t="shared" si="21"/>
        <v>1379596939.869694</v>
      </c>
      <c r="K194" s="51">
        <v>36000000</v>
      </c>
      <c r="L194" s="20">
        <f xml:space="preserve"> (I194-K194) / 2</f>
        <v>646847938.715132</v>
      </c>
      <c r="M194" s="58">
        <f xml:space="preserve"> (F183 + SUM(D184:D194)) - SUM(K184:K194)</f>
        <v>1119916980.5475268</v>
      </c>
      <c r="N194" s="19">
        <f xml:space="preserve"> H194 - M194</f>
        <v>209778896.88273716</v>
      </c>
      <c r="O194" s="18">
        <v>0.84</v>
      </c>
      <c r="P194" s="19">
        <f xml:space="preserve"> N194 * O194</f>
        <v>176214273.3814992</v>
      </c>
      <c r="Q194" s="19">
        <f xml:space="preserve"> N194 - P194</f>
        <v>33564623.501237959</v>
      </c>
      <c r="R194" s="18">
        <f xml:space="preserve"> N194 / M194 * 100</f>
        <v>18.731647124430275</v>
      </c>
      <c r="S194" s="19"/>
    </row>
    <row r="195" spans="1:19" s="3" customFormat="1" x14ac:dyDescent="0.3">
      <c r="A195" s="3">
        <v>17</v>
      </c>
      <c r="B195" s="80">
        <v>2038</v>
      </c>
      <c r="C195" s="3">
        <v>1</v>
      </c>
      <c r="D195" s="4"/>
      <c r="E195" s="4"/>
      <c r="F195" s="4"/>
      <c r="H195" s="4"/>
      <c r="I195" s="4"/>
      <c r="J195" s="4"/>
      <c r="K195" s="52"/>
      <c r="L195" s="5"/>
      <c r="M195" s="59"/>
      <c r="N195" s="11"/>
      <c r="P195" s="9"/>
      <c r="Q195" s="7"/>
      <c r="S195" s="4"/>
    </row>
    <row r="196" spans="1:19" s="3" customFormat="1" x14ac:dyDescent="0.3">
      <c r="A196" s="61" t="s">
        <v>44</v>
      </c>
      <c r="B196" s="80"/>
      <c r="C196" s="3">
        <v>2</v>
      </c>
      <c r="D196" s="4"/>
      <c r="E196" s="4"/>
      <c r="F196" s="4"/>
      <c r="H196" s="4"/>
      <c r="I196" s="4"/>
      <c r="J196" s="4"/>
      <c r="K196" s="52"/>
      <c r="L196" s="5"/>
      <c r="M196" s="59"/>
      <c r="S196" s="4"/>
    </row>
    <row r="197" spans="1:19" s="3" customFormat="1" x14ac:dyDescent="0.3">
      <c r="B197" s="80"/>
      <c r="C197" s="3">
        <v>3</v>
      </c>
      <c r="D197" s="4"/>
      <c r="E197" s="4"/>
      <c r="F197" s="4"/>
      <c r="H197" s="4"/>
      <c r="I197" s="4"/>
      <c r="J197" s="4"/>
      <c r="K197" s="52"/>
      <c r="L197" s="5"/>
      <c r="M197" s="59"/>
      <c r="S197" s="4"/>
    </row>
    <row r="198" spans="1:19" s="3" customFormat="1" x14ac:dyDescent="0.3">
      <c r="B198" s="80"/>
      <c r="C198" s="3">
        <v>4</v>
      </c>
      <c r="D198" s="4"/>
      <c r="E198" s="4"/>
      <c r="F198" s="4"/>
      <c r="H198" s="4"/>
      <c r="I198" s="4"/>
      <c r="J198" s="4"/>
      <c r="K198" s="52"/>
      <c r="L198" s="5"/>
      <c r="M198" s="59"/>
      <c r="S198" s="4"/>
    </row>
    <row r="199" spans="1:19" s="3" customFormat="1" x14ac:dyDescent="0.3">
      <c r="B199" s="80"/>
      <c r="C199" s="3">
        <v>5</v>
      </c>
      <c r="D199" s="4"/>
      <c r="E199" s="4"/>
      <c r="F199" s="4"/>
      <c r="H199" s="4"/>
      <c r="I199" s="4"/>
      <c r="J199" s="4"/>
      <c r="K199" s="52"/>
      <c r="L199" s="5"/>
      <c r="M199" s="59"/>
      <c r="S199" s="4"/>
    </row>
    <row r="200" spans="1:19" s="3" customFormat="1" x14ac:dyDescent="0.3">
      <c r="B200" s="80"/>
      <c r="C200" s="3">
        <v>6</v>
      </c>
      <c r="D200" s="4"/>
      <c r="E200" s="4"/>
      <c r="F200" s="4"/>
      <c r="H200" s="4"/>
      <c r="I200" s="4"/>
      <c r="J200" s="4"/>
      <c r="K200" s="52"/>
      <c r="L200" s="5"/>
      <c r="M200" s="59"/>
      <c r="S200" s="4"/>
    </row>
    <row r="201" spans="1:19" s="3" customFormat="1" x14ac:dyDescent="0.3">
      <c r="B201" s="80"/>
      <c r="C201" s="3">
        <v>7</v>
      </c>
      <c r="D201" s="4"/>
      <c r="E201" s="4"/>
      <c r="F201" s="4"/>
      <c r="H201" s="4"/>
      <c r="I201" s="4"/>
      <c r="J201" s="4"/>
      <c r="K201" s="52"/>
      <c r="L201" s="5"/>
      <c r="M201" s="59"/>
      <c r="S201" s="4"/>
    </row>
    <row r="202" spans="1:19" s="3" customFormat="1" x14ac:dyDescent="0.3">
      <c r="B202" s="80"/>
      <c r="C202" s="3">
        <v>8</v>
      </c>
      <c r="D202" s="4"/>
      <c r="E202" s="4"/>
      <c r="F202" s="4"/>
      <c r="H202" s="4"/>
      <c r="I202" s="4"/>
      <c r="J202" s="4"/>
      <c r="K202" s="52"/>
      <c r="L202" s="5"/>
      <c r="M202" s="59"/>
      <c r="S202" s="4"/>
    </row>
    <row r="203" spans="1:19" s="3" customFormat="1" x14ac:dyDescent="0.3">
      <c r="B203" s="80"/>
      <c r="C203" s="3">
        <v>9</v>
      </c>
      <c r="D203" s="4"/>
      <c r="E203" s="4"/>
      <c r="F203" s="4"/>
      <c r="H203" s="4"/>
      <c r="I203" s="4"/>
      <c r="J203" s="4"/>
      <c r="K203" s="52"/>
      <c r="L203" s="5"/>
      <c r="M203" s="59"/>
      <c r="S203" s="4"/>
    </row>
    <row r="204" spans="1:19" s="3" customFormat="1" x14ac:dyDescent="0.3">
      <c r="B204" s="80"/>
      <c r="C204" s="3">
        <v>10</v>
      </c>
      <c r="D204" s="4"/>
      <c r="E204" s="4"/>
      <c r="F204" s="4"/>
      <c r="H204" s="4"/>
      <c r="I204" s="4"/>
      <c r="J204" s="4"/>
      <c r="K204" s="52"/>
      <c r="L204" s="5"/>
      <c r="M204" s="59"/>
      <c r="S204" s="4"/>
    </row>
    <row r="205" spans="1:19" s="3" customFormat="1" x14ac:dyDescent="0.3">
      <c r="B205" s="80"/>
      <c r="C205" s="3">
        <v>11</v>
      </c>
      <c r="D205" s="4"/>
      <c r="E205" s="4"/>
      <c r="F205" s="4"/>
      <c r="H205" s="4"/>
      <c r="I205" s="4"/>
      <c r="J205" s="4"/>
      <c r="K205" s="52"/>
      <c r="L205" s="5"/>
      <c r="M205" s="59"/>
      <c r="S205" s="4"/>
    </row>
    <row r="206" spans="1:19" s="3" customFormat="1" x14ac:dyDescent="0.3">
      <c r="B206" s="80"/>
      <c r="C206" s="3">
        <v>12</v>
      </c>
      <c r="D206" s="4"/>
      <c r="E206" s="4"/>
      <c r="F206" s="4"/>
      <c r="H206" s="4"/>
      <c r="I206" s="19"/>
      <c r="J206" s="19"/>
      <c r="K206" s="53"/>
      <c r="L206" s="17"/>
      <c r="M206" s="60"/>
      <c r="N206" s="9"/>
      <c r="P206" s="4"/>
      <c r="Q206" s="4"/>
      <c r="S206" s="4"/>
    </row>
    <row r="207" spans="1:19" s="3" customFormat="1" x14ac:dyDescent="0.3">
      <c r="A207" s="3">
        <v>18</v>
      </c>
      <c r="B207" s="80">
        <v>2039</v>
      </c>
      <c r="C207" s="3">
        <v>1</v>
      </c>
      <c r="D207" s="4"/>
      <c r="E207" s="4"/>
      <c r="F207" s="4"/>
      <c r="H207" s="4"/>
      <c r="I207" s="4"/>
      <c r="J207" s="4"/>
      <c r="K207" s="52"/>
      <c r="L207" s="5"/>
      <c r="M207" s="59"/>
      <c r="N207" s="6"/>
      <c r="P207" s="9"/>
      <c r="S207" s="4"/>
    </row>
    <row r="208" spans="1:19" s="3" customFormat="1" x14ac:dyDescent="0.3">
      <c r="B208" s="80"/>
      <c r="C208" s="3">
        <v>2</v>
      </c>
      <c r="D208" s="4"/>
      <c r="E208" s="4"/>
      <c r="F208" s="4"/>
      <c r="H208" s="4"/>
      <c r="I208" s="4"/>
      <c r="J208" s="4"/>
      <c r="K208" s="52"/>
      <c r="L208" s="5"/>
      <c r="M208" s="59"/>
      <c r="S208" s="4"/>
    </row>
    <row r="209" spans="1:19" s="3" customFormat="1" x14ac:dyDescent="0.3">
      <c r="B209" s="80"/>
      <c r="C209" s="3">
        <v>3</v>
      </c>
      <c r="D209" s="4"/>
      <c r="E209" s="4"/>
      <c r="F209" s="4"/>
      <c r="H209" s="4"/>
      <c r="I209" s="4"/>
      <c r="J209" s="4"/>
      <c r="K209" s="52"/>
      <c r="L209" s="5"/>
      <c r="M209" s="59"/>
      <c r="S209" s="4"/>
    </row>
    <row r="210" spans="1:19" s="3" customFormat="1" x14ac:dyDescent="0.3">
      <c r="B210" s="80"/>
      <c r="C210" s="3">
        <v>4</v>
      </c>
      <c r="D210" s="4"/>
      <c r="E210" s="4"/>
      <c r="F210" s="4"/>
      <c r="H210" s="4"/>
      <c r="I210" s="4"/>
      <c r="J210" s="4"/>
      <c r="K210" s="52"/>
      <c r="L210" s="5"/>
      <c r="M210" s="59"/>
      <c r="S210" s="4"/>
    </row>
    <row r="211" spans="1:19" s="3" customFormat="1" x14ac:dyDescent="0.3">
      <c r="B211" s="80"/>
      <c r="C211" s="3">
        <v>5</v>
      </c>
      <c r="D211" s="4"/>
      <c r="E211" s="4"/>
      <c r="F211" s="4"/>
      <c r="H211" s="4"/>
      <c r="I211" s="4"/>
      <c r="J211" s="4"/>
      <c r="K211" s="52"/>
      <c r="L211" s="5"/>
      <c r="M211" s="59"/>
      <c r="S211" s="4"/>
    </row>
    <row r="212" spans="1:19" s="3" customFormat="1" x14ac:dyDescent="0.3">
      <c r="B212" s="80"/>
      <c r="C212" s="3">
        <v>6</v>
      </c>
      <c r="D212" s="4"/>
      <c r="E212" s="4"/>
      <c r="F212" s="4"/>
      <c r="H212" s="4"/>
      <c r="I212" s="4"/>
      <c r="J212" s="4"/>
      <c r="K212" s="52"/>
      <c r="L212" s="5"/>
      <c r="M212" s="59"/>
      <c r="S212" s="4"/>
    </row>
    <row r="213" spans="1:19" s="3" customFormat="1" x14ac:dyDescent="0.3">
      <c r="B213" s="80"/>
      <c r="C213" s="3">
        <v>7</v>
      </c>
      <c r="D213" s="4"/>
      <c r="E213" s="4"/>
      <c r="F213" s="4"/>
      <c r="H213" s="4"/>
      <c r="I213" s="4"/>
      <c r="J213" s="4"/>
      <c r="K213" s="52"/>
      <c r="L213" s="5"/>
      <c r="M213" s="59"/>
      <c r="S213" s="4"/>
    </row>
    <row r="214" spans="1:19" s="3" customFormat="1" x14ac:dyDescent="0.3">
      <c r="B214" s="80"/>
      <c r="C214" s="3">
        <v>8</v>
      </c>
      <c r="D214" s="4"/>
      <c r="E214" s="4"/>
      <c r="F214" s="4"/>
      <c r="H214" s="4"/>
      <c r="I214" s="4"/>
      <c r="J214" s="4"/>
      <c r="K214" s="52"/>
      <c r="L214" s="5"/>
      <c r="M214" s="59"/>
      <c r="S214" s="4"/>
    </row>
    <row r="215" spans="1:19" s="3" customFormat="1" x14ac:dyDescent="0.3">
      <c r="B215" s="80"/>
      <c r="C215" s="3">
        <v>9</v>
      </c>
      <c r="D215" s="4"/>
      <c r="E215" s="4"/>
      <c r="F215" s="4"/>
      <c r="H215" s="4"/>
      <c r="I215" s="4"/>
      <c r="J215" s="4"/>
      <c r="K215" s="52"/>
      <c r="L215" s="5"/>
      <c r="M215" s="59"/>
      <c r="S215" s="4"/>
    </row>
    <row r="216" spans="1:19" s="3" customFormat="1" x14ac:dyDescent="0.3">
      <c r="B216" s="80"/>
      <c r="C216" s="3">
        <v>10</v>
      </c>
      <c r="D216" s="4"/>
      <c r="E216" s="4"/>
      <c r="F216" s="4"/>
      <c r="H216" s="4"/>
      <c r="I216" s="4"/>
      <c r="J216" s="4"/>
      <c r="K216" s="52"/>
      <c r="L216" s="5"/>
      <c r="M216" s="59"/>
      <c r="S216" s="4"/>
    </row>
    <row r="217" spans="1:19" s="3" customFormat="1" x14ac:dyDescent="0.3">
      <c r="B217" s="80"/>
      <c r="C217" s="3">
        <v>11</v>
      </c>
      <c r="D217" s="4"/>
      <c r="E217" s="4"/>
      <c r="F217" s="4"/>
      <c r="H217" s="4"/>
      <c r="I217" s="4"/>
      <c r="J217" s="4"/>
      <c r="K217" s="52"/>
      <c r="L217" s="5"/>
      <c r="M217" s="59"/>
      <c r="S217" s="4"/>
    </row>
    <row r="218" spans="1:19" s="3" customFormat="1" x14ac:dyDescent="0.3">
      <c r="B218" s="80"/>
      <c r="C218" s="3">
        <v>12</v>
      </c>
      <c r="D218" s="4"/>
      <c r="E218" s="4"/>
      <c r="F218" s="4"/>
      <c r="H218" s="4"/>
      <c r="I218" s="19"/>
      <c r="J218" s="19"/>
      <c r="K218" s="53"/>
      <c r="L218" s="17"/>
      <c r="M218" s="60"/>
      <c r="N218" s="9"/>
      <c r="P218" s="4"/>
      <c r="Q218" s="4"/>
      <c r="S218" s="4"/>
    </row>
    <row r="219" spans="1:19" s="3" customFormat="1" x14ac:dyDescent="0.3">
      <c r="A219" s="3">
        <v>19</v>
      </c>
      <c r="B219" s="80">
        <v>2040</v>
      </c>
      <c r="C219" s="3">
        <v>1</v>
      </c>
      <c r="D219" s="4"/>
      <c r="E219" s="4"/>
      <c r="F219" s="4"/>
      <c r="H219" s="4"/>
      <c r="I219" s="4"/>
      <c r="J219" s="4"/>
      <c r="K219" s="52"/>
      <c r="L219" s="5"/>
      <c r="M219" s="59"/>
      <c r="N219" s="6"/>
      <c r="P219" s="9"/>
      <c r="S219" s="4"/>
    </row>
    <row r="220" spans="1:19" s="3" customFormat="1" x14ac:dyDescent="0.3">
      <c r="B220" s="80"/>
      <c r="C220" s="3">
        <v>2</v>
      </c>
      <c r="D220" s="4"/>
      <c r="E220" s="4"/>
      <c r="F220" s="4"/>
      <c r="H220" s="4"/>
      <c r="I220" s="4"/>
      <c r="J220" s="4"/>
      <c r="K220" s="52"/>
      <c r="L220" s="5"/>
      <c r="M220" s="59"/>
      <c r="S220" s="4"/>
    </row>
    <row r="221" spans="1:19" s="3" customFormat="1" x14ac:dyDescent="0.3">
      <c r="B221" s="80"/>
      <c r="C221" s="3">
        <v>3</v>
      </c>
      <c r="D221" s="4"/>
      <c r="E221" s="4"/>
      <c r="F221" s="4"/>
      <c r="H221" s="4"/>
      <c r="I221" s="4"/>
      <c r="J221" s="4"/>
      <c r="K221" s="52"/>
      <c r="L221" s="5"/>
      <c r="M221" s="59"/>
      <c r="S221" s="4"/>
    </row>
    <row r="222" spans="1:19" s="3" customFormat="1" x14ac:dyDescent="0.3">
      <c r="B222" s="80"/>
      <c r="C222" s="3">
        <v>4</v>
      </c>
      <c r="D222" s="4"/>
      <c r="E222" s="4"/>
      <c r="F222" s="4"/>
      <c r="H222" s="4"/>
      <c r="I222" s="4"/>
      <c r="J222" s="4"/>
      <c r="K222" s="52"/>
      <c r="L222" s="5"/>
      <c r="M222" s="59"/>
      <c r="S222" s="4"/>
    </row>
    <row r="223" spans="1:19" s="3" customFormat="1" x14ac:dyDescent="0.3">
      <c r="B223" s="80"/>
      <c r="C223" s="3">
        <v>5</v>
      </c>
      <c r="D223" s="4"/>
      <c r="E223" s="4"/>
      <c r="F223" s="4"/>
      <c r="H223" s="4"/>
      <c r="I223" s="4"/>
      <c r="J223" s="4"/>
      <c r="K223" s="52"/>
      <c r="L223" s="5"/>
      <c r="M223" s="59"/>
      <c r="S223" s="4"/>
    </row>
    <row r="224" spans="1:19" s="3" customFormat="1" x14ac:dyDescent="0.3">
      <c r="B224" s="80"/>
      <c r="C224" s="3">
        <v>6</v>
      </c>
      <c r="D224" s="4"/>
      <c r="E224" s="4"/>
      <c r="F224" s="4"/>
      <c r="H224" s="4"/>
      <c r="I224" s="4"/>
      <c r="J224" s="4"/>
      <c r="K224" s="52"/>
      <c r="L224" s="5"/>
      <c r="M224" s="59"/>
      <c r="S224" s="4"/>
    </row>
    <row r="225" spans="1:19" s="3" customFormat="1" x14ac:dyDescent="0.3">
      <c r="B225" s="80"/>
      <c r="C225" s="3">
        <v>7</v>
      </c>
      <c r="D225" s="4"/>
      <c r="E225" s="4"/>
      <c r="F225" s="4"/>
      <c r="H225" s="4"/>
      <c r="I225" s="4"/>
      <c r="J225" s="4"/>
      <c r="K225" s="52"/>
      <c r="L225" s="5"/>
      <c r="M225" s="59"/>
      <c r="S225" s="4"/>
    </row>
    <row r="226" spans="1:19" s="3" customFormat="1" x14ac:dyDescent="0.3">
      <c r="B226" s="80"/>
      <c r="C226" s="3">
        <v>8</v>
      </c>
      <c r="D226" s="4"/>
      <c r="E226" s="4"/>
      <c r="F226" s="4"/>
      <c r="H226" s="4"/>
      <c r="I226" s="4"/>
      <c r="J226" s="4"/>
      <c r="K226" s="52"/>
      <c r="L226" s="5"/>
      <c r="M226" s="59"/>
      <c r="S226" s="4"/>
    </row>
    <row r="227" spans="1:19" s="3" customFormat="1" x14ac:dyDescent="0.3">
      <c r="B227" s="80"/>
      <c r="C227" s="3">
        <v>9</v>
      </c>
      <c r="D227" s="4"/>
      <c r="E227" s="4"/>
      <c r="F227" s="4"/>
      <c r="H227" s="4"/>
      <c r="I227" s="4"/>
      <c r="J227" s="4"/>
      <c r="K227" s="52"/>
      <c r="L227" s="5"/>
      <c r="M227" s="59"/>
      <c r="S227" s="4"/>
    </row>
    <row r="228" spans="1:19" s="3" customFormat="1" x14ac:dyDescent="0.3">
      <c r="B228" s="80"/>
      <c r="C228" s="3">
        <v>10</v>
      </c>
      <c r="D228" s="4"/>
      <c r="E228" s="4"/>
      <c r="F228" s="4"/>
      <c r="H228" s="4"/>
      <c r="I228" s="4"/>
      <c r="J228" s="4"/>
      <c r="K228" s="52"/>
      <c r="L228" s="5"/>
      <c r="M228" s="59"/>
      <c r="S228" s="4"/>
    </row>
    <row r="229" spans="1:19" s="3" customFormat="1" x14ac:dyDescent="0.3">
      <c r="B229" s="80"/>
      <c r="C229" s="3">
        <v>11</v>
      </c>
      <c r="D229" s="4"/>
      <c r="E229" s="4"/>
      <c r="F229" s="4"/>
      <c r="H229" s="4"/>
      <c r="I229" s="4"/>
      <c r="J229" s="4"/>
      <c r="K229" s="52"/>
      <c r="L229" s="5"/>
      <c r="M229" s="59"/>
      <c r="S229" s="4"/>
    </row>
    <row r="230" spans="1:19" s="3" customFormat="1" x14ac:dyDescent="0.3">
      <c r="B230" s="80"/>
      <c r="C230" s="3">
        <v>12</v>
      </c>
      <c r="D230" s="4"/>
      <c r="E230" s="4"/>
      <c r="F230" s="4"/>
      <c r="H230" s="4"/>
      <c r="I230" s="19"/>
      <c r="J230" s="19"/>
      <c r="K230" s="53"/>
      <c r="L230" s="17"/>
      <c r="M230" s="60"/>
      <c r="N230" s="9"/>
      <c r="P230" s="4"/>
      <c r="Q230" s="4"/>
      <c r="S230" s="4"/>
    </row>
    <row r="231" spans="1:19" s="3" customFormat="1" x14ac:dyDescent="0.3">
      <c r="A231" s="3">
        <v>20</v>
      </c>
      <c r="B231" s="80">
        <v>2041</v>
      </c>
      <c r="C231" s="3">
        <v>1</v>
      </c>
      <c r="D231" s="4"/>
      <c r="E231" s="4"/>
      <c r="F231" s="4"/>
      <c r="H231" s="4"/>
      <c r="I231" s="4"/>
      <c r="J231" s="4"/>
      <c r="K231" s="52"/>
      <c r="L231" s="5"/>
      <c r="M231" s="59"/>
      <c r="N231" s="6"/>
      <c r="P231" s="9"/>
      <c r="S231" s="4"/>
    </row>
    <row r="232" spans="1:19" s="3" customFormat="1" x14ac:dyDescent="0.3">
      <c r="B232" s="80"/>
      <c r="C232" s="3">
        <v>2</v>
      </c>
      <c r="D232" s="4"/>
      <c r="E232" s="4"/>
      <c r="F232" s="4"/>
      <c r="H232" s="4"/>
      <c r="I232" s="4"/>
      <c r="J232" s="4"/>
      <c r="K232" s="52"/>
      <c r="L232" s="5"/>
      <c r="M232" s="59"/>
      <c r="S232" s="4"/>
    </row>
    <row r="233" spans="1:19" s="3" customFormat="1" x14ac:dyDescent="0.3">
      <c r="B233" s="80"/>
      <c r="C233" s="3">
        <v>3</v>
      </c>
      <c r="D233" s="4"/>
      <c r="E233" s="4"/>
      <c r="F233" s="4"/>
      <c r="H233" s="4"/>
      <c r="I233" s="4"/>
      <c r="J233" s="4"/>
      <c r="K233" s="52"/>
      <c r="L233" s="5"/>
      <c r="M233" s="59"/>
      <c r="S233" s="4"/>
    </row>
    <row r="234" spans="1:19" s="3" customFormat="1" x14ac:dyDescent="0.3">
      <c r="B234" s="80"/>
      <c r="C234" s="3">
        <v>4</v>
      </c>
      <c r="D234" s="4"/>
      <c r="E234" s="4"/>
      <c r="F234" s="4"/>
      <c r="H234" s="4"/>
      <c r="I234" s="4"/>
      <c r="J234" s="4"/>
      <c r="K234" s="52"/>
      <c r="L234" s="5"/>
      <c r="M234" s="59"/>
      <c r="S234" s="4"/>
    </row>
    <row r="235" spans="1:19" s="3" customFormat="1" x14ac:dyDescent="0.3">
      <c r="B235" s="80"/>
      <c r="C235" s="3">
        <v>5</v>
      </c>
      <c r="D235" s="4"/>
      <c r="E235" s="4"/>
      <c r="F235" s="4"/>
      <c r="H235" s="4"/>
      <c r="I235" s="4"/>
      <c r="J235" s="4"/>
      <c r="K235" s="52"/>
      <c r="L235" s="5"/>
      <c r="M235" s="59"/>
      <c r="S235" s="4"/>
    </row>
    <row r="236" spans="1:19" s="3" customFormat="1" x14ac:dyDescent="0.3">
      <c r="B236" s="80"/>
      <c r="C236" s="3">
        <v>6</v>
      </c>
      <c r="D236" s="4"/>
      <c r="E236" s="4"/>
      <c r="F236" s="4"/>
      <c r="H236" s="4"/>
      <c r="I236" s="4"/>
      <c r="J236" s="4"/>
      <c r="K236" s="52"/>
      <c r="L236" s="5"/>
      <c r="M236" s="59"/>
      <c r="S236" s="4"/>
    </row>
    <row r="237" spans="1:19" s="3" customFormat="1" x14ac:dyDescent="0.3">
      <c r="B237" s="80"/>
      <c r="C237" s="3">
        <v>7</v>
      </c>
      <c r="D237" s="4"/>
      <c r="E237" s="4"/>
      <c r="F237" s="4"/>
      <c r="H237" s="4"/>
      <c r="I237" s="4"/>
      <c r="J237" s="4"/>
      <c r="K237" s="52"/>
      <c r="L237" s="5"/>
      <c r="M237" s="59"/>
      <c r="S237" s="4"/>
    </row>
    <row r="238" spans="1:19" s="3" customFormat="1" x14ac:dyDescent="0.3">
      <c r="B238" s="80"/>
      <c r="C238" s="3">
        <v>8</v>
      </c>
      <c r="D238" s="4"/>
      <c r="E238" s="4"/>
      <c r="F238" s="4"/>
      <c r="H238" s="4"/>
      <c r="I238" s="4"/>
      <c r="J238" s="4"/>
      <c r="K238" s="52"/>
      <c r="L238" s="5"/>
      <c r="M238" s="59"/>
      <c r="S238" s="4"/>
    </row>
    <row r="239" spans="1:19" s="3" customFormat="1" x14ac:dyDescent="0.3">
      <c r="B239" s="80"/>
      <c r="C239" s="3">
        <v>9</v>
      </c>
      <c r="D239" s="4"/>
      <c r="E239" s="4"/>
      <c r="F239" s="4"/>
      <c r="H239" s="4"/>
      <c r="I239" s="4"/>
      <c r="J239" s="4"/>
      <c r="K239" s="52"/>
      <c r="L239" s="5"/>
      <c r="M239" s="59"/>
      <c r="S239" s="4"/>
    </row>
    <row r="240" spans="1:19" s="3" customFormat="1" x14ac:dyDescent="0.3">
      <c r="B240" s="80"/>
      <c r="C240" s="3">
        <v>10</v>
      </c>
      <c r="D240" s="4"/>
      <c r="E240" s="4"/>
      <c r="F240" s="4"/>
      <c r="H240" s="4"/>
      <c r="I240" s="4"/>
      <c r="J240" s="4"/>
      <c r="K240" s="52"/>
      <c r="L240" s="5"/>
      <c r="M240" s="59"/>
      <c r="S240" s="4"/>
    </row>
    <row r="241" spans="1:19" s="3" customFormat="1" x14ac:dyDescent="0.3">
      <c r="B241" s="80"/>
      <c r="C241" s="3">
        <v>11</v>
      </c>
      <c r="D241" s="4"/>
      <c r="E241" s="4"/>
      <c r="F241" s="4"/>
      <c r="H241" s="4"/>
      <c r="I241" s="4"/>
      <c r="J241" s="4"/>
      <c r="K241" s="52"/>
      <c r="L241" s="5"/>
      <c r="M241" s="59"/>
      <c r="S241" s="4"/>
    </row>
    <row r="242" spans="1:19" s="3" customFormat="1" x14ac:dyDescent="0.3">
      <c r="B242" s="80"/>
      <c r="C242" s="3">
        <v>12</v>
      </c>
      <c r="D242" s="4"/>
      <c r="E242" s="4"/>
      <c r="F242" s="4"/>
      <c r="H242" s="4"/>
      <c r="I242" s="19"/>
      <c r="J242" s="19"/>
      <c r="K242" s="53"/>
      <c r="L242" s="17"/>
      <c r="M242" s="60"/>
      <c r="N242" s="9"/>
      <c r="P242" s="4"/>
      <c r="Q242" s="4"/>
      <c r="S242" s="4"/>
    </row>
    <row r="243" spans="1:19" s="3" customFormat="1" x14ac:dyDescent="0.3">
      <c r="A243" s="3">
        <v>21</v>
      </c>
      <c r="B243" s="80">
        <v>2042</v>
      </c>
      <c r="C243" s="3">
        <v>1</v>
      </c>
      <c r="D243" s="4"/>
      <c r="E243" s="4"/>
      <c r="F243" s="4"/>
      <c r="H243" s="4"/>
      <c r="I243" s="4"/>
      <c r="J243" s="4"/>
      <c r="K243" s="52"/>
      <c r="L243" s="5"/>
      <c r="M243" s="59"/>
      <c r="N243" s="6"/>
      <c r="P243" s="9"/>
      <c r="S243" s="4"/>
    </row>
    <row r="244" spans="1:19" x14ac:dyDescent="0.3">
      <c r="A244" s="3"/>
      <c r="B244" s="80"/>
      <c r="C244" s="3">
        <v>2</v>
      </c>
      <c r="D244" s="4"/>
      <c r="E244" s="4"/>
      <c r="F244" s="4"/>
      <c r="G244" s="3"/>
      <c r="H244" s="4"/>
      <c r="I244" s="4"/>
      <c r="J244" s="4"/>
      <c r="K244" s="52"/>
      <c r="L244" s="5"/>
      <c r="M244" s="59"/>
      <c r="N244" s="3"/>
      <c r="O244" s="3"/>
      <c r="P244" s="3"/>
      <c r="Q244" s="3"/>
      <c r="R244" s="3"/>
    </row>
    <row r="245" spans="1:19" x14ac:dyDescent="0.3">
      <c r="A245" s="3"/>
      <c r="B245" s="80"/>
      <c r="C245" s="3">
        <v>3</v>
      </c>
      <c r="D245" s="4"/>
      <c r="E245" s="4"/>
      <c r="F245" s="4"/>
      <c r="G245" s="3"/>
      <c r="H245" s="4"/>
      <c r="I245" s="4"/>
      <c r="J245" s="4"/>
      <c r="K245" s="52"/>
      <c r="L245" s="5"/>
      <c r="M245" s="59"/>
      <c r="N245" s="3"/>
      <c r="O245" s="3"/>
      <c r="P245" s="3"/>
      <c r="Q245" s="3"/>
      <c r="R245" s="3"/>
    </row>
    <row r="246" spans="1:19" x14ac:dyDescent="0.3">
      <c r="A246" s="3"/>
      <c r="B246" s="80"/>
      <c r="C246" s="3">
        <v>4</v>
      </c>
      <c r="D246" s="4"/>
      <c r="E246" s="4"/>
      <c r="F246" s="4"/>
      <c r="G246" s="3"/>
      <c r="H246" s="4"/>
      <c r="I246" s="4"/>
      <c r="J246" s="4"/>
      <c r="K246" s="52"/>
      <c r="L246" s="5"/>
      <c r="M246" s="59"/>
      <c r="N246" s="3"/>
      <c r="O246" s="3"/>
      <c r="P246" s="3"/>
      <c r="Q246" s="3"/>
      <c r="R246" s="3"/>
    </row>
    <row r="247" spans="1:19" x14ac:dyDescent="0.3">
      <c r="A247" s="3"/>
      <c r="B247" s="80"/>
      <c r="C247" s="3">
        <v>5</v>
      </c>
      <c r="D247" s="4"/>
      <c r="E247" s="4"/>
      <c r="F247" s="4"/>
      <c r="G247" s="3"/>
      <c r="H247" s="4"/>
      <c r="I247" s="4"/>
      <c r="J247" s="4"/>
      <c r="K247" s="52"/>
      <c r="L247" s="5"/>
      <c r="M247" s="59"/>
      <c r="N247" s="3"/>
      <c r="O247" s="3"/>
      <c r="P247" s="3"/>
      <c r="Q247" s="3"/>
      <c r="R247" s="3"/>
    </row>
    <row r="248" spans="1:19" x14ac:dyDescent="0.3">
      <c r="A248" s="3"/>
      <c r="B248" s="80"/>
      <c r="C248" s="3">
        <v>6</v>
      </c>
      <c r="D248" s="4"/>
      <c r="E248" s="4"/>
      <c r="F248" s="4"/>
      <c r="G248" s="3"/>
      <c r="H248" s="4"/>
      <c r="I248" s="4"/>
      <c r="J248" s="4"/>
      <c r="K248" s="52"/>
      <c r="L248" s="5"/>
      <c r="M248" s="59"/>
      <c r="N248" s="3"/>
      <c r="O248" s="3"/>
      <c r="P248" s="3"/>
      <c r="Q248" s="3"/>
      <c r="R248" s="3"/>
    </row>
    <row r="249" spans="1:19" x14ac:dyDescent="0.3">
      <c r="A249" s="3"/>
      <c r="B249" s="80"/>
      <c r="C249" s="3">
        <v>7</v>
      </c>
      <c r="D249" s="4"/>
      <c r="E249" s="4"/>
      <c r="F249" s="4"/>
      <c r="G249" s="3"/>
      <c r="H249" s="4"/>
      <c r="I249" s="4"/>
      <c r="J249" s="4"/>
      <c r="K249" s="52"/>
      <c r="L249" s="5"/>
      <c r="M249" s="59"/>
      <c r="N249" s="3"/>
      <c r="O249" s="3"/>
      <c r="P249" s="3"/>
      <c r="Q249" s="3"/>
      <c r="R249" s="3"/>
    </row>
    <row r="250" spans="1:19" x14ac:dyDescent="0.3">
      <c r="A250" s="3"/>
      <c r="B250" s="80"/>
      <c r="C250" s="3">
        <v>8</v>
      </c>
      <c r="D250" s="4"/>
      <c r="E250" s="4"/>
      <c r="F250" s="4"/>
      <c r="G250" s="3"/>
      <c r="H250" s="4"/>
      <c r="I250" s="4"/>
      <c r="J250" s="4"/>
      <c r="K250" s="52"/>
      <c r="L250" s="5"/>
      <c r="M250" s="59"/>
      <c r="N250" s="3"/>
      <c r="O250" s="3"/>
      <c r="P250" s="3"/>
      <c r="Q250" s="3"/>
      <c r="R250" s="3"/>
    </row>
    <row r="251" spans="1:19" x14ac:dyDescent="0.3">
      <c r="A251" s="3"/>
      <c r="B251" s="80"/>
      <c r="C251" s="3">
        <v>9</v>
      </c>
      <c r="D251" s="4"/>
      <c r="E251" s="4"/>
      <c r="F251" s="4"/>
      <c r="G251" s="3"/>
      <c r="H251" s="4"/>
      <c r="I251" s="4"/>
      <c r="J251" s="4"/>
      <c r="K251" s="52"/>
      <c r="L251" s="5"/>
      <c r="M251" s="59"/>
      <c r="N251" s="3"/>
      <c r="O251" s="3"/>
      <c r="P251" s="3"/>
      <c r="Q251" s="3"/>
      <c r="R251" s="3"/>
    </row>
    <row r="252" spans="1:19" x14ac:dyDescent="0.3">
      <c r="A252" s="3"/>
      <c r="B252" s="80"/>
      <c r="C252" s="3">
        <v>10</v>
      </c>
      <c r="D252" s="4"/>
      <c r="E252" s="4"/>
      <c r="F252" s="4"/>
      <c r="G252" s="3"/>
      <c r="H252" s="4"/>
      <c r="I252" s="4"/>
      <c r="J252" s="4"/>
      <c r="K252" s="52"/>
      <c r="L252" s="5"/>
      <c r="M252" s="59"/>
      <c r="N252" s="3"/>
      <c r="O252" s="3"/>
      <c r="P252" s="3"/>
      <c r="Q252" s="3"/>
      <c r="R252" s="3"/>
    </row>
    <row r="253" spans="1:19" x14ac:dyDescent="0.3">
      <c r="A253" s="3"/>
      <c r="B253" s="80"/>
      <c r="C253" s="3">
        <v>11</v>
      </c>
      <c r="D253" s="4"/>
      <c r="E253" s="4"/>
      <c r="F253" s="4"/>
      <c r="G253" s="3"/>
      <c r="H253" s="4"/>
      <c r="I253" s="4"/>
      <c r="J253" s="4"/>
      <c r="K253" s="52"/>
      <c r="L253" s="5"/>
      <c r="M253" s="59"/>
      <c r="N253" s="3"/>
      <c r="O253" s="3"/>
      <c r="P253" s="3"/>
      <c r="Q253" s="3"/>
      <c r="R253" s="3"/>
    </row>
    <row r="254" spans="1:19" x14ac:dyDescent="0.3">
      <c r="A254" s="3"/>
      <c r="B254" s="80"/>
      <c r="C254" s="3">
        <v>12</v>
      </c>
      <c r="D254" s="4"/>
      <c r="E254" s="4"/>
      <c r="F254" s="4"/>
      <c r="G254" s="3"/>
      <c r="H254" s="4"/>
      <c r="I254" s="19"/>
      <c r="J254" s="19"/>
      <c r="K254" s="52"/>
      <c r="L254" s="5"/>
      <c r="M254" s="60"/>
      <c r="N254" s="9"/>
      <c r="O254" s="3"/>
      <c r="P254" s="4"/>
      <c r="Q254" s="4"/>
      <c r="R254" s="3"/>
    </row>
  </sheetData>
  <mergeCells count="21"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  <mergeCell ref="B183:B194"/>
    <mergeCell ref="B195:B206"/>
    <mergeCell ref="B207:B218"/>
    <mergeCell ref="B219:B230"/>
    <mergeCell ref="B231:B24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E15"/>
  <sheetViews>
    <sheetView workbookViewId="0">
      <selection activeCell="F20" sqref="F20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46</v>
      </c>
      <c r="D3" t="s">
        <v>47</v>
      </c>
      <c r="E3" t="s">
        <v>48</v>
      </c>
    </row>
    <row r="4" spans="1:5" x14ac:dyDescent="0.3">
      <c r="A4" s="62">
        <v>44837</v>
      </c>
      <c r="B4" t="s">
        <v>49</v>
      </c>
      <c r="C4">
        <v>52.8</v>
      </c>
      <c r="D4">
        <v>52.2</v>
      </c>
      <c r="E4">
        <v>50.9</v>
      </c>
    </row>
    <row r="5" spans="1:5" x14ac:dyDescent="0.3">
      <c r="A5" s="62">
        <v>44839</v>
      </c>
      <c r="B5" t="s">
        <v>50</v>
      </c>
      <c r="C5">
        <v>56.9</v>
      </c>
      <c r="D5">
        <v>56</v>
      </c>
      <c r="E5">
        <v>56.7</v>
      </c>
    </row>
    <row r="6" spans="1:5" x14ac:dyDescent="0.3">
      <c r="A6" s="62">
        <v>44846</v>
      </c>
      <c r="B6" t="s">
        <v>51</v>
      </c>
      <c r="C6">
        <v>8.6999999999999993</v>
      </c>
      <c r="D6">
        <v>8.4</v>
      </c>
      <c r="E6">
        <v>8.5</v>
      </c>
    </row>
    <row r="7" spans="1:5" x14ac:dyDescent="0.3">
      <c r="A7" s="62"/>
      <c r="B7" t="s">
        <v>62</v>
      </c>
      <c r="C7">
        <v>7.2</v>
      </c>
      <c r="D7">
        <v>7.3</v>
      </c>
      <c r="E7">
        <v>7.2</v>
      </c>
    </row>
    <row r="8" spans="1:5" x14ac:dyDescent="0.3">
      <c r="A8" s="62">
        <v>44847</v>
      </c>
      <c r="B8" t="s">
        <v>52</v>
      </c>
      <c r="C8">
        <v>8.3000000000000007</v>
      </c>
      <c r="D8">
        <v>8.1</v>
      </c>
    </row>
    <row r="9" spans="1:5" x14ac:dyDescent="0.3">
      <c r="B9" t="s">
        <v>53</v>
      </c>
      <c r="C9">
        <v>6.3</v>
      </c>
      <c r="D9">
        <v>6.5</v>
      </c>
    </row>
    <row r="10" spans="1:5" x14ac:dyDescent="0.3">
      <c r="B10" t="s">
        <v>54</v>
      </c>
      <c r="C10" s="63" t="s">
        <v>55</v>
      </c>
      <c r="D10" s="63" t="s">
        <v>56</v>
      </c>
    </row>
    <row r="11" spans="1:5" x14ac:dyDescent="0.3">
      <c r="A11" s="62">
        <v>44848</v>
      </c>
      <c r="B11" t="s">
        <v>57</v>
      </c>
    </row>
    <row r="12" spans="1:5" x14ac:dyDescent="0.3">
      <c r="A12" s="62">
        <v>44853</v>
      </c>
      <c r="B12" t="s">
        <v>58</v>
      </c>
    </row>
    <row r="13" spans="1:5" x14ac:dyDescent="0.3">
      <c r="A13" s="62"/>
      <c r="B13" t="s">
        <v>59</v>
      </c>
    </row>
    <row r="14" spans="1:5" x14ac:dyDescent="0.3">
      <c r="A14" s="62">
        <v>44854</v>
      </c>
      <c r="B14" t="s">
        <v>60</v>
      </c>
    </row>
    <row r="15" spans="1:5" x14ac:dyDescent="0.3">
      <c r="B15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31"/>
  <sheetViews>
    <sheetView topLeftCell="A13" workbookViewId="0">
      <selection activeCell="J25" sqref="J25"/>
    </sheetView>
  </sheetViews>
  <sheetFormatPr defaultRowHeight="16.5" x14ac:dyDescent="0.3"/>
  <cols>
    <col min="1" max="1" width="15.125" style="76" bestFit="1" customWidth="1"/>
    <col min="2" max="2" width="13.25" customWidth="1"/>
    <col min="3" max="3" width="16.625" bestFit="1" customWidth="1"/>
    <col min="5" max="5" width="10.25" bestFit="1" customWidth="1"/>
    <col min="6" max="6" width="13.875" bestFit="1" customWidth="1"/>
    <col min="7" max="7" width="9.625" bestFit="1" customWidth="1"/>
    <col min="8" max="8" width="9.2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83" t="s">
        <v>64</v>
      </c>
      <c r="D3" s="83"/>
      <c r="E3" s="83"/>
      <c r="F3" s="83"/>
      <c r="G3" s="83"/>
      <c r="H3" s="83"/>
      <c r="I3" s="83"/>
      <c r="J3" s="83"/>
      <c r="K3" s="83"/>
      <c r="L3" s="83"/>
      <c r="M3" s="83"/>
    </row>
    <row r="4" spans="2:13" x14ac:dyDescent="0.3"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</row>
    <row r="5" spans="2:13" x14ac:dyDescent="0.3">
      <c r="B5" t="s">
        <v>65</v>
      </c>
      <c r="C5" s="64" t="s">
        <v>67</v>
      </c>
      <c r="F5" t="s">
        <v>66</v>
      </c>
    </row>
    <row r="7" spans="2:13" x14ac:dyDescent="0.3">
      <c r="B7" s="77" t="s">
        <v>68</v>
      </c>
      <c r="C7" s="76"/>
      <c r="D7" s="76"/>
      <c r="E7" s="76"/>
      <c r="F7" s="76"/>
      <c r="G7" s="76"/>
      <c r="H7" s="76"/>
      <c r="I7" s="76"/>
      <c r="J7" s="76"/>
    </row>
    <row r="8" spans="2:13" x14ac:dyDescent="0.3">
      <c r="B8" s="78" t="s">
        <v>69</v>
      </c>
      <c r="C8" s="78" t="s">
        <v>70</v>
      </c>
      <c r="D8" s="78" t="s">
        <v>71</v>
      </c>
      <c r="E8" s="78" t="s">
        <v>72</v>
      </c>
      <c r="F8" s="78" t="s">
        <v>73</v>
      </c>
      <c r="G8" s="78" t="s">
        <v>74</v>
      </c>
      <c r="H8" s="78" t="s">
        <v>75</v>
      </c>
      <c r="I8" s="78" t="s">
        <v>76</v>
      </c>
      <c r="J8" s="78" t="s">
        <v>77</v>
      </c>
    </row>
    <row r="9" spans="2:13" x14ac:dyDescent="0.3">
      <c r="B9" s="79" t="s">
        <v>78</v>
      </c>
      <c r="C9" s="79" t="s">
        <v>79</v>
      </c>
      <c r="D9" s="79" t="s">
        <v>80</v>
      </c>
      <c r="E9" s="79" t="s">
        <v>81</v>
      </c>
      <c r="F9" s="79" t="s">
        <v>82</v>
      </c>
      <c r="G9" s="79" t="s">
        <v>83</v>
      </c>
      <c r="H9" s="79" t="s">
        <v>84</v>
      </c>
      <c r="I9" s="79" t="s">
        <v>85</v>
      </c>
      <c r="J9" s="79" t="s">
        <v>86</v>
      </c>
    </row>
    <row r="10" spans="2:13" x14ac:dyDescent="0.3">
      <c r="B10" s="79" t="s">
        <v>87</v>
      </c>
      <c r="C10" s="79" t="s">
        <v>88</v>
      </c>
      <c r="D10" s="79" t="s">
        <v>89</v>
      </c>
      <c r="E10" s="79" t="s">
        <v>90</v>
      </c>
      <c r="F10" s="79" t="s">
        <v>91</v>
      </c>
      <c r="G10" s="79" t="s">
        <v>92</v>
      </c>
      <c r="H10" s="79" t="s">
        <v>93</v>
      </c>
      <c r="I10" s="79" t="s">
        <v>94</v>
      </c>
      <c r="J10" s="79" t="s">
        <v>95</v>
      </c>
    </row>
    <row r="11" spans="2:13" x14ac:dyDescent="0.3">
      <c r="B11" s="79" t="s">
        <v>96</v>
      </c>
      <c r="C11" s="79" t="s">
        <v>97</v>
      </c>
      <c r="D11" s="79" t="s">
        <v>98</v>
      </c>
      <c r="E11" s="79" t="s">
        <v>99</v>
      </c>
      <c r="F11" s="79" t="s">
        <v>100</v>
      </c>
      <c r="G11" s="79" t="s">
        <v>101</v>
      </c>
      <c r="H11" s="79" t="s">
        <v>102</v>
      </c>
      <c r="I11" s="79" t="s">
        <v>103</v>
      </c>
      <c r="J11" s="79" t="s">
        <v>104</v>
      </c>
    </row>
    <row r="12" spans="2:13" x14ac:dyDescent="0.3">
      <c r="B12" s="79" t="s">
        <v>105</v>
      </c>
      <c r="C12" s="79" t="s">
        <v>106</v>
      </c>
      <c r="D12" s="79" t="s">
        <v>107</v>
      </c>
      <c r="E12" s="79" t="s">
        <v>108</v>
      </c>
      <c r="F12" s="79" t="s">
        <v>109</v>
      </c>
      <c r="G12" s="79" t="s">
        <v>110</v>
      </c>
      <c r="H12" s="79" t="s">
        <v>111</v>
      </c>
      <c r="I12" s="79" t="s">
        <v>112</v>
      </c>
      <c r="J12" s="79" t="s">
        <v>113</v>
      </c>
    </row>
    <row r="13" spans="2:13" x14ac:dyDescent="0.3">
      <c r="B13" s="79" t="s">
        <v>114</v>
      </c>
      <c r="C13" s="79" t="s">
        <v>115</v>
      </c>
      <c r="D13" s="79" t="s">
        <v>116</v>
      </c>
      <c r="E13" s="79" t="s">
        <v>117</v>
      </c>
      <c r="F13" s="79" t="s">
        <v>118</v>
      </c>
      <c r="G13" s="79" t="s">
        <v>119</v>
      </c>
      <c r="H13" s="79" t="s">
        <v>120</v>
      </c>
      <c r="I13" s="79" t="s">
        <v>121</v>
      </c>
      <c r="J13" s="79" t="s">
        <v>122</v>
      </c>
    </row>
    <row r="14" spans="2:13" x14ac:dyDescent="0.3">
      <c r="B14" s="79" t="s">
        <v>123</v>
      </c>
      <c r="C14" s="79" t="s">
        <v>124</v>
      </c>
      <c r="D14" s="79" t="s">
        <v>125</v>
      </c>
      <c r="E14" s="79" t="s">
        <v>126</v>
      </c>
      <c r="F14" s="79" t="s">
        <v>127</v>
      </c>
      <c r="G14" s="79" t="s">
        <v>94</v>
      </c>
      <c r="H14" s="79" t="s">
        <v>113</v>
      </c>
      <c r="I14" s="79" t="s">
        <v>128</v>
      </c>
      <c r="J14" s="79" t="s">
        <v>129</v>
      </c>
    </row>
    <row r="15" spans="2:13" x14ac:dyDescent="0.3">
      <c r="B15" s="79" t="s">
        <v>130</v>
      </c>
      <c r="C15" s="79" t="s">
        <v>84</v>
      </c>
      <c r="D15" s="79" t="s">
        <v>131</v>
      </c>
      <c r="E15" s="79" t="s">
        <v>127</v>
      </c>
      <c r="F15" s="79" t="s">
        <v>132</v>
      </c>
      <c r="G15" s="79" t="s">
        <v>133</v>
      </c>
      <c r="H15" s="79" t="s">
        <v>134</v>
      </c>
      <c r="I15" s="79" t="s">
        <v>135</v>
      </c>
      <c r="J15" s="79" t="s">
        <v>136</v>
      </c>
    </row>
    <row r="16" spans="2:13" x14ac:dyDescent="0.3">
      <c r="B16" s="79" t="s">
        <v>137</v>
      </c>
      <c r="C16" s="79" t="s">
        <v>138</v>
      </c>
      <c r="D16" s="79" t="s">
        <v>109</v>
      </c>
      <c r="E16" s="79" t="s">
        <v>139</v>
      </c>
      <c r="F16" s="79" t="s">
        <v>140</v>
      </c>
      <c r="G16" s="79" t="s">
        <v>141</v>
      </c>
      <c r="H16" s="79" t="s">
        <v>142</v>
      </c>
      <c r="I16" s="79" t="s">
        <v>143</v>
      </c>
      <c r="J16" s="79" t="s">
        <v>144</v>
      </c>
    </row>
    <row r="17" spans="1:12" x14ac:dyDescent="0.3">
      <c r="B17" s="79" t="s">
        <v>145</v>
      </c>
      <c r="C17" s="79" t="s">
        <v>146</v>
      </c>
      <c r="D17" s="79" t="s">
        <v>147</v>
      </c>
      <c r="E17" s="79" t="s">
        <v>148</v>
      </c>
      <c r="F17" s="79" t="s">
        <v>149</v>
      </c>
      <c r="G17" s="79" t="s">
        <v>150</v>
      </c>
      <c r="H17" s="79" t="s">
        <v>151</v>
      </c>
      <c r="I17" s="79" t="s">
        <v>152</v>
      </c>
      <c r="J17" s="79" t="s">
        <v>153</v>
      </c>
    </row>
    <row r="18" spans="1:12" x14ac:dyDescent="0.3">
      <c r="B18" s="79" t="s">
        <v>154</v>
      </c>
      <c r="C18" s="79" t="s">
        <v>155</v>
      </c>
      <c r="D18" s="79" t="s">
        <v>156</v>
      </c>
      <c r="E18" s="79" t="s">
        <v>157</v>
      </c>
      <c r="F18" s="79" t="s">
        <v>158</v>
      </c>
      <c r="G18" s="79" t="s">
        <v>159</v>
      </c>
      <c r="H18" s="79" t="s">
        <v>160</v>
      </c>
      <c r="I18" s="79" t="s">
        <v>161</v>
      </c>
      <c r="J18" s="79" t="s">
        <v>162</v>
      </c>
    </row>
    <row r="19" spans="1:12" x14ac:dyDescent="0.3">
      <c r="B19" s="79" t="s">
        <v>163</v>
      </c>
      <c r="C19" s="79" t="s">
        <v>164</v>
      </c>
      <c r="D19" s="79" t="s">
        <v>165</v>
      </c>
      <c r="E19" s="79" t="s">
        <v>166</v>
      </c>
      <c r="F19" s="79" t="s">
        <v>167</v>
      </c>
      <c r="G19" s="79" t="s">
        <v>168</v>
      </c>
      <c r="H19" s="79" t="s">
        <v>169</v>
      </c>
      <c r="I19" s="79" t="s">
        <v>170</v>
      </c>
      <c r="J19" s="79" t="s">
        <v>171</v>
      </c>
      <c r="K19" s="69">
        <f xml:space="preserve"> J19 / 100</f>
        <v>0.1174</v>
      </c>
    </row>
    <row r="21" spans="1:12" ht="27" x14ac:dyDescent="0.3">
      <c r="A21" s="8"/>
      <c r="B21" s="8"/>
      <c r="C21" s="66" t="s">
        <v>174</v>
      </c>
      <c r="D21" s="66" t="s">
        <v>173</v>
      </c>
      <c r="E21" s="66" t="s">
        <v>175</v>
      </c>
      <c r="F21" s="8"/>
      <c r="G21" s="8"/>
      <c r="H21" s="8"/>
      <c r="I21" s="8"/>
      <c r="J21" s="8"/>
      <c r="K21" s="8" t="s">
        <v>63</v>
      </c>
    </row>
    <row r="22" spans="1:12" x14ac:dyDescent="0.3">
      <c r="A22" s="67" t="s">
        <v>172</v>
      </c>
      <c r="B22" s="8">
        <v>2022</v>
      </c>
      <c r="C22" s="65">
        <v>532300000000</v>
      </c>
      <c r="D22" s="8">
        <v>2.81</v>
      </c>
      <c r="E22" s="65">
        <v>40173220</v>
      </c>
      <c r="F22" s="72">
        <f xml:space="preserve"> J19 / 100</f>
        <v>0.1174</v>
      </c>
      <c r="G22" s="75">
        <f>D22-J19</f>
        <v>-8.93</v>
      </c>
      <c r="H22" s="74">
        <f xml:space="preserve"> G22 / 100</f>
        <v>-8.929999999999999E-2</v>
      </c>
      <c r="I22" s="68">
        <f xml:space="preserve"> C22 * H22</f>
        <v>-47534389999.999992</v>
      </c>
      <c r="J22" s="65">
        <f xml:space="preserve"> C22 + I22</f>
        <v>484765610000</v>
      </c>
      <c r="K22" s="68">
        <f xml:space="preserve"> J22 / E22</f>
        <v>12066.884606212796</v>
      </c>
    </row>
    <row r="23" spans="1:12" x14ac:dyDescent="0.3">
      <c r="A23" s="8"/>
      <c r="B23" s="8">
        <v>2021</v>
      </c>
      <c r="C23" s="65">
        <v>518200000000</v>
      </c>
      <c r="D23" s="8">
        <v>1.69</v>
      </c>
      <c r="E23" s="65">
        <v>40173220</v>
      </c>
      <c r="F23" s="72">
        <f xml:space="preserve"> J19 / 100</f>
        <v>0.1174</v>
      </c>
      <c r="G23" s="75">
        <f>D23-J19</f>
        <v>-10.050000000000001</v>
      </c>
      <c r="H23" s="74">
        <f xml:space="preserve"> G23 / 100</f>
        <v>-0.10050000000000001</v>
      </c>
      <c r="I23" s="68">
        <f xml:space="preserve"> C23 * H23</f>
        <v>-52079100000</v>
      </c>
      <c r="J23" s="65">
        <f t="shared" ref="J23:J27" si="0" xml:space="preserve"> C23 + I23</f>
        <v>466120900000</v>
      </c>
      <c r="K23" s="68">
        <f t="shared" ref="K23:K27" si="1" xml:space="preserve"> J23 / E23</f>
        <v>11602.776675606287</v>
      </c>
    </row>
    <row r="24" spans="1:12" x14ac:dyDescent="0.3">
      <c r="A24" s="8" t="s">
        <v>176</v>
      </c>
      <c r="B24" s="8">
        <v>2022</v>
      </c>
      <c r="C24" s="8">
        <v>45400000000</v>
      </c>
      <c r="D24" s="8">
        <v>11.17</v>
      </c>
      <c r="E24" s="71">
        <v>1944613</v>
      </c>
      <c r="F24" s="72">
        <f xml:space="preserve"> J19 / 100</f>
        <v>0.1174</v>
      </c>
      <c r="G24" s="73">
        <f>D24-J19</f>
        <v>-0.57000000000000028</v>
      </c>
      <c r="H24" s="74">
        <f t="shared" ref="H24:H27" si="2" xml:space="preserve"> G24 / 100</f>
        <v>-5.7000000000000028E-3</v>
      </c>
      <c r="I24" s="68">
        <f t="shared" ref="I24:I27" si="3" xml:space="preserve"> C24 * H24</f>
        <v>-258780000.00000012</v>
      </c>
      <c r="J24" s="65">
        <f t="shared" si="0"/>
        <v>45141220000</v>
      </c>
      <c r="K24" s="68">
        <f t="shared" si="1"/>
        <v>23213.472295001629</v>
      </c>
      <c r="L24" s="76"/>
    </row>
    <row r="25" spans="1:12" x14ac:dyDescent="0.3">
      <c r="A25" s="8"/>
      <c r="B25" s="8">
        <v>2021</v>
      </c>
      <c r="C25" s="8">
        <v>38000000000</v>
      </c>
      <c r="D25" s="70">
        <v>8.67</v>
      </c>
      <c r="E25" s="71">
        <v>1944613</v>
      </c>
      <c r="F25" s="72">
        <f xml:space="preserve"> J19 / 100</f>
        <v>0.1174</v>
      </c>
      <c r="G25" s="73">
        <f>D25-J19</f>
        <v>-3.0700000000000003</v>
      </c>
      <c r="H25" s="74">
        <f t="shared" si="2"/>
        <v>-3.0700000000000002E-2</v>
      </c>
      <c r="I25" s="68">
        <f t="shared" si="3"/>
        <v>-1166600000</v>
      </c>
      <c r="J25" s="65">
        <f t="shared" si="0"/>
        <v>36833400000</v>
      </c>
      <c r="K25" s="68">
        <f t="shared" si="1"/>
        <v>18941.24949282968</v>
      </c>
      <c r="L25" s="76"/>
    </row>
    <row r="26" spans="1:12" x14ac:dyDescent="0.3">
      <c r="A26" s="8" t="s">
        <v>177</v>
      </c>
      <c r="B26" s="8">
        <v>2022</v>
      </c>
      <c r="C26" s="65">
        <v>2828000000000</v>
      </c>
      <c r="D26" s="8">
        <v>9.9499999999999993</v>
      </c>
      <c r="E26" s="71">
        <v>25370002</v>
      </c>
      <c r="F26" s="72">
        <f xml:space="preserve"> J19 / 100</f>
        <v>0.1174</v>
      </c>
      <c r="G26" s="73">
        <f>D26-J19</f>
        <v>-1.7900000000000009</v>
      </c>
      <c r="H26" s="74">
        <f t="shared" si="2"/>
        <v>-1.790000000000001E-2</v>
      </c>
      <c r="I26" s="68">
        <f t="shared" si="3"/>
        <v>-50621200000.000031</v>
      </c>
      <c r="J26" s="65">
        <f t="shared" si="0"/>
        <v>2777378800000</v>
      </c>
      <c r="K26" s="68">
        <f t="shared" si="1"/>
        <v>109474.91450729882</v>
      </c>
      <c r="L26" s="76"/>
    </row>
    <row r="27" spans="1:12" x14ac:dyDescent="0.3">
      <c r="A27" s="8"/>
      <c r="B27" s="8">
        <v>2021</v>
      </c>
      <c r="C27" s="65">
        <v>2621700000000</v>
      </c>
      <c r="D27" s="8">
        <v>26.41</v>
      </c>
      <c r="E27" s="71">
        <v>25370002</v>
      </c>
      <c r="F27" s="72">
        <f xml:space="preserve"> J19 / 100</f>
        <v>0.1174</v>
      </c>
      <c r="G27" s="73">
        <f>D27-J19</f>
        <v>14.67</v>
      </c>
      <c r="H27" s="74">
        <f t="shared" si="2"/>
        <v>0.1467</v>
      </c>
      <c r="I27" s="68">
        <f t="shared" si="3"/>
        <v>384603390000</v>
      </c>
      <c r="J27" s="65">
        <f t="shared" si="0"/>
        <v>3006303390000</v>
      </c>
      <c r="K27" s="68">
        <f t="shared" si="1"/>
        <v>118498.35053225458</v>
      </c>
      <c r="L27" s="76"/>
    </row>
    <row r="28" spans="1:12" x14ac:dyDescent="0.3">
      <c r="G28" s="76"/>
      <c r="H28" s="76"/>
      <c r="I28" s="76"/>
      <c r="J28" s="76"/>
      <c r="K28" s="76"/>
      <c r="L28" s="76"/>
    </row>
    <row r="29" spans="1:12" x14ac:dyDescent="0.3">
      <c r="G29" s="76"/>
      <c r="H29" s="76"/>
      <c r="I29" s="76"/>
      <c r="J29" s="76"/>
      <c r="K29" s="76"/>
      <c r="L29" s="76"/>
    </row>
    <row r="30" spans="1:12" x14ac:dyDescent="0.3">
      <c r="G30" s="76"/>
      <c r="H30" s="76"/>
      <c r="I30" s="76"/>
      <c r="J30" s="76"/>
      <c r="K30" s="76"/>
      <c r="L30" s="76"/>
    </row>
    <row r="31" spans="1:12" x14ac:dyDescent="0.3">
      <c r="G31" s="76"/>
      <c r="H31" s="76"/>
      <c r="I31" s="76"/>
      <c r="J31" s="76"/>
      <c r="K31" s="76"/>
      <c r="L31" s="76"/>
    </row>
  </sheetData>
  <mergeCells count="1">
    <mergeCell ref="C3:M4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I18"/>
  <sheetViews>
    <sheetView workbookViewId="0">
      <selection activeCell="L7" sqref="L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</cols>
  <sheetData>
    <row r="1" spans="2:9" x14ac:dyDescent="0.3">
      <c r="B1" s="85"/>
      <c r="C1" s="85"/>
    </row>
    <row r="2" spans="2:9" x14ac:dyDescent="0.3">
      <c r="B2" s="84" t="s">
        <v>34</v>
      </c>
      <c r="C2" s="84"/>
      <c r="E2" s="84" t="s">
        <v>38</v>
      </c>
      <c r="F2" s="84"/>
      <c r="H2" s="84" t="s">
        <v>45</v>
      </c>
      <c r="I2" s="84"/>
    </row>
    <row r="3" spans="2:9" x14ac:dyDescent="0.3">
      <c r="B3" s="28" t="s">
        <v>31</v>
      </c>
      <c r="C3" s="28" t="s">
        <v>32</v>
      </c>
      <c r="E3" s="28" t="s">
        <v>31</v>
      </c>
      <c r="F3" s="28" t="s">
        <v>32</v>
      </c>
      <c r="H3" s="28" t="s">
        <v>31</v>
      </c>
      <c r="I3" s="28" t="s">
        <v>32</v>
      </c>
    </row>
    <row r="4" spans="2:9" x14ac:dyDescent="0.3">
      <c r="B4" s="27">
        <v>1</v>
      </c>
      <c r="C4" s="31">
        <v>17215</v>
      </c>
      <c r="E4" s="27">
        <v>1</v>
      </c>
      <c r="F4" s="31">
        <v>3020</v>
      </c>
      <c r="H4" s="27">
        <v>1</v>
      </c>
      <c r="I4" s="31">
        <v>0</v>
      </c>
    </row>
    <row r="5" spans="2:9" x14ac:dyDescent="0.3">
      <c r="B5" s="27">
        <v>2</v>
      </c>
      <c r="C5" s="31">
        <v>-77107</v>
      </c>
      <c r="E5" s="27">
        <v>2</v>
      </c>
      <c r="F5" s="31">
        <v>-3342</v>
      </c>
      <c r="H5" s="27">
        <v>2</v>
      </c>
      <c r="I5" s="31">
        <v>0</v>
      </c>
    </row>
    <row r="6" spans="2:9" x14ac:dyDescent="0.3">
      <c r="B6" s="27">
        <v>3</v>
      </c>
      <c r="C6" s="31">
        <v>77453</v>
      </c>
      <c r="E6" s="27">
        <v>3</v>
      </c>
      <c r="F6" s="32">
        <v>38771</v>
      </c>
      <c r="H6" s="27">
        <v>3</v>
      </c>
      <c r="I6" s="32">
        <v>0</v>
      </c>
    </row>
    <row r="7" spans="2:9" x14ac:dyDescent="0.3">
      <c r="B7" s="27">
        <v>4</v>
      </c>
      <c r="C7" s="31">
        <v>16450</v>
      </c>
      <c r="E7" s="27">
        <v>4</v>
      </c>
      <c r="F7" s="31">
        <v>0</v>
      </c>
      <c r="H7" s="27">
        <v>4</v>
      </c>
      <c r="I7" s="31">
        <v>0</v>
      </c>
    </row>
    <row r="8" spans="2:9" x14ac:dyDescent="0.3">
      <c r="B8" s="27">
        <v>5</v>
      </c>
      <c r="C8" s="31">
        <v>6818</v>
      </c>
      <c r="E8" s="27">
        <v>5</v>
      </c>
      <c r="F8" s="31">
        <v>0</v>
      </c>
      <c r="H8" s="27">
        <v>5</v>
      </c>
      <c r="I8" s="31">
        <v>0</v>
      </c>
    </row>
    <row r="9" spans="2:9" x14ac:dyDescent="0.3">
      <c r="B9" s="27">
        <v>6</v>
      </c>
      <c r="C9" s="31">
        <v>24585</v>
      </c>
      <c r="E9" s="27">
        <v>6</v>
      </c>
      <c r="F9" s="32">
        <v>0</v>
      </c>
      <c r="H9" s="27">
        <v>6</v>
      </c>
      <c r="I9" s="32">
        <v>0</v>
      </c>
    </row>
    <row r="10" spans="2:9" x14ac:dyDescent="0.3">
      <c r="B10" s="27">
        <v>7</v>
      </c>
      <c r="C10" s="31">
        <v>0</v>
      </c>
      <c r="E10" s="27">
        <v>7</v>
      </c>
      <c r="F10" s="31">
        <v>0</v>
      </c>
      <c r="H10" s="27">
        <v>7</v>
      </c>
      <c r="I10" s="31">
        <v>0</v>
      </c>
    </row>
    <row r="11" spans="2:9" x14ac:dyDescent="0.3">
      <c r="B11" s="27">
        <v>8</v>
      </c>
      <c r="C11" s="31">
        <v>0</v>
      </c>
      <c r="E11" s="27">
        <v>8</v>
      </c>
      <c r="F11" s="31">
        <v>0</v>
      </c>
      <c r="H11" s="27">
        <v>8</v>
      </c>
      <c r="I11" s="31">
        <v>0</v>
      </c>
    </row>
    <row r="12" spans="2:9" x14ac:dyDescent="0.3">
      <c r="B12" s="30">
        <v>9</v>
      </c>
      <c r="C12" s="32">
        <v>0</v>
      </c>
      <c r="E12" s="30">
        <v>9</v>
      </c>
      <c r="F12" s="32">
        <v>0</v>
      </c>
      <c r="H12" s="30">
        <v>9</v>
      </c>
      <c r="I12" s="32">
        <v>0</v>
      </c>
    </row>
    <row r="13" spans="2:9" x14ac:dyDescent="0.3">
      <c r="B13" s="27">
        <v>10</v>
      </c>
      <c r="C13" s="31">
        <v>0</v>
      </c>
      <c r="E13" s="27">
        <v>10</v>
      </c>
      <c r="F13" s="31">
        <v>0</v>
      </c>
      <c r="H13" s="27">
        <v>10</v>
      </c>
      <c r="I13" s="31">
        <v>0</v>
      </c>
    </row>
    <row r="14" spans="2:9" x14ac:dyDescent="0.3">
      <c r="B14" s="28" t="s">
        <v>33</v>
      </c>
      <c r="C14" s="29">
        <f>SUM(C4:C13)</f>
        <v>65414</v>
      </c>
      <c r="E14" s="28" t="s">
        <v>33</v>
      </c>
      <c r="F14" s="29">
        <f>SUM(F4:F13)</f>
        <v>38449</v>
      </c>
      <c r="H14" s="28" t="s">
        <v>33</v>
      </c>
      <c r="I14" s="29">
        <f>SUM(I4:I13)</f>
        <v>0</v>
      </c>
    </row>
    <row r="15" spans="2:9" x14ac:dyDescent="0.3">
      <c r="B15" s="28" t="s">
        <v>35</v>
      </c>
      <c r="C15" s="29">
        <v>1061029</v>
      </c>
      <c r="E15" s="28" t="s">
        <v>21</v>
      </c>
      <c r="F15" s="29">
        <v>1126443</v>
      </c>
      <c r="H15" s="28" t="s">
        <v>21</v>
      </c>
      <c r="I15" s="29">
        <v>1200000</v>
      </c>
    </row>
    <row r="16" spans="2:9" x14ac:dyDescent="0.3">
      <c r="B16" s="28" t="s">
        <v>36</v>
      </c>
      <c r="C16" s="27">
        <f xml:space="preserve">  ROUND( (C14 / C15) * 100, 2 )</f>
        <v>6.17</v>
      </c>
      <c r="E16" s="28" t="s">
        <v>36</v>
      </c>
      <c r="F16" s="27">
        <f xml:space="preserve">  ROUND( (F14 / F15) * 100, 2 )</f>
        <v>3.41</v>
      </c>
      <c r="H16" s="28" t="s">
        <v>36</v>
      </c>
      <c r="I16" s="27">
        <f xml:space="preserve">  ROUND( (I14 / I15) * 100, 2 )</f>
        <v>0</v>
      </c>
    </row>
    <row r="17" spans="2:9" x14ac:dyDescent="0.3">
      <c r="B17" s="28" t="s">
        <v>37</v>
      </c>
      <c r="C17" s="9">
        <f xml:space="preserve"> C15 + C14</f>
        <v>1126443</v>
      </c>
      <c r="E17" s="28" t="s">
        <v>37</v>
      </c>
      <c r="F17" s="9">
        <f xml:space="preserve"> F15 + F14</f>
        <v>1164892</v>
      </c>
      <c r="H17" s="28" t="s">
        <v>37</v>
      </c>
      <c r="I17" s="9">
        <f xml:space="preserve"> I15 + I14</f>
        <v>1200000</v>
      </c>
    </row>
    <row r="18" spans="2:9" x14ac:dyDescent="0.3">
      <c r="B18" s="25"/>
    </row>
  </sheetData>
  <mergeCells count="4">
    <mergeCell ref="B2:C2"/>
    <mergeCell ref="B1:C1"/>
    <mergeCell ref="E2:F2"/>
    <mergeCell ref="H2:I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topLeftCell="B1" workbookViewId="0">
      <selection activeCell="P13" sqref="P13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:R11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2000000</v>
      </c>
      <c r="P11" s="1">
        <v>600000</v>
      </c>
      <c r="Q11" s="1">
        <f t="shared" ref="Q11" si="6">SUM(C11:P11)</f>
        <v>6580000</v>
      </c>
      <c r="R11" s="1">
        <f t="shared" si="5"/>
        <v>350000</v>
      </c>
    </row>
    <row r="12" spans="1:18" x14ac:dyDescent="0.3">
      <c r="D12" s="1"/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시나리오_old</vt:lpstr>
      <vt:lpstr>시나리오</vt:lpstr>
      <vt:lpstr>일정확인</vt:lpstr>
      <vt:lpstr>내자산</vt:lpstr>
      <vt:lpstr>단타일지</vt:lpstr>
      <vt:lpstr>생활패턴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2022-10-27T05:14:51Z</dcterms:modified>
</cp:coreProperties>
</file>