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7FE913E2-0E00-4FDB-B31C-A97DEB57DB6B}" xr6:coauthVersionLast="47" xr6:coauthVersionMax="47" xr10:uidLastSave="{00000000-0000-0000-0000-000000000000}"/>
  <bookViews>
    <workbookView xWindow="2595" yWindow="705" windowWidth="21600" windowHeight="11235" activeTab="2" xr2:uid="{00000000-000D-0000-FFFF-FFFF00000000}"/>
  </bookViews>
  <sheets>
    <sheet name="시나리오_old" sheetId="7" r:id="rId1"/>
    <sheet name="시나리오" sheetId="4" r:id="rId2"/>
    <sheet name="일정확인" sheetId="10" r:id="rId3"/>
    <sheet name="단타일지" sheetId="9" r:id="rId4"/>
    <sheet name="생활패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H51" i="4" l="1"/>
  <c r="F52" i="4" s="1"/>
  <c r="H52" i="4" s="1"/>
  <c r="J51" i="4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 s="1"/>
  <c r="D68" i="4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H63" i="4" l="1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 s="1"/>
  <c r="D81" i="4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H75" i="4" l="1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20" i="4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18" i="4" l="1"/>
  <c r="D113" i="4"/>
  <c r="M122" i="4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 s="1"/>
  <c r="D132" i="4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D127" i="4" l="1"/>
  <c r="M134" i="4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<sst xmlns="http://schemas.openxmlformats.org/spreadsheetml/2006/main" count="86" uniqueCount="62">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</sst>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3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3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3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3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3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3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3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3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3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3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3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3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3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3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3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3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3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3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3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3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3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3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3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3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3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3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3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3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3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3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3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3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3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3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3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3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3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3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3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3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3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3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3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3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3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3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3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3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3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3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3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3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3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3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3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3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3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3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3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3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3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3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3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3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3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3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3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3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3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3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3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3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3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3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3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3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3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3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3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3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3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3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3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3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3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3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3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3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3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3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3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3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3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3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3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3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3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3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3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3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3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3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3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3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3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3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3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3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3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3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3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3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3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3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3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3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3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3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3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3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3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3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3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3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3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3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3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3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3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3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3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3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2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2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2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2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2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2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2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2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2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2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2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2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2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2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2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2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2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2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2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2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2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2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2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2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2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2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2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2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2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2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2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2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2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2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2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2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2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2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2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2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2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2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2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2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2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2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2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2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2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2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2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2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2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2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2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2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2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2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2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2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4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4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4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4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4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4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4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4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4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4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4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4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4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4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4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4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4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4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4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4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4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4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4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4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4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4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4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4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4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4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4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4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4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4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4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4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4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4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4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4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4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4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4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4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4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4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4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4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4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4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4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4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4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4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4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4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4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4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4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4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E10" sqref="E10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63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63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63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63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63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63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63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63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63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12" customFormat="1" x14ac:dyDescent="0.3">
      <c r="B12" s="63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19157825.786114551</v>
      </c>
      <c r="G12" s="12">
        <v>1.7999999999999999E-2</v>
      </c>
      <c r="H12" s="13">
        <f t="shared" si="1"/>
        <v>19502666.650264613</v>
      </c>
      <c r="I12" s="13"/>
      <c r="J12" s="13"/>
      <c r="K12" s="48">
        <v>0</v>
      </c>
      <c r="L12" s="14"/>
      <c r="M12" s="56"/>
      <c r="S12" s="13"/>
    </row>
    <row r="13" spans="1:19" s="42" customFormat="1" x14ac:dyDescent="0.3">
      <c r="B13" s="63"/>
      <c r="C13" s="42">
        <v>11</v>
      </c>
      <c r="D13" s="41">
        <v>2500000</v>
      </c>
      <c r="E13" s="41">
        <f xml:space="preserve"> (E12 + 400000) + ((E12 + 400000) * G13 )</f>
        <v>5113728.6617640005</v>
      </c>
      <c r="F13" s="41">
        <f t="shared" si="0"/>
        <v>22002666.650264613</v>
      </c>
      <c r="G13" s="42">
        <v>1.7999999999999999E-2</v>
      </c>
      <c r="H13" s="41">
        <f t="shared" si="1"/>
        <v>22398714.649969377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63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24898714.649969377</v>
      </c>
      <c r="G14" s="18">
        <v>1.7999999999999999E-2</v>
      </c>
      <c r="H14" s="19">
        <f t="shared" si="1"/>
        <v>25346891.513668824</v>
      </c>
      <c r="I14" s="19">
        <f xml:space="preserve"> H14 - E14</f>
        <v>19733915.735993072</v>
      </c>
      <c r="J14" s="19"/>
      <c r="K14" s="50">
        <v>0</v>
      </c>
      <c r="L14" s="20">
        <f xml:space="preserve"> I14 / 2</f>
        <v>9866957.8679965362</v>
      </c>
      <c r="M14" s="58">
        <f xml:space="preserve"> (H2 + SUM(D3:D14)) - SUM(K3:K14)</f>
        <v>23063456</v>
      </c>
      <c r="N14" s="19">
        <f xml:space="preserve"> H14 - M14</f>
        <v>2283435.513668824</v>
      </c>
      <c r="O14" s="18">
        <v>0.84</v>
      </c>
      <c r="P14" s="19">
        <f xml:space="preserve"> N14 * O14</f>
        <v>1918085.8314818121</v>
      </c>
      <c r="Q14" s="19">
        <f xml:space="preserve"> N14 - P14</f>
        <v>365349.68218701193</v>
      </c>
      <c r="R14" s="18">
        <f xml:space="preserve"> N14 / M14 * 100</f>
        <v>9.9006649899686501</v>
      </c>
      <c r="S14" s="19"/>
    </row>
    <row r="15" spans="1:19" s="8" customFormat="1" x14ac:dyDescent="0.3">
      <c r="A15" s="8">
        <v>2</v>
      </c>
      <c r="B15" s="63">
        <v>2023</v>
      </c>
      <c r="C15" s="8">
        <v>1</v>
      </c>
      <c r="D15" s="9">
        <f xml:space="preserve"> N15</f>
        <v>3322246.4889997113</v>
      </c>
      <c r="E15" s="41">
        <f t="shared" si="2"/>
        <v>6121209.3416739162</v>
      </c>
      <c r="F15" s="11">
        <f xml:space="preserve"> (I14 / 2) + D15 - K15</f>
        <v>13189204.356996248</v>
      </c>
      <c r="G15" s="8">
        <v>1.7999999999999999E-2</v>
      </c>
      <c r="H15" s="9">
        <f xml:space="preserve"> (F15 * G15) + F15</f>
        <v>13426610.03542218</v>
      </c>
      <c r="I15" s="9"/>
      <c r="J15" s="9">
        <f xml:space="preserve"> E15 + H15</f>
        <v>19547819.377096094</v>
      </c>
      <c r="K15" s="47">
        <v>0</v>
      </c>
      <c r="L15" s="10"/>
      <c r="M15" s="55"/>
      <c r="N15" s="11">
        <f xml:space="preserve"> (L14 / 12) +2500000</f>
        <v>3322246.4889997113</v>
      </c>
      <c r="P15" s="9">
        <f xml:space="preserve"> (H14 / 2 )</f>
        <v>12673445.756834412</v>
      </c>
      <c r="S15" s="9"/>
    </row>
    <row r="16" spans="1:19" s="8" customFormat="1" x14ac:dyDescent="0.3">
      <c r="B16" s="63"/>
      <c r="C16" s="8">
        <v>2</v>
      </c>
      <c r="D16" s="9">
        <f xml:space="preserve"> N15</f>
        <v>3322246.4889997113</v>
      </c>
      <c r="E16" s="41">
        <f t="shared" si="2"/>
        <v>6638591.1098240465</v>
      </c>
      <c r="F16" s="9">
        <f t="shared" ref="F16:F26" si="3" xml:space="preserve"> H15 + D16 - K16</f>
        <v>16748856.524421891</v>
      </c>
      <c r="G16" s="8">
        <v>1.7999999999999999E-2</v>
      </c>
      <c r="H16" s="11">
        <f xml:space="preserve"> (F16 * G16) + F16</f>
        <v>17050335.941861484</v>
      </c>
      <c r="I16" s="9"/>
      <c r="J16" s="9">
        <f t="shared" ref="J16:J26" si="4" xml:space="preserve"> E16 + H16</f>
        <v>23688927.051685531</v>
      </c>
      <c r="K16" s="47">
        <v>0</v>
      </c>
      <c r="L16" s="10"/>
      <c r="M16" s="55"/>
      <c r="S16" s="9"/>
    </row>
    <row r="17" spans="1:19" s="8" customFormat="1" x14ac:dyDescent="0.3">
      <c r="B17" s="63"/>
      <c r="C17" s="8">
        <v>3</v>
      </c>
      <c r="D17" s="9">
        <f xml:space="preserve"> N15</f>
        <v>3322246.4889997113</v>
      </c>
      <c r="E17" s="41">
        <f t="shared" si="2"/>
        <v>7165285.7498008795</v>
      </c>
      <c r="F17" s="9">
        <f t="shared" si="3"/>
        <v>20372582.430861197</v>
      </c>
      <c r="G17" s="8">
        <v>1.7999999999999999E-2</v>
      </c>
      <c r="H17" s="9">
        <f xml:space="preserve"> (F17 * G17) + F17</f>
        <v>20739288.9146167</v>
      </c>
      <c r="I17" s="9"/>
      <c r="J17" s="9">
        <f t="shared" si="4"/>
        <v>27904574.66441758</v>
      </c>
      <c r="K17" s="47">
        <v>0</v>
      </c>
      <c r="L17" s="10"/>
      <c r="M17" s="55"/>
      <c r="S17" s="9"/>
    </row>
    <row r="18" spans="1:19" s="8" customFormat="1" x14ac:dyDescent="0.3">
      <c r="B18" s="63"/>
      <c r="C18" s="8">
        <v>4</v>
      </c>
      <c r="D18" s="9">
        <f xml:space="preserve"> N15</f>
        <v>3322246.4889997113</v>
      </c>
      <c r="E18" s="41">
        <f t="shared" si="2"/>
        <v>7701460.8932972951</v>
      </c>
      <c r="F18" s="9">
        <f t="shared" si="3"/>
        <v>24061535.403616413</v>
      </c>
      <c r="G18" s="8">
        <v>1.7999999999999999E-2</v>
      </c>
      <c r="H18" s="9">
        <f t="shared" ref="H18:H26" si="5" xml:space="preserve"> (F18 * G18) + F18</f>
        <v>24494643.040881507</v>
      </c>
      <c r="I18" s="9"/>
      <c r="J18" s="9">
        <f t="shared" si="4"/>
        <v>32196103.934178803</v>
      </c>
      <c r="K18" s="47">
        <v>0</v>
      </c>
      <c r="L18" s="10"/>
      <c r="M18" s="55"/>
      <c r="S18" s="9"/>
    </row>
    <row r="19" spans="1:19" s="8" customFormat="1" x14ac:dyDescent="0.3">
      <c r="B19" s="63"/>
      <c r="C19" s="8">
        <v>5</v>
      </c>
      <c r="D19" s="9">
        <f xml:space="preserve"> N15</f>
        <v>3322246.4889997113</v>
      </c>
      <c r="E19" s="41">
        <f t="shared" si="2"/>
        <v>8247287.1893766467</v>
      </c>
      <c r="F19" s="9">
        <f t="shared" si="3"/>
        <v>27451539.847694203</v>
      </c>
      <c r="G19" s="8">
        <v>1.7999999999999999E-2</v>
      </c>
      <c r="H19" s="9">
        <f t="shared" si="5"/>
        <v>27945667.564952698</v>
      </c>
      <c r="I19" s="9"/>
      <c r="J19" s="9">
        <f t="shared" si="4"/>
        <v>36192954.754329346</v>
      </c>
      <c r="K19" s="47">
        <f xml:space="preserve"> Q14</f>
        <v>365349.68218701193</v>
      </c>
      <c r="L19" s="10"/>
      <c r="M19" s="55"/>
      <c r="S19" s="9"/>
    </row>
    <row r="20" spans="1:19" s="8" customFormat="1" x14ac:dyDescent="0.3">
      <c r="B20" s="63"/>
      <c r="C20" s="8">
        <v>6</v>
      </c>
      <c r="D20" s="9">
        <f xml:space="preserve"> N15</f>
        <v>3322246.4889997113</v>
      </c>
      <c r="E20" s="41">
        <f t="shared" si="2"/>
        <v>8802938.3587854262</v>
      </c>
      <c r="F20" s="9">
        <f t="shared" si="3"/>
        <v>31267914.053952411</v>
      </c>
      <c r="G20" s="8">
        <v>1.7999999999999999E-2</v>
      </c>
      <c r="H20" s="9">
        <f t="shared" si="5"/>
        <v>31830736.506923553</v>
      </c>
      <c r="I20" s="9"/>
      <c r="J20" s="9">
        <f t="shared" si="4"/>
        <v>40633674.865708977</v>
      </c>
      <c r="K20" s="47">
        <v>0</v>
      </c>
      <c r="L20" s="10"/>
      <c r="M20" s="55"/>
      <c r="S20" s="9"/>
    </row>
    <row r="21" spans="1:19" s="8" customFormat="1" x14ac:dyDescent="0.3">
      <c r="B21" s="63"/>
      <c r="C21" s="8">
        <v>7</v>
      </c>
      <c r="D21" s="9">
        <f xml:space="preserve"> N15</f>
        <v>3322246.4889997113</v>
      </c>
      <c r="E21" s="41">
        <f t="shared" si="2"/>
        <v>9368591.249243563</v>
      </c>
      <c r="F21" s="9">
        <f t="shared" si="3"/>
        <v>35152982.995923266</v>
      </c>
      <c r="G21" s="8">
        <v>1.7999999999999999E-2</v>
      </c>
      <c r="H21" s="9">
        <f t="shared" si="5"/>
        <v>35785736.689849883</v>
      </c>
      <c r="I21" s="9"/>
      <c r="J21" s="9">
        <f t="shared" si="4"/>
        <v>45154327.939093448</v>
      </c>
      <c r="K21" s="47">
        <v>0</v>
      </c>
      <c r="L21" s="10"/>
      <c r="M21" s="55"/>
      <c r="S21" s="9"/>
    </row>
    <row r="22" spans="1:19" s="8" customFormat="1" x14ac:dyDescent="0.3">
      <c r="B22" s="63"/>
      <c r="C22" s="8">
        <v>8</v>
      </c>
      <c r="D22" s="9">
        <f xml:space="preserve"> N15</f>
        <v>3322246.4889997113</v>
      </c>
      <c r="E22" s="41">
        <f t="shared" si="2"/>
        <v>9944425.8917299472</v>
      </c>
      <c r="F22" s="9">
        <f t="shared" si="3"/>
        <v>39107983.178849593</v>
      </c>
      <c r="G22" s="8">
        <v>1.7999999999999999E-2</v>
      </c>
      <c r="H22" s="9">
        <f t="shared" si="5"/>
        <v>39811926.876068883</v>
      </c>
      <c r="I22" s="9"/>
      <c r="J22" s="9">
        <f t="shared" si="4"/>
        <v>49756352.767798826</v>
      </c>
      <c r="K22" s="47">
        <v>0</v>
      </c>
      <c r="L22" s="10"/>
      <c r="M22" s="55"/>
      <c r="S22" s="9"/>
    </row>
    <row r="23" spans="1:19" s="8" customFormat="1" x14ac:dyDescent="0.3">
      <c r="B23" s="63"/>
      <c r="C23" s="8">
        <v>9</v>
      </c>
      <c r="D23" s="9">
        <f xml:space="preserve"> N15</f>
        <v>3322246.4889997113</v>
      </c>
      <c r="E23" s="41">
        <f t="shared" si="2"/>
        <v>10530625.557781085</v>
      </c>
      <c r="F23" s="9">
        <f t="shared" si="3"/>
        <v>43134173.365068592</v>
      </c>
      <c r="G23" s="8">
        <v>1.7999999999999999E-2</v>
      </c>
      <c r="H23" s="9">
        <f t="shared" si="5"/>
        <v>43910588.485639825</v>
      </c>
      <c r="I23" s="9"/>
      <c r="J23" s="9">
        <f t="shared" si="4"/>
        <v>54441214.043420911</v>
      </c>
      <c r="K23" s="47">
        <v>0</v>
      </c>
      <c r="L23" s="10"/>
      <c r="M23" s="55"/>
      <c r="S23" s="9"/>
    </row>
    <row r="24" spans="1:19" s="8" customFormat="1" x14ac:dyDescent="0.3">
      <c r="B24" s="63"/>
      <c r="C24" s="8">
        <v>10</v>
      </c>
      <c r="D24" s="9">
        <f xml:space="preserve"> N15</f>
        <v>3322246.4889997113</v>
      </c>
      <c r="E24" s="41">
        <f t="shared" si="2"/>
        <v>11127376.817821145</v>
      </c>
      <c r="F24" s="9">
        <f t="shared" si="3"/>
        <v>47232834.974639535</v>
      </c>
      <c r="G24" s="8">
        <v>1.7999999999999999E-2</v>
      </c>
      <c r="H24" s="9">
        <f t="shared" si="5"/>
        <v>48083026.004183047</v>
      </c>
      <c r="I24" s="9"/>
      <c r="J24" s="9">
        <f t="shared" si="4"/>
        <v>59210402.822004192</v>
      </c>
      <c r="K24" s="47">
        <v>0</v>
      </c>
      <c r="L24" s="10"/>
      <c r="M24" s="55"/>
      <c r="S24" s="9"/>
    </row>
    <row r="25" spans="1:19" s="8" customFormat="1" x14ac:dyDescent="0.3">
      <c r="B25" s="63"/>
      <c r="C25" s="8">
        <v>11</v>
      </c>
      <c r="D25" s="9">
        <f xml:space="preserve"> N15</f>
        <v>3322246.4889997113</v>
      </c>
      <c r="E25" s="41">
        <f t="shared" si="2"/>
        <v>11734869.600541925</v>
      </c>
      <c r="F25" s="9">
        <f t="shared" si="3"/>
        <v>51405272.493182756</v>
      </c>
      <c r="G25" s="8">
        <v>1.7999999999999999E-2</v>
      </c>
      <c r="H25" s="9">
        <f t="shared" si="5"/>
        <v>52330567.398060046</v>
      </c>
      <c r="I25" s="9"/>
      <c r="J25" s="9">
        <f t="shared" si="4"/>
        <v>64065436.998601973</v>
      </c>
      <c r="K25" s="47">
        <v>0</v>
      </c>
      <c r="L25" s="10"/>
      <c r="M25" s="55"/>
      <c r="S25" s="9"/>
    </row>
    <row r="26" spans="1:19" s="18" customFormat="1" x14ac:dyDescent="0.3">
      <c r="B26" s="63"/>
      <c r="C26" s="18">
        <v>12</v>
      </c>
      <c r="D26" s="19">
        <f xml:space="preserve"> N15</f>
        <v>3322246.4889997113</v>
      </c>
      <c r="E26" s="19">
        <f t="shared" si="2"/>
        <v>12353297.253351679</v>
      </c>
      <c r="F26" s="19">
        <f t="shared" si="3"/>
        <v>55652813.887059756</v>
      </c>
      <c r="G26" s="18">
        <v>1.7999999999999999E-2</v>
      </c>
      <c r="H26" s="19">
        <f t="shared" si="5"/>
        <v>56654564.53702683</v>
      </c>
      <c r="I26" s="19">
        <f xml:space="preserve"> H26</f>
        <v>56654564.53702683</v>
      </c>
      <c r="J26" s="19">
        <f t="shared" si="4"/>
        <v>69007861.790378511</v>
      </c>
      <c r="K26" s="50">
        <v>0</v>
      </c>
      <c r="L26" s="20">
        <f xml:space="preserve"> I26 / 2</f>
        <v>28327282.268513415</v>
      </c>
      <c r="M26" s="58">
        <f xml:space="preserve"> (F15 + SUM(D16:D26)) - SUM(K15:K26)</f>
        <v>49368566.053806052</v>
      </c>
      <c r="N26" s="19">
        <f xml:space="preserve"> H26 - M26</f>
        <v>7285998.4832207784</v>
      </c>
      <c r="O26" s="18">
        <v>0.84</v>
      </c>
      <c r="P26" s="19">
        <f xml:space="preserve"> N26 * O26</f>
        <v>6120238.7259054538</v>
      </c>
      <c r="Q26" s="19">
        <f xml:space="preserve"> N26 - P26</f>
        <v>1165759.7573153246</v>
      </c>
      <c r="R26" s="18">
        <f xml:space="preserve"> N26 / M26 * 100</f>
        <v>14.758375755293113</v>
      </c>
      <c r="S26" s="19"/>
    </row>
    <row r="27" spans="1:19" s="8" customFormat="1" x14ac:dyDescent="0.3">
      <c r="A27" s="8">
        <v>3</v>
      </c>
      <c r="B27" s="63">
        <v>2024</v>
      </c>
      <c r="C27" s="8">
        <v>1</v>
      </c>
      <c r="D27" s="9">
        <f>N27</f>
        <v>4860606.8557094513</v>
      </c>
      <c r="E27" s="41">
        <f t="shared" si="2"/>
        <v>12982856.603912009</v>
      </c>
      <c r="F27" s="11">
        <f xml:space="preserve"> (I26 / 2) + D27 - K27</f>
        <v>33187889.124222867</v>
      </c>
      <c r="G27" s="8">
        <v>1.7999999999999999E-2</v>
      </c>
      <c r="H27" s="9">
        <f xml:space="preserve"> (F27 * G27) + F27</f>
        <v>33785271.12845888</v>
      </c>
      <c r="I27" s="9"/>
      <c r="J27" s="9">
        <f xml:space="preserve"> E27 + H27</f>
        <v>46768127.732370891</v>
      </c>
      <c r="K27" s="47">
        <v>0</v>
      </c>
      <c r="L27" s="10"/>
      <c r="M27" s="55"/>
      <c r="N27" s="11">
        <f xml:space="preserve"> (L26 / 12) +2500000</f>
        <v>4860606.8557094513</v>
      </c>
      <c r="P27" s="9">
        <f xml:space="preserve"> (H26 / 2 )</f>
        <v>28327282.268513415</v>
      </c>
      <c r="S27" s="9"/>
    </row>
    <row r="28" spans="1:19" s="42" customFormat="1" x14ac:dyDescent="0.3">
      <c r="B28" s="63"/>
      <c r="C28" s="42">
        <v>2</v>
      </c>
      <c r="D28" s="41">
        <f>N27</f>
        <v>4860606.8557094513</v>
      </c>
      <c r="E28" s="41">
        <f t="shared" si="2"/>
        <v>13623748.022782424</v>
      </c>
      <c r="F28" s="41">
        <f t="shared" ref="F28:F38" si="6" xml:space="preserve"> H27 + D28 - K28</f>
        <v>38645877.984168328</v>
      </c>
      <c r="G28" s="42">
        <v>1.7999999999999999E-2</v>
      </c>
      <c r="H28" s="41">
        <f xml:space="preserve"> (F28 * G28) + F28</f>
        <v>39341503.787883356</v>
      </c>
      <c r="I28" s="41"/>
      <c r="J28" s="9">
        <f t="shared" ref="J28:J91" si="7" xml:space="preserve"> E28 + H28</f>
        <v>52965251.810665779</v>
      </c>
      <c r="K28" s="49">
        <v>0</v>
      </c>
      <c r="L28" s="43"/>
      <c r="M28" s="57"/>
      <c r="S28" s="41"/>
    </row>
    <row r="29" spans="1:19" s="8" customFormat="1" x14ac:dyDescent="0.3">
      <c r="B29" s="63"/>
      <c r="C29" s="8">
        <v>3</v>
      </c>
      <c r="D29" s="9">
        <f>N27</f>
        <v>4860606.8557094513</v>
      </c>
      <c r="E29" s="41">
        <f t="shared" si="2"/>
        <v>14276175.487192508</v>
      </c>
      <c r="F29" s="9">
        <f t="shared" si="6"/>
        <v>44202110.643592805</v>
      </c>
      <c r="G29" s="8">
        <v>1.7999999999999999E-2</v>
      </c>
      <c r="H29" s="9">
        <f xml:space="preserve"> (F29 * G29) + F29</f>
        <v>44997748.635177478</v>
      </c>
      <c r="I29" s="9"/>
      <c r="J29" s="9">
        <f t="shared" si="7"/>
        <v>59273924.12236999</v>
      </c>
      <c r="K29" s="47">
        <v>0</v>
      </c>
      <c r="L29" s="10"/>
      <c r="M29" s="55"/>
      <c r="S29" s="9"/>
    </row>
    <row r="30" spans="1:19" s="8" customFormat="1" x14ac:dyDescent="0.3">
      <c r="B30" s="63"/>
      <c r="C30" s="8">
        <v>4</v>
      </c>
      <c r="D30" s="9">
        <f>N27</f>
        <v>4860606.8557094513</v>
      </c>
      <c r="E30" s="41">
        <f t="shared" si="2"/>
        <v>14940346.645961974</v>
      </c>
      <c r="F30" s="9">
        <f t="shared" si="6"/>
        <v>49858355.490886927</v>
      </c>
      <c r="G30" s="8">
        <v>1.7999999999999999E-2</v>
      </c>
      <c r="H30" s="9">
        <f t="shared" ref="H30:H93" si="8" xml:space="preserve"> (F30 * G30) + F30</f>
        <v>50755805.889722891</v>
      </c>
      <c r="I30" s="9"/>
      <c r="J30" s="9">
        <f t="shared" si="7"/>
        <v>65696152.535684869</v>
      </c>
      <c r="K30" s="47">
        <v>0</v>
      </c>
      <c r="L30" s="10"/>
      <c r="M30" s="55"/>
      <c r="S30" s="9"/>
    </row>
    <row r="31" spans="1:19" s="8" customFormat="1" x14ac:dyDescent="0.3">
      <c r="B31" s="63"/>
      <c r="C31" s="8">
        <v>5</v>
      </c>
      <c r="D31" s="9">
        <f>N27</f>
        <v>4860606.8557094513</v>
      </c>
      <c r="E31" s="41">
        <f t="shared" si="2"/>
        <v>15616472.885589289</v>
      </c>
      <c r="F31" s="9">
        <f t="shared" si="6"/>
        <v>54450652.988117017</v>
      </c>
      <c r="G31" s="8">
        <v>1.7999999999999999E-2</v>
      </c>
      <c r="H31" s="9">
        <f t="shared" si="8"/>
        <v>55430764.741903126</v>
      </c>
      <c r="I31" s="9"/>
      <c r="J31" s="9">
        <f t="shared" si="7"/>
        <v>71047237.627492413</v>
      </c>
      <c r="K31" s="47">
        <f xml:space="preserve"> Q26</f>
        <v>1165759.7573153246</v>
      </c>
      <c r="L31" s="10"/>
      <c r="M31" s="55"/>
      <c r="S31" s="9"/>
    </row>
    <row r="32" spans="1:19" s="8" customFormat="1" x14ac:dyDescent="0.3">
      <c r="B32" s="63"/>
      <c r="C32" s="8">
        <v>6</v>
      </c>
      <c r="D32" s="9">
        <f>N27</f>
        <v>4860606.8557094513</v>
      </c>
      <c r="E32" s="41">
        <f t="shared" si="2"/>
        <v>16304769.397529896</v>
      </c>
      <c r="F32" s="9">
        <f t="shared" si="6"/>
        <v>60291371.597612575</v>
      </c>
      <c r="G32" s="8">
        <v>1.7999999999999999E-2</v>
      </c>
      <c r="H32" s="9">
        <f t="shared" si="8"/>
        <v>61376616.286369599</v>
      </c>
      <c r="I32" s="9"/>
      <c r="J32" s="9">
        <f t="shared" si="7"/>
        <v>77681385.683899492</v>
      </c>
      <c r="K32" s="47">
        <v>0</v>
      </c>
      <c r="L32" s="10"/>
      <c r="M32" s="55"/>
      <c r="S32" s="9"/>
    </row>
    <row r="33" spans="1:19" s="8" customFormat="1" x14ac:dyDescent="0.3">
      <c r="B33" s="63"/>
      <c r="C33" s="8">
        <v>7</v>
      </c>
      <c r="D33" s="9">
        <f>N27</f>
        <v>4860606.8557094513</v>
      </c>
      <c r="E33" s="41">
        <f t="shared" si="2"/>
        <v>17005455.246685434</v>
      </c>
      <c r="F33" s="9">
        <f t="shared" si="6"/>
        <v>66237223.142079048</v>
      </c>
      <c r="G33" s="8">
        <v>1.7999999999999999E-2</v>
      </c>
      <c r="H33" s="9">
        <f t="shared" si="8"/>
        <v>67429493.158636466</v>
      </c>
      <c r="I33" s="9"/>
      <c r="J33" s="9">
        <f t="shared" si="7"/>
        <v>84434948.405321896</v>
      </c>
      <c r="K33" s="47">
        <v>0</v>
      </c>
      <c r="L33" s="10"/>
      <c r="M33" s="55"/>
      <c r="S33" s="9"/>
    </row>
    <row r="34" spans="1:19" s="8" customFormat="1" x14ac:dyDescent="0.3">
      <c r="B34" s="63"/>
      <c r="C34" s="8">
        <v>8</v>
      </c>
      <c r="D34" s="9">
        <f>N27</f>
        <v>4860606.8557094513</v>
      </c>
      <c r="E34" s="41">
        <f t="shared" si="2"/>
        <v>17718753.441125773</v>
      </c>
      <c r="F34" s="9">
        <f t="shared" si="6"/>
        <v>72290100.014345914</v>
      </c>
      <c r="G34" s="8">
        <v>1.7999999999999999E-2</v>
      </c>
      <c r="H34" s="9">
        <f t="shared" si="8"/>
        <v>73591321.814604133</v>
      </c>
      <c r="I34" s="9"/>
      <c r="J34" s="9">
        <f t="shared" si="7"/>
        <v>91310075.255729914</v>
      </c>
      <c r="K34" s="47">
        <v>0</v>
      </c>
      <c r="L34" s="10"/>
      <c r="M34" s="55"/>
      <c r="S34" s="9"/>
    </row>
    <row r="35" spans="1:19" s="8" customFormat="1" x14ac:dyDescent="0.3">
      <c r="B35" s="63"/>
      <c r="C35" s="8">
        <v>9</v>
      </c>
      <c r="D35" s="9">
        <f>N27</f>
        <v>4860606.8557094513</v>
      </c>
      <c r="E35" s="41">
        <f t="shared" si="2"/>
        <v>18444891.003066037</v>
      </c>
      <c r="F35" s="9">
        <f t="shared" si="6"/>
        <v>78451928.670313582</v>
      </c>
      <c r="G35" s="8">
        <v>1.7999999999999999E-2</v>
      </c>
      <c r="H35" s="9">
        <f t="shared" si="8"/>
        <v>79864063.386379227</v>
      </c>
      <c r="I35" s="9"/>
      <c r="J35" s="9">
        <f t="shared" si="7"/>
        <v>98308954.38944526</v>
      </c>
      <c r="K35" s="47">
        <v>0</v>
      </c>
      <c r="L35" s="10"/>
      <c r="M35" s="55"/>
      <c r="S35" s="9"/>
    </row>
    <row r="36" spans="1:19" s="8" customFormat="1" x14ac:dyDescent="0.3">
      <c r="B36" s="63"/>
      <c r="C36" s="8">
        <v>10</v>
      </c>
      <c r="D36" s="9">
        <f>N27</f>
        <v>4860606.8557094513</v>
      </c>
      <c r="E36" s="41">
        <f t="shared" si="2"/>
        <v>19184099.041121226</v>
      </c>
      <c r="F36" s="9">
        <f t="shared" si="6"/>
        <v>84724670.242088675</v>
      </c>
      <c r="G36" s="8">
        <v>1.7999999999999999E-2</v>
      </c>
      <c r="H36" s="9">
        <f t="shared" si="8"/>
        <v>86249714.306446269</v>
      </c>
      <c r="I36" s="9"/>
      <c r="J36" s="9">
        <f t="shared" si="7"/>
        <v>105433813.3475675</v>
      </c>
      <c r="K36" s="47">
        <v>0</v>
      </c>
      <c r="L36" s="10"/>
      <c r="M36" s="55"/>
      <c r="S36" s="9"/>
    </row>
    <row r="37" spans="1:19" s="8" customFormat="1" x14ac:dyDescent="0.3">
      <c r="B37" s="63"/>
      <c r="C37" s="8">
        <v>11</v>
      </c>
      <c r="D37" s="9">
        <f>N27</f>
        <v>4860606.8557094513</v>
      </c>
      <c r="E37" s="41">
        <f t="shared" si="2"/>
        <v>19936612.823861409</v>
      </c>
      <c r="F37" s="9">
        <f t="shared" si="6"/>
        <v>91110321.162155718</v>
      </c>
      <c r="G37" s="8">
        <v>1.7999999999999999E-2</v>
      </c>
      <c r="H37" s="9">
        <f t="shared" si="8"/>
        <v>92750306.943074524</v>
      </c>
      <c r="I37" s="9"/>
      <c r="J37" s="9">
        <f t="shared" si="7"/>
        <v>112686919.76693593</v>
      </c>
      <c r="K37" s="47">
        <v>0</v>
      </c>
      <c r="L37" s="10"/>
      <c r="M37" s="55"/>
      <c r="S37" s="9"/>
    </row>
    <row r="38" spans="1:19" s="18" customFormat="1" x14ac:dyDescent="0.3">
      <c r="B38" s="63"/>
      <c r="C38" s="18">
        <v>12</v>
      </c>
      <c r="D38" s="19">
        <f>N27</f>
        <v>4860606.8557094513</v>
      </c>
      <c r="E38" s="19">
        <f t="shared" si="2"/>
        <v>20702671.854690913</v>
      </c>
      <c r="F38" s="19">
        <f t="shared" si="6"/>
        <v>97610913.798783973</v>
      </c>
      <c r="G38" s="18">
        <v>1.7999999999999999E-2</v>
      </c>
      <c r="H38" s="19">
        <f t="shared" si="8"/>
        <v>99367910.247162089</v>
      </c>
      <c r="I38" s="19">
        <f xml:space="preserve"> H38</f>
        <v>99367910.247162089</v>
      </c>
      <c r="J38" s="19">
        <f t="shared" si="7"/>
        <v>120070582.101853</v>
      </c>
      <c r="K38" s="50">
        <v>0</v>
      </c>
      <c r="L38" s="20">
        <f xml:space="preserve"> I38 / 2</f>
        <v>49683955.123581044</v>
      </c>
      <c r="M38" s="58">
        <f xml:space="preserve"> (F27 + SUM(D28:D38)) - SUM(K27:K38)</f>
        <v>85488804.7797115</v>
      </c>
      <c r="N38" s="19">
        <f xml:space="preserve"> H38 - M38</f>
        <v>13879105.467450589</v>
      </c>
      <c r="O38" s="18">
        <v>0.84</v>
      </c>
      <c r="P38" s="19">
        <f xml:space="preserve"> N38 * O38</f>
        <v>11658448.592658494</v>
      </c>
      <c r="Q38" s="19">
        <f xml:space="preserve"> N38 - P38</f>
        <v>2220656.8747920953</v>
      </c>
      <c r="R38" s="18">
        <f xml:space="preserve"> N38 / M38 * 100</f>
        <v>16.234997673922827</v>
      </c>
      <c r="S38" s="19"/>
    </row>
    <row r="39" spans="1:19" s="8" customFormat="1" x14ac:dyDescent="0.3">
      <c r="A39" s="8">
        <v>4</v>
      </c>
      <c r="B39" s="63">
        <v>2025</v>
      </c>
      <c r="C39" s="8">
        <v>1</v>
      </c>
      <c r="D39" s="9">
        <f>N39</f>
        <v>6640329.5936317537</v>
      </c>
      <c r="E39" s="41">
        <f t="shared" si="2"/>
        <v>21482519.94807535</v>
      </c>
      <c r="F39" s="9">
        <f xml:space="preserve"> (H38 / 2) + D39 - K39</f>
        <v>56324284.717212796</v>
      </c>
      <c r="G39" s="8">
        <v>1.7999999999999999E-2</v>
      </c>
      <c r="H39" s="9">
        <f t="shared" si="8"/>
        <v>57338121.842122629</v>
      </c>
      <c r="I39" s="9"/>
      <c r="J39" s="9">
        <f t="shared" si="7"/>
        <v>78820641.790197983</v>
      </c>
      <c r="K39" s="47">
        <v>0</v>
      </c>
      <c r="L39" s="10"/>
      <c r="M39" s="55"/>
      <c r="N39" s="11">
        <f xml:space="preserve"> (L38 / 12) +2500000</f>
        <v>6640329.5936317537</v>
      </c>
      <c r="P39" s="9">
        <f xml:space="preserve"> (H38 / 2 )</f>
        <v>49683955.123581044</v>
      </c>
      <c r="S39" s="9"/>
    </row>
    <row r="40" spans="1:19" s="8" customFormat="1" x14ac:dyDescent="0.3">
      <c r="B40" s="63"/>
      <c r="C40" s="8">
        <v>2</v>
      </c>
      <c r="D40" s="9">
        <f>N39</f>
        <v>6640329.5936317537</v>
      </c>
      <c r="E40" s="41">
        <f t="shared" si="2"/>
        <v>22276405.307140708</v>
      </c>
      <c r="F40" s="9">
        <f t="shared" ref="F40:F50" si="9" xml:space="preserve"> H39 + D40 - K40</f>
        <v>63978451.435754381</v>
      </c>
      <c r="G40" s="8">
        <v>1.7999999999999999E-2</v>
      </c>
      <c r="H40" s="9">
        <f t="shared" si="8"/>
        <v>65130063.561597958</v>
      </c>
      <c r="I40" s="9"/>
      <c r="J40" s="9">
        <f t="shared" si="7"/>
        <v>87406468.868738666</v>
      </c>
      <c r="K40" s="47">
        <v>0</v>
      </c>
      <c r="L40" s="10"/>
      <c r="M40" s="55"/>
      <c r="S40" s="9"/>
    </row>
    <row r="41" spans="1:19" s="8" customFormat="1" x14ac:dyDescent="0.3">
      <c r="B41" s="63"/>
      <c r="C41" s="8">
        <v>3</v>
      </c>
      <c r="D41" s="9">
        <f>N39</f>
        <v>6640329.5936317537</v>
      </c>
      <c r="E41" s="41">
        <f t="shared" si="2"/>
        <v>23084580.602669239</v>
      </c>
      <c r="F41" s="9">
        <f t="shared" si="9"/>
        <v>71770393.155229717</v>
      </c>
      <c r="G41" s="8">
        <v>1.7999999999999999E-2</v>
      </c>
      <c r="H41" s="9">
        <f t="shared" si="8"/>
        <v>73062260.23202385</v>
      </c>
      <c r="I41" s="9"/>
      <c r="J41" s="9">
        <f t="shared" si="7"/>
        <v>96146840.834693089</v>
      </c>
      <c r="K41" s="47">
        <v>0</v>
      </c>
      <c r="L41" s="10"/>
      <c r="M41" s="55"/>
      <c r="S41" s="9"/>
    </row>
    <row r="42" spans="1:19" s="8" customFormat="1" x14ac:dyDescent="0.3">
      <c r="B42" s="63"/>
      <c r="C42" s="8">
        <v>4</v>
      </c>
      <c r="D42" s="9">
        <f>N39</f>
        <v>6640329.5936317537</v>
      </c>
      <c r="E42" s="41">
        <f t="shared" si="2"/>
        <v>23907303.053517286</v>
      </c>
      <c r="F42" s="9">
        <f t="shared" si="9"/>
        <v>79702589.825655609</v>
      </c>
      <c r="G42" s="8">
        <v>1.7999999999999999E-2</v>
      </c>
      <c r="H42" s="9">
        <f t="shared" si="8"/>
        <v>81137236.442517415</v>
      </c>
      <c r="I42" s="9"/>
      <c r="J42" s="9">
        <f t="shared" si="7"/>
        <v>105044539.4960347</v>
      </c>
      <c r="K42" s="47">
        <v>0</v>
      </c>
      <c r="L42" s="10"/>
      <c r="M42" s="55"/>
      <c r="S42" s="9"/>
    </row>
    <row r="43" spans="1:19" s="8" customFormat="1" x14ac:dyDescent="0.3">
      <c r="B43" s="63"/>
      <c r="C43" s="8">
        <v>5</v>
      </c>
      <c r="D43" s="9">
        <f>N39</f>
        <v>6640329.5936317537</v>
      </c>
      <c r="E43" s="41">
        <f t="shared" si="2"/>
        <v>24744834.508480597</v>
      </c>
      <c r="F43" s="9">
        <f t="shared" si="9"/>
        <v>85556909.161357075</v>
      </c>
      <c r="G43" s="8">
        <v>1.7999999999999999E-2</v>
      </c>
      <c r="H43" s="9">
        <f t="shared" si="8"/>
        <v>87096933.526261508</v>
      </c>
      <c r="I43" s="9"/>
      <c r="J43" s="9">
        <f t="shared" si="7"/>
        <v>111841768.0347421</v>
      </c>
      <c r="K43" s="47">
        <f xml:space="preserve"> Q38</f>
        <v>2220656.8747920953</v>
      </c>
      <c r="L43" s="10"/>
      <c r="M43" s="55"/>
      <c r="S43" s="9"/>
    </row>
    <row r="44" spans="1:19" s="8" customFormat="1" x14ac:dyDescent="0.3">
      <c r="B44" s="63"/>
      <c r="C44" s="8">
        <v>6</v>
      </c>
      <c r="D44" s="9">
        <f>N39</f>
        <v>6640329.5936317537</v>
      </c>
      <c r="E44" s="41">
        <f t="shared" si="2"/>
        <v>25597441.529633246</v>
      </c>
      <c r="F44" s="9">
        <f t="shared" si="9"/>
        <v>93737263.119893268</v>
      </c>
      <c r="G44" s="8">
        <v>1.7999999999999999E-2</v>
      </c>
      <c r="H44" s="9">
        <f t="shared" si="8"/>
        <v>95424533.856051341</v>
      </c>
      <c r="I44" s="9"/>
      <c r="J44" s="9">
        <f t="shared" si="7"/>
        <v>121021975.38568458</v>
      </c>
      <c r="K44" s="47">
        <v>0</v>
      </c>
      <c r="L44" s="10"/>
      <c r="M44" s="55"/>
      <c r="S44" s="9"/>
    </row>
    <row r="45" spans="1:19" s="8" customFormat="1" x14ac:dyDescent="0.3">
      <c r="B45" s="63"/>
      <c r="C45" s="8">
        <v>7</v>
      </c>
      <c r="D45" s="9">
        <f>N39</f>
        <v>6640329.5936317537</v>
      </c>
      <c r="E45" s="41">
        <f t="shared" si="2"/>
        <v>26465395.477166645</v>
      </c>
      <c r="F45" s="9">
        <f t="shared" si="9"/>
        <v>102064863.4496831</v>
      </c>
      <c r="G45" s="8">
        <v>1.7999999999999999E-2</v>
      </c>
      <c r="H45" s="9">
        <f t="shared" si="8"/>
        <v>103902030.99177739</v>
      </c>
      <c r="I45" s="9"/>
      <c r="J45" s="9">
        <f t="shared" si="7"/>
        <v>130367426.46894404</v>
      </c>
      <c r="K45" s="47">
        <v>0</v>
      </c>
      <c r="L45" s="10"/>
      <c r="M45" s="55"/>
      <c r="S45" s="9"/>
    </row>
    <row r="46" spans="1:19" s="8" customFormat="1" x14ac:dyDescent="0.3">
      <c r="B46" s="63"/>
      <c r="C46" s="8">
        <v>8</v>
      </c>
      <c r="D46" s="9">
        <f>N39</f>
        <v>6640329.5936317537</v>
      </c>
      <c r="E46" s="41">
        <f t="shared" si="2"/>
        <v>27348972.595755644</v>
      </c>
      <c r="F46" s="9">
        <f t="shared" si="9"/>
        <v>110542360.58540915</v>
      </c>
      <c r="G46" s="8">
        <v>1.7999999999999999E-2</v>
      </c>
      <c r="H46" s="9">
        <f t="shared" si="8"/>
        <v>112532123.07594651</v>
      </c>
      <c r="I46" s="9"/>
      <c r="J46" s="9">
        <f t="shared" si="7"/>
        <v>139881095.67170215</v>
      </c>
      <c r="K46" s="47">
        <v>0</v>
      </c>
      <c r="L46" s="10"/>
      <c r="M46" s="55"/>
      <c r="S46" s="9"/>
    </row>
    <row r="47" spans="1:19" s="8" customFormat="1" x14ac:dyDescent="0.3">
      <c r="B47" s="63"/>
      <c r="C47" s="8">
        <v>9</v>
      </c>
      <c r="D47" s="9">
        <f>N39</f>
        <v>6640329.5936317537</v>
      </c>
      <c r="E47" s="41">
        <f t="shared" si="2"/>
        <v>28248454.102479246</v>
      </c>
      <c r="F47" s="9">
        <f t="shared" si="9"/>
        <v>119172452.66957827</v>
      </c>
      <c r="G47" s="8">
        <v>1.7999999999999999E-2</v>
      </c>
      <c r="H47" s="9">
        <f t="shared" si="8"/>
        <v>121317556.81763068</v>
      </c>
      <c r="I47" s="9"/>
      <c r="J47" s="9">
        <f t="shared" si="7"/>
        <v>149566010.92010993</v>
      </c>
      <c r="K47" s="47">
        <v>0</v>
      </c>
      <c r="L47" s="10"/>
      <c r="M47" s="55"/>
      <c r="S47" s="9"/>
    </row>
    <row r="48" spans="1:19" s="8" customFormat="1" x14ac:dyDescent="0.3">
      <c r="B48" s="63"/>
      <c r="C48" s="8">
        <v>10</v>
      </c>
      <c r="D48" s="9">
        <f>N39</f>
        <v>6640329.5936317537</v>
      </c>
      <c r="E48" s="41">
        <f t="shared" si="2"/>
        <v>29164126.276323874</v>
      </c>
      <c r="F48" s="9">
        <f t="shared" si="9"/>
        <v>127957886.41126244</v>
      </c>
      <c r="G48" s="8">
        <v>1.7999999999999999E-2</v>
      </c>
      <c r="H48" s="9">
        <f t="shared" si="8"/>
        <v>130261128.36666515</v>
      </c>
      <c r="I48" s="9"/>
      <c r="J48" s="9">
        <f t="shared" si="7"/>
        <v>159425254.64298904</v>
      </c>
      <c r="K48" s="47">
        <v>0</v>
      </c>
      <c r="L48" s="10"/>
      <c r="M48" s="55"/>
      <c r="S48" s="9"/>
    </row>
    <row r="49" spans="1:19" s="8" customFormat="1" x14ac:dyDescent="0.3">
      <c r="B49" s="63"/>
      <c r="C49" s="8">
        <v>11</v>
      </c>
      <c r="D49" s="9">
        <f>N39</f>
        <v>6640329.5936317537</v>
      </c>
      <c r="E49" s="41">
        <f t="shared" si="2"/>
        <v>30096280.549297702</v>
      </c>
      <c r="F49" s="9">
        <f t="shared" si="9"/>
        <v>136901457.9602969</v>
      </c>
      <c r="G49" s="8">
        <v>1.7999999999999999E-2</v>
      </c>
      <c r="H49" s="9">
        <f t="shared" si="8"/>
        <v>139365684.20358226</v>
      </c>
      <c r="I49" s="9"/>
      <c r="J49" s="9">
        <f t="shared" si="7"/>
        <v>169461964.75287995</v>
      </c>
      <c r="K49" s="47">
        <v>0</v>
      </c>
      <c r="L49" s="10"/>
      <c r="M49" s="55"/>
      <c r="S49" s="9"/>
    </row>
    <row r="50" spans="1:19" s="18" customFormat="1" x14ac:dyDescent="0.3">
      <c r="B50" s="63"/>
      <c r="C50" s="18">
        <v>12</v>
      </c>
      <c r="D50" s="19">
        <f>N39</f>
        <v>6640329.5936317537</v>
      </c>
      <c r="E50" s="19">
        <f t="shared" si="2"/>
        <v>31045213.599185061</v>
      </c>
      <c r="F50" s="19">
        <f t="shared" si="9"/>
        <v>146006013.797214</v>
      </c>
      <c r="G50" s="18">
        <v>1.7999999999999999E-2</v>
      </c>
      <c r="H50" s="19">
        <f t="shared" si="8"/>
        <v>148634122.04556385</v>
      </c>
      <c r="I50" s="19">
        <f xml:space="preserve"> H50</f>
        <v>148634122.04556385</v>
      </c>
      <c r="J50" s="19">
        <f t="shared" si="7"/>
        <v>179679335.6447489</v>
      </c>
      <c r="K50" s="50">
        <v>0</v>
      </c>
      <c r="L50" s="20">
        <f xml:space="preserve"> I50 / 2</f>
        <v>74317061.022781923</v>
      </c>
      <c r="M50" s="58">
        <f xml:space="preserve"> (F39 + SUM(D40:D50)) - SUM(K40:K50)</f>
        <v>127147253.37236997</v>
      </c>
      <c r="N50" s="19">
        <f xml:space="preserve"> H50 - M50</f>
        <v>21486868.673193872</v>
      </c>
      <c r="O50" s="18">
        <v>0.84</v>
      </c>
      <c r="P50" s="19">
        <f xml:space="preserve"> N50 * O50</f>
        <v>18048969.685482852</v>
      </c>
      <c r="Q50" s="19">
        <f xml:space="preserve"> N50 - P50</f>
        <v>3437898.9877110198</v>
      </c>
      <c r="R50" s="18">
        <f xml:space="preserve"> N50 / M50 * 100</f>
        <v>16.899200024609517</v>
      </c>
      <c r="S50" s="19"/>
    </row>
    <row r="51" spans="1:19" s="8" customFormat="1" x14ac:dyDescent="0.3">
      <c r="A51" s="8">
        <v>5</v>
      </c>
      <c r="B51" s="63">
        <v>2026</v>
      </c>
      <c r="C51" s="8">
        <v>1</v>
      </c>
      <c r="D51" s="9">
        <f xml:space="preserve"> N51</f>
        <v>8693088.4185651615</v>
      </c>
      <c r="E51" s="41">
        <f t="shared" si="2"/>
        <v>32011227.443970393</v>
      </c>
      <c r="F51" s="9">
        <f xml:space="preserve"> (H50 / 2) + D51 - K51</f>
        <v>83010149.441347092</v>
      </c>
      <c r="G51" s="8">
        <v>1.7999999999999999E-2</v>
      </c>
      <c r="H51" s="9">
        <f t="shared" si="8"/>
        <v>84504332.131291345</v>
      </c>
      <c r="I51" s="9"/>
      <c r="J51" s="9">
        <f t="shared" si="7"/>
        <v>116515559.57526174</v>
      </c>
      <c r="K51" s="47">
        <v>0</v>
      </c>
      <c r="L51" s="10"/>
      <c r="M51" s="55"/>
      <c r="N51" s="11">
        <f xml:space="preserve"> (L50 / 12) +2500000</f>
        <v>8693088.4185651615</v>
      </c>
      <c r="P51" s="9">
        <f xml:space="preserve"> (H50 / 2 )</f>
        <v>74317061.022781923</v>
      </c>
      <c r="S51" s="9"/>
    </row>
    <row r="52" spans="1:19" s="8" customFormat="1" x14ac:dyDescent="0.3">
      <c r="B52" s="63"/>
      <c r="C52" s="8">
        <v>2</v>
      </c>
      <c r="D52" s="9">
        <f xml:space="preserve"> N51</f>
        <v>8693088.4185651615</v>
      </c>
      <c r="E52" s="41">
        <f t="shared" si="2"/>
        <v>32994629.537961859</v>
      </c>
      <c r="F52" s="9">
        <f t="shared" ref="F52:F62" si="10" xml:space="preserve"> H51 + D52 - K52</f>
        <v>93197420.549856514</v>
      </c>
      <c r="G52" s="8">
        <v>1.7999999999999999E-2</v>
      </c>
      <c r="H52" s="9">
        <f t="shared" si="8"/>
        <v>94874974.119753927</v>
      </c>
      <c r="I52" s="9"/>
      <c r="J52" s="9">
        <f t="shared" si="7"/>
        <v>127869603.65771578</v>
      </c>
      <c r="K52" s="47">
        <v>0</v>
      </c>
      <c r="L52" s="10"/>
      <c r="M52" s="55"/>
      <c r="S52" s="9"/>
    </row>
    <row r="53" spans="1:19" s="8" customFormat="1" x14ac:dyDescent="0.3">
      <c r="B53" s="63"/>
      <c r="C53" s="8">
        <v>3</v>
      </c>
      <c r="D53" s="9">
        <f xml:space="preserve"> N51</f>
        <v>8693088.4185651615</v>
      </c>
      <c r="E53" s="41">
        <f t="shared" si="2"/>
        <v>33995732.869645171</v>
      </c>
      <c r="F53" s="9">
        <f t="shared" si="10"/>
        <v>103568062.53831908</v>
      </c>
      <c r="G53" s="8">
        <v>1.7999999999999999E-2</v>
      </c>
      <c r="H53" s="9">
        <f t="shared" si="8"/>
        <v>105432287.66400883</v>
      </c>
      <c r="I53" s="9"/>
      <c r="J53" s="9">
        <f t="shared" si="7"/>
        <v>139428020.533654</v>
      </c>
      <c r="K53" s="47">
        <v>0</v>
      </c>
      <c r="L53" s="10"/>
      <c r="M53" s="55"/>
      <c r="S53" s="9"/>
    </row>
    <row r="54" spans="1:19" s="8" customFormat="1" x14ac:dyDescent="0.3">
      <c r="B54" s="63"/>
      <c r="C54" s="8">
        <v>4</v>
      </c>
      <c r="D54" s="9">
        <f xml:space="preserve"> N51</f>
        <v>8693088.4185651615</v>
      </c>
      <c r="E54" s="41">
        <f t="shared" si="2"/>
        <v>35014856.061298788</v>
      </c>
      <c r="F54" s="9">
        <f t="shared" si="10"/>
        <v>114125376.08257398</v>
      </c>
      <c r="G54" s="8">
        <v>1.7999999999999999E-2</v>
      </c>
      <c r="H54" s="9">
        <f t="shared" si="8"/>
        <v>116179632.85206032</v>
      </c>
      <c r="I54" s="9"/>
      <c r="J54" s="9">
        <f t="shared" si="7"/>
        <v>151194488.91335911</v>
      </c>
      <c r="K54" s="47">
        <v>0</v>
      </c>
      <c r="L54" s="10"/>
      <c r="M54" s="55"/>
      <c r="S54" s="9"/>
    </row>
    <row r="55" spans="1:19" s="8" customFormat="1" x14ac:dyDescent="0.3">
      <c r="B55" s="63"/>
      <c r="C55" s="8">
        <v>5</v>
      </c>
      <c r="D55" s="9">
        <f xml:space="preserve"> N51</f>
        <v>8693088.4185651615</v>
      </c>
      <c r="E55" s="41">
        <f t="shared" si="2"/>
        <v>36052323.470402166</v>
      </c>
      <c r="F55" s="9">
        <f t="shared" si="10"/>
        <v>121434822.28291446</v>
      </c>
      <c r="G55" s="8">
        <v>1.7999999999999999E-2</v>
      </c>
      <c r="H55" s="9">
        <f t="shared" si="8"/>
        <v>123620649.08400692</v>
      </c>
      <c r="I55" s="9"/>
      <c r="J55" s="9">
        <f t="shared" si="7"/>
        <v>159672972.55440909</v>
      </c>
      <c r="K55" s="47">
        <f xml:space="preserve"> Q50</f>
        <v>3437898.9877110198</v>
      </c>
      <c r="L55" s="10"/>
      <c r="M55" s="55"/>
      <c r="S55" s="9"/>
    </row>
    <row r="56" spans="1:19" s="8" customFormat="1" x14ac:dyDescent="0.3">
      <c r="B56" s="63"/>
      <c r="C56" s="8">
        <v>6</v>
      </c>
      <c r="D56" s="9">
        <f xml:space="preserve"> N51</f>
        <v>8693088.4185651615</v>
      </c>
      <c r="E56" s="41">
        <f t="shared" si="2"/>
        <v>37108465.292869404</v>
      </c>
      <c r="F56" s="9">
        <f t="shared" si="10"/>
        <v>132313737.50257209</v>
      </c>
      <c r="G56" s="8">
        <v>1.7999999999999999E-2</v>
      </c>
      <c r="H56" s="9">
        <f t="shared" si="8"/>
        <v>134695384.77761838</v>
      </c>
      <c r="I56" s="9"/>
      <c r="J56" s="9">
        <f t="shared" si="7"/>
        <v>171803850.0704878</v>
      </c>
      <c r="K56" s="47">
        <v>0</v>
      </c>
      <c r="L56" s="10"/>
      <c r="M56" s="55"/>
      <c r="S56" s="9"/>
    </row>
    <row r="57" spans="1:19" s="8" customFormat="1" x14ac:dyDescent="0.3">
      <c r="B57" s="63"/>
      <c r="C57" s="8">
        <v>7</v>
      </c>
      <c r="D57" s="9">
        <f xml:space="preserve"> N51</f>
        <v>8693088.4185651615</v>
      </c>
      <c r="E57" s="41">
        <f t="shared" si="2"/>
        <v>38183617.668141052</v>
      </c>
      <c r="F57" s="9">
        <f t="shared" si="10"/>
        <v>143388473.19618353</v>
      </c>
      <c r="G57" s="8">
        <v>1.7999999999999999E-2</v>
      </c>
      <c r="H57" s="9">
        <f t="shared" si="8"/>
        <v>145969465.71371484</v>
      </c>
      <c r="I57" s="9"/>
      <c r="J57" s="9">
        <f t="shared" si="7"/>
        <v>184153083.38185591</v>
      </c>
      <c r="K57" s="47">
        <v>0</v>
      </c>
      <c r="L57" s="10"/>
      <c r="M57" s="55"/>
      <c r="S57" s="9"/>
    </row>
    <row r="58" spans="1:19" s="8" customFormat="1" x14ac:dyDescent="0.3">
      <c r="B58" s="63"/>
      <c r="C58" s="8">
        <v>8</v>
      </c>
      <c r="D58" s="9">
        <f xml:space="preserve"> N51</f>
        <v>8693088.4185651615</v>
      </c>
      <c r="E58" s="41">
        <f t="shared" si="2"/>
        <v>39278122.786167592</v>
      </c>
      <c r="F58" s="9">
        <f t="shared" si="10"/>
        <v>154662554.13227999</v>
      </c>
      <c r="G58" s="8">
        <v>1.7999999999999999E-2</v>
      </c>
      <c r="H58" s="9">
        <f t="shared" si="8"/>
        <v>157446480.10666102</v>
      </c>
      <c r="I58" s="9"/>
      <c r="J58" s="9">
        <f t="shared" si="7"/>
        <v>196724602.89282861</v>
      </c>
      <c r="K58" s="47">
        <v>0</v>
      </c>
      <c r="L58" s="10"/>
      <c r="M58" s="55"/>
      <c r="S58" s="9"/>
    </row>
    <row r="59" spans="1:19" s="8" customFormat="1" x14ac:dyDescent="0.3">
      <c r="B59" s="63"/>
      <c r="C59" s="8">
        <v>9</v>
      </c>
      <c r="D59" s="9">
        <f xml:space="preserve"> N51</f>
        <v>8693088.4185651615</v>
      </c>
      <c r="E59" s="41">
        <f t="shared" si="2"/>
        <v>40392328.996318609</v>
      </c>
      <c r="F59" s="9">
        <f t="shared" si="10"/>
        <v>166139568.52522618</v>
      </c>
      <c r="G59" s="8">
        <v>1.7999999999999999E-2</v>
      </c>
      <c r="H59" s="9">
        <f t="shared" si="8"/>
        <v>169130080.75868025</v>
      </c>
      <c r="I59" s="9"/>
      <c r="J59" s="9">
        <f t="shared" si="7"/>
        <v>209522409.75499886</v>
      </c>
      <c r="K59" s="47">
        <v>0</v>
      </c>
      <c r="L59" s="10"/>
      <c r="M59" s="55"/>
      <c r="S59" s="9"/>
    </row>
    <row r="60" spans="1:19" s="8" customFormat="1" x14ac:dyDescent="0.3">
      <c r="B60" s="63"/>
      <c r="C60" s="8">
        <v>10</v>
      </c>
      <c r="D60" s="9">
        <f xml:space="preserve"> N51</f>
        <v>8693088.4185651615</v>
      </c>
      <c r="E60" s="41">
        <f t="shared" si="2"/>
        <v>41526590.918252341</v>
      </c>
      <c r="F60" s="9">
        <f t="shared" si="10"/>
        <v>177823169.17724541</v>
      </c>
      <c r="G60" s="8">
        <v>1.7999999999999999E-2</v>
      </c>
      <c r="H60" s="9">
        <f t="shared" si="8"/>
        <v>181023986.22243583</v>
      </c>
      <c r="I60" s="9"/>
      <c r="J60" s="9">
        <f t="shared" si="7"/>
        <v>222550577.14068818</v>
      </c>
      <c r="K60" s="47">
        <v>0</v>
      </c>
      <c r="L60" s="10"/>
      <c r="M60" s="55"/>
      <c r="S60" s="9"/>
    </row>
    <row r="61" spans="1:19" s="8" customFormat="1" x14ac:dyDescent="0.3">
      <c r="B61" s="63"/>
      <c r="C61" s="8">
        <v>11</v>
      </c>
      <c r="D61" s="9">
        <f xml:space="preserve"> N51</f>
        <v>8693088.4185651615</v>
      </c>
      <c r="E61" s="41">
        <f t="shared" si="2"/>
        <v>42681269.554780886</v>
      </c>
      <c r="F61" s="9">
        <f t="shared" si="10"/>
        <v>189717074.64100099</v>
      </c>
      <c r="G61" s="8">
        <v>1.7999999999999999E-2</v>
      </c>
      <c r="H61" s="9">
        <f t="shared" si="8"/>
        <v>193131981.984539</v>
      </c>
      <c r="I61" s="9"/>
      <c r="J61" s="9">
        <f t="shared" si="7"/>
        <v>235813251.53931987</v>
      </c>
      <c r="K61" s="47">
        <v>0</v>
      </c>
      <c r="L61" s="10"/>
      <c r="M61" s="55"/>
      <c r="S61" s="9"/>
    </row>
    <row r="62" spans="1:19" s="18" customFormat="1" x14ac:dyDescent="0.3">
      <c r="B62" s="63"/>
      <c r="C62" s="18">
        <v>12</v>
      </c>
      <c r="D62" s="19">
        <f xml:space="preserve"> N51</f>
        <v>8693088.4185651615</v>
      </c>
      <c r="E62" s="19">
        <f t="shared" si="2"/>
        <v>43856732.406766944</v>
      </c>
      <c r="F62" s="19">
        <f t="shared" si="10"/>
        <v>201825070.40310416</v>
      </c>
      <c r="G62" s="18">
        <v>1.7999999999999999E-2</v>
      </c>
      <c r="H62" s="19">
        <f t="shared" si="8"/>
        <v>205457921.67036003</v>
      </c>
      <c r="I62" s="19">
        <f xml:space="preserve"> H62</f>
        <v>205457921.67036003</v>
      </c>
      <c r="J62" s="19">
        <f t="shared" si="7"/>
        <v>249314654.07712698</v>
      </c>
      <c r="K62" s="50">
        <v>0</v>
      </c>
      <c r="L62" s="20">
        <f xml:space="preserve"> I62 / 2</f>
        <v>102728960.83518001</v>
      </c>
      <c r="M62" s="58">
        <f xml:space="preserve"> (F51 + SUM(D52:D62)) - SUM(K52:K62)</f>
        <v>175196223.05785283</v>
      </c>
      <c r="N62" s="19">
        <f xml:space="preserve"> H62 - M62</f>
        <v>30261698.612507194</v>
      </c>
      <c r="O62" s="18">
        <v>0.84</v>
      </c>
      <c r="P62" s="19">
        <f xml:space="preserve"> N62 * O62</f>
        <v>25419826.834506042</v>
      </c>
      <c r="Q62" s="19">
        <f xml:space="preserve"> N62 - P62</f>
        <v>4841871.778001152</v>
      </c>
      <c r="R62" s="18">
        <f xml:space="preserve"> N62 / M62 * 100</f>
        <v>17.273031395496613</v>
      </c>
      <c r="S62" s="19"/>
    </row>
    <row r="63" spans="1:19" s="8" customFormat="1" x14ac:dyDescent="0.3">
      <c r="A63" s="8">
        <v>6</v>
      </c>
      <c r="B63" s="63">
        <v>2027</v>
      </c>
      <c r="C63" s="8">
        <v>1</v>
      </c>
      <c r="D63" s="9">
        <f>N63</f>
        <v>11060746.736265002</v>
      </c>
      <c r="E63" s="41">
        <f t="shared" si="2"/>
        <v>45053353.590088747</v>
      </c>
      <c r="F63" s="9">
        <f xml:space="preserve"> (H62 / 2) + D63 - K63</f>
        <v>113789707.57144502</v>
      </c>
      <c r="G63" s="8">
        <v>1.7999999999999999E-2</v>
      </c>
      <c r="H63" s="9">
        <f t="shared" si="8"/>
        <v>115837922.30773103</v>
      </c>
      <c r="I63" s="9"/>
      <c r="J63" s="9">
        <f t="shared" si="7"/>
        <v>160891275.89781979</v>
      </c>
      <c r="K63" s="47">
        <v>0</v>
      </c>
      <c r="L63" s="10"/>
      <c r="M63" s="55"/>
      <c r="N63" s="11">
        <f xml:space="preserve"> (L62 / 12) +2500000</f>
        <v>11060746.736265002</v>
      </c>
      <c r="P63" s="9">
        <f xml:space="preserve"> (H62 / 2 )</f>
        <v>102728960.83518001</v>
      </c>
      <c r="S63" s="9"/>
    </row>
    <row r="64" spans="1:19" s="8" customFormat="1" x14ac:dyDescent="0.3">
      <c r="B64" s="63"/>
      <c r="C64" s="8">
        <v>2</v>
      </c>
      <c r="D64" s="9">
        <f>N63</f>
        <v>11060746.736265002</v>
      </c>
      <c r="E64" s="41">
        <f t="shared" si="2"/>
        <v>46271513.954710342</v>
      </c>
      <c r="F64" s="9">
        <f t="shared" ref="F64:F74" si="11" xml:space="preserve"> H63 + D64 - K64</f>
        <v>126898669.04399604</v>
      </c>
      <c r="G64" s="8">
        <v>1.7999999999999999E-2</v>
      </c>
      <c r="H64" s="9">
        <f t="shared" si="8"/>
        <v>129182845.08678797</v>
      </c>
      <c r="I64" s="9"/>
      <c r="J64" s="9">
        <f t="shared" si="7"/>
        <v>175454359.0414983</v>
      </c>
      <c r="K64" s="47">
        <v>0</v>
      </c>
      <c r="L64" s="10"/>
      <c r="M64" s="55"/>
      <c r="S64" s="9"/>
    </row>
    <row r="65" spans="1:19" s="8" customFormat="1" x14ac:dyDescent="0.3">
      <c r="B65" s="63"/>
      <c r="C65" s="8">
        <v>3</v>
      </c>
      <c r="D65" s="9">
        <f>N63</f>
        <v>11060746.736265002</v>
      </c>
      <c r="E65" s="41">
        <f t="shared" si="2"/>
        <v>47511601.205895126</v>
      </c>
      <c r="F65" s="9">
        <f t="shared" si="11"/>
        <v>140243591.82305297</v>
      </c>
      <c r="G65" s="8">
        <v>1.7999999999999999E-2</v>
      </c>
      <c r="H65" s="9">
        <f t="shared" si="8"/>
        <v>142767976.47586793</v>
      </c>
      <c r="I65" s="9"/>
      <c r="J65" s="9">
        <f t="shared" si="7"/>
        <v>190279577.68176305</v>
      </c>
      <c r="K65" s="47">
        <v>0</v>
      </c>
      <c r="L65" s="10"/>
      <c r="M65" s="55"/>
      <c r="S65" s="9"/>
    </row>
    <row r="66" spans="1:19" s="8" customFormat="1" x14ac:dyDescent="0.3">
      <c r="B66" s="63"/>
      <c r="C66" s="8">
        <v>4</v>
      </c>
      <c r="D66" s="9">
        <f>N63</f>
        <v>11060746.736265002</v>
      </c>
      <c r="E66" s="41">
        <f t="shared" si="2"/>
        <v>48774010.027601235</v>
      </c>
      <c r="F66" s="9">
        <f t="shared" si="11"/>
        <v>153828723.21213293</v>
      </c>
      <c r="G66" s="8">
        <v>1.7999999999999999E-2</v>
      </c>
      <c r="H66" s="9">
        <f t="shared" si="8"/>
        <v>156597640.22995132</v>
      </c>
      <c r="I66" s="9"/>
      <c r="J66" s="9">
        <f t="shared" si="7"/>
        <v>205371650.25755256</v>
      </c>
      <c r="K66" s="47">
        <v>0</v>
      </c>
      <c r="L66" s="10"/>
      <c r="M66" s="55"/>
      <c r="S66" s="9"/>
    </row>
    <row r="67" spans="1:19" s="8" customFormat="1" x14ac:dyDescent="0.3">
      <c r="B67" s="63"/>
      <c r="C67" s="8">
        <v>5</v>
      </c>
      <c r="D67" s="9">
        <f>N63</f>
        <v>11060746.736265002</v>
      </c>
      <c r="E67" s="41">
        <f t="shared" si="2"/>
        <v>50059142.208098054</v>
      </c>
      <c r="F67" s="9">
        <f t="shared" si="11"/>
        <v>162816515.18821517</v>
      </c>
      <c r="G67" s="8">
        <v>1.7999999999999999E-2</v>
      </c>
      <c r="H67" s="9">
        <f t="shared" si="8"/>
        <v>165747212.46160305</v>
      </c>
      <c r="I67" s="9"/>
      <c r="J67" s="9">
        <f t="shared" si="7"/>
        <v>215806354.6697011</v>
      </c>
      <c r="K67" s="47">
        <f xml:space="preserve"> Q62</f>
        <v>4841871.778001152</v>
      </c>
      <c r="L67" s="10"/>
      <c r="M67" s="55"/>
      <c r="S67" s="9"/>
    </row>
    <row r="68" spans="1:19" s="8" customFormat="1" x14ac:dyDescent="0.3">
      <c r="B68" s="63"/>
      <c r="C68" s="8">
        <v>6</v>
      </c>
      <c r="D68" s="9">
        <f>N63</f>
        <v>11060746.736265002</v>
      </c>
      <c r="E68" s="41">
        <f t="shared" si="2"/>
        <v>51367406.76784382</v>
      </c>
      <c r="F68" s="9">
        <f t="shared" si="11"/>
        <v>176807959.19786805</v>
      </c>
      <c r="G68" s="8">
        <v>1.7999999999999999E-2</v>
      </c>
      <c r="H68" s="9">
        <f t="shared" si="8"/>
        <v>179990502.46342966</v>
      </c>
      <c r="I68" s="9"/>
      <c r="J68" s="9">
        <f t="shared" si="7"/>
        <v>231357909.23127347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63"/>
      <c r="C69" s="8">
        <v>7</v>
      </c>
      <c r="D69" s="9">
        <f>N63</f>
        <v>11060746.736265002</v>
      </c>
      <c r="E69" s="41">
        <f t="shared" si="2"/>
        <v>52699220.089665011</v>
      </c>
      <c r="F69" s="9">
        <f t="shared" si="11"/>
        <v>191051249.19969466</v>
      </c>
      <c r="G69" s="8">
        <v>1.7999999999999999E-2</v>
      </c>
      <c r="H69" s="9">
        <f t="shared" si="8"/>
        <v>194490171.68528917</v>
      </c>
      <c r="I69" s="9"/>
      <c r="J69" s="9">
        <f t="shared" si="7"/>
        <v>247189391.7749542</v>
      </c>
      <c r="K69" s="47">
        <v>0</v>
      </c>
      <c r="L69" s="10"/>
      <c r="M69" s="55"/>
      <c r="S69" s="9"/>
    </row>
    <row r="70" spans="1:19" s="8" customFormat="1" x14ac:dyDescent="0.3">
      <c r="B70" s="63"/>
      <c r="C70" s="8">
        <v>8</v>
      </c>
      <c r="D70" s="9">
        <f>N63</f>
        <v>11060746.736265002</v>
      </c>
      <c r="E70" s="41">
        <f t="shared" si="2"/>
        <v>54055006.051278979</v>
      </c>
      <c r="F70" s="9">
        <f t="shared" si="11"/>
        <v>205550918.42155418</v>
      </c>
      <c r="G70" s="8">
        <v>1.7999999999999999E-2</v>
      </c>
      <c r="H70" s="9">
        <f t="shared" si="8"/>
        <v>209250834.95314217</v>
      </c>
      <c r="I70" s="9"/>
      <c r="J70" s="9">
        <f t="shared" si="7"/>
        <v>263305841.00442114</v>
      </c>
      <c r="K70" s="47">
        <v>0</v>
      </c>
      <c r="L70" s="10"/>
      <c r="M70" s="55"/>
      <c r="S70" s="9"/>
    </row>
    <row r="71" spans="1:19" s="8" customFormat="1" x14ac:dyDescent="0.3">
      <c r="B71" s="63"/>
      <c r="C71" s="8">
        <v>9</v>
      </c>
      <c r="D71" s="9">
        <f>N63</f>
        <v>11060746.736265002</v>
      </c>
      <c r="E71" s="41">
        <f t="shared" si="2"/>
        <v>55435196.160201997</v>
      </c>
      <c r="F71" s="9">
        <f t="shared" si="11"/>
        <v>220311581.68940717</v>
      </c>
      <c r="G71" s="8">
        <v>1.7999999999999999E-2</v>
      </c>
      <c r="H71" s="9">
        <f t="shared" si="8"/>
        <v>224277190.1598165</v>
      </c>
      <c r="I71" s="9"/>
      <c r="J71" s="9">
        <f t="shared" si="7"/>
        <v>279712386.32001853</v>
      </c>
      <c r="K71" s="47">
        <v>0</v>
      </c>
      <c r="L71" s="10"/>
      <c r="M71" s="55"/>
      <c r="S71" s="9"/>
    </row>
    <row r="72" spans="1:19" s="8" customFormat="1" x14ac:dyDescent="0.3">
      <c r="B72" s="63"/>
      <c r="C72" s="8">
        <v>10</v>
      </c>
      <c r="D72" s="9">
        <f>N63</f>
        <v>11060746.736265002</v>
      </c>
      <c r="E72" s="41">
        <f t="shared" si="2"/>
        <v>56840229.691085629</v>
      </c>
      <c r="F72" s="9">
        <f t="shared" si="11"/>
        <v>235337936.89608151</v>
      </c>
      <c r="G72" s="8">
        <v>1.7999999999999999E-2</v>
      </c>
      <c r="H72" s="9">
        <f t="shared" si="8"/>
        <v>239574019.76021096</v>
      </c>
      <c r="I72" s="9"/>
      <c r="J72" s="9">
        <f t="shared" si="7"/>
        <v>296414249.45129657</v>
      </c>
      <c r="K72" s="47">
        <v>0</v>
      </c>
      <c r="L72" s="10"/>
      <c r="M72" s="55"/>
      <c r="S72" s="9"/>
    </row>
    <row r="73" spans="1:19" s="8" customFormat="1" x14ac:dyDescent="0.3">
      <c r="B73" s="63"/>
      <c r="C73" s="8">
        <v>11</v>
      </c>
      <c r="D73" s="9">
        <f>N63</f>
        <v>11060746.736265002</v>
      </c>
      <c r="E73" s="41">
        <f t="shared" si="2"/>
        <v>58270553.825525172</v>
      </c>
      <c r="F73" s="9">
        <f t="shared" si="11"/>
        <v>250634766.49647596</v>
      </c>
      <c r="G73" s="8">
        <v>1.7999999999999999E-2</v>
      </c>
      <c r="H73" s="9">
        <f t="shared" si="8"/>
        <v>255146192.29341254</v>
      </c>
      <c r="I73" s="9"/>
      <c r="J73" s="9">
        <f t="shared" si="7"/>
        <v>313416746.11893773</v>
      </c>
      <c r="K73" s="47">
        <v>0</v>
      </c>
      <c r="L73" s="10"/>
      <c r="M73" s="55"/>
      <c r="S73" s="9"/>
    </row>
    <row r="74" spans="1:19" s="18" customFormat="1" x14ac:dyDescent="0.3">
      <c r="B74" s="63"/>
      <c r="C74" s="18">
        <v>12</v>
      </c>
      <c r="D74" s="19">
        <f>N63</f>
        <v>11060746.736265002</v>
      </c>
      <c r="E74" s="19">
        <f t="shared" si="2"/>
        <v>59726623.794384629</v>
      </c>
      <c r="F74" s="19">
        <f t="shared" si="11"/>
        <v>266206939.02967754</v>
      </c>
      <c r="G74" s="18">
        <v>1.7999999999999999E-2</v>
      </c>
      <c r="H74" s="19">
        <f t="shared" si="8"/>
        <v>270998663.93221176</v>
      </c>
      <c r="I74" s="19">
        <f xml:space="preserve"> H74</f>
        <v>270998663.93221176</v>
      </c>
      <c r="J74" s="19">
        <f t="shared" si="7"/>
        <v>330725287.72659636</v>
      </c>
      <c r="K74" s="50">
        <v>0</v>
      </c>
      <c r="L74" s="20">
        <f xml:space="preserve"> I74 / 2</f>
        <v>135499331.96610588</v>
      </c>
      <c r="M74" s="58">
        <f xml:space="preserve"> (F63 + SUM(D64:D74)) - SUM(K64:K74)</f>
        <v>230616049.89235887</v>
      </c>
      <c r="N74" s="19">
        <f xml:space="preserve"> H74 - M74</f>
        <v>40382614.039852887</v>
      </c>
      <c r="O74" s="18">
        <v>0.84</v>
      </c>
      <c r="P74" s="19">
        <f xml:space="preserve"> N74 * O74</f>
        <v>33921395.793476425</v>
      </c>
      <c r="Q74" s="19">
        <f xml:space="preserve"> N74 - P74</f>
        <v>6461218.2463764623</v>
      </c>
      <c r="R74" s="18">
        <f xml:space="preserve"> N74 / M74 * 100</f>
        <v>17.510756106828499</v>
      </c>
      <c r="S74" s="19"/>
    </row>
    <row r="75" spans="1:19" s="8" customFormat="1" x14ac:dyDescent="0.3">
      <c r="A75" s="8">
        <v>7</v>
      </c>
      <c r="B75" s="63">
        <v>2028</v>
      </c>
      <c r="C75" s="8">
        <v>1</v>
      </c>
      <c r="D75" s="9">
        <f xml:space="preserve"> N75</f>
        <v>13791610.99717549</v>
      </c>
      <c r="E75" s="41">
        <f t="shared" si="2"/>
        <v>61208903.022683553</v>
      </c>
      <c r="F75" s="9">
        <f xml:space="preserve"> (H74 / 2) + D75 - K75</f>
        <v>149290942.96328136</v>
      </c>
      <c r="G75" s="8">
        <v>1.7999999999999999E-2</v>
      </c>
      <c r="H75" s="9">
        <f t="shared" si="8"/>
        <v>151978179.93662041</v>
      </c>
      <c r="I75" s="9"/>
      <c r="J75" s="9">
        <f t="shared" si="7"/>
        <v>213187082.95930398</v>
      </c>
      <c r="K75" s="47">
        <v>0</v>
      </c>
      <c r="L75" s="10"/>
      <c r="M75" s="55"/>
      <c r="N75" s="11">
        <f xml:space="preserve"> (L74 / 12) +2500000</f>
        <v>13791610.99717549</v>
      </c>
      <c r="P75" s="9">
        <f xml:space="preserve"> (H74 / 2 )</f>
        <v>135499331.96610588</v>
      </c>
      <c r="S75" s="9"/>
    </row>
    <row r="76" spans="1:19" s="8" customFormat="1" x14ac:dyDescent="0.3">
      <c r="B76" s="63"/>
      <c r="C76" s="8">
        <v>2</v>
      </c>
      <c r="D76" s="9">
        <f xml:space="preserve"> N75</f>
        <v>13791610.99717549</v>
      </c>
      <c r="E76" s="41">
        <f t="shared" si="2"/>
        <v>62717863.277091861</v>
      </c>
      <c r="F76" s="9">
        <f t="shared" ref="F76:F86" si="12" xml:space="preserve"> H75 + D76 - K76</f>
        <v>165769790.9337959</v>
      </c>
      <c r="G76" s="8">
        <v>1.7999999999999999E-2</v>
      </c>
      <c r="H76" s="9">
        <f t="shared" si="8"/>
        <v>168753647.17060423</v>
      </c>
      <c r="I76" s="9"/>
      <c r="J76" s="9">
        <f t="shared" si="7"/>
        <v>231471510.44769609</v>
      </c>
      <c r="K76" s="47">
        <v>0</v>
      </c>
      <c r="L76" s="10"/>
      <c r="M76" s="55"/>
      <c r="S76" s="9"/>
    </row>
    <row r="77" spans="1:19" s="8" customFormat="1" x14ac:dyDescent="0.3">
      <c r="B77" s="63"/>
      <c r="C77" s="8">
        <v>3</v>
      </c>
      <c r="D77" s="9">
        <f xml:space="preserve"> N75</f>
        <v>13791610.99717549</v>
      </c>
      <c r="E77" s="41">
        <f t="shared" si="2"/>
        <v>64253984.816079512</v>
      </c>
      <c r="F77" s="9">
        <f t="shared" si="12"/>
        <v>182545258.16777971</v>
      </c>
      <c r="G77" s="8">
        <v>1.7999999999999999E-2</v>
      </c>
      <c r="H77" s="9">
        <f t="shared" si="8"/>
        <v>185831072.81479976</v>
      </c>
      <c r="I77" s="9"/>
      <c r="J77" s="9">
        <f t="shared" si="7"/>
        <v>250085057.63087928</v>
      </c>
      <c r="K77" s="47">
        <v>0</v>
      </c>
      <c r="L77" s="10"/>
      <c r="M77" s="55"/>
      <c r="S77" s="9"/>
    </row>
    <row r="78" spans="1:19" s="8" customFormat="1" x14ac:dyDescent="0.3">
      <c r="B78" s="63"/>
      <c r="C78" s="8">
        <v>4</v>
      </c>
      <c r="D78" s="9">
        <f xml:space="preserve"> N75</f>
        <v>13791610.99717549</v>
      </c>
      <c r="E78" s="41">
        <f t="shared" ref="E78:E134" si="13" xml:space="preserve"> (E77 + 400000) + ((E77 + 400000) * G78 )</f>
        <v>65817756.54276894</v>
      </c>
      <c r="F78" s="9">
        <f t="shared" si="12"/>
        <v>199622683.81197524</v>
      </c>
      <c r="G78" s="8">
        <v>1.7999999999999999E-2</v>
      </c>
      <c r="H78" s="9">
        <f t="shared" si="8"/>
        <v>203215892.12059081</v>
      </c>
      <c r="I78" s="9"/>
      <c r="J78" s="9">
        <f t="shared" si="7"/>
        <v>269033648.66335976</v>
      </c>
      <c r="K78" s="47">
        <v>0</v>
      </c>
      <c r="L78" s="10"/>
      <c r="M78" s="55"/>
      <c r="S78" s="9"/>
    </row>
    <row r="79" spans="1:19" s="8" customFormat="1" x14ac:dyDescent="0.3">
      <c r="B79" s="63"/>
      <c r="C79" s="8">
        <v>5</v>
      </c>
      <c r="D79" s="9">
        <f xml:space="preserve"> N75</f>
        <v>13791610.99717549</v>
      </c>
      <c r="E79" s="41">
        <f t="shared" si="13"/>
        <v>67409676.160538778</v>
      </c>
      <c r="F79" s="9">
        <f t="shared" si="12"/>
        <v>210546284.87138984</v>
      </c>
      <c r="G79" s="8">
        <v>1.7999999999999999E-2</v>
      </c>
      <c r="H79" s="9">
        <f t="shared" si="8"/>
        <v>214336117.99907485</v>
      </c>
      <c r="I79" s="9"/>
      <c r="J79" s="9">
        <f t="shared" si="7"/>
        <v>281745794.15961361</v>
      </c>
      <c r="K79" s="47">
        <f xml:space="preserve"> Q74</f>
        <v>6461218.2463764623</v>
      </c>
      <c r="L79" s="10"/>
      <c r="M79" s="55"/>
      <c r="S79" s="9"/>
    </row>
    <row r="80" spans="1:19" s="8" customFormat="1" x14ac:dyDescent="0.3">
      <c r="B80" s="63"/>
      <c r="C80" s="8">
        <v>6</v>
      </c>
      <c r="D80" s="9">
        <f xml:space="preserve"> N75</f>
        <v>13791610.99717549</v>
      </c>
      <c r="E80" s="41">
        <f t="shared" si="13"/>
        <v>69030250.331428468</v>
      </c>
      <c r="F80" s="9">
        <f t="shared" si="12"/>
        <v>228127728.99625033</v>
      </c>
      <c r="G80" s="8">
        <v>1.7999999999999999E-2</v>
      </c>
      <c r="H80" s="9">
        <f t="shared" si="8"/>
        <v>232234028.11818284</v>
      </c>
      <c r="I80" s="9"/>
      <c r="J80" s="9">
        <f t="shared" si="7"/>
        <v>301264278.44961131</v>
      </c>
      <c r="K80" s="47">
        <v>0</v>
      </c>
      <c r="L80" s="10"/>
      <c r="M80" s="55"/>
      <c r="S80" s="9"/>
    </row>
    <row r="81" spans="1:19" s="8" customFormat="1" x14ac:dyDescent="0.3">
      <c r="B81" s="63"/>
      <c r="C81" s="8">
        <v>7</v>
      </c>
      <c r="D81" s="9">
        <f xml:space="preserve"> N75</f>
        <v>13791610.99717549</v>
      </c>
      <c r="E81" s="41">
        <f t="shared" si="13"/>
        <v>70679994.837394178</v>
      </c>
      <c r="F81" s="9">
        <f t="shared" si="12"/>
        <v>246025639.11535832</v>
      </c>
      <c r="G81" s="8">
        <v>1.7999999999999999E-2</v>
      </c>
      <c r="H81" s="9">
        <f t="shared" si="8"/>
        <v>250454100.61943477</v>
      </c>
      <c r="I81" s="9"/>
      <c r="J81" s="9">
        <f t="shared" si="7"/>
        <v>321134095.45682895</v>
      </c>
      <c r="K81" s="47">
        <v>0</v>
      </c>
      <c r="L81" s="10"/>
      <c r="M81" s="55"/>
      <c r="S81" s="9"/>
    </row>
    <row r="82" spans="1:19" s="8" customFormat="1" x14ac:dyDescent="0.3">
      <c r="B82" s="63"/>
      <c r="C82" s="8">
        <v>8</v>
      </c>
      <c r="D82" s="9">
        <f xml:space="preserve"> N75</f>
        <v>13791610.99717549</v>
      </c>
      <c r="E82" s="41">
        <f t="shared" si="13"/>
        <v>72359434.744467273</v>
      </c>
      <c r="F82" s="9">
        <f t="shared" si="12"/>
        <v>264245711.61661026</v>
      </c>
      <c r="G82" s="8">
        <v>1.7999999999999999E-2</v>
      </c>
      <c r="H82" s="9">
        <f t="shared" si="8"/>
        <v>269002134.42570925</v>
      </c>
      <c r="I82" s="9"/>
      <c r="J82" s="9">
        <f t="shared" si="7"/>
        <v>341361569.17017651</v>
      </c>
      <c r="K82" s="47">
        <v>0</v>
      </c>
      <c r="L82" s="10"/>
      <c r="M82" s="55"/>
      <c r="S82" s="9"/>
    </row>
    <row r="83" spans="1:19" s="8" customFormat="1" x14ac:dyDescent="0.3">
      <c r="B83" s="63"/>
      <c r="C83" s="8">
        <v>9</v>
      </c>
      <c r="D83" s="9">
        <f xml:space="preserve"> N75</f>
        <v>13791610.99717549</v>
      </c>
      <c r="E83" s="41">
        <f t="shared" si="13"/>
        <v>74069104.569867685</v>
      </c>
      <c r="F83" s="9">
        <f t="shared" si="12"/>
        <v>282793745.42288476</v>
      </c>
      <c r="G83" s="8">
        <v>1.7999999999999999E-2</v>
      </c>
      <c r="H83" s="9">
        <f t="shared" si="8"/>
        <v>287884032.84049666</v>
      </c>
      <c r="I83" s="9"/>
      <c r="J83" s="9">
        <f t="shared" si="7"/>
        <v>361953137.41036433</v>
      </c>
      <c r="K83" s="47">
        <v>0</v>
      </c>
      <c r="L83" s="10"/>
      <c r="M83" s="55"/>
      <c r="S83" s="9"/>
    </row>
    <row r="84" spans="1:19" s="8" customFormat="1" x14ac:dyDescent="0.3">
      <c r="B84" s="63"/>
      <c r="C84" s="8">
        <v>10</v>
      </c>
      <c r="D84" s="9">
        <f xml:space="preserve"> N75</f>
        <v>13791610.99717549</v>
      </c>
      <c r="E84" s="41">
        <f t="shared" si="13"/>
        <v>75809548.452125311</v>
      </c>
      <c r="F84" s="9">
        <f t="shared" si="12"/>
        <v>301675643.83767217</v>
      </c>
      <c r="G84" s="8">
        <v>1.7999999999999999E-2</v>
      </c>
      <c r="H84" s="9">
        <f t="shared" si="8"/>
        <v>307105805.4267503</v>
      </c>
      <c r="I84" s="9"/>
      <c r="J84" s="9">
        <f t="shared" si="7"/>
        <v>382915353.87887561</v>
      </c>
      <c r="K84" s="47">
        <v>0</v>
      </c>
      <c r="L84" s="10"/>
      <c r="M84" s="55"/>
      <c r="S84" s="9"/>
    </row>
    <row r="85" spans="1:19" s="8" customFormat="1" x14ac:dyDescent="0.3">
      <c r="B85" s="63"/>
      <c r="C85" s="8">
        <v>11</v>
      </c>
      <c r="D85" s="9">
        <f xml:space="preserve"> N75</f>
        <v>13791610.99717549</v>
      </c>
      <c r="E85" s="41">
        <f t="shared" si="13"/>
        <v>77581320.324263573</v>
      </c>
      <c r="F85" s="9">
        <f t="shared" si="12"/>
        <v>320897416.42392582</v>
      </c>
      <c r="G85" s="8">
        <v>1.7999999999999999E-2</v>
      </c>
      <c r="H85" s="9">
        <f t="shared" si="8"/>
        <v>326673569.9195565</v>
      </c>
      <c r="I85" s="9"/>
      <c r="J85" s="9">
        <f t="shared" si="7"/>
        <v>404254890.24382007</v>
      </c>
      <c r="K85" s="47">
        <v>0</v>
      </c>
      <c r="L85" s="10"/>
      <c r="M85" s="55"/>
      <c r="S85" s="9"/>
    </row>
    <row r="86" spans="1:19" s="18" customFormat="1" x14ac:dyDescent="0.3">
      <c r="B86" s="63"/>
      <c r="C86" s="18">
        <v>12</v>
      </c>
      <c r="D86" s="19">
        <f xml:space="preserve"> N75</f>
        <v>13791610.99717549</v>
      </c>
      <c r="E86" s="19">
        <f t="shared" si="13"/>
        <v>79384984.090100318</v>
      </c>
      <c r="F86" s="19">
        <f t="shared" si="12"/>
        <v>340465180.91673201</v>
      </c>
      <c r="G86" s="18">
        <v>1.7999999999999999E-2</v>
      </c>
      <c r="H86" s="19">
        <f t="shared" si="8"/>
        <v>346593554.17323321</v>
      </c>
      <c r="I86" s="19">
        <f xml:space="preserve"> H86</f>
        <v>346593554.17323321</v>
      </c>
      <c r="J86" s="19">
        <f t="shared" si="7"/>
        <v>425978538.26333356</v>
      </c>
      <c r="K86" s="50">
        <v>0</v>
      </c>
      <c r="L86" s="20">
        <f xml:space="preserve"> I86 / 2</f>
        <v>173296777.08661661</v>
      </c>
      <c r="M86" s="58">
        <f xml:space="preserve"> (F75 + SUM(D76:D86)) - SUM(K76:K86)</f>
        <v>294537445.6858353</v>
      </c>
      <c r="N86" s="19">
        <f xml:space="preserve"> H86 - M86</f>
        <v>52056108.487397909</v>
      </c>
      <c r="O86" s="18">
        <v>0.84</v>
      </c>
      <c r="P86" s="19">
        <f xml:space="preserve"> N86 * O86</f>
        <v>43727131.129414245</v>
      </c>
      <c r="Q86" s="19">
        <f xml:space="preserve"> N86 - P86</f>
        <v>8328977.3579836637</v>
      </c>
      <c r="R86" s="18">
        <f xml:space="preserve"> N86 / M86 * 100</f>
        <v>17.673850727599135</v>
      </c>
      <c r="S86" s="19"/>
    </row>
    <row r="87" spans="1:19" s="8" customFormat="1" x14ac:dyDescent="0.3">
      <c r="A87" s="8">
        <v>8</v>
      </c>
      <c r="B87" s="63">
        <v>2029</v>
      </c>
      <c r="C87" s="8">
        <v>1</v>
      </c>
      <c r="D87" s="9">
        <f xml:space="preserve"> N87</f>
        <v>16941398.090551384</v>
      </c>
      <c r="E87" s="41">
        <f t="shared" si="13"/>
        <v>81221113.803722128</v>
      </c>
      <c r="F87" s="9">
        <f xml:space="preserve"> (H86 / 2) + D87 - K87</f>
        <v>190238175.17716798</v>
      </c>
      <c r="G87" s="8">
        <v>1.7999999999999999E-2</v>
      </c>
      <c r="H87" s="9">
        <f t="shared" si="8"/>
        <v>193662462.33035702</v>
      </c>
      <c r="I87" s="9"/>
      <c r="J87" s="9">
        <f t="shared" si="7"/>
        <v>274883576.13407916</v>
      </c>
      <c r="K87" s="47">
        <v>0</v>
      </c>
      <c r="L87" s="10"/>
      <c r="M87" s="55"/>
      <c r="N87" s="11">
        <f xml:space="preserve"> (L86 / 12) +2500000</f>
        <v>16941398.090551384</v>
      </c>
      <c r="P87" s="9">
        <f xml:space="preserve"> (H86 / 2 )</f>
        <v>173296777.08661661</v>
      </c>
      <c r="S87" s="9"/>
    </row>
    <row r="88" spans="1:19" s="8" customFormat="1" x14ac:dyDescent="0.3">
      <c r="B88" s="63"/>
      <c r="C88" s="8">
        <v>2</v>
      </c>
      <c r="D88" s="9">
        <f xml:space="preserve"> N87</f>
        <v>16941398.090551384</v>
      </c>
      <c r="E88" s="41">
        <f t="shared" si="13"/>
        <v>83090293.852189124</v>
      </c>
      <c r="F88" s="9">
        <f t="shared" ref="F88:F98" si="14" xml:space="preserve"> H87 + D88 - K88</f>
        <v>210603860.42090839</v>
      </c>
      <c r="G88" s="8">
        <v>1.7999999999999999E-2</v>
      </c>
      <c r="H88" s="9">
        <f t="shared" si="8"/>
        <v>214394729.90848476</v>
      </c>
      <c r="I88" s="9"/>
      <c r="J88" s="9">
        <f t="shared" si="7"/>
        <v>297485023.76067388</v>
      </c>
      <c r="K88" s="47">
        <v>0</v>
      </c>
      <c r="L88" s="10"/>
      <c r="M88" s="55"/>
      <c r="S88" s="9"/>
    </row>
    <row r="89" spans="1:19" s="8" customFormat="1" x14ac:dyDescent="0.3">
      <c r="B89" s="63"/>
      <c r="C89" s="8">
        <v>3</v>
      </c>
      <c r="D89" s="9">
        <f xml:space="preserve"> N87</f>
        <v>16941398.090551384</v>
      </c>
      <c r="E89" s="41">
        <f t="shared" si="13"/>
        <v>84993119.141528532</v>
      </c>
      <c r="F89" s="9">
        <f t="shared" si="14"/>
        <v>231336127.99903613</v>
      </c>
      <c r="G89" s="8">
        <v>1.7999999999999999E-2</v>
      </c>
      <c r="H89" s="9">
        <f t="shared" si="8"/>
        <v>235500178.30301878</v>
      </c>
      <c r="I89" s="9"/>
      <c r="J89" s="9">
        <f t="shared" si="7"/>
        <v>320493297.4445473</v>
      </c>
      <c r="K89" s="47">
        <v>0</v>
      </c>
      <c r="L89" s="10"/>
      <c r="M89" s="55"/>
      <c r="S89" s="9"/>
    </row>
    <row r="90" spans="1:19" s="8" customFormat="1" x14ac:dyDescent="0.3">
      <c r="B90" s="63"/>
      <c r="C90" s="8">
        <v>4</v>
      </c>
      <c r="D90" s="9">
        <f xml:space="preserve"> N87</f>
        <v>16941398.090551384</v>
      </c>
      <c r="E90" s="41">
        <f t="shared" si="13"/>
        <v>86930195.286076039</v>
      </c>
      <c r="F90" s="9">
        <f t="shared" si="14"/>
        <v>252441576.39357015</v>
      </c>
      <c r="G90" s="8">
        <v>1.7999999999999999E-2</v>
      </c>
      <c r="H90" s="9">
        <f t="shared" si="8"/>
        <v>256985524.76865441</v>
      </c>
      <c r="I90" s="9"/>
      <c r="J90" s="9">
        <f t="shared" si="7"/>
        <v>343915720.05473042</v>
      </c>
      <c r="K90" s="47">
        <v>0</v>
      </c>
      <c r="L90" s="10"/>
      <c r="M90" s="55"/>
      <c r="S90" s="9"/>
    </row>
    <row r="91" spans="1:19" s="8" customFormat="1" x14ac:dyDescent="0.3">
      <c r="B91" s="63"/>
      <c r="C91" s="8">
        <v>5</v>
      </c>
      <c r="D91" s="9">
        <f xml:space="preserve"> N87</f>
        <v>16941398.090551384</v>
      </c>
      <c r="E91" s="41">
        <f t="shared" si="13"/>
        <v>88902138.801225409</v>
      </c>
      <c r="F91" s="9">
        <f t="shared" si="14"/>
        <v>265597945.50122213</v>
      </c>
      <c r="G91" s="8">
        <v>1.7999999999999999E-2</v>
      </c>
      <c r="H91" s="9">
        <f t="shared" si="8"/>
        <v>270378708.52024412</v>
      </c>
      <c r="I91" s="9"/>
      <c r="J91" s="9">
        <f t="shared" si="7"/>
        <v>359280847.32146955</v>
      </c>
      <c r="K91" s="47">
        <f xml:space="preserve"> Q86</f>
        <v>8328977.3579836637</v>
      </c>
      <c r="L91" s="10"/>
      <c r="M91" s="55"/>
      <c r="S91" s="9"/>
    </row>
    <row r="92" spans="1:19" s="8" customFormat="1" x14ac:dyDescent="0.3">
      <c r="B92" s="63"/>
      <c r="C92" s="8">
        <v>6</v>
      </c>
      <c r="D92" s="9">
        <f xml:space="preserve"> N87</f>
        <v>16941398.090551384</v>
      </c>
      <c r="E92" s="41">
        <f t="shared" si="13"/>
        <v>90909577.299647465</v>
      </c>
      <c r="F92" s="9">
        <f t="shared" si="14"/>
        <v>287320106.6107955</v>
      </c>
      <c r="G92" s="8">
        <v>1.7999999999999999E-2</v>
      </c>
      <c r="H92" s="9">
        <f t="shared" si="8"/>
        <v>292491868.52978981</v>
      </c>
      <c r="I92" s="9"/>
      <c r="J92" s="9">
        <f t="shared" ref="J92:J155" si="15" xml:space="preserve"> E92 + H92</f>
        <v>383401445.82943726</v>
      </c>
      <c r="K92" s="47">
        <v>0</v>
      </c>
      <c r="L92" s="10"/>
      <c r="M92" s="55"/>
      <c r="S92" s="9"/>
    </row>
    <row r="93" spans="1:19" s="8" customFormat="1" x14ac:dyDescent="0.3">
      <c r="B93" s="63"/>
      <c r="C93" s="8">
        <v>7</v>
      </c>
      <c r="D93" s="9">
        <f xml:space="preserve"> N87</f>
        <v>16941398.090551384</v>
      </c>
      <c r="E93" s="41">
        <f t="shared" si="13"/>
        <v>92953149.691041127</v>
      </c>
      <c r="F93" s="9">
        <f t="shared" si="14"/>
        <v>309433266.62034118</v>
      </c>
      <c r="G93" s="8">
        <v>1.7999999999999999E-2</v>
      </c>
      <c r="H93" s="9">
        <f t="shared" si="8"/>
        <v>315003065.41950732</v>
      </c>
      <c r="I93" s="9"/>
      <c r="J93" s="9">
        <f t="shared" si="15"/>
        <v>407956215.11054844</v>
      </c>
      <c r="K93" s="47">
        <v>0</v>
      </c>
      <c r="L93" s="10"/>
      <c r="M93" s="55"/>
      <c r="S93" s="9"/>
    </row>
    <row r="94" spans="1:19" s="8" customFormat="1" x14ac:dyDescent="0.3">
      <c r="B94" s="63"/>
      <c r="C94" s="8">
        <v>8</v>
      </c>
      <c r="D94" s="9">
        <f xml:space="preserve"> N87</f>
        <v>16941398.090551384</v>
      </c>
      <c r="E94" s="41">
        <f t="shared" si="13"/>
        <v>95033506.385479867</v>
      </c>
      <c r="F94" s="9">
        <f t="shared" si="14"/>
        <v>331944463.5100587</v>
      </c>
      <c r="G94" s="8">
        <v>1.7999999999999999E-2</v>
      </c>
      <c r="H94" s="9">
        <f t="shared" ref="H94:H157" si="16" xml:space="preserve"> (F94 * G94) + F94</f>
        <v>337919463.85323977</v>
      </c>
      <c r="I94" s="9"/>
      <c r="J94" s="9">
        <f t="shared" si="15"/>
        <v>432952970.23871964</v>
      </c>
      <c r="K94" s="47">
        <v>0</v>
      </c>
      <c r="L94" s="10"/>
      <c r="M94" s="55"/>
      <c r="S94" s="9"/>
    </row>
    <row r="95" spans="1:19" s="8" customFormat="1" x14ac:dyDescent="0.3">
      <c r="B95" s="63"/>
      <c r="C95" s="8">
        <v>9</v>
      </c>
      <c r="D95" s="9">
        <f xml:space="preserve"> N87</f>
        <v>16941398.090551384</v>
      </c>
      <c r="E95" s="41">
        <f t="shared" si="13"/>
        <v>97151309.500418499</v>
      </c>
      <c r="F95" s="9">
        <f t="shared" si="14"/>
        <v>354860861.94379115</v>
      </c>
      <c r="G95" s="8">
        <v>1.7999999999999999E-2</v>
      </c>
      <c r="H95" s="9">
        <f t="shared" si="16"/>
        <v>361248357.45877939</v>
      </c>
      <c r="I95" s="9"/>
      <c r="J95" s="9">
        <f t="shared" si="15"/>
        <v>458399666.95919788</v>
      </c>
      <c r="K95" s="47">
        <v>0</v>
      </c>
      <c r="L95" s="10"/>
      <c r="M95" s="55"/>
      <c r="S95" s="9"/>
    </row>
    <row r="96" spans="1:19" s="8" customFormat="1" x14ac:dyDescent="0.3">
      <c r="B96" s="63"/>
      <c r="C96" s="8">
        <v>10</v>
      </c>
      <c r="D96" s="9">
        <f xml:space="preserve"> N87</f>
        <v>16941398.090551384</v>
      </c>
      <c r="E96" s="41">
        <f t="shared" si="13"/>
        <v>99307233.071426034</v>
      </c>
      <c r="F96" s="9">
        <f t="shared" si="14"/>
        <v>378189755.54933077</v>
      </c>
      <c r="G96" s="8">
        <v>1.7999999999999999E-2</v>
      </c>
      <c r="H96" s="9">
        <f t="shared" si="16"/>
        <v>384997171.14921874</v>
      </c>
      <c r="I96" s="9"/>
      <c r="J96" s="9">
        <f t="shared" si="15"/>
        <v>484304404.22064477</v>
      </c>
      <c r="K96" s="47">
        <v>0</v>
      </c>
      <c r="L96" s="10"/>
      <c r="M96" s="55"/>
      <c r="S96" s="9"/>
    </row>
    <row r="97" spans="1:19" s="8" customFormat="1" x14ac:dyDescent="0.3">
      <c r="B97" s="63"/>
      <c r="C97" s="8">
        <v>11</v>
      </c>
      <c r="D97" s="9">
        <f xml:space="preserve"> N87</f>
        <v>16941398.090551384</v>
      </c>
      <c r="E97" s="41">
        <f t="shared" si="13"/>
        <v>101501963.2667117</v>
      </c>
      <c r="F97" s="9">
        <f t="shared" si="14"/>
        <v>401938569.23977011</v>
      </c>
      <c r="G97" s="8">
        <v>1.7999999999999999E-2</v>
      </c>
      <c r="H97" s="9">
        <f t="shared" si="16"/>
        <v>409173463.48608595</v>
      </c>
      <c r="I97" s="9"/>
      <c r="J97" s="9">
        <f t="shared" si="15"/>
        <v>510675426.75279766</v>
      </c>
      <c r="K97" s="47">
        <v>0</v>
      </c>
      <c r="L97" s="10"/>
      <c r="M97" s="55"/>
      <c r="S97" s="9"/>
    </row>
    <row r="98" spans="1:19" s="18" customFormat="1" x14ac:dyDescent="0.3">
      <c r="B98" s="63"/>
      <c r="C98" s="18">
        <v>12</v>
      </c>
      <c r="D98" s="19">
        <f xml:space="preserve"> N87</f>
        <v>16941398.090551384</v>
      </c>
      <c r="E98" s="19">
        <f t="shared" si="13"/>
        <v>103736198.60551251</v>
      </c>
      <c r="F98" s="19">
        <f t="shared" si="14"/>
        <v>426114861.57663733</v>
      </c>
      <c r="G98" s="18">
        <v>1.7999999999999999E-2</v>
      </c>
      <c r="H98" s="19">
        <f t="shared" si="16"/>
        <v>433784929.08501679</v>
      </c>
      <c r="I98" s="19">
        <f xml:space="preserve"> H98</f>
        <v>433784929.08501679</v>
      </c>
      <c r="J98" s="19">
        <f t="shared" si="15"/>
        <v>537521127.69052935</v>
      </c>
      <c r="K98" s="50">
        <v>0</v>
      </c>
      <c r="L98" s="20">
        <f xml:space="preserve"> I98 / 2</f>
        <v>216892464.54250839</v>
      </c>
      <c r="M98" s="58">
        <f xml:space="preserve"> (F87 + SUM(D88:D98)) - SUM(K88:K98)</f>
        <v>368264576.8152495</v>
      </c>
      <c r="N98" s="19">
        <f xml:space="preserve"> H98 - M98</f>
        <v>65520352.269767284</v>
      </c>
      <c r="O98" s="18">
        <v>0.84</v>
      </c>
      <c r="P98" s="19">
        <f xml:space="preserve"> N98 * O98</f>
        <v>55037095.906604514</v>
      </c>
      <c r="Q98" s="19">
        <f xml:space="preserve"> N98 - P98</f>
        <v>10483256.363162771</v>
      </c>
      <c r="R98" s="18">
        <f xml:space="preserve"> N98 / M98 * 100</f>
        <v>17.791652087851354</v>
      </c>
      <c r="S98" s="19"/>
    </row>
    <row r="99" spans="1:19" s="8" customFormat="1" x14ac:dyDescent="0.3">
      <c r="A99" s="8">
        <v>9</v>
      </c>
      <c r="B99" s="63">
        <v>2030</v>
      </c>
      <c r="C99" s="8">
        <v>1</v>
      </c>
      <c r="D99" s="9">
        <f>N99</f>
        <v>20574372.045209032</v>
      </c>
      <c r="E99" s="41">
        <f t="shared" si="13"/>
        <v>106010650.18041174</v>
      </c>
      <c r="F99" s="9">
        <f xml:space="preserve"> (H98 / 2) + D99 - K99</f>
        <v>237466836.58771741</v>
      </c>
      <c r="G99" s="8">
        <v>1.7999999999999999E-2</v>
      </c>
      <c r="H99" s="9">
        <f t="shared" si="16"/>
        <v>241741239.64629632</v>
      </c>
      <c r="I99" s="9"/>
      <c r="J99" s="9">
        <f t="shared" si="15"/>
        <v>347751889.82670808</v>
      </c>
      <c r="K99" s="47">
        <v>0</v>
      </c>
      <c r="L99" s="10"/>
      <c r="M99" s="55"/>
      <c r="N99" s="11">
        <f xml:space="preserve"> (L98 / 12) +2500000</f>
        <v>20574372.045209032</v>
      </c>
      <c r="P99" s="9">
        <f xml:space="preserve"> (H98 / 2 )</f>
        <v>216892464.54250839</v>
      </c>
      <c r="S99" s="9"/>
    </row>
    <row r="100" spans="1:19" s="8" customFormat="1" x14ac:dyDescent="0.3">
      <c r="B100" s="63"/>
      <c r="C100" s="8">
        <v>2</v>
      </c>
      <c r="D100" s="9">
        <f>N99</f>
        <v>20574372.045209032</v>
      </c>
      <c r="E100" s="41">
        <f t="shared" si="13"/>
        <v>108326041.88365915</v>
      </c>
      <c r="F100" s="9">
        <f t="shared" ref="F100:F110" si="17" xml:space="preserve"> H99 + D100 - K100</f>
        <v>262315611.69150534</v>
      </c>
      <c r="G100" s="8">
        <v>1.7999999999999999E-2</v>
      </c>
      <c r="H100" s="9">
        <f t="shared" si="16"/>
        <v>267037292.70195243</v>
      </c>
      <c r="I100" s="9"/>
      <c r="J100" s="9">
        <f t="shared" si="15"/>
        <v>375363334.58561158</v>
      </c>
      <c r="K100" s="47">
        <v>0</v>
      </c>
      <c r="L100" s="10"/>
      <c r="M100" s="55"/>
      <c r="S100" s="9"/>
    </row>
    <row r="101" spans="1:19" s="8" customFormat="1" x14ac:dyDescent="0.3">
      <c r="B101" s="63"/>
      <c r="C101" s="8">
        <v>3</v>
      </c>
      <c r="D101" s="9">
        <f>N99</f>
        <v>20574372.045209032</v>
      </c>
      <c r="E101" s="41">
        <f t="shared" si="13"/>
        <v>110683110.63756502</v>
      </c>
      <c r="F101" s="9">
        <f t="shared" si="17"/>
        <v>287611664.74716145</v>
      </c>
      <c r="G101" s="8">
        <v>1.7999999999999999E-2</v>
      </c>
      <c r="H101" s="9">
        <f t="shared" si="16"/>
        <v>292788674.71261036</v>
      </c>
      <c r="I101" s="9"/>
      <c r="J101" s="9">
        <f t="shared" si="15"/>
        <v>403471785.35017538</v>
      </c>
      <c r="K101" s="47">
        <v>0</v>
      </c>
      <c r="L101" s="10"/>
      <c r="M101" s="55"/>
      <c r="S101" s="9"/>
    </row>
    <row r="102" spans="1:19" s="8" customFormat="1" x14ac:dyDescent="0.3">
      <c r="B102" s="63"/>
      <c r="C102" s="8">
        <v>4</v>
      </c>
      <c r="D102" s="9">
        <f>N99</f>
        <v>20574372.045209032</v>
      </c>
      <c r="E102" s="41">
        <f t="shared" si="13"/>
        <v>113082606.62904118</v>
      </c>
      <c r="F102" s="9">
        <f t="shared" si="17"/>
        <v>313363046.75781941</v>
      </c>
      <c r="G102" s="8">
        <v>1.7999999999999999E-2</v>
      </c>
      <c r="H102" s="9">
        <f t="shared" si="16"/>
        <v>319003581.59946018</v>
      </c>
      <c r="I102" s="9"/>
      <c r="J102" s="9">
        <f t="shared" si="15"/>
        <v>432086188.22850138</v>
      </c>
      <c r="K102" s="47">
        <v>0</v>
      </c>
      <c r="L102" s="10"/>
      <c r="M102" s="55"/>
      <c r="S102" s="9"/>
    </row>
    <row r="103" spans="1:19" s="8" customFormat="1" x14ac:dyDescent="0.3">
      <c r="B103" s="63"/>
      <c r="C103" s="8">
        <v>5</v>
      </c>
      <c r="D103" s="9">
        <f>N99</f>
        <v>20574372.045209032</v>
      </c>
      <c r="E103" s="41">
        <f t="shared" si="13"/>
        <v>115525293.54836392</v>
      </c>
      <c r="F103" s="9">
        <f t="shared" si="17"/>
        <v>329094697.28150648</v>
      </c>
      <c r="G103" s="8">
        <v>1.7999999999999999E-2</v>
      </c>
      <c r="H103" s="9">
        <f t="shared" si="16"/>
        <v>335018401.83257359</v>
      </c>
      <c r="I103" s="9"/>
      <c r="J103" s="9">
        <f t="shared" si="15"/>
        <v>450543695.38093752</v>
      </c>
      <c r="K103" s="47">
        <f xml:space="preserve"> Q98</f>
        <v>10483256.363162771</v>
      </c>
      <c r="L103" s="10"/>
      <c r="M103" s="55"/>
      <c r="S103" s="9"/>
    </row>
    <row r="104" spans="1:19" s="8" customFormat="1" x14ac:dyDescent="0.3">
      <c r="B104" s="63"/>
      <c r="C104" s="8">
        <v>6</v>
      </c>
      <c r="D104" s="9">
        <f>N99</f>
        <v>20574372.045209032</v>
      </c>
      <c r="E104" s="41">
        <f t="shared" si="13"/>
        <v>118011948.83223447</v>
      </c>
      <c r="F104" s="9">
        <f t="shared" si="17"/>
        <v>355592773.87778264</v>
      </c>
      <c r="G104" s="8">
        <v>1.7999999999999999E-2</v>
      </c>
      <c r="H104" s="9">
        <f t="shared" si="16"/>
        <v>361993443.80758274</v>
      </c>
      <c r="I104" s="9"/>
      <c r="J104" s="9">
        <f t="shared" si="15"/>
        <v>480005392.63981724</v>
      </c>
      <c r="K104" s="47">
        <v>0</v>
      </c>
      <c r="L104" s="10"/>
      <c r="M104" s="55"/>
      <c r="S104" s="9"/>
    </row>
    <row r="105" spans="1:19" s="8" customFormat="1" x14ac:dyDescent="0.3">
      <c r="B105" s="63"/>
      <c r="C105" s="8">
        <v>7</v>
      </c>
      <c r="D105" s="9">
        <f>N99</f>
        <v>20574372.045209032</v>
      </c>
      <c r="E105" s="41">
        <f t="shared" si="13"/>
        <v>120543363.91121469</v>
      </c>
      <c r="F105" s="9">
        <f t="shared" si="17"/>
        <v>382567815.85279179</v>
      </c>
      <c r="G105" s="8">
        <v>1.7999999999999999E-2</v>
      </c>
      <c r="H105" s="9">
        <f t="shared" si="16"/>
        <v>389454036.53814203</v>
      </c>
      <c r="I105" s="9"/>
      <c r="J105" s="9">
        <f t="shared" si="15"/>
        <v>509997400.44935673</v>
      </c>
      <c r="K105" s="47">
        <v>0</v>
      </c>
      <c r="L105" s="10"/>
      <c r="M105" s="55"/>
      <c r="S105" s="9"/>
    </row>
    <row r="106" spans="1:19" s="8" customFormat="1" x14ac:dyDescent="0.3">
      <c r="B106" s="63"/>
      <c r="C106" s="8">
        <v>8</v>
      </c>
      <c r="D106" s="9">
        <f>N99</f>
        <v>20574372.045209032</v>
      </c>
      <c r="E106" s="41">
        <f t="shared" si="13"/>
        <v>123120344.46161656</v>
      </c>
      <c r="F106" s="9">
        <f t="shared" si="17"/>
        <v>410028408.58335108</v>
      </c>
      <c r="G106" s="8">
        <v>1.7999999999999999E-2</v>
      </c>
      <c r="H106" s="9">
        <f t="shared" si="16"/>
        <v>417408919.93785137</v>
      </c>
      <c r="I106" s="9"/>
      <c r="J106" s="9">
        <f t="shared" si="15"/>
        <v>540529264.39946795</v>
      </c>
      <c r="K106" s="47">
        <v>0</v>
      </c>
      <c r="L106" s="10"/>
      <c r="M106" s="55"/>
      <c r="S106" s="9"/>
    </row>
    <row r="107" spans="1:19" s="8" customFormat="1" x14ac:dyDescent="0.3">
      <c r="B107" s="63"/>
      <c r="C107" s="8">
        <v>9</v>
      </c>
      <c r="D107" s="9">
        <f>N99</f>
        <v>20574372.045209032</v>
      </c>
      <c r="E107" s="41">
        <f t="shared" si="13"/>
        <v>125743710.66192566</v>
      </c>
      <c r="F107" s="9">
        <f t="shared" si="17"/>
        <v>437983291.98306042</v>
      </c>
      <c r="G107" s="8">
        <v>1.7999999999999999E-2</v>
      </c>
      <c r="H107" s="9">
        <f t="shared" si="16"/>
        <v>445866991.23875552</v>
      </c>
      <c r="I107" s="9"/>
      <c r="J107" s="9">
        <f t="shared" si="15"/>
        <v>571610701.90068114</v>
      </c>
      <c r="K107" s="47">
        <v>0</v>
      </c>
      <c r="L107" s="10"/>
      <c r="M107" s="55"/>
      <c r="S107" s="9"/>
    </row>
    <row r="108" spans="1:19" s="8" customFormat="1" x14ac:dyDescent="0.3">
      <c r="B108" s="63"/>
      <c r="C108" s="8">
        <v>10</v>
      </c>
      <c r="D108" s="9">
        <f>N99</f>
        <v>20574372.045209032</v>
      </c>
      <c r="E108" s="41">
        <f t="shared" si="13"/>
        <v>128414297.45384032</v>
      </c>
      <c r="F108" s="9">
        <f t="shared" si="17"/>
        <v>466441363.28396457</v>
      </c>
      <c r="G108" s="8">
        <v>1.7999999999999999E-2</v>
      </c>
      <c r="H108" s="9">
        <f t="shared" si="16"/>
        <v>474837307.82307595</v>
      </c>
      <c r="I108" s="9"/>
      <c r="J108" s="9">
        <f t="shared" si="15"/>
        <v>603251605.27691627</v>
      </c>
      <c r="K108" s="47">
        <v>0</v>
      </c>
      <c r="L108" s="10"/>
      <c r="M108" s="55"/>
      <c r="S108" s="9"/>
    </row>
    <row r="109" spans="1:19" s="8" customFormat="1" x14ac:dyDescent="0.3">
      <c r="B109" s="63"/>
      <c r="C109" s="8">
        <v>11</v>
      </c>
      <c r="D109" s="9">
        <f>N99</f>
        <v>20574372.045209032</v>
      </c>
      <c r="E109" s="41">
        <f t="shared" si="13"/>
        <v>131132954.80800945</v>
      </c>
      <c r="F109" s="9">
        <f t="shared" si="17"/>
        <v>495411679.868285</v>
      </c>
      <c r="G109" s="8">
        <v>1.7999999999999999E-2</v>
      </c>
      <c r="H109" s="9">
        <f t="shared" si="16"/>
        <v>504329090.10591412</v>
      </c>
      <c r="I109" s="9"/>
      <c r="J109" s="9">
        <f t="shared" si="15"/>
        <v>635462044.9139235</v>
      </c>
      <c r="K109" s="47">
        <v>0</v>
      </c>
      <c r="L109" s="10"/>
      <c r="M109" s="55"/>
      <c r="S109" s="9"/>
    </row>
    <row r="110" spans="1:19" s="18" customFormat="1" x14ac:dyDescent="0.3">
      <c r="B110" s="63"/>
      <c r="C110" s="18">
        <v>12</v>
      </c>
      <c r="D110" s="19">
        <f>N99</f>
        <v>20574372.045209032</v>
      </c>
      <c r="E110" s="19">
        <f t="shared" si="13"/>
        <v>133900547.99455361</v>
      </c>
      <c r="F110" s="19">
        <f t="shared" si="17"/>
        <v>524903462.15112317</v>
      </c>
      <c r="G110" s="18">
        <v>1.7999999999999999E-2</v>
      </c>
      <c r="H110" s="19">
        <f t="shared" si="16"/>
        <v>534351724.46984339</v>
      </c>
      <c r="I110" s="19">
        <f xml:space="preserve"> H110</f>
        <v>534351724.46984339</v>
      </c>
      <c r="J110" s="19">
        <f t="shared" si="15"/>
        <v>668252272.46439695</v>
      </c>
      <c r="K110" s="50">
        <v>0</v>
      </c>
      <c r="L110" s="20">
        <f xml:space="preserve"> I110 / 2</f>
        <v>267175862.23492169</v>
      </c>
      <c r="M110" s="58">
        <f xml:space="preserve"> (F99 + SUM(D100:D110)) - SUM(K100:K110)</f>
        <v>453301672.72185397</v>
      </c>
      <c r="N110" s="19">
        <f xml:space="preserve"> H110 - M110</f>
        <v>81050051.747989416</v>
      </c>
      <c r="O110" s="18">
        <v>0.84</v>
      </c>
      <c r="P110" s="19">
        <f xml:space="preserve"> N110 * O110</f>
        <v>68082043.468311101</v>
      </c>
      <c r="Q110" s="19">
        <f xml:space="preserve"> N110 - P110</f>
        <v>12968008.279678315</v>
      </c>
      <c r="R110" s="18">
        <f xml:space="preserve"> N110 / M110 * 100</f>
        <v>17.879936612923498</v>
      </c>
      <c r="S110" s="19"/>
    </row>
    <row r="111" spans="1:19" s="8" customFormat="1" x14ac:dyDescent="0.3">
      <c r="A111" s="8">
        <v>10</v>
      </c>
      <c r="B111" s="63">
        <v>2031</v>
      </c>
      <c r="C111" s="8">
        <v>1</v>
      </c>
      <c r="D111" s="9">
        <f>N111</f>
        <v>24764655.186243474</v>
      </c>
      <c r="E111" s="41">
        <f t="shared" si="13"/>
        <v>136717957.8584556</v>
      </c>
      <c r="F111" s="9">
        <f xml:space="preserve"> (H110 / 2) + D111 - K111</f>
        <v>291940517.42116517</v>
      </c>
      <c r="G111" s="8">
        <v>1.7999999999999999E-2</v>
      </c>
      <c r="H111" s="9">
        <f t="shared" si="16"/>
        <v>297195446.73474616</v>
      </c>
      <c r="I111" s="9"/>
      <c r="J111" s="9">
        <f t="shared" si="15"/>
        <v>433913404.59320176</v>
      </c>
      <c r="K111" s="47">
        <v>0</v>
      </c>
      <c r="L111" s="10"/>
      <c r="M111" s="55"/>
      <c r="N111" s="11">
        <f xml:space="preserve"> (L110 / 12) +2500000</f>
        <v>24764655.186243474</v>
      </c>
      <c r="P111" s="9">
        <f xml:space="preserve"> (H110 / 2 )</f>
        <v>267175862.23492169</v>
      </c>
      <c r="S111" s="9"/>
    </row>
    <row r="112" spans="1:19" s="8" customFormat="1" x14ac:dyDescent="0.3">
      <c r="B112" s="63"/>
      <c r="C112" s="8">
        <v>2</v>
      </c>
      <c r="D112" s="9">
        <f>N111</f>
        <v>24764655.186243474</v>
      </c>
      <c r="E112" s="41">
        <f t="shared" si="13"/>
        <v>139586081.09990779</v>
      </c>
      <c r="F112" s="9">
        <f t="shared" ref="F112:F122" si="18" xml:space="preserve"> H111 + D112 - K112</f>
        <v>321960101.92098963</v>
      </c>
      <c r="G112" s="8">
        <v>1.7999999999999999E-2</v>
      </c>
      <c r="H112" s="9">
        <f t="shared" si="16"/>
        <v>327755383.75556743</v>
      </c>
      <c r="I112" s="9"/>
      <c r="J112" s="9">
        <f t="shared" si="15"/>
        <v>467341464.85547519</v>
      </c>
      <c r="K112" s="47">
        <v>0</v>
      </c>
      <c r="L112" s="10"/>
      <c r="M112" s="55"/>
      <c r="S112" s="9"/>
    </row>
    <row r="113" spans="1:19" s="8" customFormat="1" x14ac:dyDescent="0.3">
      <c r="B113" s="63"/>
      <c r="C113" s="8">
        <v>3</v>
      </c>
      <c r="D113" s="9">
        <f>N111</f>
        <v>24764655.186243474</v>
      </c>
      <c r="E113" s="41">
        <f t="shared" si="13"/>
        <v>142505830.55970612</v>
      </c>
      <c r="F113" s="9">
        <f t="shared" si="18"/>
        <v>352520038.94181091</v>
      </c>
      <c r="G113" s="8">
        <v>1.7999999999999999E-2</v>
      </c>
      <c r="H113" s="9">
        <f t="shared" si="16"/>
        <v>358865399.6427635</v>
      </c>
      <c r="I113" s="9"/>
      <c r="J113" s="9">
        <f t="shared" si="15"/>
        <v>501371230.20246959</v>
      </c>
      <c r="K113" s="47">
        <v>0</v>
      </c>
      <c r="L113" s="10"/>
      <c r="M113" s="55"/>
      <c r="S113" s="9"/>
    </row>
    <row r="114" spans="1:19" s="8" customFormat="1" x14ac:dyDescent="0.3">
      <c r="B114" s="63"/>
      <c r="C114" s="8">
        <v>4</v>
      </c>
      <c r="D114" s="9">
        <f>N111</f>
        <v>24764655.186243474</v>
      </c>
      <c r="E114" s="41">
        <f t="shared" si="13"/>
        <v>145478135.50978082</v>
      </c>
      <c r="F114" s="9">
        <f t="shared" si="18"/>
        <v>383630054.82900697</v>
      </c>
      <c r="G114" s="8">
        <v>1.7999999999999999E-2</v>
      </c>
      <c r="H114" s="9">
        <f t="shared" si="16"/>
        <v>390535395.81592911</v>
      </c>
      <c r="I114" s="9"/>
      <c r="J114" s="9">
        <f t="shared" si="15"/>
        <v>536013531.32570994</v>
      </c>
      <c r="K114" s="47">
        <v>0</v>
      </c>
      <c r="L114" s="10"/>
      <c r="M114" s="55"/>
      <c r="S114" s="9"/>
    </row>
    <row r="115" spans="1:19" s="8" customFormat="1" x14ac:dyDescent="0.3">
      <c r="B115" s="63"/>
      <c r="C115" s="8">
        <v>5</v>
      </c>
      <c r="D115" s="9">
        <f>N111</f>
        <v>24764655.186243474</v>
      </c>
      <c r="E115" s="41">
        <f t="shared" si="13"/>
        <v>148503941.94895688</v>
      </c>
      <c r="F115" s="9">
        <f t="shared" si="18"/>
        <v>402332042.72249424</v>
      </c>
      <c r="G115" s="8">
        <v>1.7999999999999999E-2</v>
      </c>
      <c r="H115" s="9">
        <f t="shared" si="16"/>
        <v>409574019.49149913</v>
      </c>
      <c r="I115" s="9"/>
      <c r="J115" s="9">
        <f t="shared" si="15"/>
        <v>558077961.44045603</v>
      </c>
      <c r="K115" s="47">
        <f xml:space="preserve"> Q110</f>
        <v>12968008.279678315</v>
      </c>
      <c r="L115" s="10"/>
      <c r="M115" s="55"/>
      <c r="S115" s="9"/>
    </row>
    <row r="116" spans="1:19" s="8" customFormat="1" x14ac:dyDescent="0.3">
      <c r="B116" s="63"/>
      <c r="C116" s="8">
        <v>6</v>
      </c>
      <c r="D116" s="9">
        <f>N111</f>
        <v>24764655.186243474</v>
      </c>
      <c r="E116" s="41">
        <f t="shared" si="13"/>
        <v>151584212.9040381</v>
      </c>
      <c r="F116" s="9">
        <f t="shared" si="18"/>
        <v>434338674.6777426</v>
      </c>
      <c r="G116" s="8">
        <v>1.7999999999999999E-2</v>
      </c>
      <c r="H116" s="9">
        <f t="shared" si="16"/>
        <v>442156770.82194197</v>
      </c>
      <c r="I116" s="9"/>
      <c r="J116" s="9">
        <f t="shared" si="15"/>
        <v>593740983.72598004</v>
      </c>
      <c r="K116" s="47">
        <v>0</v>
      </c>
      <c r="L116" s="10"/>
      <c r="M116" s="55"/>
      <c r="S116" s="9"/>
    </row>
    <row r="117" spans="1:19" s="8" customFormat="1" x14ac:dyDescent="0.3">
      <c r="B117" s="63"/>
      <c r="C117" s="8">
        <v>7</v>
      </c>
      <c r="D117" s="9">
        <f>N111</f>
        <v>24764655.186243474</v>
      </c>
      <c r="E117" s="41">
        <f t="shared" si="13"/>
        <v>154719928.73631078</v>
      </c>
      <c r="F117" s="9">
        <f t="shared" si="18"/>
        <v>466921426.00818545</v>
      </c>
      <c r="G117" s="8">
        <v>1.7999999999999999E-2</v>
      </c>
      <c r="H117" s="9">
        <f t="shared" si="16"/>
        <v>475326011.67633277</v>
      </c>
      <c r="I117" s="9"/>
      <c r="J117" s="9">
        <f t="shared" si="15"/>
        <v>630045940.41264355</v>
      </c>
      <c r="K117" s="47">
        <v>0</v>
      </c>
      <c r="L117" s="10"/>
      <c r="M117" s="55"/>
      <c r="S117" s="9"/>
    </row>
    <row r="118" spans="1:19" s="8" customFormat="1" x14ac:dyDescent="0.3">
      <c r="B118" s="63"/>
      <c r="C118" s="8">
        <v>8</v>
      </c>
      <c r="D118" s="9">
        <f>N111</f>
        <v>24764655.186243474</v>
      </c>
      <c r="E118" s="41">
        <f t="shared" si="13"/>
        <v>157912087.45356438</v>
      </c>
      <c r="F118" s="9">
        <f t="shared" si="18"/>
        <v>500090666.86257625</v>
      </c>
      <c r="G118" s="8">
        <v>1.7999999999999999E-2</v>
      </c>
      <c r="H118" s="9">
        <f t="shared" si="16"/>
        <v>509092298.86610264</v>
      </c>
      <c r="I118" s="9"/>
      <c r="J118" s="9">
        <f t="shared" si="15"/>
        <v>667004386.31966698</v>
      </c>
      <c r="K118" s="47">
        <v>0</v>
      </c>
      <c r="L118" s="10"/>
      <c r="M118" s="55"/>
      <c r="S118" s="9"/>
    </row>
    <row r="119" spans="1:19" s="8" customFormat="1" x14ac:dyDescent="0.3">
      <c r="B119" s="63"/>
      <c r="C119" s="8">
        <v>9</v>
      </c>
      <c r="D119" s="9">
        <f>N111</f>
        <v>24764655.186243474</v>
      </c>
      <c r="E119" s="41">
        <f t="shared" si="13"/>
        <v>161161705.02772853</v>
      </c>
      <c r="F119" s="9">
        <f t="shared" si="18"/>
        <v>533856954.05234611</v>
      </c>
      <c r="G119" s="8">
        <v>1.7999999999999999E-2</v>
      </c>
      <c r="H119" s="9">
        <f t="shared" si="16"/>
        <v>543466379.22528839</v>
      </c>
      <c r="I119" s="9"/>
      <c r="J119" s="9">
        <f t="shared" si="15"/>
        <v>704628084.25301695</v>
      </c>
      <c r="K119" s="47">
        <v>0</v>
      </c>
      <c r="L119" s="10"/>
      <c r="M119" s="55"/>
      <c r="S119" s="9"/>
    </row>
    <row r="120" spans="1:19" s="8" customFormat="1" x14ac:dyDescent="0.3">
      <c r="B120" s="63"/>
      <c r="C120" s="8">
        <v>10</v>
      </c>
      <c r="D120" s="9">
        <f>N111</f>
        <v>24764655.186243474</v>
      </c>
      <c r="E120" s="41">
        <f t="shared" si="13"/>
        <v>164469815.71822765</v>
      </c>
      <c r="F120" s="9">
        <f t="shared" si="18"/>
        <v>568231034.41153193</v>
      </c>
      <c r="G120" s="8">
        <v>1.7999999999999999E-2</v>
      </c>
      <c r="H120" s="9">
        <f t="shared" si="16"/>
        <v>578459193.03093946</v>
      </c>
      <c r="I120" s="9"/>
      <c r="J120" s="9">
        <f t="shared" si="15"/>
        <v>742929008.74916708</v>
      </c>
      <c r="K120" s="47">
        <v>0</v>
      </c>
      <c r="L120" s="10"/>
      <c r="M120" s="55"/>
      <c r="S120" s="9"/>
    </row>
    <row r="121" spans="1:19" s="8" customFormat="1" x14ac:dyDescent="0.3">
      <c r="B121" s="63"/>
      <c r="C121" s="8">
        <v>11</v>
      </c>
      <c r="D121" s="9">
        <f>N111</f>
        <v>24764655.186243474</v>
      </c>
      <c r="E121" s="41">
        <f t="shared" si="13"/>
        <v>167837472.40115574</v>
      </c>
      <c r="F121" s="9">
        <f t="shared" si="18"/>
        <v>603223848.21718287</v>
      </c>
      <c r="G121" s="8">
        <v>1.7999999999999999E-2</v>
      </c>
      <c r="H121" s="9">
        <f t="shared" si="16"/>
        <v>614081877.48509216</v>
      </c>
      <c r="I121" s="9"/>
      <c r="J121" s="9">
        <f t="shared" si="15"/>
        <v>781919349.88624787</v>
      </c>
      <c r="K121" s="47">
        <v>0</v>
      </c>
      <c r="L121" s="10"/>
      <c r="M121" s="55"/>
      <c r="S121" s="9"/>
    </row>
    <row r="122" spans="1:19" s="18" customFormat="1" x14ac:dyDescent="0.3">
      <c r="B122" s="63"/>
      <c r="C122" s="18">
        <v>12</v>
      </c>
      <c r="D122" s="19">
        <f>N111</f>
        <v>24764655.186243474</v>
      </c>
      <c r="E122" s="19">
        <f t="shared" si="13"/>
        <v>171265746.90437654</v>
      </c>
      <c r="F122" s="19">
        <f t="shared" si="18"/>
        <v>638846532.6713357</v>
      </c>
      <c r="G122" s="18">
        <v>1.7999999999999999E-2</v>
      </c>
      <c r="H122" s="19">
        <f t="shared" si="16"/>
        <v>650345770.25941968</v>
      </c>
      <c r="I122" s="19">
        <f xml:space="preserve"> H122</f>
        <v>650345770.25941968</v>
      </c>
      <c r="J122" s="19">
        <f t="shared" si="15"/>
        <v>821611517.16379619</v>
      </c>
      <c r="K122" s="50">
        <v>0</v>
      </c>
      <c r="L122" s="20">
        <f xml:space="preserve"> I122 / 2</f>
        <v>325172885.12970984</v>
      </c>
      <c r="M122" s="58">
        <f xml:space="preserve"> (F111 + SUM(D112:D122)) - SUM(K112:K122)</f>
        <v>551383716.19016504</v>
      </c>
      <c r="N122" s="19">
        <f xml:space="preserve"> H122 - M122</f>
        <v>98962054.069254637</v>
      </c>
      <c r="O122" s="18">
        <v>0.84</v>
      </c>
      <c r="P122" s="19">
        <f xml:space="preserve"> N122 * O122</f>
        <v>83128125.418173894</v>
      </c>
      <c r="Q122" s="19">
        <f xml:space="preserve"> N122 - P122</f>
        <v>15833928.651080742</v>
      </c>
      <c r="R122" s="18">
        <f xml:space="preserve"> N122 / M122 * 100</f>
        <v>17.947946441552858</v>
      </c>
      <c r="S122" s="19"/>
    </row>
    <row r="123" spans="1:19" s="8" customFormat="1" x14ac:dyDescent="0.3">
      <c r="A123" s="8">
        <v>11</v>
      </c>
      <c r="B123" s="63">
        <v>2032</v>
      </c>
      <c r="C123" s="8">
        <v>1</v>
      </c>
      <c r="D123" s="9">
        <f>N123</f>
        <v>29597740.427475821</v>
      </c>
      <c r="E123" s="41">
        <f t="shared" si="13"/>
        <v>174755730.34865531</v>
      </c>
      <c r="F123" s="9">
        <f xml:space="preserve"> (H122 / 2) + D123 - K123</f>
        <v>354770625.55718565</v>
      </c>
      <c r="G123" s="8">
        <v>1.7999999999999999E-2</v>
      </c>
      <c r="H123" s="9">
        <f t="shared" si="16"/>
        <v>361156496.81721497</v>
      </c>
      <c r="I123" s="9"/>
      <c r="J123" s="9">
        <f t="shared" si="15"/>
        <v>535912227.16587031</v>
      </c>
      <c r="K123" s="47"/>
      <c r="L123" s="10"/>
      <c r="M123" s="55"/>
      <c r="N123" s="11">
        <f xml:space="preserve"> (L122 / 12) +2500000</f>
        <v>29597740.427475821</v>
      </c>
      <c r="P123" s="9">
        <f xml:space="preserve"> (H122 / 2 )</f>
        <v>325172885.12970984</v>
      </c>
      <c r="S123" s="9"/>
    </row>
    <row r="124" spans="1:19" s="8" customFormat="1" x14ac:dyDescent="0.3">
      <c r="B124" s="63"/>
      <c r="C124" s="8">
        <v>2</v>
      </c>
      <c r="D124" s="9">
        <f>N123</f>
        <v>29597740.427475821</v>
      </c>
      <c r="E124" s="41">
        <f t="shared" si="13"/>
        <v>178308533.4949311</v>
      </c>
      <c r="F124" s="9">
        <f t="shared" ref="F124:F134" si="19" xml:space="preserve"> H123 + D124 - K124</f>
        <v>390754237.24469078</v>
      </c>
      <c r="G124" s="8">
        <v>1.7999999999999999E-2</v>
      </c>
      <c r="H124" s="9">
        <f t="shared" si="16"/>
        <v>397787813.51509523</v>
      </c>
      <c r="I124" s="9"/>
      <c r="J124" s="9">
        <f t="shared" si="15"/>
        <v>576096347.01002634</v>
      </c>
      <c r="K124" s="47"/>
      <c r="L124" s="10"/>
      <c r="M124" s="55"/>
      <c r="S124" s="9"/>
    </row>
    <row r="125" spans="1:19" s="8" customFormat="1" x14ac:dyDescent="0.3">
      <c r="B125" s="63"/>
      <c r="C125" s="8">
        <v>3</v>
      </c>
      <c r="D125" s="9">
        <f>N123</f>
        <v>29597740.427475821</v>
      </c>
      <c r="E125" s="41">
        <f t="shared" si="13"/>
        <v>181925287.09783986</v>
      </c>
      <c r="F125" s="9">
        <f t="shared" si="19"/>
        <v>427385553.94257104</v>
      </c>
      <c r="G125" s="8">
        <v>1.7999999999999999E-2</v>
      </c>
      <c r="H125" s="9">
        <f t="shared" si="16"/>
        <v>435078493.91353732</v>
      </c>
      <c r="I125" s="9"/>
      <c r="J125" s="9">
        <f t="shared" si="15"/>
        <v>617003781.01137722</v>
      </c>
      <c r="K125" s="47"/>
      <c r="L125" s="10"/>
      <c r="M125" s="55"/>
      <c r="S125" s="9"/>
    </row>
    <row r="126" spans="1:19" s="8" customFormat="1" x14ac:dyDescent="0.3">
      <c r="B126" s="63"/>
      <c r="C126" s="8">
        <v>4</v>
      </c>
      <c r="D126" s="9">
        <f>N123</f>
        <v>29597740.427475821</v>
      </c>
      <c r="E126" s="41">
        <f t="shared" si="13"/>
        <v>185607142.26560098</v>
      </c>
      <c r="F126" s="9">
        <f t="shared" si="19"/>
        <v>464676234.34101313</v>
      </c>
      <c r="G126" s="8">
        <v>1.7999999999999999E-2</v>
      </c>
      <c r="H126" s="9">
        <f t="shared" si="16"/>
        <v>473040406.55915135</v>
      </c>
      <c r="I126" s="9"/>
      <c r="J126" s="9">
        <f t="shared" si="15"/>
        <v>658647548.82475233</v>
      </c>
      <c r="K126" s="47"/>
      <c r="L126" s="10"/>
      <c r="M126" s="55"/>
      <c r="S126" s="9"/>
    </row>
    <row r="127" spans="1:19" s="8" customFormat="1" x14ac:dyDescent="0.3">
      <c r="B127" s="63"/>
      <c r="C127" s="8">
        <v>5</v>
      </c>
      <c r="D127" s="9">
        <f>N123</f>
        <v>29597740.427475821</v>
      </c>
      <c r="E127" s="41">
        <f t="shared" si="13"/>
        <v>189355270.8263818</v>
      </c>
      <c r="F127" s="9">
        <f t="shared" si="19"/>
        <v>486804218.33554643</v>
      </c>
      <c r="G127" s="8">
        <v>1.7999999999999999E-2</v>
      </c>
      <c r="H127" s="9">
        <f t="shared" si="16"/>
        <v>495566694.26558626</v>
      </c>
      <c r="I127" s="9"/>
      <c r="J127" s="9">
        <f t="shared" si="15"/>
        <v>684921965.09196806</v>
      </c>
      <c r="K127" s="47">
        <f xml:space="preserve"> Q122</f>
        <v>15833928.651080742</v>
      </c>
      <c r="L127" s="10"/>
      <c r="M127" s="55"/>
      <c r="S127" s="9"/>
    </row>
    <row r="128" spans="1:19" s="8" customFormat="1" x14ac:dyDescent="0.3">
      <c r="B128" s="63"/>
      <c r="C128" s="8">
        <v>6</v>
      </c>
      <c r="D128" s="9">
        <f>N123</f>
        <v>29597740.427475821</v>
      </c>
      <c r="E128" s="41">
        <f t="shared" si="13"/>
        <v>193170865.70125666</v>
      </c>
      <c r="F128" s="9">
        <f t="shared" si="19"/>
        <v>525164434.69306207</v>
      </c>
      <c r="G128" s="8">
        <v>1.7999999999999999E-2</v>
      </c>
      <c r="H128" s="9">
        <f t="shared" si="16"/>
        <v>534617394.51753718</v>
      </c>
      <c r="I128" s="9"/>
      <c r="J128" s="9">
        <f t="shared" si="15"/>
        <v>727788260.21879387</v>
      </c>
      <c r="K128" s="47"/>
      <c r="L128" s="10"/>
      <c r="M128" s="55"/>
      <c r="S128" s="9"/>
    </row>
    <row r="129" spans="1:19" s="8" customFormat="1" x14ac:dyDescent="0.3">
      <c r="B129" s="63"/>
      <c r="C129" s="8">
        <v>7</v>
      </c>
      <c r="D129" s="9">
        <f>N123</f>
        <v>29597740.427475821</v>
      </c>
      <c r="E129" s="41">
        <f t="shared" si="13"/>
        <v>197055141.28387928</v>
      </c>
      <c r="F129" s="9">
        <f t="shared" si="19"/>
        <v>564215134.94501305</v>
      </c>
      <c r="G129" s="8">
        <v>1.7999999999999999E-2</v>
      </c>
      <c r="H129" s="9">
        <f t="shared" si="16"/>
        <v>574371007.37402332</v>
      </c>
      <c r="I129" s="9"/>
      <c r="J129" s="9">
        <f t="shared" si="15"/>
        <v>771426148.6579026</v>
      </c>
      <c r="K129" s="47"/>
      <c r="L129" s="10"/>
      <c r="M129" s="55"/>
      <c r="S129" s="9"/>
    </row>
    <row r="130" spans="1:19" s="8" customFormat="1" x14ac:dyDescent="0.3">
      <c r="B130" s="63"/>
      <c r="C130" s="8">
        <v>8</v>
      </c>
      <c r="D130" s="9">
        <f>N123</f>
        <v>29597740.427475821</v>
      </c>
      <c r="E130" s="41">
        <f t="shared" si="13"/>
        <v>201009333.82698911</v>
      </c>
      <c r="F130" s="9">
        <f t="shared" si="19"/>
        <v>603968747.80149913</v>
      </c>
      <c r="G130" s="8">
        <v>1.7999999999999999E-2</v>
      </c>
      <c r="H130" s="9">
        <f t="shared" si="16"/>
        <v>614840185.26192605</v>
      </c>
      <c r="I130" s="9"/>
      <c r="J130" s="9">
        <f t="shared" si="15"/>
        <v>815849519.08891511</v>
      </c>
      <c r="K130" s="47"/>
      <c r="L130" s="10"/>
      <c r="M130" s="55"/>
      <c r="S130" s="9"/>
    </row>
    <row r="131" spans="1:19" s="8" customFormat="1" x14ac:dyDescent="0.3">
      <c r="B131" s="63"/>
      <c r="C131" s="8">
        <v>9</v>
      </c>
      <c r="D131" s="9">
        <f>N123</f>
        <v>29597740.427475821</v>
      </c>
      <c r="E131" s="41">
        <f t="shared" si="13"/>
        <v>205034701.83587492</v>
      </c>
      <c r="F131" s="9">
        <f t="shared" si="19"/>
        <v>644437925.68940187</v>
      </c>
      <c r="G131" s="8">
        <v>1.7999999999999999E-2</v>
      </c>
      <c r="H131" s="9">
        <f t="shared" si="16"/>
        <v>656037808.35181105</v>
      </c>
      <c r="I131" s="9"/>
      <c r="J131" s="9">
        <f t="shared" si="15"/>
        <v>861072510.18768597</v>
      </c>
      <c r="K131" s="47"/>
      <c r="L131" s="10"/>
      <c r="M131" s="55"/>
      <c r="S131" s="9"/>
    </row>
    <row r="132" spans="1:19" s="8" customFormat="1" x14ac:dyDescent="0.3">
      <c r="B132" s="63"/>
      <c r="C132" s="8">
        <v>10</v>
      </c>
      <c r="D132" s="9">
        <f>N123</f>
        <v>29597740.427475821</v>
      </c>
      <c r="E132" s="41">
        <f t="shared" si="13"/>
        <v>209132526.46892068</v>
      </c>
      <c r="F132" s="9">
        <f t="shared" si="19"/>
        <v>685635548.77928686</v>
      </c>
      <c r="G132" s="8">
        <v>1.7999999999999999E-2</v>
      </c>
      <c r="H132" s="9">
        <f t="shared" si="16"/>
        <v>697976988.65731406</v>
      </c>
      <c r="I132" s="9"/>
      <c r="J132" s="9">
        <f t="shared" si="15"/>
        <v>907109515.12623477</v>
      </c>
      <c r="K132" s="47"/>
      <c r="L132" s="10"/>
      <c r="M132" s="55"/>
      <c r="S132" s="9"/>
    </row>
    <row r="133" spans="1:19" s="8" customFormat="1" x14ac:dyDescent="0.3">
      <c r="B133" s="63"/>
      <c r="C133" s="8">
        <v>11</v>
      </c>
      <c r="D133" s="9">
        <f>N123</f>
        <v>29597740.427475821</v>
      </c>
      <c r="E133" s="41">
        <f t="shared" si="13"/>
        <v>213304111.94536126</v>
      </c>
      <c r="F133" s="9">
        <f t="shared" si="19"/>
        <v>727574729.08478987</v>
      </c>
      <c r="G133" s="8">
        <v>1.7999999999999999E-2</v>
      </c>
      <c r="H133" s="9">
        <f t="shared" si="16"/>
        <v>740671074.20831609</v>
      </c>
      <c r="I133" s="9"/>
      <c r="J133" s="9">
        <f t="shared" si="15"/>
        <v>953975186.15367734</v>
      </c>
      <c r="K133" s="47"/>
      <c r="L133" s="10"/>
      <c r="M133" s="55"/>
      <c r="S133" s="9"/>
    </row>
    <row r="134" spans="1:19" s="18" customFormat="1" x14ac:dyDescent="0.3">
      <c r="B134" s="63"/>
      <c r="C134" s="18">
        <v>12</v>
      </c>
      <c r="D134" s="19">
        <f>N123</f>
        <v>29597740.427475821</v>
      </c>
      <c r="E134" s="19">
        <f t="shared" si="13"/>
        <v>217550785.96037775</v>
      </c>
      <c r="F134" s="19">
        <f t="shared" si="19"/>
        <v>734268814.6357919</v>
      </c>
      <c r="G134" s="18">
        <v>1.7999999999999999E-2</v>
      </c>
      <c r="H134" s="19">
        <f t="shared" si="16"/>
        <v>747485653.29923618</v>
      </c>
      <c r="I134" s="19">
        <f xml:space="preserve"> H134</f>
        <v>747485653.29923618</v>
      </c>
      <c r="J134" s="19">
        <f t="shared" si="15"/>
        <v>965036439.25961399</v>
      </c>
      <c r="K134" s="51">
        <v>36000000</v>
      </c>
      <c r="L134" s="20">
        <f xml:space="preserve"> (I134-K134) / 2</f>
        <v>355742826.64961809</v>
      </c>
      <c r="M134" s="58">
        <f xml:space="preserve"> (F123 + SUM(D124:D134)) - SUM(K124:K134)</f>
        <v>628511841.60833895</v>
      </c>
      <c r="N134" s="19">
        <f xml:space="preserve"> H134 - M134</f>
        <v>118973811.69089723</v>
      </c>
      <c r="O134" s="18">
        <v>0.84</v>
      </c>
      <c r="P134" s="19">
        <f xml:space="preserve"> N134 * O134</f>
        <v>99938001.820353672</v>
      </c>
      <c r="Q134" s="19">
        <f xml:space="preserve"> N134 - P134</f>
        <v>19035809.870543554</v>
      </c>
      <c r="R134" s="18">
        <f xml:space="preserve"> N134 / M134 * 100</f>
        <v>18.929446322991712</v>
      </c>
      <c r="S134" s="19"/>
    </row>
    <row r="135" spans="1:19" s="12" customFormat="1" x14ac:dyDescent="0.3">
      <c r="A135" s="12">
        <v>12</v>
      </c>
      <c r="B135" s="62">
        <v>2033</v>
      </c>
      <c r="C135" s="12">
        <v>1</v>
      </c>
      <c r="D135" s="13">
        <f>N135</f>
        <v>32145235.554134842</v>
      </c>
      <c r="E135" s="41">
        <f xml:space="preserve"> (E134) + ((E134) * G135 )</f>
        <v>221466700.10766456</v>
      </c>
      <c r="F135" s="13">
        <f xml:space="preserve"> (H134 / 2) + D135 - K135</f>
        <v>405888062.20375293</v>
      </c>
      <c r="G135" s="12">
        <v>1.7999999999999999E-2</v>
      </c>
      <c r="H135" s="13">
        <f t="shared" si="16"/>
        <v>413194047.32342046</v>
      </c>
      <c r="I135" s="13"/>
      <c r="J135" s="9">
        <f t="shared" si="15"/>
        <v>634660747.43108499</v>
      </c>
      <c r="K135" s="48">
        <v>0</v>
      </c>
      <c r="L135" s="14"/>
      <c r="M135" s="56"/>
      <c r="N135" s="11">
        <f xml:space="preserve"> (L134 / 12) +2500000</f>
        <v>32145235.554134842</v>
      </c>
      <c r="P135" s="13">
        <f xml:space="preserve"> (H134 - K135) / 2</f>
        <v>373742826.64961809</v>
      </c>
      <c r="Q135" s="16" t="s">
        <v>0</v>
      </c>
      <c r="S135" s="13"/>
    </row>
    <row r="136" spans="1:19" s="12" customFormat="1" x14ac:dyDescent="0.3">
      <c r="B136" s="62"/>
      <c r="C136" s="12">
        <v>2</v>
      </c>
      <c r="D136" s="13">
        <f>N135</f>
        <v>32145235.554134842</v>
      </c>
      <c r="E136" s="41">
        <f xml:space="preserve"> (E135) + ((E135) * G136 )</f>
        <v>225453100.7096025</v>
      </c>
      <c r="F136" s="13">
        <f t="shared" ref="F136:F146" si="20" xml:space="preserve"> H135 + D136 - K136</f>
        <v>445339282.87755531</v>
      </c>
      <c r="G136" s="12">
        <v>1.7999999999999999E-2</v>
      </c>
      <c r="H136" s="13">
        <f t="shared" si="16"/>
        <v>453355389.96935129</v>
      </c>
      <c r="I136" s="13"/>
      <c r="J136" s="9">
        <f t="shared" si="15"/>
        <v>678808490.67895377</v>
      </c>
      <c r="K136" s="48"/>
      <c r="L136" s="14"/>
      <c r="M136" s="56"/>
      <c r="S136" s="13"/>
    </row>
    <row r="137" spans="1:19" s="12" customFormat="1" x14ac:dyDescent="0.3">
      <c r="B137" s="62"/>
      <c r="C137" s="12">
        <v>3</v>
      </c>
      <c r="D137" s="13">
        <f>N135</f>
        <v>32145235.554134842</v>
      </c>
      <c r="E137" s="41">
        <f t="shared" ref="E137:E194" si="21" xml:space="preserve"> (E136) + ((E136) * G137 )</f>
        <v>229511256.52237535</v>
      </c>
      <c r="F137" s="13">
        <f t="shared" si="20"/>
        <v>485500625.52348614</v>
      </c>
      <c r="G137" s="12">
        <v>1.7999999999999999E-2</v>
      </c>
      <c r="H137" s="13">
        <f t="shared" si="16"/>
        <v>494239636.78290892</v>
      </c>
      <c r="I137" s="13"/>
      <c r="J137" s="9">
        <f t="shared" si="15"/>
        <v>723750893.30528426</v>
      </c>
      <c r="K137" s="48"/>
      <c r="L137" s="14"/>
      <c r="M137" s="56"/>
      <c r="S137" s="13"/>
    </row>
    <row r="138" spans="1:19" s="12" customFormat="1" x14ac:dyDescent="0.3">
      <c r="B138" s="62"/>
      <c r="C138" s="12">
        <v>4</v>
      </c>
      <c r="D138" s="13">
        <f>N135</f>
        <v>32145235.554134842</v>
      </c>
      <c r="E138" s="41">
        <f t="shared" si="21"/>
        <v>233642459.13977811</v>
      </c>
      <c r="F138" s="13">
        <f t="shared" si="20"/>
        <v>526384872.33704376</v>
      </c>
      <c r="G138" s="12">
        <v>1.7999999999999999E-2</v>
      </c>
      <c r="H138" s="13">
        <f t="shared" si="16"/>
        <v>535859800.03911054</v>
      </c>
      <c r="I138" s="13"/>
      <c r="J138" s="9">
        <f t="shared" si="15"/>
        <v>769502259.17888868</v>
      </c>
      <c r="K138" s="48"/>
      <c r="L138" s="14"/>
      <c r="M138" s="56"/>
      <c r="S138" s="13"/>
    </row>
    <row r="139" spans="1:19" s="12" customFormat="1" x14ac:dyDescent="0.3">
      <c r="B139" s="62"/>
      <c r="C139" s="12">
        <v>5</v>
      </c>
      <c r="D139" s="13">
        <f>N135</f>
        <v>32145235.554134842</v>
      </c>
      <c r="E139" s="41">
        <f t="shared" si="21"/>
        <v>237848023.4042941</v>
      </c>
      <c r="F139" s="13">
        <f t="shared" si="20"/>
        <v>548969225.72270179</v>
      </c>
      <c r="G139" s="12">
        <v>1.7999999999999999E-2</v>
      </c>
      <c r="H139" s="13">
        <f t="shared" si="16"/>
        <v>558850671.78571045</v>
      </c>
      <c r="I139" s="13"/>
      <c r="J139" s="9">
        <f t="shared" si="15"/>
        <v>796698695.19000459</v>
      </c>
      <c r="K139" s="48">
        <f xml:space="preserve"> Q134</f>
        <v>19035809.870543554</v>
      </c>
      <c r="L139" s="14"/>
      <c r="M139" s="56"/>
      <c r="S139" s="13"/>
    </row>
    <row r="140" spans="1:19" s="12" customFormat="1" x14ac:dyDescent="0.3">
      <c r="B140" s="62"/>
      <c r="C140" s="12">
        <v>6</v>
      </c>
      <c r="D140" s="13">
        <f>N135</f>
        <v>32145235.554134842</v>
      </c>
      <c r="E140" s="41">
        <f t="shared" si="21"/>
        <v>242129287.82557139</v>
      </c>
      <c r="F140" s="13">
        <f t="shared" si="20"/>
        <v>590995907.3398453</v>
      </c>
      <c r="G140" s="12">
        <v>1.7999999999999999E-2</v>
      </c>
      <c r="H140" s="13">
        <f t="shared" si="16"/>
        <v>601633833.6719625</v>
      </c>
      <c r="I140" s="13"/>
      <c r="J140" s="9">
        <f t="shared" si="15"/>
        <v>843763121.49753392</v>
      </c>
      <c r="K140" s="48"/>
      <c r="L140" s="14"/>
      <c r="M140" s="56"/>
      <c r="S140" s="13"/>
    </row>
    <row r="141" spans="1:19" s="12" customFormat="1" x14ac:dyDescent="0.3">
      <c r="B141" s="62"/>
      <c r="C141" s="12">
        <v>7</v>
      </c>
      <c r="D141" s="13">
        <f>N135</f>
        <v>32145235.554134842</v>
      </c>
      <c r="E141" s="41">
        <f t="shared" si="21"/>
        <v>246487615.00643167</v>
      </c>
      <c r="F141" s="13">
        <f t="shared" si="20"/>
        <v>633779069.22609735</v>
      </c>
      <c r="G141" s="12">
        <v>1.7999999999999999E-2</v>
      </c>
      <c r="H141" s="13">
        <f t="shared" si="16"/>
        <v>645187092.47216713</v>
      </c>
      <c r="I141" s="13"/>
      <c r="J141" s="9">
        <f t="shared" si="15"/>
        <v>891674707.47859883</v>
      </c>
      <c r="K141" s="48"/>
      <c r="L141" s="14"/>
      <c r="M141" s="56"/>
      <c r="S141" s="13"/>
    </row>
    <row r="142" spans="1:19" s="12" customFormat="1" x14ac:dyDescent="0.3">
      <c r="B142" s="62"/>
      <c r="C142" s="12">
        <v>8</v>
      </c>
      <c r="D142" s="13">
        <f>N135</f>
        <v>32145235.554134842</v>
      </c>
      <c r="E142" s="41">
        <f t="shared" si="21"/>
        <v>250924392.07654744</v>
      </c>
      <c r="F142" s="13">
        <f t="shared" si="20"/>
        <v>677332328.02630198</v>
      </c>
      <c r="G142" s="12">
        <v>1.7999999999999999E-2</v>
      </c>
      <c r="H142" s="13">
        <f t="shared" si="16"/>
        <v>689524309.9307754</v>
      </c>
      <c r="I142" s="13"/>
      <c r="J142" s="9">
        <f t="shared" si="15"/>
        <v>940448702.00732279</v>
      </c>
      <c r="K142" s="48"/>
      <c r="L142" s="14"/>
      <c r="M142" s="56"/>
      <c r="S142" s="13"/>
    </row>
    <row r="143" spans="1:19" s="12" customFormat="1" x14ac:dyDescent="0.3">
      <c r="B143" s="62"/>
      <c r="C143" s="12">
        <v>9</v>
      </c>
      <c r="D143" s="13">
        <f>N135</f>
        <v>32145235.554134842</v>
      </c>
      <c r="E143" s="41">
        <f t="shared" si="21"/>
        <v>255441031.13392529</v>
      </c>
      <c r="F143" s="13">
        <f t="shared" si="20"/>
        <v>721669545.48491025</v>
      </c>
      <c r="G143" s="12">
        <v>1.7999999999999999E-2</v>
      </c>
      <c r="H143" s="13">
        <f t="shared" si="16"/>
        <v>734659597.30363858</v>
      </c>
      <c r="I143" s="13"/>
      <c r="J143" s="9">
        <f t="shared" si="15"/>
        <v>990100628.4375639</v>
      </c>
      <c r="K143" s="48"/>
      <c r="L143" s="14"/>
      <c r="M143" s="56"/>
      <c r="S143" s="13"/>
    </row>
    <row r="144" spans="1:19" s="12" customFormat="1" x14ac:dyDescent="0.3">
      <c r="B144" s="62"/>
      <c r="C144" s="12">
        <v>10</v>
      </c>
      <c r="D144" s="13">
        <f>N135</f>
        <v>32145235.554134842</v>
      </c>
      <c r="E144" s="41">
        <f t="shared" si="21"/>
        <v>260038969.69433594</v>
      </c>
      <c r="F144" s="13">
        <f t="shared" si="20"/>
        <v>766804832.85777342</v>
      </c>
      <c r="G144" s="12">
        <v>1.7999999999999999E-2</v>
      </c>
      <c r="H144" s="13">
        <f t="shared" si="16"/>
        <v>780607319.84921336</v>
      </c>
      <c r="I144" s="13"/>
      <c r="J144" s="9">
        <f t="shared" si="15"/>
        <v>1040646289.5435493</v>
      </c>
      <c r="K144" s="48"/>
      <c r="L144" s="14"/>
      <c r="M144" s="56"/>
      <c r="S144" s="13"/>
    </row>
    <row r="145" spans="1:19" s="12" customFormat="1" x14ac:dyDescent="0.3">
      <c r="B145" s="62"/>
      <c r="C145" s="12">
        <v>11</v>
      </c>
      <c r="D145" s="13">
        <f>N135</f>
        <v>32145235.554134842</v>
      </c>
      <c r="E145" s="41">
        <f t="shared" si="21"/>
        <v>264719671.14883399</v>
      </c>
      <c r="F145" s="13">
        <f t="shared" si="20"/>
        <v>812752555.40334821</v>
      </c>
      <c r="G145" s="12">
        <v>1.7999999999999999E-2</v>
      </c>
      <c r="H145" s="13">
        <f t="shared" si="16"/>
        <v>827382101.40060842</v>
      </c>
      <c r="I145" s="13"/>
      <c r="J145" s="9">
        <f t="shared" si="15"/>
        <v>1092101772.5494423</v>
      </c>
      <c r="K145" s="48"/>
      <c r="L145" s="14"/>
      <c r="M145" s="56"/>
      <c r="S145" s="13"/>
    </row>
    <row r="146" spans="1:19" s="18" customFormat="1" x14ac:dyDescent="0.3">
      <c r="B146" s="62"/>
      <c r="C146" s="18">
        <v>12</v>
      </c>
      <c r="D146" s="19">
        <f>N135</f>
        <v>32145235.554134842</v>
      </c>
      <c r="E146" s="19">
        <f t="shared" si="21"/>
        <v>269484625.22951299</v>
      </c>
      <c r="F146" s="19">
        <f t="shared" si="20"/>
        <v>823527336.95474327</v>
      </c>
      <c r="G146" s="18">
        <v>1.7999999999999999E-2</v>
      </c>
      <c r="H146" s="19">
        <f t="shared" si="16"/>
        <v>838350829.01992869</v>
      </c>
      <c r="I146" s="19">
        <f xml:space="preserve"> H146</f>
        <v>838350829.01992869</v>
      </c>
      <c r="J146" s="19">
        <f t="shared" si="15"/>
        <v>1107835454.2494416</v>
      </c>
      <c r="K146" s="51">
        <v>36000000</v>
      </c>
      <c r="L146" s="20">
        <f xml:space="preserve"> (I146-K146) / 2</f>
        <v>401175414.50996435</v>
      </c>
      <c r="M146" s="58">
        <f xml:space="preserve"> (F135 + SUM(D136:D146)) - SUM(K136:K146)</f>
        <v>704449843.42869258</v>
      </c>
      <c r="N146" s="19">
        <f xml:space="preserve"> H146 - M146</f>
        <v>133900985.59123611</v>
      </c>
      <c r="O146" s="18">
        <v>0.84</v>
      </c>
      <c r="P146" s="19">
        <f xml:space="preserve"> N146 * O146</f>
        <v>112476827.89663833</v>
      </c>
      <c r="Q146" s="19">
        <f xml:space="preserve"> N146 - P146</f>
        <v>21424157.694597781</v>
      </c>
      <c r="R146" s="18">
        <f xml:space="preserve"> N146 / M146 * 100</f>
        <v>19.007880666069042</v>
      </c>
      <c r="S146" s="19"/>
    </row>
    <row r="147" spans="1:19" s="12" customFormat="1" x14ac:dyDescent="0.3">
      <c r="A147" s="12">
        <v>13</v>
      </c>
      <c r="B147" s="62">
        <v>2034</v>
      </c>
      <c r="C147" s="12">
        <v>1</v>
      </c>
      <c r="D147" s="13">
        <f>N147</f>
        <v>35931284.542497024</v>
      </c>
      <c r="E147" s="41">
        <f t="shared" si="21"/>
        <v>274335348.48364425</v>
      </c>
      <c r="F147" s="13">
        <f xml:space="preserve"> (H146 / 2) + D147 - K147</f>
        <v>455106699.05246139</v>
      </c>
      <c r="G147" s="12">
        <v>1.7999999999999999E-2</v>
      </c>
      <c r="H147" s="13">
        <f t="shared" si="16"/>
        <v>463298619.63540572</v>
      </c>
      <c r="I147" s="13"/>
      <c r="J147" s="9">
        <f t="shared" si="15"/>
        <v>737633968.11905003</v>
      </c>
      <c r="K147" s="48"/>
      <c r="L147" s="14"/>
      <c r="M147" s="56"/>
      <c r="N147" s="11">
        <f xml:space="preserve"> (L146 / 12) +2500000</f>
        <v>35931284.542497024</v>
      </c>
      <c r="P147" s="9">
        <f xml:space="preserve"> (H146 - K147) / 2</f>
        <v>419175414.50996435</v>
      </c>
      <c r="S147" s="13"/>
    </row>
    <row r="148" spans="1:19" s="12" customFormat="1" x14ac:dyDescent="0.3">
      <c r="B148" s="62"/>
      <c r="C148" s="12">
        <v>2</v>
      </c>
      <c r="D148" s="13">
        <f>N147</f>
        <v>35931284.542497024</v>
      </c>
      <c r="E148" s="41">
        <f t="shared" si="21"/>
        <v>279273384.75634986</v>
      </c>
      <c r="F148" s="13">
        <f t="shared" ref="F148:F158" si="22" xml:space="preserve"> H147 + D148 - K148</f>
        <v>499229904.17790276</v>
      </c>
      <c r="G148" s="12">
        <v>1.7999999999999999E-2</v>
      </c>
      <c r="H148" s="13">
        <f t="shared" si="16"/>
        <v>508216042.45310503</v>
      </c>
      <c r="I148" s="13"/>
      <c r="J148" s="9">
        <f t="shared" si="15"/>
        <v>787489427.20945489</v>
      </c>
      <c r="K148" s="48"/>
      <c r="L148" s="14"/>
      <c r="M148" s="56"/>
      <c r="S148" s="13"/>
    </row>
    <row r="149" spans="1:19" s="12" customFormat="1" x14ac:dyDescent="0.3">
      <c r="B149" s="62"/>
      <c r="C149" s="12">
        <v>3</v>
      </c>
      <c r="D149" s="13">
        <f>N147</f>
        <v>35931284.542497024</v>
      </c>
      <c r="E149" s="41">
        <f t="shared" si="21"/>
        <v>284300305.68196416</v>
      </c>
      <c r="F149" s="13">
        <f t="shared" si="22"/>
        <v>544147326.99560201</v>
      </c>
      <c r="G149" s="12">
        <v>1.7999999999999999E-2</v>
      </c>
      <c r="H149" s="13">
        <f t="shared" si="16"/>
        <v>553941978.88152289</v>
      </c>
      <c r="I149" s="13"/>
      <c r="J149" s="9">
        <f t="shared" si="15"/>
        <v>838242284.56348705</v>
      </c>
      <c r="K149" s="48"/>
      <c r="L149" s="14"/>
      <c r="M149" s="56"/>
      <c r="S149" s="13"/>
    </row>
    <row r="150" spans="1:19" s="12" customFormat="1" x14ac:dyDescent="0.3">
      <c r="B150" s="62"/>
      <c r="C150" s="12">
        <v>4</v>
      </c>
      <c r="D150" s="13">
        <f>N147</f>
        <v>35931284.542497024</v>
      </c>
      <c r="E150" s="41">
        <f t="shared" si="21"/>
        <v>289417711.18423951</v>
      </c>
      <c r="F150" s="13">
        <f t="shared" si="22"/>
        <v>589873263.42401993</v>
      </c>
      <c r="G150" s="12">
        <v>1.7999999999999999E-2</v>
      </c>
      <c r="H150" s="13">
        <f t="shared" si="16"/>
        <v>600490982.16565228</v>
      </c>
      <c r="I150" s="13"/>
      <c r="J150" s="9">
        <f t="shared" si="15"/>
        <v>889908693.34989178</v>
      </c>
      <c r="K150" s="48"/>
      <c r="L150" s="14"/>
      <c r="M150" s="56"/>
      <c r="S150" s="13"/>
    </row>
    <row r="151" spans="1:19" s="12" customFormat="1" x14ac:dyDescent="0.3">
      <c r="B151" s="62"/>
      <c r="C151" s="12">
        <v>5</v>
      </c>
      <c r="D151" s="13">
        <f>N147</f>
        <v>35931284.542497024</v>
      </c>
      <c r="E151" s="41">
        <f t="shared" si="21"/>
        <v>294627229.98555583</v>
      </c>
      <c r="F151" s="13">
        <f t="shared" si="22"/>
        <v>614998109.01355147</v>
      </c>
      <c r="G151" s="12">
        <v>1.7999999999999999E-2</v>
      </c>
      <c r="H151" s="13">
        <f t="shared" si="16"/>
        <v>626068074.97579539</v>
      </c>
      <c r="I151" s="13"/>
      <c r="J151" s="9">
        <f t="shared" si="15"/>
        <v>920695304.96135116</v>
      </c>
      <c r="K151" s="48">
        <f xml:space="preserve"> Q146</f>
        <v>21424157.694597781</v>
      </c>
      <c r="L151" s="14"/>
      <c r="M151" s="56"/>
      <c r="S151" s="13"/>
    </row>
    <row r="152" spans="1:19" s="12" customFormat="1" x14ac:dyDescent="0.3">
      <c r="B152" s="62"/>
      <c r="C152" s="12">
        <v>6</v>
      </c>
      <c r="D152" s="13">
        <f>N147</f>
        <v>35931284.542497024</v>
      </c>
      <c r="E152" s="41">
        <f t="shared" si="21"/>
        <v>299930520.12529582</v>
      </c>
      <c r="F152" s="13">
        <f t="shared" si="22"/>
        <v>661999359.51829243</v>
      </c>
      <c r="G152" s="12">
        <v>1.7999999999999999E-2</v>
      </c>
      <c r="H152" s="13">
        <f t="shared" si="16"/>
        <v>673915347.98962164</v>
      </c>
      <c r="I152" s="13"/>
      <c r="J152" s="9">
        <f t="shared" si="15"/>
        <v>973845868.11491752</v>
      </c>
      <c r="K152" s="48"/>
      <c r="L152" s="14"/>
      <c r="M152" s="56"/>
      <c r="S152" s="13"/>
    </row>
    <row r="153" spans="1:19" s="12" customFormat="1" x14ac:dyDescent="0.3">
      <c r="B153" s="62"/>
      <c r="C153" s="12">
        <v>7</v>
      </c>
      <c r="D153" s="13">
        <f>N147</f>
        <v>35931284.542497024</v>
      </c>
      <c r="E153" s="41">
        <f t="shared" si="21"/>
        <v>305329269.48755115</v>
      </c>
      <c r="F153" s="13">
        <f t="shared" si="22"/>
        <v>709846632.53211868</v>
      </c>
      <c r="G153" s="12">
        <v>1.7999999999999999E-2</v>
      </c>
      <c r="H153" s="13">
        <f t="shared" si="16"/>
        <v>722623871.91769683</v>
      </c>
      <c r="I153" s="13"/>
      <c r="J153" s="9">
        <f t="shared" si="15"/>
        <v>1027953141.4052479</v>
      </c>
      <c r="K153" s="48"/>
      <c r="L153" s="14"/>
      <c r="M153" s="56"/>
      <c r="S153" s="13"/>
    </row>
    <row r="154" spans="1:19" s="12" customFormat="1" x14ac:dyDescent="0.3">
      <c r="B154" s="62"/>
      <c r="C154" s="12">
        <v>8</v>
      </c>
      <c r="D154" s="13">
        <f>N147</f>
        <v>35931284.542497024</v>
      </c>
      <c r="E154" s="41">
        <f t="shared" si="21"/>
        <v>310825196.33832705</v>
      </c>
      <c r="F154" s="13">
        <f t="shared" si="22"/>
        <v>758555156.46019387</v>
      </c>
      <c r="G154" s="12">
        <v>1.7999999999999999E-2</v>
      </c>
      <c r="H154" s="13">
        <f t="shared" si="16"/>
        <v>772209149.27647734</v>
      </c>
      <c r="I154" s="13"/>
      <c r="J154" s="9">
        <f t="shared" si="15"/>
        <v>1083034345.6148043</v>
      </c>
      <c r="K154" s="48"/>
      <c r="L154" s="14"/>
      <c r="M154" s="56"/>
      <c r="S154" s="13"/>
    </row>
    <row r="155" spans="1:19" s="12" customFormat="1" x14ac:dyDescent="0.3">
      <c r="B155" s="62"/>
      <c r="C155" s="12">
        <v>9</v>
      </c>
      <c r="D155" s="13">
        <f>N147</f>
        <v>35931284.542497024</v>
      </c>
      <c r="E155" s="41">
        <f t="shared" si="21"/>
        <v>316420049.87241691</v>
      </c>
      <c r="F155" s="13">
        <f t="shared" si="22"/>
        <v>808140433.81897438</v>
      </c>
      <c r="G155" s="12">
        <v>1.7999999999999999E-2</v>
      </c>
      <c r="H155" s="13">
        <f t="shared" si="16"/>
        <v>822686961.62771595</v>
      </c>
      <c r="I155" s="13"/>
      <c r="J155" s="9">
        <f t="shared" si="15"/>
        <v>1139107011.5001328</v>
      </c>
      <c r="K155" s="48"/>
      <c r="L155" s="14"/>
      <c r="M155" s="56"/>
      <c r="S155" s="13"/>
    </row>
    <row r="156" spans="1:19" s="12" customFormat="1" x14ac:dyDescent="0.3">
      <c r="B156" s="62"/>
      <c r="C156" s="12">
        <v>10</v>
      </c>
      <c r="D156" s="13">
        <f>N147</f>
        <v>35931284.542497024</v>
      </c>
      <c r="E156" s="41">
        <f t="shared" si="21"/>
        <v>322115610.77012044</v>
      </c>
      <c r="F156" s="13">
        <f t="shared" si="22"/>
        <v>858618246.17021298</v>
      </c>
      <c r="G156" s="12">
        <v>1.7999999999999999E-2</v>
      </c>
      <c r="H156" s="13">
        <f t="shared" si="16"/>
        <v>874073374.60127687</v>
      </c>
      <c r="I156" s="13"/>
      <c r="J156" s="9">
        <f t="shared" ref="J156:J194" si="23" xml:space="preserve"> E156 + H156</f>
        <v>1196188985.3713973</v>
      </c>
      <c r="K156" s="48"/>
      <c r="L156" s="14"/>
      <c r="M156" s="56"/>
      <c r="S156" s="13"/>
    </row>
    <row r="157" spans="1:19" s="12" customFormat="1" x14ac:dyDescent="0.3">
      <c r="B157" s="62"/>
      <c r="C157" s="12">
        <v>11</v>
      </c>
      <c r="D157" s="13">
        <f>N147</f>
        <v>35931284.542497024</v>
      </c>
      <c r="E157" s="41">
        <f t="shared" si="21"/>
        <v>327913691.76398259</v>
      </c>
      <c r="F157" s="13">
        <f t="shared" si="22"/>
        <v>910004659.14377391</v>
      </c>
      <c r="G157" s="12">
        <v>1.7999999999999999E-2</v>
      </c>
      <c r="H157" s="13">
        <f t="shared" si="16"/>
        <v>926384743.00836182</v>
      </c>
      <c r="I157" s="13"/>
      <c r="J157" s="9">
        <f t="shared" si="23"/>
        <v>1254298434.7723444</v>
      </c>
      <c r="K157" s="48"/>
      <c r="L157" s="14"/>
      <c r="M157" s="56"/>
      <c r="S157" s="13"/>
    </row>
    <row r="158" spans="1:19" s="18" customFormat="1" x14ac:dyDescent="0.3">
      <c r="B158" s="62"/>
      <c r="C158" s="18">
        <v>12</v>
      </c>
      <c r="D158" s="19">
        <f>N147</f>
        <v>35931284.542497024</v>
      </c>
      <c r="E158" s="19">
        <f t="shared" si="21"/>
        <v>333816138.2157343</v>
      </c>
      <c r="F158" s="19">
        <f t="shared" si="22"/>
        <v>926316027.55085886</v>
      </c>
      <c r="G158" s="18">
        <v>1.7999999999999999E-2</v>
      </c>
      <c r="H158" s="19">
        <f t="shared" ref="H158:H194" si="24" xml:space="preserve"> (F158 * G158) + F158</f>
        <v>942989716.04677427</v>
      </c>
      <c r="I158" s="19">
        <f xml:space="preserve"> H158</f>
        <v>942989716.04677427</v>
      </c>
      <c r="J158" s="19">
        <f t="shared" si="23"/>
        <v>1276805854.2625086</v>
      </c>
      <c r="K158" s="51">
        <v>36000000</v>
      </c>
      <c r="L158" s="20">
        <f xml:space="preserve"> (I158-K158) / 2</f>
        <v>453494858.02338713</v>
      </c>
      <c r="M158" s="58">
        <f xml:space="preserve"> (F147 + SUM(D148:D158)) - SUM(K148:K158)</f>
        <v>792926671.32533097</v>
      </c>
      <c r="N158" s="19">
        <f xml:space="preserve"> H158 - M158</f>
        <v>150063044.7214433</v>
      </c>
      <c r="O158" s="18">
        <v>0.84</v>
      </c>
      <c r="P158" s="19">
        <f xml:space="preserve"> N158 * O158</f>
        <v>126052957.56601237</v>
      </c>
      <c r="Q158" s="19">
        <f xml:space="preserve"> N158 - P158</f>
        <v>24010087.155430928</v>
      </c>
      <c r="R158" s="18">
        <f xml:space="preserve"> N158 / M158 * 100</f>
        <v>18.925210886225031</v>
      </c>
      <c r="S158" s="19"/>
    </row>
    <row r="159" spans="1:19" s="12" customFormat="1" x14ac:dyDescent="0.3">
      <c r="A159" s="12">
        <v>14</v>
      </c>
      <c r="B159" s="62">
        <v>2035</v>
      </c>
      <c r="C159" s="12">
        <v>1</v>
      </c>
      <c r="D159" s="13">
        <f>N159</f>
        <v>40291238.168615595</v>
      </c>
      <c r="E159" s="41">
        <f t="shared" si="21"/>
        <v>339824828.70361751</v>
      </c>
      <c r="F159" s="13">
        <f xml:space="preserve"> (H158 / 2) + D159 - K159</f>
        <v>511786096.19200271</v>
      </c>
      <c r="G159" s="12">
        <v>1.7999999999999999E-2</v>
      </c>
      <c r="H159" s="13">
        <f t="shared" si="24"/>
        <v>520998245.92345876</v>
      </c>
      <c r="I159" s="13"/>
      <c r="J159" s="9">
        <f t="shared" si="23"/>
        <v>860823074.62707627</v>
      </c>
      <c r="K159" s="48"/>
      <c r="L159" s="14"/>
      <c r="M159" s="56"/>
      <c r="N159" s="11">
        <f xml:space="preserve"> (L158 / 12) +2500000</f>
        <v>40291238.168615595</v>
      </c>
      <c r="P159" s="9">
        <f xml:space="preserve"> (H158 - K159) / 2</f>
        <v>471494858.02338713</v>
      </c>
      <c r="S159" s="13"/>
    </row>
    <row r="160" spans="1:19" s="12" customFormat="1" x14ac:dyDescent="0.3">
      <c r="B160" s="62"/>
      <c r="C160" s="12">
        <v>2</v>
      </c>
      <c r="D160" s="13">
        <f>N159</f>
        <v>40291238.168615595</v>
      </c>
      <c r="E160" s="41">
        <f t="shared" si="21"/>
        <v>345941675.62028265</v>
      </c>
      <c r="F160" s="13">
        <f t="shared" ref="F160:F170" si="25" xml:space="preserve"> H159 + D160 - K160</f>
        <v>561289484.09207439</v>
      </c>
      <c r="G160" s="12">
        <v>1.7999999999999999E-2</v>
      </c>
      <c r="H160" s="13">
        <f t="shared" si="24"/>
        <v>571392694.80573177</v>
      </c>
      <c r="I160" s="13"/>
      <c r="J160" s="9">
        <f t="shared" si="23"/>
        <v>917334370.42601442</v>
      </c>
      <c r="K160" s="48"/>
      <c r="L160" s="14"/>
      <c r="M160" s="56"/>
      <c r="S160" s="13"/>
    </row>
    <row r="161" spans="1:19" s="12" customFormat="1" x14ac:dyDescent="0.3">
      <c r="B161" s="62"/>
      <c r="C161" s="12">
        <v>3</v>
      </c>
      <c r="D161" s="13">
        <f>N159</f>
        <v>40291238.168615595</v>
      </c>
      <c r="E161" s="41">
        <f t="shared" si="21"/>
        <v>352168625.78144771</v>
      </c>
      <c r="F161" s="13">
        <f t="shared" si="25"/>
        <v>611683932.97434735</v>
      </c>
      <c r="G161" s="12">
        <v>1.7999999999999999E-2</v>
      </c>
      <c r="H161" s="13">
        <f t="shared" si="24"/>
        <v>622694243.76788557</v>
      </c>
      <c r="I161" s="13"/>
      <c r="J161" s="9">
        <f t="shared" si="23"/>
        <v>974862869.54933333</v>
      </c>
      <c r="K161" s="48"/>
      <c r="L161" s="14"/>
      <c r="M161" s="56"/>
      <c r="S161" s="13"/>
    </row>
    <row r="162" spans="1:19" s="12" customFormat="1" x14ac:dyDescent="0.3">
      <c r="B162" s="62"/>
      <c r="C162" s="12">
        <v>4</v>
      </c>
      <c r="D162" s="13">
        <f>N159</f>
        <v>40291238.168615595</v>
      </c>
      <c r="E162" s="41">
        <f t="shared" si="21"/>
        <v>358507661.04551375</v>
      </c>
      <c r="F162" s="13">
        <f t="shared" si="25"/>
        <v>662985481.93650115</v>
      </c>
      <c r="G162" s="12">
        <v>1.7999999999999999E-2</v>
      </c>
      <c r="H162" s="13">
        <f t="shared" si="24"/>
        <v>674919220.61135817</v>
      </c>
      <c r="I162" s="13"/>
      <c r="J162" s="9">
        <f t="shared" si="23"/>
        <v>1033426881.6568719</v>
      </c>
      <c r="K162" s="48"/>
      <c r="L162" s="14"/>
      <c r="M162" s="56"/>
      <c r="S162" s="13"/>
    </row>
    <row r="163" spans="1:19" s="12" customFormat="1" x14ac:dyDescent="0.3">
      <c r="B163" s="62"/>
      <c r="C163" s="12">
        <v>5</v>
      </c>
      <c r="D163" s="13">
        <f>N159</f>
        <v>40291238.168615595</v>
      </c>
      <c r="E163" s="41">
        <f t="shared" si="21"/>
        <v>364960798.94433302</v>
      </c>
      <c r="F163" s="13">
        <f t="shared" si="25"/>
        <v>691200371.62454283</v>
      </c>
      <c r="G163" s="12">
        <v>1.7999999999999999E-2</v>
      </c>
      <c r="H163" s="13">
        <f t="shared" si="24"/>
        <v>703641978.3137846</v>
      </c>
      <c r="I163" s="13"/>
      <c r="J163" s="9">
        <f t="shared" si="23"/>
        <v>1068602777.2581177</v>
      </c>
      <c r="K163" s="48">
        <f xml:space="preserve"> Q158</f>
        <v>24010087.155430928</v>
      </c>
      <c r="L163" s="14"/>
      <c r="M163" s="56"/>
      <c r="S163" s="13"/>
    </row>
    <row r="164" spans="1:19" s="12" customFormat="1" x14ac:dyDescent="0.3">
      <c r="B164" s="62"/>
      <c r="C164" s="12">
        <v>6</v>
      </c>
      <c r="D164" s="13">
        <f>N159</f>
        <v>40291238.168615595</v>
      </c>
      <c r="E164" s="41">
        <f t="shared" si="21"/>
        <v>371530093.32533103</v>
      </c>
      <c r="F164" s="13">
        <f t="shared" si="25"/>
        <v>743933216.48240018</v>
      </c>
      <c r="G164" s="12">
        <v>1.7999999999999999E-2</v>
      </c>
      <c r="H164" s="13">
        <f t="shared" si="24"/>
        <v>757324014.3790834</v>
      </c>
      <c r="I164" s="13"/>
      <c r="J164" s="9">
        <f t="shared" si="23"/>
        <v>1128854107.7044144</v>
      </c>
      <c r="K164" s="48"/>
      <c r="L164" s="14"/>
      <c r="M164" s="56"/>
      <c r="S164" s="13"/>
    </row>
    <row r="165" spans="1:19" s="12" customFormat="1" x14ac:dyDescent="0.3">
      <c r="B165" s="62"/>
      <c r="C165" s="12">
        <v>7</v>
      </c>
      <c r="D165" s="13">
        <f>N159</f>
        <v>40291238.168615595</v>
      </c>
      <c r="E165" s="41">
        <f t="shared" si="21"/>
        <v>378217635.00518698</v>
      </c>
      <c r="F165" s="13">
        <f t="shared" si="25"/>
        <v>797615252.54769897</v>
      </c>
      <c r="G165" s="12">
        <v>1.7999999999999999E-2</v>
      </c>
      <c r="H165" s="13">
        <f t="shared" si="24"/>
        <v>811972327.0935576</v>
      </c>
      <c r="I165" s="13"/>
      <c r="J165" s="9">
        <f t="shared" si="23"/>
        <v>1190189962.0987446</v>
      </c>
      <c r="K165" s="48"/>
      <c r="L165" s="14"/>
      <c r="M165" s="56"/>
      <c r="S165" s="13"/>
    </row>
    <row r="166" spans="1:19" s="12" customFormat="1" x14ac:dyDescent="0.3">
      <c r="B166" s="62"/>
      <c r="C166" s="12">
        <v>8</v>
      </c>
      <c r="D166" s="13">
        <f>N159</f>
        <v>40291238.168615595</v>
      </c>
      <c r="E166" s="41">
        <f t="shared" si="21"/>
        <v>385025552.43528032</v>
      </c>
      <c r="F166" s="13">
        <f t="shared" si="25"/>
        <v>852263565.26217318</v>
      </c>
      <c r="G166" s="12">
        <v>1.7999999999999999E-2</v>
      </c>
      <c r="H166" s="13">
        <f t="shared" si="24"/>
        <v>867604309.43689227</v>
      </c>
      <c r="I166" s="13"/>
      <c r="J166" s="9">
        <f t="shared" si="23"/>
        <v>1252629861.8721726</v>
      </c>
      <c r="K166" s="48"/>
      <c r="L166" s="14"/>
      <c r="M166" s="56"/>
      <c r="S166" s="13"/>
    </row>
    <row r="167" spans="1:19" s="12" customFormat="1" x14ac:dyDescent="0.3">
      <c r="B167" s="62"/>
      <c r="C167" s="12">
        <v>9</v>
      </c>
      <c r="D167" s="13">
        <f>N159</f>
        <v>40291238.168615595</v>
      </c>
      <c r="E167" s="41">
        <f t="shared" si="21"/>
        <v>391956012.37911534</v>
      </c>
      <c r="F167" s="13">
        <f t="shared" si="25"/>
        <v>907895547.60550785</v>
      </c>
      <c r="G167" s="12">
        <v>1.7999999999999999E-2</v>
      </c>
      <c r="H167" s="13">
        <f t="shared" si="24"/>
        <v>924237667.46240699</v>
      </c>
      <c r="I167" s="13"/>
      <c r="J167" s="9">
        <f t="shared" si="23"/>
        <v>1316193679.8415222</v>
      </c>
      <c r="K167" s="48"/>
      <c r="L167" s="14"/>
      <c r="M167" s="56"/>
      <c r="S167" s="13"/>
    </row>
    <row r="168" spans="1:19" s="12" customFormat="1" x14ac:dyDescent="0.3">
      <c r="B168" s="62"/>
      <c r="C168" s="12">
        <v>10</v>
      </c>
      <c r="D168" s="13">
        <f>N159</f>
        <v>40291238.168615595</v>
      </c>
      <c r="E168" s="41">
        <f t="shared" si="21"/>
        <v>399011220.60193944</v>
      </c>
      <c r="F168" s="13">
        <f t="shared" si="25"/>
        <v>964528905.63102257</v>
      </c>
      <c r="G168" s="12">
        <v>1.7999999999999999E-2</v>
      </c>
      <c r="H168" s="13">
        <f t="shared" si="24"/>
        <v>981890425.93238103</v>
      </c>
      <c r="I168" s="13"/>
      <c r="J168" s="9">
        <f t="shared" si="23"/>
        <v>1380901646.5343204</v>
      </c>
      <c r="K168" s="48"/>
      <c r="L168" s="14"/>
      <c r="M168" s="56"/>
      <c r="S168" s="13"/>
    </row>
    <row r="169" spans="1:19" s="12" customFormat="1" x14ac:dyDescent="0.3">
      <c r="B169" s="62"/>
      <c r="C169" s="12">
        <v>11</v>
      </c>
      <c r="D169" s="13">
        <f>N159</f>
        <v>40291238.168615595</v>
      </c>
      <c r="E169" s="41">
        <f t="shared" si="21"/>
        <v>406193422.57277435</v>
      </c>
      <c r="F169" s="13">
        <f t="shared" si="25"/>
        <v>1022181664.1009966</v>
      </c>
      <c r="G169" s="12">
        <v>1.7999999999999999E-2</v>
      </c>
      <c r="H169" s="13">
        <f t="shared" si="24"/>
        <v>1040580934.0548146</v>
      </c>
      <c r="I169" s="13"/>
      <c r="J169" s="9">
        <f t="shared" si="23"/>
        <v>1446774356.627589</v>
      </c>
      <c r="K169" s="48"/>
      <c r="L169" s="14"/>
      <c r="M169" s="56"/>
      <c r="S169" s="13"/>
    </row>
    <row r="170" spans="1:19" s="18" customFormat="1" x14ac:dyDescent="0.3">
      <c r="B170" s="62"/>
      <c r="C170" s="18">
        <v>12</v>
      </c>
      <c r="D170" s="19">
        <f>N159</f>
        <v>40291238.168615595</v>
      </c>
      <c r="E170" s="19">
        <f t="shared" si="21"/>
        <v>413504904.1790843</v>
      </c>
      <c r="F170" s="19">
        <f t="shared" si="25"/>
        <v>1044872172.2234302</v>
      </c>
      <c r="G170" s="18">
        <v>1.7999999999999999E-2</v>
      </c>
      <c r="H170" s="19">
        <f t="shared" si="24"/>
        <v>1063679871.3234519</v>
      </c>
      <c r="I170" s="19">
        <f xml:space="preserve"> H170</f>
        <v>1063679871.3234519</v>
      </c>
      <c r="J170" s="19">
        <f t="shared" si="23"/>
        <v>1477184775.5025363</v>
      </c>
      <c r="K170" s="51">
        <v>36000000</v>
      </c>
      <c r="L170" s="20">
        <f xml:space="preserve"> (I170-K170) / 2</f>
        <v>513839935.66172594</v>
      </c>
      <c r="M170" s="58">
        <f xml:space="preserve"> (F159 + SUM(D160:D170)) - SUM(K160:K170)</f>
        <v>894979628.89134324</v>
      </c>
      <c r="N170" s="19">
        <f xml:space="preserve"> H170 - M170</f>
        <v>168700242.43210864</v>
      </c>
      <c r="O170" s="18">
        <v>0.84</v>
      </c>
      <c r="P170" s="19">
        <f xml:space="preserve"> N170 * O170</f>
        <v>141708203.64297125</v>
      </c>
      <c r="Q170" s="19">
        <f xml:space="preserve"> N170 - P170</f>
        <v>26992038.789137393</v>
      </c>
      <c r="R170" s="18">
        <f xml:space="preserve"> N170 / M170 * 100</f>
        <v>18.84961813500562</v>
      </c>
      <c r="S170" s="19"/>
    </row>
    <row r="171" spans="1:19" s="12" customFormat="1" x14ac:dyDescent="0.3">
      <c r="A171" s="12">
        <v>15</v>
      </c>
      <c r="B171" s="62">
        <v>2036</v>
      </c>
      <c r="C171" s="12">
        <v>1</v>
      </c>
      <c r="D171" s="13">
        <f>N171</f>
        <v>45319994.638477162</v>
      </c>
      <c r="E171" s="41">
        <f t="shared" si="21"/>
        <v>420947992.45430779</v>
      </c>
      <c r="F171" s="13">
        <f xml:space="preserve"> (H170 / 2) + D171 - K171</f>
        <v>577159930.30020308</v>
      </c>
      <c r="G171" s="12">
        <v>1.7999999999999999E-2</v>
      </c>
      <c r="H171" s="13">
        <f t="shared" si="24"/>
        <v>587548809.04560673</v>
      </c>
      <c r="I171" s="13"/>
      <c r="J171" s="9">
        <f t="shared" si="23"/>
        <v>1008496801.4999145</v>
      </c>
      <c r="K171" s="48"/>
      <c r="L171" s="14"/>
      <c r="M171" s="56"/>
      <c r="N171" s="11">
        <f xml:space="preserve"> (L170 / 12) +2500000</f>
        <v>45319994.638477162</v>
      </c>
      <c r="P171" s="9">
        <f xml:space="preserve"> (H170 - K171) / 2</f>
        <v>531839935.66172594</v>
      </c>
      <c r="S171" s="13"/>
    </row>
    <row r="172" spans="1:19" s="12" customFormat="1" x14ac:dyDescent="0.3">
      <c r="B172" s="62"/>
      <c r="C172" s="12">
        <v>2</v>
      </c>
      <c r="D172" s="13">
        <f>N171</f>
        <v>45319994.638477162</v>
      </c>
      <c r="E172" s="41">
        <f t="shared" si="21"/>
        <v>428525056.31848532</v>
      </c>
      <c r="F172" s="13">
        <f t="shared" ref="F172:F182" si="26" xml:space="preserve"> H171 + D172 - K172</f>
        <v>632868803.68408394</v>
      </c>
      <c r="G172" s="12">
        <v>1.7999999999999999E-2</v>
      </c>
      <c r="H172" s="13">
        <f t="shared" si="24"/>
        <v>644260442.15039742</v>
      </c>
      <c r="I172" s="13"/>
      <c r="J172" s="9">
        <f t="shared" si="23"/>
        <v>1072785498.4688828</v>
      </c>
      <c r="K172" s="48"/>
      <c r="L172" s="14"/>
      <c r="M172" s="56"/>
      <c r="S172" s="13"/>
    </row>
    <row r="173" spans="1:19" s="12" customFormat="1" x14ac:dyDescent="0.3">
      <c r="B173" s="62"/>
      <c r="C173" s="12">
        <v>3</v>
      </c>
      <c r="D173" s="13">
        <f>N171</f>
        <v>45319994.638477162</v>
      </c>
      <c r="E173" s="41">
        <f t="shared" si="21"/>
        <v>436238507.33221805</v>
      </c>
      <c r="F173" s="13">
        <f t="shared" si="26"/>
        <v>689580436.78887463</v>
      </c>
      <c r="G173" s="12">
        <v>1.7999999999999999E-2</v>
      </c>
      <c r="H173" s="13">
        <f t="shared" si="24"/>
        <v>701992884.65107441</v>
      </c>
      <c r="I173" s="13"/>
      <c r="J173" s="9">
        <f t="shared" si="23"/>
        <v>1138231391.9832926</v>
      </c>
      <c r="K173" s="48"/>
      <c r="L173" s="14"/>
      <c r="M173" s="56"/>
      <c r="S173" s="13"/>
    </row>
    <row r="174" spans="1:19" s="12" customFormat="1" x14ac:dyDescent="0.3">
      <c r="B174" s="62"/>
      <c r="C174" s="12">
        <v>4</v>
      </c>
      <c r="D174" s="13">
        <f>N171</f>
        <v>45319994.638477162</v>
      </c>
      <c r="E174" s="41">
        <f t="shared" si="21"/>
        <v>444090800.46419799</v>
      </c>
      <c r="F174" s="13">
        <f t="shared" si="26"/>
        <v>747312879.28955162</v>
      </c>
      <c r="G174" s="12">
        <v>1.7999999999999999E-2</v>
      </c>
      <c r="H174" s="13">
        <f t="shared" si="24"/>
        <v>760764511.11676359</v>
      </c>
      <c r="I174" s="13"/>
      <c r="J174" s="9">
        <f t="shared" si="23"/>
        <v>1204855311.5809617</v>
      </c>
      <c r="K174" s="48"/>
      <c r="L174" s="14"/>
      <c r="M174" s="56"/>
      <c r="S174" s="13"/>
    </row>
    <row r="175" spans="1:19" s="12" customFormat="1" x14ac:dyDescent="0.3">
      <c r="B175" s="62"/>
      <c r="C175" s="12">
        <v>5</v>
      </c>
      <c r="D175" s="13">
        <f>N171</f>
        <v>45319994.638477162</v>
      </c>
      <c r="E175" s="41">
        <f t="shared" si="21"/>
        <v>452084434.87255353</v>
      </c>
      <c r="F175" s="13">
        <f t="shared" si="26"/>
        <v>779092466.96610343</v>
      </c>
      <c r="G175" s="12">
        <v>1.7999999999999999E-2</v>
      </c>
      <c r="H175" s="13">
        <f t="shared" si="24"/>
        <v>793116131.37149334</v>
      </c>
      <c r="I175" s="13"/>
      <c r="J175" s="9">
        <f t="shared" si="23"/>
        <v>1245200566.2440469</v>
      </c>
      <c r="K175" s="48">
        <f xml:space="preserve"> Q170</f>
        <v>26992038.789137393</v>
      </c>
      <c r="L175" s="14"/>
      <c r="M175" s="56"/>
      <c r="S175" s="13"/>
    </row>
    <row r="176" spans="1:19" s="12" customFormat="1" x14ac:dyDescent="0.3">
      <c r="B176" s="62"/>
      <c r="C176" s="12">
        <v>6</v>
      </c>
      <c r="D176" s="13">
        <f>N171</f>
        <v>45319994.638477162</v>
      </c>
      <c r="E176" s="41">
        <f t="shared" si="21"/>
        <v>460221954.70025951</v>
      </c>
      <c r="F176" s="13">
        <f t="shared" si="26"/>
        <v>838436126.00997055</v>
      </c>
      <c r="G176" s="12">
        <v>1.7999999999999999E-2</v>
      </c>
      <c r="H176" s="13">
        <f t="shared" si="24"/>
        <v>853527976.27814996</v>
      </c>
      <c r="I176" s="13"/>
      <c r="J176" s="9">
        <f t="shared" si="23"/>
        <v>1313749930.9784095</v>
      </c>
      <c r="K176" s="48"/>
      <c r="L176" s="14"/>
      <c r="M176" s="56"/>
      <c r="S176" s="13"/>
    </row>
    <row r="177" spans="1:19" s="12" customFormat="1" x14ac:dyDescent="0.3">
      <c r="B177" s="62"/>
      <c r="C177" s="12">
        <v>7</v>
      </c>
      <c r="D177" s="13">
        <f>N171</f>
        <v>45319994.638477162</v>
      </c>
      <c r="E177" s="41">
        <f t="shared" si="21"/>
        <v>468505949.88486415</v>
      </c>
      <c r="F177" s="13">
        <f t="shared" si="26"/>
        <v>898847970.91662717</v>
      </c>
      <c r="G177" s="12">
        <v>1.7999999999999999E-2</v>
      </c>
      <c r="H177" s="13">
        <f t="shared" si="24"/>
        <v>915027234.39312649</v>
      </c>
      <c r="I177" s="13"/>
      <c r="J177" s="9">
        <f t="shared" si="23"/>
        <v>1383533184.2779906</v>
      </c>
      <c r="K177" s="48"/>
      <c r="L177" s="14"/>
      <c r="M177" s="56"/>
      <c r="S177" s="13"/>
    </row>
    <row r="178" spans="1:19" s="12" customFormat="1" x14ac:dyDescent="0.3">
      <c r="B178" s="62"/>
      <c r="C178" s="12">
        <v>8</v>
      </c>
      <c r="D178" s="13">
        <f>N171</f>
        <v>45319994.638477162</v>
      </c>
      <c r="E178" s="41">
        <f t="shared" si="21"/>
        <v>476939056.98279172</v>
      </c>
      <c r="F178" s="13">
        <f t="shared" si="26"/>
        <v>960347229.03160369</v>
      </c>
      <c r="G178" s="12">
        <v>1.7999999999999999E-2</v>
      </c>
      <c r="H178" s="13">
        <f t="shared" si="24"/>
        <v>977633479.15417254</v>
      </c>
      <c r="I178" s="13"/>
      <c r="J178" s="9">
        <f t="shared" si="23"/>
        <v>1454572536.1369643</v>
      </c>
      <c r="K178" s="48"/>
      <c r="L178" s="14"/>
      <c r="M178" s="56"/>
      <c r="S178" s="13"/>
    </row>
    <row r="179" spans="1:19" s="12" customFormat="1" x14ac:dyDescent="0.3">
      <c r="B179" s="62"/>
      <c r="C179" s="12">
        <v>9</v>
      </c>
      <c r="D179" s="13">
        <f>N171</f>
        <v>45319994.638477162</v>
      </c>
      <c r="E179" s="41">
        <f t="shared" si="21"/>
        <v>485523960.00848198</v>
      </c>
      <c r="F179" s="13">
        <f t="shared" si="26"/>
        <v>1022953473.7926497</v>
      </c>
      <c r="G179" s="12">
        <v>1.7999999999999999E-2</v>
      </c>
      <c r="H179" s="13">
        <f t="shared" si="24"/>
        <v>1041366636.3209175</v>
      </c>
      <c r="I179" s="13"/>
      <c r="J179" s="9">
        <f t="shared" si="23"/>
        <v>1526890596.3293996</v>
      </c>
      <c r="K179" s="48"/>
      <c r="L179" s="14"/>
      <c r="M179" s="56"/>
      <c r="S179" s="13"/>
    </row>
    <row r="180" spans="1:19" s="12" customFormat="1" x14ac:dyDescent="0.3">
      <c r="B180" s="62"/>
      <c r="C180" s="12">
        <v>10</v>
      </c>
      <c r="D180" s="13">
        <f>N171</f>
        <v>45319994.638477162</v>
      </c>
      <c r="E180" s="41">
        <f t="shared" si="21"/>
        <v>494263391.28863466</v>
      </c>
      <c r="F180" s="13">
        <f t="shared" si="26"/>
        <v>1086686630.9593947</v>
      </c>
      <c r="G180" s="12">
        <v>1.7999999999999999E-2</v>
      </c>
      <c r="H180" s="13">
        <f t="shared" si="24"/>
        <v>1106246990.3166637</v>
      </c>
      <c r="I180" s="13"/>
      <c r="J180" s="9">
        <f t="shared" si="23"/>
        <v>1600510381.6052985</v>
      </c>
      <c r="K180" s="48"/>
      <c r="L180" s="14"/>
      <c r="M180" s="56"/>
      <c r="S180" s="13"/>
    </row>
    <row r="181" spans="1:19" s="12" customFormat="1" x14ac:dyDescent="0.3">
      <c r="B181" s="62"/>
      <c r="C181" s="12">
        <v>11</v>
      </c>
      <c r="D181" s="13">
        <f>N171</f>
        <v>45319994.638477162</v>
      </c>
      <c r="E181" s="41">
        <f t="shared" si="21"/>
        <v>503160132.33183008</v>
      </c>
      <c r="F181" s="13">
        <f t="shared" si="26"/>
        <v>1151566984.9551408</v>
      </c>
      <c r="G181" s="12">
        <v>1.7999999999999999E-2</v>
      </c>
      <c r="H181" s="13">
        <f t="shared" si="24"/>
        <v>1172295190.6843333</v>
      </c>
      <c r="I181" s="13"/>
      <c r="J181" s="9">
        <f t="shared" si="23"/>
        <v>1675455323.0161633</v>
      </c>
      <c r="K181" s="48"/>
      <c r="L181" s="14"/>
      <c r="M181" s="56"/>
      <c r="S181" s="13"/>
    </row>
    <row r="182" spans="1:19" s="18" customFormat="1" x14ac:dyDescent="0.3">
      <c r="B182" s="62"/>
      <c r="C182" s="18">
        <v>12</v>
      </c>
      <c r="D182" s="19">
        <f>N171</f>
        <v>45319994.638477162</v>
      </c>
      <c r="E182" s="19">
        <f t="shared" si="21"/>
        <v>512217014.71380305</v>
      </c>
      <c r="F182" s="19">
        <f t="shared" si="26"/>
        <v>1181615185.3228104</v>
      </c>
      <c r="G182" s="18">
        <v>1.7999999999999999E-2</v>
      </c>
      <c r="H182" s="19">
        <f t="shared" si="24"/>
        <v>1202884258.6586211</v>
      </c>
      <c r="I182" s="19">
        <f xml:space="preserve"> H182</f>
        <v>1202884258.6586211</v>
      </c>
      <c r="J182" s="19">
        <f t="shared" si="23"/>
        <v>1715101273.3724241</v>
      </c>
      <c r="K182" s="51">
        <v>36000000</v>
      </c>
      <c r="L182" s="20">
        <f xml:space="preserve"> (I182-K182) / 2</f>
        <v>583442129.32931054</v>
      </c>
      <c r="M182" s="58">
        <f xml:space="preserve"> (F171 + SUM(D172:D182)) - SUM(K172:K182)</f>
        <v>1012687832.5343144</v>
      </c>
      <c r="N182" s="19">
        <f xml:space="preserve"> H182 - M182</f>
        <v>190196426.12430668</v>
      </c>
      <c r="O182" s="18">
        <v>0.84</v>
      </c>
      <c r="P182" s="19">
        <f xml:space="preserve"> N182 * O182</f>
        <v>159764997.9444176</v>
      </c>
      <c r="Q182" s="19">
        <f xml:space="preserve"> N182 - P182</f>
        <v>30431428.179889083</v>
      </c>
      <c r="R182" s="18">
        <f xml:space="preserve"> N182 / M182 * 100</f>
        <v>18.781348014059603</v>
      </c>
      <c r="S182" s="19"/>
    </row>
    <row r="183" spans="1:19" s="12" customFormat="1" x14ac:dyDescent="0.3">
      <c r="A183" s="12">
        <v>16</v>
      </c>
      <c r="B183" s="62">
        <v>2037</v>
      </c>
      <c r="C183" s="12">
        <v>1</v>
      </c>
      <c r="D183" s="13">
        <f>N183</f>
        <v>51120177.444109209</v>
      </c>
      <c r="E183" s="41">
        <f t="shared" si="21"/>
        <v>521436920.97865152</v>
      </c>
      <c r="F183" s="13">
        <f xml:space="preserve"> (H182 / 2) + D183 - K183</f>
        <v>652562306.77341974</v>
      </c>
      <c r="G183" s="12">
        <v>1.7999999999999999E-2</v>
      </c>
      <c r="H183" s="13">
        <f t="shared" si="24"/>
        <v>664308428.29534125</v>
      </c>
      <c r="I183" s="13"/>
      <c r="J183" s="9">
        <f t="shared" si="23"/>
        <v>1185745349.2739928</v>
      </c>
      <c r="K183" s="48"/>
      <c r="L183" s="14"/>
      <c r="M183" s="56"/>
      <c r="N183" s="11">
        <f xml:space="preserve"> (L182 / 12) +2500000</f>
        <v>51120177.444109209</v>
      </c>
      <c r="P183" s="9">
        <f xml:space="preserve"> (H182 - K183) / 2</f>
        <v>601442129.32931054</v>
      </c>
      <c r="S183" s="13"/>
    </row>
    <row r="184" spans="1:19" s="12" customFormat="1" x14ac:dyDescent="0.3">
      <c r="B184" s="62"/>
      <c r="C184" s="12">
        <v>2</v>
      </c>
      <c r="D184" s="13">
        <f>N183</f>
        <v>51120177.444109209</v>
      </c>
      <c r="E184" s="41">
        <f t="shared" si="21"/>
        <v>530822785.55626726</v>
      </c>
      <c r="F184" s="13">
        <f t="shared" ref="F184:F194" si="27" xml:space="preserve"> H183 + D184 - K184</f>
        <v>715428605.73945045</v>
      </c>
      <c r="G184" s="12">
        <v>1.7999999999999999E-2</v>
      </c>
      <c r="H184" s="13">
        <f t="shared" si="24"/>
        <v>728306320.64276052</v>
      </c>
      <c r="I184" s="13"/>
      <c r="J184" s="9">
        <f t="shared" si="23"/>
        <v>1259129106.1990278</v>
      </c>
      <c r="K184" s="48"/>
      <c r="L184" s="14"/>
      <c r="M184" s="56"/>
      <c r="S184" s="13"/>
    </row>
    <row r="185" spans="1:19" s="12" customFormat="1" x14ac:dyDescent="0.3">
      <c r="B185" s="62"/>
      <c r="C185" s="12">
        <v>3</v>
      </c>
      <c r="D185" s="13">
        <f>N183</f>
        <v>51120177.444109209</v>
      </c>
      <c r="E185" s="41">
        <f t="shared" si="21"/>
        <v>540377595.69628012</v>
      </c>
      <c r="F185" s="13">
        <f t="shared" si="27"/>
        <v>779426498.08686972</v>
      </c>
      <c r="G185" s="12">
        <v>1.7999999999999999E-2</v>
      </c>
      <c r="H185" s="13">
        <f t="shared" si="24"/>
        <v>793456175.05243337</v>
      </c>
      <c r="I185" s="13"/>
      <c r="J185" s="9">
        <f t="shared" si="23"/>
        <v>1333833770.7487135</v>
      </c>
      <c r="K185" s="48"/>
      <c r="L185" s="14"/>
      <c r="M185" s="56"/>
      <c r="S185" s="13"/>
    </row>
    <row r="186" spans="1:19" s="12" customFormat="1" x14ac:dyDescent="0.3">
      <c r="B186" s="62"/>
      <c r="C186" s="12">
        <v>4</v>
      </c>
      <c r="D186" s="13">
        <f>N183</f>
        <v>51120177.444109209</v>
      </c>
      <c r="E186" s="41">
        <f t="shared" si="21"/>
        <v>550104392.41881311</v>
      </c>
      <c r="F186" s="13">
        <f t="shared" si="27"/>
        <v>844576352.49654257</v>
      </c>
      <c r="G186" s="12">
        <v>1.7999999999999999E-2</v>
      </c>
      <c r="H186" s="13">
        <f t="shared" si="24"/>
        <v>859778726.84148037</v>
      </c>
      <c r="I186" s="13"/>
      <c r="J186" s="9">
        <f t="shared" si="23"/>
        <v>1409883119.2602935</v>
      </c>
      <c r="K186" s="48"/>
      <c r="L186" s="14"/>
      <c r="M186" s="56"/>
      <c r="S186" s="13"/>
    </row>
    <row r="187" spans="1:19" s="12" customFormat="1" x14ac:dyDescent="0.3">
      <c r="B187" s="62"/>
      <c r="C187" s="12">
        <v>5</v>
      </c>
      <c r="D187" s="13">
        <f>N183</f>
        <v>51120177.444109209</v>
      </c>
      <c r="E187" s="41">
        <f t="shared" si="21"/>
        <v>560006271.48235178</v>
      </c>
      <c r="F187" s="13">
        <f t="shared" si="27"/>
        <v>880467476.10570049</v>
      </c>
      <c r="G187" s="12">
        <v>1.7999999999999999E-2</v>
      </c>
      <c r="H187" s="13">
        <f t="shared" si="24"/>
        <v>896315890.67560315</v>
      </c>
      <c r="I187" s="13"/>
      <c r="J187" s="9">
        <f t="shared" si="23"/>
        <v>1456322162.1579549</v>
      </c>
      <c r="K187" s="48">
        <f xml:space="preserve"> Q182</f>
        <v>30431428.179889083</v>
      </c>
      <c r="L187" s="14"/>
      <c r="M187" s="56"/>
      <c r="S187" s="13"/>
    </row>
    <row r="188" spans="1:19" s="12" customFormat="1" x14ac:dyDescent="0.3">
      <c r="B188" s="62"/>
      <c r="C188" s="12">
        <v>6</v>
      </c>
      <c r="D188" s="13">
        <f>N183</f>
        <v>51120177.444109209</v>
      </c>
      <c r="E188" s="41">
        <f t="shared" si="21"/>
        <v>570086384.36903405</v>
      </c>
      <c r="F188" s="13">
        <f t="shared" si="27"/>
        <v>947436068.11971235</v>
      </c>
      <c r="G188" s="12">
        <v>1.7999999999999999E-2</v>
      </c>
      <c r="H188" s="13">
        <f t="shared" si="24"/>
        <v>964489917.34586716</v>
      </c>
      <c r="I188" s="13"/>
      <c r="J188" s="9">
        <f t="shared" si="23"/>
        <v>1534576301.7149012</v>
      </c>
      <c r="K188" s="48"/>
      <c r="L188" s="14"/>
      <c r="M188" s="56"/>
      <c r="S188" s="13"/>
    </row>
    <row r="189" spans="1:19" s="12" customFormat="1" x14ac:dyDescent="0.3">
      <c r="B189" s="62"/>
      <c r="C189" s="12">
        <v>7</v>
      </c>
      <c r="D189" s="13">
        <f>N183</f>
        <v>51120177.444109209</v>
      </c>
      <c r="E189" s="41">
        <f t="shared" si="21"/>
        <v>580347939.28767669</v>
      </c>
      <c r="F189" s="13">
        <f t="shared" si="27"/>
        <v>1015610094.7899764</v>
      </c>
      <c r="G189" s="12">
        <v>1.7999999999999999E-2</v>
      </c>
      <c r="H189" s="13">
        <f t="shared" si="24"/>
        <v>1033891076.4961959</v>
      </c>
      <c r="I189" s="13"/>
      <c r="J189" s="9">
        <f t="shared" si="23"/>
        <v>1614239015.7838726</v>
      </c>
      <c r="K189" s="48"/>
      <c r="L189" s="14"/>
      <c r="M189" s="56"/>
      <c r="S189" s="13"/>
    </row>
    <row r="190" spans="1:19" s="12" customFormat="1" x14ac:dyDescent="0.3">
      <c r="B190" s="62"/>
      <c r="C190" s="12">
        <v>8</v>
      </c>
      <c r="D190" s="13">
        <f>N183</f>
        <v>51120177.444109209</v>
      </c>
      <c r="E190" s="41">
        <f t="shared" si="21"/>
        <v>590794202.19485486</v>
      </c>
      <c r="F190" s="13">
        <f t="shared" si="27"/>
        <v>1085011253.9403052</v>
      </c>
      <c r="G190" s="12">
        <v>1.7999999999999999E-2</v>
      </c>
      <c r="H190" s="13">
        <f t="shared" si="24"/>
        <v>1104541456.5112307</v>
      </c>
      <c r="I190" s="13"/>
      <c r="J190" s="9">
        <f t="shared" si="23"/>
        <v>1695335658.7060857</v>
      </c>
      <c r="K190" s="48"/>
      <c r="L190" s="14"/>
      <c r="M190" s="56"/>
      <c r="S190" s="13"/>
    </row>
    <row r="191" spans="1:19" s="12" customFormat="1" x14ac:dyDescent="0.3">
      <c r="B191" s="62"/>
      <c r="C191" s="12">
        <v>9</v>
      </c>
      <c r="D191" s="13">
        <f>N183</f>
        <v>51120177.444109209</v>
      </c>
      <c r="E191" s="41">
        <f t="shared" si="21"/>
        <v>601428497.83436227</v>
      </c>
      <c r="F191" s="13">
        <f t="shared" si="27"/>
        <v>1155661633.9553399</v>
      </c>
      <c r="G191" s="12">
        <v>1.7999999999999999E-2</v>
      </c>
      <c r="H191" s="13">
        <f t="shared" si="24"/>
        <v>1176463543.3665361</v>
      </c>
      <c r="I191" s="13"/>
      <c r="J191" s="9">
        <f t="shared" si="23"/>
        <v>1777892041.2008984</v>
      </c>
      <c r="K191" s="48"/>
      <c r="L191" s="14"/>
      <c r="M191" s="56"/>
      <c r="S191" s="13"/>
    </row>
    <row r="192" spans="1:19" s="12" customFormat="1" x14ac:dyDescent="0.3">
      <c r="B192" s="62"/>
      <c r="C192" s="12">
        <v>10</v>
      </c>
      <c r="D192" s="13">
        <f>N183</f>
        <v>51120177.444109209</v>
      </c>
      <c r="E192" s="41">
        <f t="shared" si="21"/>
        <v>612254210.79538083</v>
      </c>
      <c r="F192" s="13">
        <f t="shared" si="27"/>
        <v>1227583720.8106453</v>
      </c>
      <c r="G192" s="12">
        <v>1.7999999999999999E-2</v>
      </c>
      <c r="H192" s="13">
        <f t="shared" si="24"/>
        <v>1249680227.7852368</v>
      </c>
      <c r="I192" s="13"/>
      <c r="J192" s="9">
        <f t="shared" si="23"/>
        <v>1861934438.5806177</v>
      </c>
      <c r="K192" s="48"/>
      <c r="L192" s="14"/>
      <c r="M192" s="56"/>
      <c r="S192" s="13"/>
    </row>
    <row r="193" spans="1:19" s="12" customFormat="1" x14ac:dyDescent="0.3">
      <c r="B193" s="62"/>
      <c r="C193" s="12">
        <v>11</v>
      </c>
      <c r="D193" s="13">
        <f>N183</f>
        <v>51120177.444109209</v>
      </c>
      <c r="E193" s="41">
        <f t="shared" si="21"/>
        <v>623274786.58969772</v>
      </c>
      <c r="F193" s="13">
        <f t="shared" si="27"/>
        <v>1300800405.229346</v>
      </c>
      <c r="G193" s="12">
        <v>1.7999999999999999E-2</v>
      </c>
      <c r="H193" s="13">
        <f t="shared" si="24"/>
        <v>1324214812.5234742</v>
      </c>
      <c r="I193" s="13"/>
      <c r="J193" s="9">
        <f t="shared" si="23"/>
        <v>1947489599.1131721</v>
      </c>
      <c r="K193" s="48"/>
      <c r="L193" s="14"/>
      <c r="M193" s="56"/>
      <c r="S193" s="13"/>
    </row>
    <row r="194" spans="1:19" s="18" customFormat="1" x14ac:dyDescent="0.3">
      <c r="B194" s="62"/>
      <c r="C194" s="18">
        <v>12</v>
      </c>
      <c r="D194" s="19">
        <f>N183</f>
        <v>51120177.444109209</v>
      </c>
      <c r="E194" s="19">
        <f t="shared" si="21"/>
        <v>634493732.74831223</v>
      </c>
      <c r="F194" s="19">
        <f t="shared" si="27"/>
        <v>1339334989.9675834</v>
      </c>
      <c r="G194" s="18">
        <v>1.7999999999999999E-2</v>
      </c>
      <c r="H194" s="19">
        <f t="shared" si="24"/>
        <v>1363443019.7869999</v>
      </c>
      <c r="I194" s="19">
        <f xml:space="preserve"> H194</f>
        <v>1363443019.7869999</v>
      </c>
      <c r="J194" s="19">
        <f t="shared" si="23"/>
        <v>1997936752.5353122</v>
      </c>
      <c r="K194" s="51">
        <v>36000000</v>
      </c>
      <c r="L194" s="20">
        <f xml:space="preserve"> (I194-K194) / 2</f>
        <v>663721509.89349997</v>
      </c>
      <c r="M194" s="58">
        <f xml:space="preserve"> (F183 + SUM(D184:D194)) - SUM(K184:K194)</f>
        <v>1148452830.4787321</v>
      </c>
      <c r="N194" s="19">
        <f xml:space="preserve"> H194 - M194</f>
        <v>214990189.30826783</v>
      </c>
      <c r="O194" s="18">
        <v>0.84</v>
      </c>
      <c r="P194" s="19">
        <f xml:space="preserve"> N194 * O194</f>
        <v>180591759.01894498</v>
      </c>
      <c r="Q194" s="19">
        <f xml:space="preserve"> N194 - P194</f>
        <v>34398430.289322853</v>
      </c>
      <c r="R194" s="18">
        <f xml:space="preserve"> N194 / M194 * 100</f>
        <v>18.719984278209253</v>
      </c>
      <c r="S194" s="19"/>
    </row>
    <row r="195" spans="1:19" s="3" customFormat="1" x14ac:dyDescent="0.3">
      <c r="A195" s="3">
        <v>17</v>
      </c>
      <c r="B195" s="64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64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64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64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64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64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64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64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64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64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64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64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64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64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64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64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64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64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64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64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64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64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64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64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64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64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64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64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64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64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64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64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64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64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64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64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64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64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64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64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64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64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64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64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64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64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64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64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64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64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64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64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64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64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64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64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64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64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64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64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4"/>
  <sheetViews>
    <sheetView tabSelected="1" workbookViewId="0">
      <selection activeCell="I9" sqref="I9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7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7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7">
        <v>44846</v>
      </c>
      <c r="B6" t="s">
        <v>51</v>
      </c>
      <c r="C6">
        <v>8.6999999999999993</v>
      </c>
      <c r="D6">
        <v>8.4</v>
      </c>
    </row>
    <row r="7" spans="1:5" x14ac:dyDescent="0.3">
      <c r="A7" s="67">
        <v>44847</v>
      </c>
      <c r="B7" t="s">
        <v>52</v>
      </c>
      <c r="C7">
        <v>8.3000000000000007</v>
      </c>
      <c r="D7">
        <v>8.1</v>
      </c>
    </row>
    <row r="8" spans="1:5" x14ac:dyDescent="0.3">
      <c r="B8" t="s">
        <v>53</v>
      </c>
      <c r="C8">
        <v>6.3</v>
      </c>
      <c r="D8">
        <v>6.5</v>
      </c>
    </row>
    <row r="9" spans="1:5" x14ac:dyDescent="0.3">
      <c r="B9" t="s">
        <v>54</v>
      </c>
      <c r="C9" s="68" t="s">
        <v>55</v>
      </c>
      <c r="D9" s="68" t="s">
        <v>56</v>
      </c>
    </row>
    <row r="10" spans="1:5" x14ac:dyDescent="0.3">
      <c r="A10" s="67">
        <v>44848</v>
      </c>
      <c r="B10" t="s">
        <v>57</v>
      </c>
    </row>
    <row r="11" spans="1:5" x14ac:dyDescent="0.3">
      <c r="A11" s="67">
        <v>44853</v>
      </c>
      <c r="B11" t="s">
        <v>58</v>
      </c>
    </row>
    <row r="12" spans="1:5" x14ac:dyDescent="0.3">
      <c r="A12" s="67"/>
      <c r="B12" t="s">
        <v>59</v>
      </c>
    </row>
    <row r="13" spans="1:5" x14ac:dyDescent="0.3">
      <c r="A13" s="67">
        <v>44854</v>
      </c>
      <c r="B13" t="s">
        <v>60</v>
      </c>
    </row>
    <row r="14" spans="1:5" x14ac:dyDescent="0.3">
      <c r="B14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66"/>
      <c r="C1" s="66"/>
    </row>
    <row r="2" spans="2:9" x14ac:dyDescent="0.3">
      <c r="B2" s="65" t="s">
        <v>34</v>
      </c>
      <c r="C2" s="65"/>
      <c r="E2" s="65" t="s">
        <v>38</v>
      </c>
      <c r="F2" s="65"/>
      <c r="H2" s="65" t="s">
        <v>45</v>
      </c>
      <c r="I2" s="65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시나리오_old</vt:lpstr>
      <vt:lpstr>시나리오</vt:lpstr>
      <vt:lpstr>일정확인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2022-10-12T12:32:47Z</dcterms:modified>
</cp:coreProperties>
</file>