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truongbui/Dropbox/Work/Reason/Reason Work/R projects/Plan Models/North Dakota PERS/NDPERS-Funding Model/"/>
    </mc:Choice>
  </mc:AlternateContent>
  <xr:revisionPtr revIDLastSave="0" documentId="13_ncr:1_{FDF1A02D-E54C-E241-B516-0C0E9898C186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Numeric Inputs" sheetId="1" r:id="rId1"/>
    <sheet name="Character Inputs" sheetId="7" r:id="rId2"/>
    <sheet name="List Box" sheetId="5" r:id="rId3"/>
    <sheet name="Amortization_CurrentHires" sheetId="10" r:id="rId4"/>
    <sheet name="Amortization_NewHires" sheetId="8" r:id="rId5"/>
    <sheet name="Inv_Returns" sheetId="3" r:id="rId6"/>
    <sheet name="Historical Data" sheetId="2" r:id="rId7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H7" i="2" l="1"/>
  <c r="BO7" i="2"/>
  <c r="BK7" i="2"/>
  <c r="BI7" i="2" l="1"/>
  <c r="BC7" i="2" l="1"/>
  <c r="AT7" i="2"/>
  <c r="AS3" i="2"/>
  <c r="AS4" i="2"/>
  <c r="AS5" i="2"/>
  <c r="AS6" i="2"/>
  <c r="AS7" i="2"/>
  <c r="AS2" i="2"/>
  <c r="AI2" i="2" l="1"/>
  <c r="AH2" i="2"/>
  <c r="AG3" i="2"/>
  <c r="AI3" i="2" s="1"/>
  <c r="AG4" i="2"/>
  <c r="AI4" i="2" s="1"/>
  <c r="AG5" i="2"/>
  <c r="AH5" i="2" s="1"/>
  <c r="AG6" i="2"/>
  <c r="AH6" i="2" s="1"/>
  <c r="AG2" i="2"/>
  <c r="AE5" i="2"/>
  <c r="AE6" i="2"/>
  <c r="AE2" i="2"/>
  <c r="AD5" i="2"/>
  <c r="AD6" i="2"/>
  <c r="AC3" i="2"/>
  <c r="AD3" i="2" s="1"/>
  <c r="AC4" i="2"/>
  <c r="AE4" i="2" s="1"/>
  <c r="AC5" i="2"/>
  <c r="AC6" i="2"/>
  <c r="AC2" i="2"/>
  <c r="AD2" i="2" s="1"/>
  <c r="Z3" i="2"/>
  <c r="Z4" i="2"/>
  <c r="Z5" i="2"/>
  <c r="Z6" i="2"/>
  <c r="Z7" i="2"/>
  <c r="Z2" i="2"/>
  <c r="T3" i="2"/>
  <c r="T4" i="2"/>
  <c r="T5" i="2"/>
  <c r="T6" i="2"/>
  <c r="T7" i="2"/>
  <c r="T2" i="2"/>
  <c r="O7" i="2"/>
  <c r="O6" i="2"/>
  <c r="AH4" i="2" l="1"/>
  <c r="AH3" i="2"/>
  <c r="AI6" i="2"/>
  <c r="AI5" i="2"/>
  <c r="AD4" i="2"/>
  <c r="AE3" i="2"/>
  <c r="CB3" i="2"/>
  <c r="CB4" i="2"/>
  <c r="CB5" i="2"/>
  <c r="CB6" i="2"/>
  <c r="CB2" i="2"/>
  <c r="CF3" i="2" l="1"/>
  <c r="CD3" i="2"/>
  <c r="CF2" i="2"/>
  <c r="CD2" i="2"/>
  <c r="CF6" i="2"/>
  <c r="CD6" i="2"/>
  <c r="CF5" i="2"/>
  <c r="CD5" i="2"/>
  <c r="CF4" i="2"/>
  <c r="CD4" i="2"/>
  <c r="V7" i="2"/>
  <c r="CM3" i="2"/>
  <c r="CN4" i="2" s="1"/>
  <c r="CO5" i="2" s="1"/>
  <c r="CN3" i="2"/>
  <c r="CO4" i="2" s="1"/>
  <c r="CO3" i="2"/>
  <c r="CL3" i="2"/>
  <c r="CM4" i="2" s="1"/>
  <c r="CN5" i="2" s="1"/>
  <c r="CO6" i="2" s="1"/>
  <c r="W7" i="2" l="1"/>
  <c r="BB3" i="2"/>
  <c r="BF3" i="2" s="1"/>
  <c r="BB4" i="2"/>
  <c r="BF4" i="2" s="1"/>
  <c r="BB5" i="2"/>
  <c r="BF5" i="2" s="1"/>
  <c r="BB6" i="2"/>
  <c r="BF6" i="2" s="1"/>
  <c r="BB7" i="2"/>
  <c r="BF7" i="2" s="1"/>
  <c r="BB2" i="2"/>
  <c r="BF2" i="2" s="1"/>
  <c r="C56" i="1"/>
  <c r="C55" i="1" s="1"/>
  <c r="C54" i="1"/>
  <c r="U7" i="2"/>
  <c r="L7" i="2"/>
  <c r="Q7" i="2" s="1"/>
  <c r="B7" i="2"/>
  <c r="CQ7" i="2"/>
  <c r="R7" i="2" l="1"/>
  <c r="AG7" i="2"/>
  <c r="AC7" i="2"/>
  <c r="C7" i="2"/>
  <c r="BR7" i="2" s="1"/>
  <c r="AK7" i="2"/>
  <c r="M7" i="2"/>
  <c r="BT7" i="2" l="1"/>
  <c r="CB7" i="2"/>
  <c r="AD7" i="2"/>
  <c r="AE7" i="2"/>
  <c r="AH7" i="2"/>
  <c r="AI7" i="2"/>
  <c r="AL7" i="2"/>
  <c r="CQ3" i="2"/>
  <c r="CQ4" i="2"/>
  <c r="CQ5" i="2"/>
  <c r="CQ6" i="2"/>
  <c r="CQ2" i="2"/>
  <c r="BK6" i="2"/>
  <c r="BY7" i="2" s="1"/>
  <c r="BK5" i="2"/>
  <c r="BK2" i="2"/>
  <c r="CG2" i="2" s="1"/>
  <c r="BI6" i="2"/>
  <c r="BI5" i="2"/>
  <c r="CG4" i="2"/>
  <c r="CH4" i="2" s="1"/>
  <c r="CG3" i="2"/>
  <c r="CH3" i="2" s="1"/>
  <c r="CD7" i="2" l="1"/>
  <c r="CF7" i="2"/>
  <c r="CG7" i="2"/>
  <c r="CH7" i="2" s="1"/>
  <c r="CI7" i="2" s="1"/>
  <c r="CJ7" i="2" s="1"/>
  <c r="CK7" i="2" s="1"/>
  <c r="CG5" i="2"/>
  <c r="CH5" i="2" s="1"/>
  <c r="CG6" i="2"/>
  <c r="CH6" i="2" s="1"/>
  <c r="CI4" i="2"/>
  <c r="CJ4" i="2" s="1"/>
  <c r="CK4" i="2" s="1"/>
  <c r="CI3" i="2"/>
  <c r="CJ3" i="2" s="1"/>
  <c r="CK3" i="2" s="1"/>
  <c r="CC2" i="2"/>
  <c r="CI5" i="2" l="1"/>
  <c r="CJ5" i="2" s="1"/>
  <c r="CK5" i="2" s="1"/>
  <c r="CL6" i="2" s="1"/>
  <c r="CM7" i="2" s="1"/>
  <c r="CI6" i="2"/>
  <c r="CJ6" i="2" s="1"/>
  <c r="CK6" i="2" s="1"/>
  <c r="CL5" i="2"/>
  <c r="CM6" i="2" s="1"/>
  <c r="CN7" i="2" s="1"/>
  <c r="CP3" i="2"/>
  <c r="CL4" i="2"/>
  <c r="CM5" i="2" s="1"/>
  <c r="CN6" i="2" s="1"/>
  <c r="CO7" i="2" s="1"/>
  <c r="E54" i="1"/>
  <c r="D55" i="1"/>
  <c r="E56" i="1"/>
  <c r="E55" i="1" s="1"/>
  <c r="CP4" i="2" l="1"/>
  <c r="CP6" i="2"/>
  <c r="CL7" i="2"/>
  <c r="CP7" i="2" s="1"/>
  <c r="CP5" i="2"/>
  <c r="C58" i="1"/>
  <c r="C59" i="1"/>
  <c r="C62" i="1" l="1"/>
  <c r="C60" i="1"/>
  <c r="C63" i="1" l="1"/>
  <c r="C6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Sheri Joyce</author>
  </authors>
  <commentList>
    <comment ref="L3" authorId="0" shapeId="0" xr:uid="{2FB4710D-1C4D-4EEC-B7FB-04A7D01D0CE3}">
      <text>
        <r>
          <rPr>
            <b/>
            <sz val="9"/>
            <color indexed="81"/>
            <rFont val="Tahoma"/>
            <family val="2"/>
          </rPr>
          <t>Sheri Joyce:</t>
        </r>
        <r>
          <rPr>
            <sz val="9"/>
            <color indexed="81"/>
            <rFont val="Tahoma"/>
            <family val="2"/>
          </rPr>
          <t xml:space="preserve">
changed int rate from hard code 8% to instead reference col'm G; changed NC reference to prior row
</t>
        </r>
      </text>
    </comment>
    <comment ref="M3" authorId="0" shapeId="0" xr:uid="{C20F70C0-B26F-498D-BF95-903118F57AED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changed int rate from hard code 8% to instead reference col'm G; changed NC reference to prior row
</t>
        </r>
      </text>
    </comment>
    <comment ref="Q3" authorId="0" shapeId="0" xr:uid="{2AC19466-4876-4327-88DB-2475F246E65B}">
      <text>
        <r>
          <rPr>
            <b/>
            <sz val="9"/>
            <color indexed="81"/>
            <rFont val="Tahoma"/>
            <family val="2"/>
          </rPr>
          <t>Sheri Joyce:</t>
        </r>
        <r>
          <rPr>
            <sz val="9"/>
            <color indexed="81"/>
            <rFont val="Tahoma"/>
            <family val="2"/>
          </rPr>
          <t xml:space="preserve">
changed int rate from hard code 8% to instead reference col'm G; changed NC reference to prior row
</t>
        </r>
      </text>
    </comment>
    <comment ref="R3" authorId="0" shapeId="0" xr:uid="{F9EFD7A2-2406-403F-A8B2-C4E4EB4AFECE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changed int rate from hard code 8% to instead reference col'm G; changed NC reference to prior row
</t>
        </r>
      </text>
    </comment>
    <comment ref="V3" authorId="0" shapeId="0" xr:uid="{5D200190-2DFE-4290-8F76-748B96C40921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Updated to use ratio to be calculated on main group</t>
        </r>
      </text>
    </comment>
    <comment ref="Y3" authorId="0" shapeId="0" xr:uid="{B3F2B2F0-D238-44BB-916B-E4656A573E35}">
      <text>
        <r>
          <rPr>
            <b/>
            <sz val="9"/>
            <color indexed="81"/>
            <rFont val="Tahoma"/>
            <family val="2"/>
          </rPr>
          <t>Sheri Joyce:</t>
        </r>
        <r>
          <rPr>
            <sz val="9"/>
            <color indexed="81"/>
            <rFont val="Tahoma"/>
            <family val="2"/>
          </rPr>
          <t xml:space="preserve">
Added column AP for Transfer to contributions</t>
        </r>
      </text>
    </comment>
    <comment ref="Z3" authorId="0" shapeId="0" xr:uid="{5078E512-A3FA-49D7-9106-757A62A5D929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Added column AP for Transfer to contributions</t>
        </r>
      </text>
    </comment>
    <comment ref="P4" authorId="0" shapeId="0" xr:uid="{7B201C8D-2FCA-4EF3-A46A-51049759C4B6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added design flag for DC</t>
        </r>
      </text>
    </comment>
    <comment ref="U4" authorId="0" shapeId="0" xr:uid="{8F3EBC65-7A6B-4D38-AAD4-276BE8E95220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added design flag for DC</t>
        </r>
      </text>
    </comment>
  </commentList>
</comments>
</file>

<file path=xl/sharedStrings.xml><?xml version="1.0" encoding="utf-8"?>
<sst xmlns="http://schemas.openxmlformats.org/spreadsheetml/2006/main" count="338" uniqueCount="303">
  <si>
    <t>Economic Inputs</t>
  </si>
  <si>
    <t>COLA Scenario</t>
  </si>
  <si>
    <t>Expected COLA</t>
  </si>
  <si>
    <t>Plan Design</t>
  </si>
  <si>
    <t>Payroll Growth Rate</t>
  </si>
  <si>
    <t>COLA Assumption</t>
  </si>
  <si>
    <t>First COLA</t>
  </si>
  <si>
    <t>Funding Policy (FY 2021+)</t>
  </si>
  <si>
    <t>Employer Contribution Policy</t>
  </si>
  <si>
    <t>Statutory Rate</t>
  </si>
  <si>
    <t>No</t>
  </si>
  <si>
    <t>Layered</t>
  </si>
  <si>
    <t>AVA Corridor - lower bound (% of MVA)</t>
  </si>
  <si>
    <t>AVA Corridor - upper bound (% of MVA)</t>
  </si>
  <si>
    <t>Assumed Inflation</t>
  </si>
  <si>
    <t>FYE</t>
  </si>
  <si>
    <t>Actual return on assets - Projection</t>
  </si>
  <si>
    <t>MVA</t>
  </si>
  <si>
    <t>AVA</t>
  </si>
  <si>
    <t>Liability sensitivities</t>
  </si>
  <si>
    <t>Total pension liability</t>
  </si>
  <si>
    <t>Fiduciary net position</t>
  </si>
  <si>
    <t>Net pension liability</t>
  </si>
  <si>
    <t>Liability sensitivity to discount rate</t>
  </si>
  <si>
    <t>Convexity</t>
  </si>
  <si>
    <t>Normal cost sensitivity to discount rate</t>
  </si>
  <si>
    <t>Same last 15 years</t>
  </si>
  <si>
    <t>Great Recession</t>
  </si>
  <si>
    <t>Model</t>
  </si>
  <si>
    <t>Assumption</t>
  </si>
  <si>
    <t>Recession</t>
  </si>
  <si>
    <t>Recurring Recession</t>
  </si>
  <si>
    <t>Slow Decade</t>
  </si>
  <si>
    <t>Strong Decade</t>
  </si>
  <si>
    <t>6% Constant</t>
  </si>
  <si>
    <t>Scenarios and Simulations</t>
  </si>
  <si>
    <t>Simulation Type</t>
  </si>
  <si>
    <t>Analysis Type</t>
  </si>
  <si>
    <t>Scenario Type</t>
  </si>
  <si>
    <t>Deterministic</t>
  </si>
  <si>
    <t>Assumed</t>
  </si>
  <si>
    <t>FitAverage</t>
  </si>
  <si>
    <t>Fit Average</t>
  </si>
  <si>
    <t>Year</t>
  </si>
  <si>
    <t>5 year contribution Freeze</t>
  </si>
  <si>
    <t>OFF</t>
  </si>
  <si>
    <t>Actual COLA</t>
  </si>
  <si>
    <t>ADC</t>
  </si>
  <si>
    <t>Fixed</t>
  </si>
  <si>
    <t>Yes</t>
  </si>
  <si>
    <t>Freeze</t>
  </si>
  <si>
    <t>Baseline</t>
  </si>
  <si>
    <t>HB31</t>
  </si>
  <si>
    <t>Stochastic</t>
  </si>
  <si>
    <t>Slow/Strong</t>
  </si>
  <si>
    <t>NewCrisis1</t>
  </si>
  <si>
    <t>Conservative</t>
  </si>
  <si>
    <t>Annual Normal Cost growth rate</t>
  </si>
  <si>
    <t>Start Year</t>
  </si>
  <si>
    <t>asum_infl</t>
  </si>
  <si>
    <t>COLA_scen</t>
  </si>
  <si>
    <t>COLA_assum</t>
  </si>
  <si>
    <t>NC_StaryYear</t>
  </si>
  <si>
    <t>ARR</t>
  </si>
  <si>
    <t>Payroll_growth</t>
  </si>
  <si>
    <t>First_COLA</t>
  </si>
  <si>
    <t>ER_Policy</t>
  </si>
  <si>
    <t>Amo_Type</t>
  </si>
  <si>
    <t>AVA_lowerbound</t>
  </si>
  <si>
    <t>AVA_upperbound</t>
  </si>
  <si>
    <t>LiabSensDR</t>
  </si>
  <si>
    <t>NCSensDR</t>
  </si>
  <si>
    <t>AnalysisType</t>
  </si>
  <si>
    <t>SimType</t>
  </si>
  <si>
    <t>ContrFreeze</t>
  </si>
  <si>
    <t>FitType</t>
  </si>
  <si>
    <t>ScenType</t>
  </si>
  <si>
    <t>TotalPayroll</t>
  </si>
  <si>
    <t>ROA_MVA</t>
  </si>
  <si>
    <t>UAL_AVA</t>
  </si>
  <si>
    <t>UAL_MVA</t>
  </si>
  <si>
    <t>FR_AVA</t>
  </si>
  <si>
    <t>FR_MVA</t>
  </si>
  <si>
    <t>Impl_FundPeriod</t>
  </si>
  <si>
    <t>Total_ER</t>
  </si>
  <si>
    <t>Simulation Returns (Arithmetic) - Assumed</t>
  </si>
  <si>
    <t>Simulation Returns (Arithmetic) - Conservative</t>
  </si>
  <si>
    <t>Simulation Volatility</t>
  </si>
  <si>
    <t>SimVolatility</t>
  </si>
  <si>
    <t>SimReturnConservative</t>
  </si>
  <si>
    <t>SimReturnAssumed</t>
  </si>
  <si>
    <t>Amortization</t>
  </si>
  <si>
    <t>Payroll Growth thru 2037</t>
  </si>
  <si>
    <t>Discount rate - Current Hires</t>
  </si>
  <si>
    <t>Discount rate Projection - Current Hires</t>
  </si>
  <si>
    <t>Discount rate - New Hires</t>
  </si>
  <si>
    <t>Discount rate Projection - New Hires</t>
  </si>
  <si>
    <t>New Hire Plan</t>
  </si>
  <si>
    <t>Cost Sharing %</t>
  </si>
  <si>
    <t>CostSharingPct</t>
  </si>
  <si>
    <t>Adjusted Normal Cost for excess salary growth under City Plan</t>
  </si>
  <si>
    <t>NC_ExcessSalary_City</t>
  </si>
  <si>
    <t>Hybrid DC Employer Contribution</t>
  </si>
  <si>
    <t>Choice DC Employer Contributon</t>
  </si>
  <si>
    <t>Assumptions</t>
  </si>
  <si>
    <t>Actual Inflation 2021+</t>
  </si>
  <si>
    <t>actual_infl</t>
  </si>
  <si>
    <t>Administrative Expenses (as % of payroll)</t>
  </si>
  <si>
    <t>Administrative Expenses (as % of payroll) - Max</t>
  </si>
  <si>
    <t>Admin_Exp_Pct</t>
  </si>
  <si>
    <t>ERContrib_NewHires</t>
  </si>
  <si>
    <t>Open</t>
  </si>
  <si>
    <t>Closed</t>
  </si>
  <si>
    <t>Fresh Start</t>
  </si>
  <si>
    <t>DB</t>
  </si>
  <si>
    <t>DC</t>
  </si>
  <si>
    <t>Hybrid</t>
  </si>
  <si>
    <t>DB-only Payroll</t>
  </si>
  <si>
    <t>Total Payroll</t>
  </si>
  <si>
    <t>NewHirePlan</t>
  </si>
  <si>
    <t>Amortization Reset %</t>
  </si>
  <si>
    <t>AmoResetPct</t>
  </si>
  <si>
    <t>Amortization payment made on</t>
  </si>
  <si>
    <t>UAL_AVA_CurrentHires</t>
  </si>
  <si>
    <t>UAL_AVA_NewHires</t>
  </si>
  <si>
    <t>UAL_MVA_CurrentHires</t>
  </si>
  <si>
    <t>UAL_MVA_NewHires</t>
  </si>
  <si>
    <t>TargetYear100Pct</t>
  </si>
  <si>
    <t>NC_CurrentHires</t>
  </si>
  <si>
    <t>NC_NewHires</t>
  </si>
  <si>
    <t>EmployeeNC_CurrentHires</t>
  </si>
  <si>
    <t>EmployeeNC_NewHires</t>
  </si>
  <si>
    <t>EmployerNC_CurrentHires</t>
  </si>
  <si>
    <t>EmployerNC_NewHires</t>
  </si>
  <si>
    <t>AmoRate_CurrentHires</t>
  </si>
  <si>
    <t>AmoRate_NewHires</t>
  </si>
  <si>
    <t>BenPayments_CurrentHires</t>
  </si>
  <si>
    <t>BenPayments_NewHires</t>
  </si>
  <si>
    <t>AdminExp_CurrentHires</t>
  </si>
  <si>
    <t>AdminExp_NewHires</t>
  </si>
  <si>
    <t>EE_NC_CurrentHires</t>
  </si>
  <si>
    <t>EE_NC_NewHires</t>
  </si>
  <si>
    <t>Solv_Contrib_CurrentHires</t>
  </si>
  <si>
    <t>Solv_Contrib_NewHires</t>
  </si>
  <si>
    <t>ExpInvInc_CurrentHires</t>
  </si>
  <si>
    <t>ExpectedMVA_CurrentHires</t>
  </si>
  <si>
    <t>GainLoss_CurrentHires</t>
  </si>
  <si>
    <t>Year1GL_CurrentHires</t>
  </si>
  <si>
    <t>Year2GL_CurrentHires</t>
  </si>
  <si>
    <t>Year3GL_CurrentHires</t>
  </si>
  <si>
    <t>NetCF_NewHires</t>
  </si>
  <si>
    <t>ExpInvInc_NewHires</t>
  </si>
  <si>
    <t>ExpectedMVA_NewHires</t>
  </si>
  <si>
    <t>GainLoss_NewHires</t>
  </si>
  <si>
    <t>Year1GL_NewHires</t>
  </si>
  <si>
    <t>Year2GL_NewHires</t>
  </si>
  <si>
    <t>Year3GL_NewHires</t>
  </si>
  <si>
    <t>Number of Years - Initial Base 2020</t>
  </si>
  <si>
    <t>Number of Years - Subsequent Bases (current hires)</t>
  </si>
  <si>
    <t>OriginalDR_CurrentHires</t>
  </si>
  <si>
    <t>NewDR_CurrentHires</t>
  </si>
  <si>
    <t>OriginalDR_NewHires</t>
  </si>
  <si>
    <t>NewDR_NewHires</t>
  </si>
  <si>
    <t>AccrLiabOrigDR_Total</t>
  </si>
  <si>
    <t>AccrLiabOrigDR_NewHires</t>
  </si>
  <si>
    <t>AccrLiabNewDR_Total</t>
  </si>
  <si>
    <t>AccrLiabNewDR_NewHires</t>
  </si>
  <si>
    <t>ER_NC_CurrentHires</t>
  </si>
  <si>
    <t>ER_NC_NewHires</t>
  </si>
  <si>
    <t>ER_Amo_CurrentHires</t>
  </si>
  <si>
    <t>ER_Amo_NewHires</t>
  </si>
  <si>
    <t>AVA_CurrentHires</t>
  </si>
  <si>
    <t>AVA_NewHires</t>
  </si>
  <si>
    <t>MVA_CurrentHires</t>
  </si>
  <si>
    <t>MVA_NewHires</t>
  </si>
  <si>
    <t>NC_NewHires_Pct</t>
  </si>
  <si>
    <t>dis_r_currentHires</t>
  </si>
  <si>
    <t>dis_r_proj_currentHires</t>
  </si>
  <si>
    <t>dis_r_newHires</t>
  </si>
  <si>
    <t>dis_r_proj_newHires</t>
  </si>
  <si>
    <t>NCGrowth</t>
  </si>
  <si>
    <t>New Hire Normal Cost Sensitivity</t>
  </si>
  <si>
    <t>New Hire Liability Sensitivity</t>
  </si>
  <si>
    <t>New Hire Steps</t>
  </si>
  <si>
    <t>NCSensDR_NewHires</t>
  </si>
  <si>
    <t>LiabSensDR_NewHires</t>
  </si>
  <si>
    <t>NewHireSensSteps</t>
  </si>
  <si>
    <t>EE_Amo_NewHires</t>
  </si>
  <si>
    <t>Hybrid_Contrib</t>
  </si>
  <si>
    <t>DC_Contrib</t>
  </si>
  <si>
    <t>Admin_Exp_Max</t>
  </si>
  <si>
    <t>Payment Timing to EOY</t>
  </si>
  <si>
    <t>PayTimeEOY</t>
  </si>
  <si>
    <t>Segal</t>
  </si>
  <si>
    <t>DROP Discount Rate</t>
  </si>
  <si>
    <t>DROP_DR</t>
  </si>
  <si>
    <t>ER_Percentage</t>
  </si>
  <si>
    <t>ER_InflAdj</t>
  </si>
  <si>
    <t>Reason</t>
  </si>
  <si>
    <t>SegalOrReason</t>
  </si>
  <si>
    <t>AllInCost</t>
  </si>
  <si>
    <t>CurrentPayroll</t>
  </si>
  <si>
    <t>NewHireDBPayroll</t>
  </si>
  <si>
    <t>AccrLiabOrigDR_CurrentHires</t>
  </si>
  <si>
    <t>AccrLiabNewDR_CurrentHires</t>
  </si>
  <si>
    <t>PayrollDCORP</t>
  </si>
  <si>
    <t>Refunds</t>
  </si>
  <si>
    <t>EEPurchase_CurrentHires</t>
  </si>
  <si>
    <t>EEPurchase_NewHires</t>
  </si>
  <si>
    <t>AdditionalER</t>
  </si>
  <si>
    <t>Statutory employee contribution rate for current DB plan</t>
  </si>
  <si>
    <t>Statutory employer contribution rate for current hires</t>
  </si>
  <si>
    <t>Statutory employer contribution rate for new hires</t>
  </si>
  <si>
    <t>ERContrib_CurrentHires</t>
  </si>
  <si>
    <t>Gross Normal Cost Rate (MOY) - Current DB Plan, 7% DR</t>
  </si>
  <si>
    <t>Gross Normal cost Rate (MOY) - New Entrants, 7% DR</t>
  </si>
  <si>
    <t>Tier 1 payroll attrition</t>
  </si>
  <si>
    <t>PayrollTier1Attrition</t>
  </si>
  <si>
    <t>% New Hires choosing DB</t>
  </si>
  <si>
    <t>% New Hires choosing DC</t>
  </si>
  <si>
    <t>NewHireDBPct</t>
  </si>
  <si>
    <t>NewHireDCPct</t>
  </si>
  <si>
    <t>BOYNCExistOrigDR</t>
  </si>
  <si>
    <t>BOYNCNewHiresOrigDR</t>
  </si>
  <si>
    <t>BOYNCExistNewDR</t>
  </si>
  <si>
    <t>BOYNCNewHiresNewDR</t>
  </si>
  <si>
    <t>NC_CurrentHires_Pct</t>
  </si>
  <si>
    <t>NewHireDCPayroll</t>
  </si>
  <si>
    <t>Cost Sharing (Amo) - Current Hire</t>
  </si>
  <si>
    <t>Cost Sharing (Amo) - New Hire</t>
  </si>
  <si>
    <t>Cost Sharing (NC) - Current Hire</t>
  </si>
  <si>
    <t>Cost Sharing (NC) - New Hire</t>
  </si>
  <si>
    <t>CostSharing_Amo_CurrentHire</t>
  </si>
  <si>
    <t>CostSharing_NC_CurrentHire</t>
  </si>
  <si>
    <t>CostSharing_Amo_NewHire</t>
  </si>
  <si>
    <t>CostSharing_NC_NewHire</t>
  </si>
  <si>
    <t>EEContribDB_NewHires</t>
  </si>
  <si>
    <t>EEContribDB_CurrentHires</t>
  </si>
  <si>
    <t>Statutory employee contribution rate for new DB plan</t>
  </si>
  <si>
    <t>Employee Service Purchases (% of payroll)</t>
  </si>
  <si>
    <t>Transfers/other charges as % of benefit payments</t>
  </si>
  <si>
    <t>Assumed Alternate Contribution Rate (% of Amortization)</t>
  </si>
  <si>
    <t>EEPurchases</t>
  </si>
  <si>
    <t>TransfersPct</t>
  </si>
  <si>
    <t>AltContPct</t>
  </si>
  <si>
    <t>Supplemental</t>
  </si>
  <si>
    <t>Bill 1 - Additional ER contribution rate</t>
  </si>
  <si>
    <t>Bill 1 - Additional cash infusion (2021)</t>
  </si>
  <si>
    <t>Bill 2 - Legacy Fund transfer - % of earnings transferred to GF</t>
  </si>
  <si>
    <t>Bill 2 - Legacy Fund transfer - % of earnings transferred to PERS</t>
  </si>
  <si>
    <t>Bill 2 - Legacy Fund transfer - funded level threshold</t>
  </si>
  <si>
    <t>Transfers</t>
  </si>
  <si>
    <t>Reset Bases</t>
  </si>
  <si>
    <t>FRReset</t>
  </si>
  <si>
    <t>EEAmoRate_CurrentHires</t>
  </si>
  <si>
    <t>EEAmoRate_NewHires</t>
  </si>
  <si>
    <t>EE_Amo_CurrentHires</t>
  </si>
  <si>
    <t>Solv_Contrib_Total</t>
  </si>
  <si>
    <t>Total_Contrib_DB</t>
  </si>
  <si>
    <t>NetCF_CurrentHires</t>
  </si>
  <si>
    <t>NewHireBenPct</t>
  </si>
  <si>
    <t>Benefit Growth Rate</t>
  </si>
  <si>
    <t>BenGrowthMax</t>
  </si>
  <si>
    <t>BenPayments_Total</t>
  </si>
  <si>
    <t>NoYearsADC_CurrentDebt</t>
  </si>
  <si>
    <t>Number of Years - Subsequent Bases (new hires)</t>
  </si>
  <si>
    <t>NoYearsADC_NewDebtNewHire</t>
  </si>
  <si>
    <t>NoYearsADC_NewDebtCurrentHire</t>
  </si>
  <si>
    <t>Amortization Base Increase Rate (current hires)</t>
  </si>
  <si>
    <t>Amo method - current hires (level $ or %)</t>
  </si>
  <si>
    <t>Amo method - new hires (level $ or %)</t>
  </si>
  <si>
    <t>Amortization Base Increase Rate (new hires)</t>
  </si>
  <si>
    <t>AmoMethod_CurrentHire</t>
  </si>
  <si>
    <t>AmoBaseInc_CurrentHire</t>
  </si>
  <si>
    <t>AmoBaseInc_NewHire</t>
  </si>
  <si>
    <t>AmoMethod_NewHire</t>
  </si>
  <si>
    <t>Level %</t>
  </si>
  <si>
    <t>CashInfusion</t>
  </si>
  <si>
    <t>TransferGF</t>
  </si>
  <si>
    <t>TransferPERS</t>
  </si>
  <si>
    <t>TransferFRTreshold</t>
  </si>
  <si>
    <t>CurYearGL_CurrentHires</t>
  </si>
  <si>
    <t>Year4GL_CurrentHires</t>
  </si>
  <si>
    <t>CurYearGL_NewHires</t>
  </si>
  <si>
    <t>Year4GL_NewHires</t>
  </si>
  <si>
    <t>TotalGL_CurrentHires</t>
  </si>
  <si>
    <t>TotalGL_NewHires</t>
  </si>
  <si>
    <t>ERContrib_DC</t>
  </si>
  <si>
    <t>Total_ERContrib_DB</t>
  </si>
  <si>
    <t>Total_ERContrib</t>
  </si>
  <si>
    <t>BenPayments_NewHires_prelim</t>
  </si>
  <si>
    <t>BenPayments_Total_prelim</t>
  </si>
  <si>
    <t>New DB Benefit Multiplier</t>
  </si>
  <si>
    <t>Current DB Benefit Multiplier</t>
  </si>
  <si>
    <t>BenMult_new</t>
  </si>
  <si>
    <t>BenMult_current</t>
  </si>
  <si>
    <t>Statutory employer contribution rate after full funding</t>
  </si>
  <si>
    <t>ERContrib_FullFund</t>
  </si>
  <si>
    <t>ERStatu_CurrentHires</t>
  </si>
  <si>
    <t>ERStatu_NewHires</t>
  </si>
  <si>
    <t>UAL_AVA_InflAdj</t>
  </si>
  <si>
    <t>UAL_MVA_InflAdj</t>
  </si>
  <si>
    <t>NewHirePayroll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</si>
</sst>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-* #,##0_-;\-* #,##0_-;_-* &quot;-&quot;??_-;_-@_-"/>
    <numFmt numFmtId="167" formatCode="0.000000"/>
    <numFmt numFmtId="168" formatCode="#,##0.0_);\(#,##0.0\)"/>
    <numFmt numFmtId="169" formatCode="_(&quot;$&quot;* #,##0_);_(&quot;$&quot;* \(#,##0\);_(&quot;$&quot;* &quot;-&quot;??_);_(@_)"/>
    <numFmt numFmtId="170" formatCode="_(* #,##0.000000_);_(* \(#,##0.000000\);_(* &quot;-&quot;??_);_(@_)"/>
    <numFmt numFmtId="171" formatCode="0.000000000000000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FF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8">
    <xf numFmtId="0" fontId="0" fillId="0" borderId="0" xfId="0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65" fontId="3" fillId="0" borderId="0" xfId="1" applyNumberFormat="1" applyFont="1" applyFill="1" applyBorder="1"/>
    <xf numFmtId="10" fontId="3" fillId="0" borderId="0" xfId="2" applyNumberFormat="1" applyFont="1" applyFill="1" applyBorder="1"/>
    <xf numFmtId="0" fontId="6" fillId="0" borderId="0" xfId="0" applyFont="1"/>
    <xf numFmtId="0" fontId="2" fillId="0" borderId="0" xfId="0" applyFont="1"/>
    <xf numFmtId="3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0" fillId="0" borderId="0" xfId="0" applyNumberFormat="1"/>
    <xf numFmtId="10" fontId="2" fillId="4" borderId="0" xfId="0" applyNumberFormat="1" applyFont="1" applyFill="1"/>
    <xf numFmtId="10" fontId="0" fillId="5" borderId="0" xfId="2" applyNumberFormat="1" applyFont="1" applyFill="1"/>
    <xf numFmtId="10" fontId="0" fillId="4" borderId="0" xfId="0" applyNumberFormat="1" applyFill="1"/>
    <xf numFmtId="10" fontId="0" fillId="3" borderId="0" xfId="0" applyNumberFormat="1" applyFill="1"/>
    <xf numFmtId="0" fontId="0" fillId="0" borderId="0" xfId="0" applyFill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7" fillId="0" borderId="1" xfId="0" applyFont="1" applyBorder="1"/>
    <xf numFmtId="0" fontId="0" fillId="0" borderId="0" xfId="0" applyFont="1" applyFill="1"/>
    <xf numFmtId="165" fontId="8" fillId="0" borderId="0" xfId="1" applyNumberFormat="1" applyFont="1" applyFill="1" applyBorder="1" applyAlignment="1">
      <alignment horizontal="center"/>
    </xf>
    <xf numFmtId="0" fontId="9" fillId="0" borderId="0" xfId="0" applyFont="1"/>
    <xf numFmtId="10" fontId="0" fillId="0" borderId="0" xfId="2" applyNumberFormat="1" applyFont="1"/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37" fontId="4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2" fontId="3" fillId="0" borderId="3" xfId="1" applyNumberFormat="1" applyFont="1" applyFill="1" applyBorder="1" applyAlignment="1">
      <alignment horizontal="center"/>
    </xf>
    <xf numFmtId="43" fontId="0" fillId="0" borderId="0" xfId="1" applyFont="1" applyFill="1"/>
    <xf numFmtId="0" fontId="3" fillId="0" borderId="1" xfId="0" applyFont="1" applyFill="1" applyBorder="1"/>
    <xf numFmtId="2" fontId="0" fillId="0" borderId="0" xfId="2" applyNumberFormat="1" applyFont="1"/>
    <xf numFmtId="167" fontId="0" fillId="0" borderId="0" xfId="2" applyNumberFormat="1" applyFont="1"/>
    <xf numFmtId="165" fontId="3" fillId="0" borderId="0" xfId="2" applyNumberFormat="1" applyFont="1" applyFill="1" applyBorder="1" applyAlignment="1">
      <alignment horizontal="center"/>
    </xf>
    <xf numFmtId="0" fontId="4" fillId="0" borderId="1" xfId="1" applyNumberFormat="1" applyFont="1" applyFill="1" applyBorder="1" applyAlignment="1">
      <alignment horizontal="center"/>
    </xf>
    <xf numFmtId="165" fontId="8" fillId="0" borderId="1" xfId="1" applyNumberFormat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center"/>
    </xf>
    <xf numFmtId="165" fontId="4" fillId="0" borderId="5" xfId="1" applyNumberFormat="1" applyFont="1" applyFill="1" applyBorder="1" applyAlignment="1">
      <alignment horizontal="center"/>
    </xf>
    <xf numFmtId="10" fontId="8" fillId="0" borderId="0" xfId="2" applyNumberFormat="1" applyFont="1" applyFill="1" applyBorder="1" applyAlignment="1">
      <alignment horizontal="center"/>
    </xf>
    <xf numFmtId="10" fontId="4" fillId="0" borderId="0" xfId="2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0" fontId="8" fillId="0" borderId="0" xfId="0" applyNumberFormat="1" applyFont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0" fontId="4" fillId="0" borderId="0" xfId="0" applyNumberFormat="1" applyFont="1" applyAlignment="1">
      <alignment horizontal="center"/>
    </xf>
    <xf numFmtId="10" fontId="8" fillId="0" borderId="1" xfId="2" applyNumberFormat="1" applyFont="1" applyFill="1" applyBorder="1" applyAlignment="1">
      <alignment horizontal="center"/>
    </xf>
    <xf numFmtId="10" fontId="4" fillId="0" borderId="1" xfId="2" applyNumberFormat="1" applyFont="1" applyFill="1" applyBorder="1" applyAlignment="1">
      <alignment horizontal="center"/>
    </xf>
    <xf numFmtId="10" fontId="10" fillId="0" borderId="0" xfId="2" applyNumberFormat="1" applyFont="1" applyFill="1" applyBorder="1" applyAlignment="1">
      <alignment horizontal="center"/>
    </xf>
    <xf numFmtId="165" fontId="4" fillId="0" borderId="2" xfId="1" applyNumberFormat="1" applyFont="1" applyFill="1" applyBorder="1" applyAlignment="1">
      <alignment horizontal="center"/>
    </xf>
    <xf numFmtId="168" fontId="4" fillId="0" borderId="1" xfId="0" applyNumberFormat="1" applyFont="1" applyBorder="1" applyAlignment="1">
      <alignment horizontal="left"/>
    </xf>
    <xf numFmtId="0" fontId="3" fillId="0" borderId="1" xfId="0" applyFont="1" applyBorder="1"/>
    <xf numFmtId="10" fontId="15" fillId="0" borderId="2" xfId="2" applyNumberFormat="1" applyFont="1" applyFill="1" applyBorder="1" applyAlignment="1"/>
    <xf numFmtId="169" fontId="15" fillId="0" borderId="2" xfId="3" applyNumberFormat="1" applyFont="1" applyFill="1" applyBorder="1" applyAlignment="1"/>
    <xf numFmtId="9" fontId="15" fillId="0" borderId="2" xfId="2" applyFont="1" applyFill="1" applyBorder="1" applyAlignment="1"/>
    <xf numFmtId="43" fontId="0" fillId="0" borderId="0" xfId="0" applyNumberFormat="1"/>
    <xf numFmtId="165" fontId="4" fillId="4" borderId="0" xfId="1" applyNumberFormat="1" applyFont="1" applyFill="1" applyBorder="1" applyAlignment="1">
      <alignment horizontal="center"/>
    </xf>
    <xf numFmtId="10" fontId="4" fillId="4" borderId="0" xfId="2" applyNumberFormat="1" applyFont="1" applyFill="1" applyBorder="1" applyAlignment="1">
      <alignment horizontal="center"/>
    </xf>
    <xf numFmtId="165" fontId="8" fillId="4" borderId="0" xfId="1" applyNumberFormat="1" applyFont="1" applyFill="1" applyBorder="1" applyAlignment="1">
      <alignment horizontal="center"/>
    </xf>
    <xf numFmtId="2" fontId="0" fillId="4" borderId="0" xfId="0" applyNumberFormat="1" applyFill="1"/>
    <xf numFmtId="10" fontId="0" fillId="4" borderId="0" xfId="2" applyNumberFormat="1" applyFont="1" applyFill="1"/>
    <xf numFmtId="168" fontId="4" fillId="0" borderId="0" xfId="0" applyNumberFormat="1" applyFont="1" applyBorder="1" applyAlignment="1">
      <alignment horizontal="left"/>
    </xf>
    <xf numFmtId="165" fontId="8" fillId="0" borderId="0" xfId="2" applyNumberFormat="1" applyFont="1" applyFill="1" applyBorder="1" applyAlignment="1">
      <alignment horizontal="center"/>
    </xf>
    <xf numFmtId="0" fontId="3" fillId="0" borderId="0" xfId="0" applyFont="1" applyFill="1" applyBorder="1"/>
    <xf numFmtId="165" fontId="0" fillId="0" borderId="0" xfId="0" applyNumberFormat="1"/>
    <xf numFmtId="3" fontId="16" fillId="0" borderId="0" xfId="0" applyNumberFormat="1" applyFont="1"/>
    <xf numFmtId="168" fontId="4" fillId="0" borderId="0" xfId="0" applyNumberFormat="1" applyFont="1" applyFill="1" applyBorder="1" applyAlignment="1">
      <alignment horizontal="left"/>
    </xf>
    <xf numFmtId="170" fontId="0" fillId="0" borderId="0" xfId="0" applyNumberFormat="1"/>
    <xf numFmtId="171" fontId="0" fillId="0" borderId="0" xfId="0" applyNumberFormat="1"/>
    <xf numFmtId="43" fontId="0" fillId="0" borderId="0" xfId="0" applyNumberFormat="1" applyFont="1" applyFill="1"/>
    <xf numFmtId="10" fontId="4" fillId="4" borderId="0" xfId="0" applyNumberFormat="1" applyFont="1" applyFill="1" applyAlignment="1">
      <alignment horizontal="center"/>
    </xf>
    <xf numFmtId="10" fontId="4" fillId="4" borderId="2" xfId="0" applyNumberFormat="1" applyFont="1" applyFill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0" fillId="0" borderId="0" xfId="2" applyNumberFormat="1" applyFont="1" applyFill="1"/>
    <xf numFmtId="166" fontId="8" fillId="0" borderId="1" xfId="1" applyNumberFormat="1" applyFont="1" applyFill="1" applyBorder="1" applyAlignment="1">
      <alignment horizontal="center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10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6"/>
  <sheetViews>
    <sheetView tabSelected="1" topLeftCell="A11" zoomScaleNormal="100" workbookViewId="0">
      <selection activeCell="C15" sqref="C15"/>
    </sheetView>
  </sheetViews>
  <sheetFormatPr baseColWidth="10" defaultColWidth="8.83203125" defaultRowHeight="15" x14ac:dyDescent="0.2"/>
  <cols>
    <col min="1" max="1" width="48.6640625" bestFit="1" customWidth="1"/>
    <col min="2" max="2" width="33.6640625" customWidth="1"/>
    <col min="3" max="3" width="12.6640625" bestFit="1" customWidth="1"/>
    <col min="4" max="5" width="10.5" bestFit="1" customWidth="1"/>
  </cols>
  <sheetData>
    <row r="1" spans="1:3" x14ac:dyDescent="0.2">
      <c r="A1" s="26" t="s">
        <v>0</v>
      </c>
    </row>
    <row r="2" spans="1:3" x14ac:dyDescent="0.2">
      <c r="A2" t="s">
        <v>93</v>
      </c>
      <c r="B2" t="s">
        <v>176</v>
      </c>
      <c r="C2" s="27">
        <v>7.0000000000000007E-2</v>
      </c>
    </row>
    <row r="3" spans="1:3" x14ac:dyDescent="0.2">
      <c r="A3" t="s">
        <v>94</v>
      </c>
      <c r="B3" t="s">
        <v>177</v>
      </c>
      <c r="C3" s="27">
        <v>7.0000000000000007E-2</v>
      </c>
    </row>
    <row r="4" spans="1:3" x14ac:dyDescent="0.2">
      <c r="A4" t="s">
        <v>95</v>
      </c>
      <c r="B4" t="s">
        <v>178</v>
      </c>
      <c r="C4" s="27">
        <v>7.0000000000000007E-2</v>
      </c>
    </row>
    <row r="5" spans="1:3" x14ac:dyDescent="0.2">
      <c r="A5" t="s">
        <v>96</v>
      </c>
      <c r="B5" t="s">
        <v>179</v>
      </c>
      <c r="C5" s="27">
        <v>7.0000000000000007E-2</v>
      </c>
    </row>
    <row r="6" spans="1:3" x14ac:dyDescent="0.2">
      <c r="A6" t="s">
        <v>14</v>
      </c>
      <c r="B6" t="s">
        <v>59</v>
      </c>
      <c r="C6" s="27">
        <v>2.2499999999999999E-2</v>
      </c>
    </row>
    <row r="7" spans="1:3" x14ac:dyDescent="0.2">
      <c r="A7" s="26" t="s">
        <v>3</v>
      </c>
    </row>
    <row r="8" spans="1:3" x14ac:dyDescent="0.2">
      <c r="A8" t="s">
        <v>98</v>
      </c>
      <c r="B8" t="s">
        <v>99</v>
      </c>
      <c r="C8" s="28">
        <v>0.5</v>
      </c>
    </row>
    <row r="9" spans="1:3" x14ac:dyDescent="0.2">
      <c r="A9" t="s">
        <v>58</v>
      </c>
      <c r="B9" t="s">
        <v>62</v>
      </c>
      <c r="C9">
        <v>2021</v>
      </c>
    </row>
    <row r="10" spans="1:3" x14ac:dyDescent="0.2">
      <c r="A10" t="s">
        <v>214</v>
      </c>
      <c r="B10" t="s">
        <v>226</v>
      </c>
      <c r="C10" s="15">
        <v>0.10979999999999999</v>
      </c>
    </row>
    <row r="11" spans="1:3" x14ac:dyDescent="0.2">
      <c r="A11" t="s">
        <v>215</v>
      </c>
      <c r="B11" t="s">
        <v>175</v>
      </c>
      <c r="C11" s="76">
        <v>9.7918409999999997E-2</v>
      </c>
    </row>
    <row r="12" spans="1:3" x14ac:dyDescent="0.2">
      <c r="A12" t="s">
        <v>57</v>
      </c>
      <c r="B12" t="s">
        <v>180</v>
      </c>
      <c r="C12" s="27">
        <v>0</v>
      </c>
    </row>
    <row r="13" spans="1:3" x14ac:dyDescent="0.2">
      <c r="A13" t="s">
        <v>191</v>
      </c>
      <c r="B13" t="s">
        <v>192</v>
      </c>
      <c r="C13" s="37">
        <v>0.5</v>
      </c>
    </row>
    <row r="14" spans="1:3" x14ac:dyDescent="0.2">
      <c r="A14" t="s">
        <v>102</v>
      </c>
      <c r="B14" t="s">
        <v>188</v>
      </c>
      <c r="C14" s="28">
        <v>0</v>
      </c>
    </row>
    <row r="15" spans="1:3" x14ac:dyDescent="0.2">
      <c r="A15" t="s">
        <v>103</v>
      </c>
      <c r="B15" t="s">
        <v>189</v>
      </c>
      <c r="C15" s="15">
        <v>2.8000000000000001E-2</v>
      </c>
    </row>
    <row r="16" spans="1:3" x14ac:dyDescent="0.2">
      <c r="A16" t="s">
        <v>194</v>
      </c>
      <c r="B16" t="s">
        <v>195</v>
      </c>
      <c r="C16" s="15">
        <v>2.75E-2</v>
      </c>
    </row>
    <row r="17" spans="1:3" x14ac:dyDescent="0.2">
      <c r="A17" t="s">
        <v>218</v>
      </c>
      <c r="B17" t="s">
        <v>220</v>
      </c>
      <c r="C17" s="15">
        <v>1</v>
      </c>
    </row>
    <row r="18" spans="1:3" x14ac:dyDescent="0.2">
      <c r="A18" t="s">
        <v>219</v>
      </c>
      <c r="B18" t="s">
        <v>221</v>
      </c>
      <c r="C18" s="15">
        <v>0</v>
      </c>
    </row>
    <row r="19" spans="1:3" x14ac:dyDescent="0.2">
      <c r="A19" s="53" t="s">
        <v>239</v>
      </c>
      <c r="B19" t="s">
        <v>242</v>
      </c>
      <c r="C19" s="15">
        <v>0</v>
      </c>
    </row>
    <row r="20" spans="1:3" x14ac:dyDescent="0.2">
      <c r="A20" s="53" t="s">
        <v>240</v>
      </c>
      <c r="B20" t="s">
        <v>243</v>
      </c>
      <c r="C20" s="15">
        <v>0</v>
      </c>
    </row>
    <row r="21" spans="1:3" x14ac:dyDescent="0.2">
      <c r="A21" s="53" t="s">
        <v>241</v>
      </c>
      <c r="B21" t="s">
        <v>244</v>
      </c>
      <c r="C21" s="15">
        <v>0</v>
      </c>
    </row>
    <row r="22" spans="1:3" x14ac:dyDescent="0.2">
      <c r="A22" s="69" t="s">
        <v>293</v>
      </c>
      <c r="B22" t="s">
        <v>295</v>
      </c>
      <c r="C22" s="15">
        <v>1.7500000000000002E-2</v>
      </c>
    </row>
    <row r="23" spans="1:3" x14ac:dyDescent="0.2">
      <c r="A23" s="64" t="s">
        <v>292</v>
      </c>
      <c r="B23" t="s">
        <v>294</v>
      </c>
      <c r="C23" s="15">
        <v>1.7500000000000002E-2</v>
      </c>
    </row>
    <row r="24" spans="1:3" x14ac:dyDescent="0.2">
      <c r="A24" s="26" t="s">
        <v>104</v>
      </c>
    </row>
    <row r="25" spans="1:3" x14ac:dyDescent="0.2">
      <c r="A25" t="s">
        <v>16</v>
      </c>
      <c r="B25" t="s">
        <v>63</v>
      </c>
      <c r="C25" s="27">
        <v>7.0000000000000007E-2</v>
      </c>
    </row>
    <row r="26" spans="1:3" x14ac:dyDescent="0.2">
      <c r="A26" t="s">
        <v>105</v>
      </c>
      <c r="B26" t="s">
        <v>106</v>
      </c>
      <c r="C26" s="27">
        <v>2.5000000000000001E-2</v>
      </c>
    </row>
    <row r="27" spans="1:3" x14ac:dyDescent="0.2">
      <c r="A27" t="s">
        <v>5</v>
      </c>
      <c r="B27" t="s">
        <v>61</v>
      </c>
      <c r="C27" s="27">
        <v>0</v>
      </c>
    </row>
    <row r="28" spans="1:3" x14ac:dyDescent="0.2">
      <c r="A28" t="s">
        <v>6</v>
      </c>
      <c r="B28" t="s">
        <v>65</v>
      </c>
      <c r="C28">
        <v>66</v>
      </c>
    </row>
    <row r="29" spans="1:3" x14ac:dyDescent="0.2">
      <c r="A29" t="s">
        <v>107</v>
      </c>
      <c r="B29" t="s">
        <v>109</v>
      </c>
      <c r="C29" s="27">
        <v>2.3E-3</v>
      </c>
    </row>
    <row r="30" spans="1:3" x14ac:dyDescent="0.2">
      <c r="A30" t="s">
        <v>261</v>
      </c>
      <c r="B30" t="s">
        <v>262</v>
      </c>
      <c r="C30" s="27">
        <v>4.3200000000000002E-2</v>
      </c>
    </row>
    <row r="31" spans="1:3" x14ac:dyDescent="0.2">
      <c r="A31" t="s">
        <v>108</v>
      </c>
      <c r="B31" t="s">
        <v>190</v>
      </c>
      <c r="C31" s="36">
        <v>8.5</v>
      </c>
    </row>
    <row r="32" spans="1:3" x14ac:dyDescent="0.2">
      <c r="A32" t="s">
        <v>4</v>
      </c>
      <c r="B32" t="s">
        <v>64</v>
      </c>
      <c r="C32" s="27">
        <v>3.5000000000000003E-2</v>
      </c>
    </row>
    <row r="33" spans="1:3" x14ac:dyDescent="0.2">
      <c r="A33" t="s">
        <v>216</v>
      </c>
      <c r="B33" t="s">
        <v>217</v>
      </c>
      <c r="C33" s="27">
        <v>0.98</v>
      </c>
    </row>
    <row r="34" spans="1:3" x14ac:dyDescent="0.2">
      <c r="A34" s="26" t="s">
        <v>245</v>
      </c>
      <c r="C34" s="27"/>
    </row>
    <row r="35" spans="1:3" x14ac:dyDescent="0.2">
      <c r="A35" s="54" t="s">
        <v>246</v>
      </c>
      <c r="B35" t="s">
        <v>209</v>
      </c>
      <c r="C35" s="55">
        <v>0</v>
      </c>
    </row>
    <row r="36" spans="1:3" x14ac:dyDescent="0.2">
      <c r="A36" s="54" t="s">
        <v>247</v>
      </c>
      <c r="B36" t="s">
        <v>277</v>
      </c>
      <c r="C36" s="56">
        <v>0</v>
      </c>
    </row>
    <row r="37" spans="1:3" x14ac:dyDescent="0.2">
      <c r="A37" s="54" t="s">
        <v>248</v>
      </c>
      <c r="B37" t="s">
        <v>278</v>
      </c>
      <c r="C37" s="57">
        <v>0</v>
      </c>
    </row>
    <row r="38" spans="1:3" x14ac:dyDescent="0.2">
      <c r="A38" s="54" t="s">
        <v>249</v>
      </c>
      <c r="B38" t="s">
        <v>279</v>
      </c>
      <c r="C38" s="55">
        <v>0.14000000000000001</v>
      </c>
    </row>
    <row r="39" spans="1:3" x14ac:dyDescent="0.2">
      <c r="A39" s="54" t="s">
        <v>250</v>
      </c>
      <c r="B39" t="s">
        <v>280</v>
      </c>
      <c r="C39" s="55">
        <v>0.9</v>
      </c>
    </row>
    <row r="40" spans="1:3" x14ac:dyDescent="0.2">
      <c r="A40" s="26" t="s">
        <v>7</v>
      </c>
      <c r="C40" s="27"/>
    </row>
    <row r="41" spans="1:3" x14ac:dyDescent="0.2">
      <c r="A41" s="35" t="s">
        <v>157</v>
      </c>
      <c r="B41" t="s">
        <v>264</v>
      </c>
      <c r="C41" s="36">
        <v>20</v>
      </c>
    </row>
    <row r="42" spans="1:3" x14ac:dyDescent="0.2">
      <c r="A42" s="35" t="s">
        <v>158</v>
      </c>
      <c r="B42" t="s">
        <v>267</v>
      </c>
      <c r="C42" s="36">
        <v>20</v>
      </c>
    </row>
    <row r="43" spans="1:3" x14ac:dyDescent="0.2">
      <c r="A43" s="35" t="s">
        <v>265</v>
      </c>
      <c r="B43" t="s">
        <v>266</v>
      </c>
      <c r="C43" s="36">
        <v>20</v>
      </c>
    </row>
    <row r="44" spans="1:3" x14ac:dyDescent="0.2">
      <c r="A44" t="s">
        <v>268</v>
      </c>
      <c r="B44" t="s">
        <v>273</v>
      </c>
      <c r="C44" s="27">
        <v>3.5000000000000003E-2</v>
      </c>
    </row>
    <row r="45" spans="1:3" x14ac:dyDescent="0.2">
      <c r="A45" t="s">
        <v>271</v>
      </c>
      <c r="B45" t="s">
        <v>274</v>
      </c>
      <c r="C45" s="15">
        <v>3.5000000000000003E-2</v>
      </c>
    </row>
    <row r="46" spans="1:3" x14ac:dyDescent="0.2">
      <c r="A46" t="s">
        <v>120</v>
      </c>
      <c r="B46" t="s">
        <v>121</v>
      </c>
      <c r="C46" s="27">
        <v>99.99</v>
      </c>
    </row>
    <row r="47" spans="1:3" x14ac:dyDescent="0.2">
      <c r="A47" t="s">
        <v>210</v>
      </c>
      <c r="B47" t="s">
        <v>237</v>
      </c>
      <c r="C47" s="63">
        <v>7.0000000000000007E-2</v>
      </c>
    </row>
    <row r="48" spans="1:3" x14ac:dyDescent="0.2">
      <c r="A48" t="s">
        <v>238</v>
      </c>
      <c r="B48" t="s">
        <v>236</v>
      </c>
      <c r="C48" s="63">
        <v>7.0000000000000007E-2</v>
      </c>
    </row>
    <row r="49" spans="1:5" x14ac:dyDescent="0.2">
      <c r="A49" t="s">
        <v>211</v>
      </c>
      <c r="B49" t="s">
        <v>213</v>
      </c>
      <c r="C49" s="63">
        <v>7.2599999999999998E-2</v>
      </c>
    </row>
    <row r="50" spans="1:5" x14ac:dyDescent="0.2">
      <c r="A50" t="s">
        <v>212</v>
      </c>
      <c r="B50" t="s">
        <v>110</v>
      </c>
      <c r="C50" s="63">
        <v>8.2600000000000007E-2</v>
      </c>
    </row>
    <row r="51" spans="1:5" x14ac:dyDescent="0.2">
      <c r="A51" t="s">
        <v>296</v>
      </c>
      <c r="B51" t="s">
        <v>297</v>
      </c>
      <c r="C51" s="15">
        <v>0.06</v>
      </c>
    </row>
    <row r="52" spans="1:5" x14ac:dyDescent="0.2">
      <c r="A52" t="s">
        <v>12</v>
      </c>
      <c r="B52" t="s">
        <v>68</v>
      </c>
      <c r="C52">
        <v>0.8</v>
      </c>
    </row>
    <row r="53" spans="1:5" x14ac:dyDescent="0.2">
      <c r="A53" t="s">
        <v>13</v>
      </c>
      <c r="B53" t="s">
        <v>69</v>
      </c>
      <c r="C53">
        <v>1.2</v>
      </c>
    </row>
    <row r="54" spans="1:5" x14ac:dyDescent="0.2">
      <c r="A54" t="s">
        <v>19</v>
      </c>
      <c r="C54" s="27">
        <f>D54-1%</f>
        <v>6.2499999999999993E-2</v>
      </c>
      <c r="D54" s="27">
        <v>7.2499999999999995E-2</v>
      </c>
      <c r="E54" s="27">
        <f>D54+1%</f>
        <v>8.249999999999999E-2</v>
      </c>
    </row>
    <row r="55" spans="1:5" x14ac:dyDescent="0.2">
      <c r="A55" t="s">
        <v>20</v>
      </c>
      <c r="C55" s="30">
        <f>C56+C57</f>
        <v>5270.3829970000006</v>
      </c>
      <c r="D55" s="30">
        <f>D56+D57</f>
        <v>4731.9598219999998</v>
      </c>
      <c r="E55" s="30">
        <f>E56+E57</f>
        <v>4282.6246919999994</v>
      </c>
    </row>
    <row r="56" spans="1:5" x14ac:dyDescent="0.2">
      <c r="A56" t="s">
        <v>21</v>
      </c>
      <c r="C56" s="30">
        <f>D56</f>
        <v>2057.857317</v>
      </c>
      <c r="D56" s="30">
        <v>2057.857317</v>
      </c>
      <c r="E56" s="30">
        <f>D56</f>
        <v>2057.857317</v>
      </c>
    </row>
    <row r="57" spans="1:5" x14ac:dyDescent="0.2">
      <c r="A57" t="s">
        <v>22</v>
      </c>
      <c r="C57" s="30">
        <v>3212.5256800000002</v>
      </c>
      <c r="D57" s="30">
        <v>2674.1025049999998</v>
      </c>
      <c r="E57" s="30">
        <v>2224.7673749999999</v>
      </c>
    </row>
    <row r="58" spans="1:5" x14ac:dyDescent="0.2">
      <c r="A58" t="s">
        <v>23</v>
      </c>
      <c r="B58" t="s">
        <v>70</v>
      </c>
      <c r="C58" s="29">
        <f>((C55/E55)^(1/2)-1)*100</f>
        <v>10.934359407830318</v>
      </c>
    </row>
    <row r="59" spans="1:5" x14ac:dyDescent="0.2">
      <c r="A59" t="s">
        <v>24</v>
      </c>
      <c r="B59" t="s">
        <v>24</v>
      </c>
      <c r="C59" s="29">
        <f>((C55*E55)/(D55^2)-1)*100</f>
        <v>0.80221983082513493</v>
      </c>
    </row>
    <row r="60" spans="1:5" x14ac:dyDescent="0.2">
      <c r="A60" t="s">
        <v>25</v>
      </c>
      <c r="B60" t="s">
        <v>71</v>
      </c>
      <c r="C60" s="29">
        <f>C58*2</f>
        <v>21.868718815660635</v>
      </c>
    </row>
    <row r="61" spans="1:5" x14ac:dyDescent="0.2">
      <c r="A61" t="s">
        <v>181</v>
      </c>
      <c r="B61" t="s">
        <v>184</v>
      </c>
      <c r="C61" s="29">
        <f>C60</f>
        <v>21.868718815660635</v>
      </c>
    </row>
    <row r="62" spans="1:5" x14ac:dyDescent="0.2">
      <c r="A62" t="s">
        <v>182</v>
      </c>
      <c r="B62" t="s">
        <v>185</v>
      </c>
      <c r="C62" s="29">
        <f>C58</f>
        <v>10.934359407830318</v>
      </c>
    </row>
    <row r="63" spans="1:5" x14ac:dyDescent="0.2">
      <c r="A63" t="s">
        <v>183</v>
      </c>
      <c r="B63" t="s">
        <v>186</v>
      </c>
      <c r="C63" s="29">
        <f>(C60-C62)/45</f>
        <v>0.24298576461845151</v>
      </c>
    </row>
    <row r="64" spans="1:5" x14ac:dyDescent="0.2">
      <c r="A64" t="s">
        <v>85</v>
      </c>
      <c r="B64" t="s">
        <v>90</v>
      </c>
      <c r="C64" s="62">
        <v>7.609863E-2</v>
      </c>
    </row>
    <row r="65" spans="1:3" x14ac:dyDescent="0.2">
      <c r="A65" t="s">
        <v>86</v>
      </c>
      <c r="B65" t="s">
        <v>89</v>
      </c>
      <c r="C65" s="62">
        <v>6.7256999999999997E-2</v>
      </c>
    </row>
    <row r="66" spans="1:3" x14ac:dyDescent="0.2">
      <c r="A66" t="s">
        <v>87</v>
      </c>
      <c r="B66" t="s">
        <v>88</v>
      </c>
      <c r="C66" s="62">
        <v>0.114567006975394</v>
      </c>
    </row>
  </sheetData>
  <conditionalFormatting sqref="C35">
    <cfRule type="expression" dxfId="9" priority="9">
      <formula>"bw57=""ADC"""</formula>
    </cfRule>
  </conditionalFormatting>
  <conditionalFormatting sqref="C35">
    <cfRule type="expression" dxfId="8" priority="10">
      <formula>$DC$40="ADC"</formula>
    </cfRule>
  </conditionalFormatting>
  <conditionalFormatting sqref="C36">
    <cfRule type="expression" dxfId="7" priority="7">
      <formula>"bw57=""ADC"""</formula>
    </cfRule>
  </conditionalFormatting>
  <conditionalFormatting sqref="C36">
    <cfRule type="expression" dxfId="6" priority="8">
      <formula>$DC$40="ADC"</formula>
    </cfRule>
  </conditionalFormatting>
  <conditionalFormatting sqref="C38">
    <cfRule type="expression" dxfId="5" priority="5">
      <formula>"bw57=""ADC"""</formula>
    </cfRule>
  </conditionalFormatting>
  <conditionalFormatting sqref="C38">
    <cfRule type="expression" dxfId="4" priority="6">
      <formula>$DC$40="ADC"</formula>
    </cfRule>
  </conditionalFormatting>
  <conditionalFormatting sqref="C39">
    <cfRule type="expression" dxfId="3" priority="3">
      <formula>"bw57=""ADC"""</formula>
    </cfRule>
  </conditionalFormatting>
  <conditionalFormatting sqref="C39">
    <cfRule type="expression" dxfId="2" priority="4">
      <formula>$DC$40="ADC"</formula>
    </cfRule>
  </conditionalFormatting>
  <conditionalFormatting sqref="C37">
    <cfRule type="expression" dxfId="1" priority="1">
      <formula>"bw57=""ADC"""</formula>
    </cfRule>
  </conditionalFormatting>
  <conditionalFormatting sqref="C37">
    <cfRule type="expression" dxfId="0" priority="2">
      <formula>$DC$40="ADC"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48.6640625" bestFit="1" customWidth="1"/>
    <col min="2" max="2" width="33.6640625" customWidth="1"/>
    <col min="3" max="3" width="12.5" bestFit="1" customWidth="1"/>
  </cols>
  <sheetData>
    <row r="1" spans="1:3" x14ac:dyDescent="0.2">
      <c r="A1" s="26" t="s">
        <v>3</v>
      </c>
    </row>
    <row r="2" spans="1:3" x14ac:dyDescent="0.2">
      <c r="A2" t="s">
        <v>92</v>
      </c>
      <c r="B2" t="s">
        <v>199</v>
      </c>
      <c r="C2" t="s">
        <v>198</v>
      </c>
    </row>
    <row r="3" spans="1:3" x14ac:dyDescent="0.2">
      <c r="A3" t="s">
        <v>97</v>
      </c>
      <c r="B3" t="s">
        <v>119</v>
      </c>
      <c r="C3" t="s">
        <v>114</v>
      </c>
    </row>
    <row r="4" spans="1:3" x14ac:dyDescent="0.2">
      <c r="A4" t="s">
        <v>228</v>
      </c>
      <c r="B4" t="s">
        <v>232</v>
      </c>
      <c r="C4" t="s">
        <v>10</v>
      </c>
    </row>
    <row r="5" spans="1:3" x14ac:dyDescent="0.2">
      <c r="A5" t="s">
        <v>229</v>
      </c>
      <c r="B5" t="s">
        <v>234</v>
      </c>
      <c r="C5" t="s">
        <v>10</v>
      </c>
    </row>
    <row r="6" spans="1:3" x14ac:dyDescent="0.2">
      <c r="A6" t="s">
        <v>230</v>
      </c>
      <c r="B6" t="s">
        <v>233</v>
      </c>
      <c r="C6" t="s">
        <v>10</v>
      </c>
    </row>
    <row r="7" spans="1:3" x14ac:dyDescent="0.2">
      <c r="A7" t="s">
        <v>231</v>
      </c>
      <c r="B7" t="s">
        <v>235</v>
      </c>
      <c r="C7" t="s">
        <v>10</v>
      </c>
    </row>
    <row r="8" spans="1:3" x14ac:dyDescent="0.2">
      <c r="A8" t="s">
        <v>100</v>
      </c>
      <c r="B8" t="s">
        <v>101</v>
      </c>
      <c r="C8" t="s">
        <v>10</v>
      </c>
    </row>
    <row r="9" spans="1:3" x14ac:dyDescent="0.2">
      <c r="A9" t="s">
        <v>1</v>
      </c>
      <c r="B9" t="s">
        <v>60</v>
      </c>
      <c r="C9" t="s">
        <v>2</v>
      </c>
    </row>
    <row r="10" spans="1:3" x14ac:dyDescent="0.2">
      <c r="A10" s="26" t="s">
        <v>7</v>
      </c>
    </row>
    <row r="11" spans="1:3" x14ac:dyDescent="0.2">
      <c r="A11" t="s">
        <v>8</v>
      </c>
      <c r="B11" t="s">
        <v>66</v>
      </c>
      <c r="C11" t="s">
        <v>9</v>
      </c>
    </row>
    <row r="12" spans="1:3" x14ac:dyDescent="0.2">
      <c r="A12" t="s">
        <v>122</v>
      </c>
      <c r="B12" t="s">
        <v>67</v>
      </c>
      <c r="C12" t="s">
        <v>117</v>
      </c>
    </row>
    <row r="13" spans="1:3" x14ac:dyDescent="0.2">
      <c r="A13" s="66" t="s">
        <v>269</v>
      </c>
      <c r="B13" t="s">
        <v>272</v>
      </c>
      <c r="C13" t="s">
        <v>276</v>
      </c>
    </row>
    <row r="14" spans="1:3" x14ac:dyDescent="0.2">
      <c r="A14" s="66" t="s">
        <v>270</v>
      </c>
      <c r="B14" t="s">
        <v>275</v>
      </c>
      <c r="C14" t="s">
        <v>276</v>
      </c>
    </row>
    <row r="15" spans="1:3" x14ac:dyDescent="0.2">
      <c r="A15" t="s">
        <v>252</v>
      </c>
      <c r="B15" t="s">
        <v>253</v>
      </c>
      <c r="C15" t="s">
        <v>113</v>
      </c>
    </row>
    <row r="16" spans="1:3" x14ac:dyDescent="0.2">
      <c r="A16" s="26" t="s">
        <v>35</v>
      </c>
    </row>
    <row r="17" spans="1:3" x14ac:dyDescent="0.2">
      <c r="A17" t="s">
        <v>37</v>
      </c>
      <c r="B17" t="s">
        <v>72</v>
      </c>
      <c r="C17" t="s">
        <v>39</v>
      </c>
    </row>
    <row r="18" spans="1:3" x14ac:dyDescent="0.2">
      <c r="A18" t="s">
        <v>36</v>
      </c>
      <c r="B18" t="s">
        <v>73</v>
      </c>
      <c r="C18" t="s">
        <v>40</v>
      </c>
    </row>
    <row r="19" spans="1:3" x14ac:dyDescent="0.2">
      <c r="A19" t="s">
        <v>38</v>
      </c>
      <c r="B19" t="s">
        <v>76</v>
      </c>
      <c r="C19" t="s">
        <v>29</v>
      </c>
    </row>
    <row r="20" spans="1:3" x14ac:dyDescent="0.2">
      <c r="A20" t="s">
        <v>44</v>
      </c>
      <c r="B20" t="s">
        <v>74</v>
      </c>
      <c r="C20" t="s">
        <v>45</v>
      </c>
    </row>
    <row r="21" spans="1:3" x14ac:dyDescent="0.2">
      <c r="A21" t="s">
        <v>42</v>
      </c>
      <c r="B21" t="s">
        <v>75</v>
      </c>
      <c r="C21" t="s">
        <v>41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100-000000000000}">
          <x14:formula1>
            <xm:f>'List Box'!$A$2:$A$11</xm:f>
          </x14:formula1>
          <xm:sqref>C19</xm:sqref>
        </x14:dataValidation>
        <x14:dataValidation type="list" allowBlank="1" showInputMessage="1" showErrorMessage="1" xr:uid="{00000000-0002-0000-0100-000001000000}">
          <x14:formula1>
            <xm:f>'List Box'!$I$2:$I$3</xm:f>
          </x14:formula1>
          <xm:sqref>C20</xm:sqref>
        </x14:dataValidation>
        <x14:dataValidation type="list" allowBlank="1" showInputMessage="1" showErrorMessage="1" xr:uid="{00000000-0002-0000-0100-000002000000}">
          <x14:formula1>
            <xm:f>'List Box'!$G$2:$G$3</xm:f>
          </x14:formula1>
          <xm:sqref>C21</xm:sqref>
        </x14:dataValidation>
        <x14:dataValidation type="list" allowBlank="1" showInputMessage="1" showErrorMessage="1" xr:uid="{00000000-0002-0000-0100-000003000000}">
          <x14:formula1>
            <xm:f>'List Box'!$M$2:$M$3</xm:f>
          </x14:formula1>
          <xm:sqref>C17</xm:sqref>
        </x14:dataValidation>
        <x14:dataValidation type="list" allowBlank="1" showInputMessage="1" showErrorMessage="1" xr:uid="{00000000-0002-0000-0100-000004000000}">
          <x14:formula1>
            <xm:f>'List Box'!$C$2:$C$3</xm:f>
          </x14:formula1>
          <xm:sqref>C9</xm:sqref>
        </x14:dataValidation>
        <x14:dataValidation type="list" allowBlank="1" showInputMessage="1" showErrorMessage="1" xr:uid="{00000000-0002-0000-0100-000005000000}">
          <x14:formula1>
            <xm:f>'List Box'!$C$5:$C$6</xm:f>
          </x14:formula1>
          <xm:sqref>C11</xm:sqref>
        </x14:dataValidation>
        <x14:dataValidation type="list" allowBlank="1" showInputMessage="1" showErrorMessage="1" xr:uid="{00000000-0002-0000-0100-000006000000}">
          <x14:formula1>
            <xm:f>'List Box'!$I$7:$I$8</xm:f>
          </x14:formula1>
          <xm:sqref>C18</xm:sqref>
        </x14:dataValidation>
        <x14:dataValidation type="list" allowBlank="1" showInputMessage="1" showErrorMessage="1" xr:uid="{00000000-0002-0000-0100-000007000000}">
          <x14:formula1>
            <xm:f>'List Box'!$C$11:$C$12</xm:f>
          </x14:formula1>
          <xm:sqref>C2</xm:sqref>
        </x14:dataValidation>
        <x14:dataValidation type="list" allowBlank="1" showInputMessage="1" showErrorMessage="1" xr:uid="{00000000-0002-0000-0100-000008000000}">
          <x14:formula1>
            <xm:f>'List Box'!$G$11:$G$13</xm:f>
          </x14:formula1>
          <xm:sqref>C3</xm:sqref>
        </x14:dataValidation>
        <x14:dataValidation type="list" allowBlank="1" showInputMessage="1" showErrorMessage="1" xr:uid="{00000000-0002-0000-0100-000009000000}">
          <x14:formula1>
            <xm:f>'List Box'!$E$11:$E$12</xm:f>
          </x14:formula1>
          <xm:sqref>C4:C8</xm:sqref>
        </x14:dataValidation>
        <x14:dataValidation type="list" allowBlank="1" showInputMessage="1" showErrorMessage="1" xr:uid="{00000000-0002-0000-0100-00000A000000}">
          <x14:formula1>
            <xm:f>'List Box'!$C$14:$C$15</xm:f>
          </x14:formula1>
          <xm:sqref>C12</xm:sqref>
        </x14:dataValidation>
        <x14:dataValidation type="list" allowBlank="1" showInputMessage="1" showErrorMessage="1" xr:uid="{DB6D114C-0EB3-46F2-A7E6-36DEF66210D3}">
          <x14:formula1>
            <xm:f>'List Box'!$E$8:$E$9</xm:f>
          </x14:formula1>
          <xm:sqref>C15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6"/>
  <sheetViews>
    <sheetView workbookViewId="0">
      <selection activeCell="C13" sqref="C13"/>
    </sheetView>
  </sheetViews>
  <sheetFormatPr baseColWidth="10" defaultColWidth="8.83203125" defaultRowHeight="15" x14ac:dyDescent="0.2"/>
  <cols>
    <col min="1" max="1" width="17.5" bestFit="1" customWidth="1"/>
    <col min="3" max="3" width="13.5" bestFit="1" customWidth="1"/>
    <col min="7" max="7" width="17.5" bestFit="1" customWidth="1"/>
  </cols>
  <sheetData>
    <row r="2" spans="1:13" x14ac:dyDescent="0.2">
      <c r="A2" s="22" t="s">
        <v>28</v>
      </c>
      <c r="B2" s="22"/>
      <c r="C2" t="s">
        <v>2</v>
      </c>
      <c r="E2" t="s">
        <v>49</v>
      </c>
      <c r="G2" t="s">
        <v>41</v>
      </c>
      <c r="I2" t="s">
        <v>50</v>
      </c>
      <c r="K2" s="11" t="s">
        <v>51</v>
      </c>
      <c r="M2" s="22" t="s">
        <v>39</v>
      </c>
    </row>
    <row r="3" spans="1:13" x14ac:dyDescent="0.2">
      <c r="A3" s="22" t="s">
        <v>29</v>
      </c>
      <c r="B3" s="22"/>
      <c r="C3" t="s">
        <v>46</v>
      </c>
      <c r="E3" t="s">
        <v>10</v>
      </c>
      <c r="G3" t="s">
        <v>45</v>
      </c>
      <c r="I3" t="s">
        <v>45</v>
      </c>
      <c r="K3" s="11" t="s">
        <v>52</v>
      </c>
      <c r="M3" s="23" t="s">
        <v>53</v>
      </c>
    </row>
    <row r="4" spans="1:13" x14ac:dyDescent="0.2">
      <c r="A4" s="22" t="s">
        <v>26</v>
      </c>
      <c r="B4" s="22"/>
      <c r="G4" s="22"/>
      <c r="I4" s="22"/>
      <c r="K4" s="22"/>
      <c r="L4" s="22"/>
    </row>
    <row r="5" spans="1:13" x14ac:dyDescent="0.2">
      <c r="A5" s="22" t="s">
        <v>27</v>
      </c>
      <c r="B5" s="22"/>
      <c r="C5" s="21" t="s">
        <v>47</v>
      </c>
      <c r="D5" s="20"/>
      <c r="E5" s="20" t="s">
        <v>48</v>
      </c>
      <c r="G5" s="22"/>
      <c r="I5" s="22"/>
      <c r="K5" s="11" t="s">
        <v>51</v>
      </c>
      <c r="L5" s="22"/>
    </row>
    <row r="6" spans="1:13" x14ac:dyDescent="0.2">
      <c r="A6" s="22" t="s">
        <v>30</v>
      </c>
      <c r="B6" s="22"/>
      <c r="C6" s="21" t="s">
        <v>9</v>
      </c>
      <c r="D6" s="20"/>
      <c r="E6" s="20" t="s">
        <v>11</v>
      </c>
      <c r="G6" s="22"/>
      <c r="I6" s="22"/>
      <c r="K6" s="11" t="s">
        <v>54</v>
      </c>
      <c r="L6" s="22"/>
    </row>
    <row r="7" spans="1:13" x14ac:dyDescent="0.2">
      <c r="A7" s="22" t="s">
        <v>31</v>
      </c>
      <c r="B7" s="22"/>
      <c r="C7" s="21"/>
      <c r="D7" s="20"/>
      <c r="E7" s="20"/>
      <c r="G7" s="22" t="s">
        <v>49</v>
      </c>
      <c r="I7" s="22" t="s">
        <v>40</v>
      </c>
      <c r="K7" s="22"/>
      <c r="L7" s="22"/>
    </row>
    <row r="8" spans="1:13" x14ac:dyDescent="0.2">
      <c r="A8" s="22" t="s">
        <v>55</v>
      </c>
      <c r="B8" s="22"/>
      <c r="C8" s="2" t="s">
        <v>111</v>
      </c>
      <c r="D8" s="20"/>
      <c r="E8" s="32" t="s">
        <v>113</v>
      </c>
      <c r="G8" s="22" t="s">
        <v>10</v>
      </c>
      <c r="I8" s="22" t="s">
        <v>56</v>
      </c>
      <c r="K8" s="22"/>
      <c r="L8" s="22"/>
    </row>
    <row r="9" spans="1:13" x14ac:dyDescent="0.2">
      <c r="A9" s="22" t="s">
        <v>32</v>
      </c>
      <c r="B9" s="22"/>
      <c r="C9" s="31" t="s">
        <v>112</v>
      </c>
      <c r="D9" s="20"/>
      <c r="E9" s="31" t="s">
        <v>11</v>
      </c>
      <c r="I9" s="22"/>
      <c r="K9" s="22"/>
      <c r="L9" s="22"/>
    </row>
    <row r="10" spans="1:13" x14ac:dyDescent="0.2">
      <c r="A10" s="22" t="s">
        <v>33</v>
      </c>
      <c r="B10" s="22"/>
      <c r="I10" s="22"/>
      <c r="K10" s="22"/>
      <c r="L10" s="22"/>
    </row>
    <row r="11" spans="1:13" x14ac:dyDescent="0.2">
      <c r="A11" s="22" t="s">
        <v>34</v>
      </c>
      <c r="B11" s="22"/>
      <c r="C11" s="31" t="s">
        <v>193</v>
      </c>
      <c r="E11" s="31" t="s">
        <v>49</v>
      </c>
      <c r="G11" s="31" t="s">
        <v>114</v>
      </c>
      <c r="I11" s="22"/>
      <c r="K11" s="22"/>
      <c r="L11" s="22"/>
    </row>
    <row r="12" spans="1:13" x14ac:dyDescent="0.2">
      <c r="C12" s="31" t="s">
        <v>198</v>
      </c>
      <c r="E12" s="31" t="s">
        <v>10</v>
      </c>
      <c r="G12" s="31" t="s">
        <v>115</v>
      </c>
      <c r="I12" s="22"/>
      <c r="K12" s="22"/>
      <c r="L12" s="22"/>
    </row>
    <row r="13" spans="1:13" x14ac:dyDescent="0.2">
      <c r="G13" s="31" t="s">
        <v>116</v>
      </c>
      <c r="I13" s="22"/>
      <c r="K13" s="22"/>
      <c r="L13" s="22"/>
    </row>
    <row r="14" spans="1:13" x14ac:dyDescent="0.2">
      <c r="C14" s="31" t="s">
        <v>117</v>
      </c>
      <c r="I14" s="22"/>
      <c r="K14" s="22"/>
      <c r="L14" s="22"/>
    </row>
    <row r="15" spans="1:13" x14ac:dyDescent="0.2">
      <c r="C15" s="31" t="s">
        <v>118</v>
      </c>
      <c r="L15" s="22"/>
    </row>
    <row r="16" spans="1:13" x14ac:dyDescent="0.2">
      <c r="L16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2"/>
  <sheetViews>
    <sheetView workbookViewId="0">
      <selection activeCell="A2" sqref="A2:A62"/>
    </sheetView>
  </sheetViews>
  <sheetFormatPr baseColWidth="10" defaultColWidth="8.83203125" defaultRowHeight="15" x14ac:dyDescent="0.2"/>
  <sheetData>
    <row r="1" spans="1:2" x14ac:dyDescent="0.2">
      <c r="A1" t="s">
        <v>15</v>
      </c>
      <c r="B1" t="s">
        <v>91</v>
      </c>
    </row>
    <row r="2" spans="1:2" x14ac:dyDescent="0.2">
      <c r="A2">
        <v>2021</v>
      </c>
      <c r="B2">
        <v>20</v>
      </c>
    </row>
    <row r="3" spans="1:2" x14ac:dyDescent="0.2">
      <c r="A3">
        <v>2022</v>
      </c>
      <c r="B3">
        <v>20</v>
      </c>
    </row>
    <row r="4" spans="1:2" x14ac:dyDescent="0.2">
      <c r="A4">
        <v>2023</v>
      </c>
      <c r="B4">
        <v>20</v>
      </c>
    </row>
    <row r="5" spans="1:2" x14ac:dyDescent="0.2">
      <c r="A5">
        <v>2024</v>
      </c>
      <c r="B5">
        <v>20</v>
      </c>
    </row>
    <row r="6" spans="1:2" x14ac:dyDescent="0.2">
      <c r="A6">
        <v>2025</v>
      </c>
      <c r="B6">
        <v>20</v>
      </c>
    </row>
    <row r="7" spans="1:2" x14ac:dyDescent="0.2">
      <c r="A7">
        <v>2026</v>
      </c>
      <c r="B7">
        <v>20</v>
      </c>
    </row>
    <row r="8" spans="1:2" x14ac:dyDescent="0.2">
      <c r="A8">
        <v>2027</v>
      </c>
      <c r="B8">
        <v>20</v>
      </c>
    </row>
    <row r="9" spans="1:2" x14ac:dyDescent="0.2">
      <c r="A9">
        <v>2028</v>
      </c>
      <c r="B9">
        <v>20</v>
      </c>
    </row>
    <row r="10" spans="1:2" x14ac:dyDescent="0.2">
      <c r="A10">
        <v>2029</v>
      </c>
      <c r="B10">
        <v>20</v>
      </c>
    </row>
    <row r="11" spans="1:2" x14ac:dyDescent="0.2">
      <c r="A11">
        <v>2030</v>
      </c>
      <c r="B11">
        <v>20</v>
      </c>
    </row>
    <row r="12" spans="1:2" x14ac:dyDescent="0.2">
      <c r="A12">
        <v>2031</v>
      </c>
      <c r="B12">
        <v>20</v>
      </c>
    </row>
    <row r="13" spans="1:2" x14ac:dyDescent="0.2">
      <c r="A13">
        <v>2032</v>
      </c>
      <c r="B13">
        <v>20</v>
      </c>
    </row>
    <row r="14" spans="1:2" x14ac:dyDescent="0.2">
      <c r="A14">
        <v>2033</v>
      </c>
      <c r="B14">
        <v>20</v>
      </c>
    </row>
    <row r="15" spans="1:2" x14ac:dyDescent="0.2">
      <c r="A15">
        <v>2034</v>
      </c>
      <c r="B15">
        <v>20</v>
      </c>
    </row>
    <row r="16" spans="1:2" x14ac:dyDescent="0.2">
      <c r="A16">
        <v>2035</v>
      </c>
      <c r="B16">
        <v>20</v>
      </c>
    </row>
    <row r="17" spans="1:2" x14ac:dyDescent="0.2">
      <c r="A17">
        <v>2036</v>
      </c>
      <c r="B17">
        <v>20</v>
      </c>
    </row>
    <row r="18" spans="1:2" x14ac:dyDescent="0.2">
      <c r="A18">
        <v>2037</v>
      </c>
      <c r="B18">
        <v>20</v>
      </c>
    </row>
    <row r="19" spans="1:2" x14ac:dyDescent="0.2">
      <c r="A19">
        <v>2038</v>
      </c>
      <c r="B19">
        <v>20</v>
      </c>
    </row>
    <row r="20" spans="1:2" x14ac:dyDescent="0.2">
      <c r="A20">
        <v>2039</v>
      </c>
      <c r="B20">
        <v>20</v>
      </c>
    </row>
    <row r="21" spans="1:2" x14ac:dyDescent="0.2">
      <c r="A21">
        <v>2040</v>
      </c>
      <c r="B21">
        <v>20</v>
      </c>
    </row>
    <row r="22" spans="1:2" x14ac:dyDescent="0.2">
      <c r="A22">
        <v>2041</v>
      </c>
      <c r="B22">
        <v>20</v>
      </c>
    </row>
    <row r="23" spans="1:2" x14ac:dyDescent="0.2">
      <c r="A23">
        <v>2042</v>
      </c>
      <c r="B23">
        <v>20</v>
      </c>
    </row>
    <row r="24" spans="1:2" x14ac:dyDescent="0.2">
      <c r="A24">
        <v>2043</v>
      </c>
      <c r="B24">
        <v>20</v>
      </c>
    </row>
    <row r="25" spans="1:2" x14ac:dyDescent="0.2">
      <c r="A25">
        <v>2044</v>
      </c>
      <c r="B25">
        <v>20</v>
      </c>
    </row>
    <row r="26" spans="1:2" x14ac:dyDescent="0.2">
      <c r="A26">
        <v>2045</v>
      </c>
      <c r="B26">
        <v>20</v>
      </c>
    </row>
    <row r="27" spans="1:2" x14ac:dyDescent="0.2">
      <c r="A27">
        <v>2046</v>
      </c>
      <c r="B27">
        <v>20</v>
      </c>
    </row>
    <row r="28" spans="1:2" x14ac:dyDescent="0.2">
      <c r="A28">
        <v>2047</v>
      </c>
      <c r="B28">
        <v>20</v>
      </c>
    </row>
    <row r="29" spans="1:2" x14ac:dyDescent="0.2">
      <c r="A29">
        <v>2048</v>
      </c>
      <c r="B29">
        <v>20</v>
      </c>
    </row>
    <row r="30" spans="1:2" x14ac:dyDescent="0.2">
      <c r="A30">
        <v>2049</v>
      </c>
      <c r="B30">
        <v>20</v>
      </c>
    </row>
    <row r="31" spans="1:2" x14ac:dyDescent="0.2">
      <c r="A31">
        <v>2050</v>
      </c>
      <c r="B31">
        <v>20</v>
      </c>
    </row>
    <row r="32" spans="1:2" x14ac:dyDescent="0.2">
      <c r="A32">
        <v>2051</v>
      </c>
      <c r="B32">
        <v>20</v>
      </c>
    </row>
    <row r="33" spans="1:2" x14ac:dyDescent="0.2">
      <c r="A33">
        <v>2052</v>
      </c>
      <c r="B33">
        <v>20</v>
      </c>
    </row>
    <row r="34" spans="1:2" x14ac:dyDescent="0.2">
      <c r="A34">
        <v>2053</v>
      </c>
      <c r="B34">
        <v>20</v>
      </c>
    </row>
    <row r="35" spans="1:2" x14ac:dyDescent="0.2">
      <c r="A35">
        <v>2054</v>
      </c>
      <c r="B35">
        <v>20</v>
      </c>
    </row>
    <row r="36" spans="1:2" x14ac:dyDescent="0.2">
      <c r="A36">
        <v>2055</v>
      </c>
      <c r="B36">
        <v>20</v>
      </c>
    </row>
    <row r="37" spans="1:2" x14ac:dyDescent="0.2">
      <c r="A37">
        <v>2056</v>
      </c>
      <c r="B37">
        <v>20</v>
      </c>
    </row>
    <row r="38" spans="1:2" x14ac:dyDescent="0.2">
      <c r="A38">
        <v>2057</v>
      </c>
      <c r="B38">
        <v>20</v>
      </c>
    </row>
    <row r="39" spans="1:2" x14ac:dyDescent="0.2">
      <c r="A39">
        <v>2058</v>
      </c>
      <c r="B39">
        <v>20</v>
      </c>
    </row>
    <row r="40" spans="1:2" x14ac:dyDescent="0.2">
      <c r="A40">
        <v>2059</v>
      </c>
      <c r="B40">
        <v>20</v>
      </c>
    </row>
    <row r="41" spans="1:2" x14ac:dyDescent="0.2">
      <c r="A41">
        <v>2060</v>
      </c>
      <c r="B41">
        <v>20</v>
      </c>
    </row>
    <row r="42" spans="1:2" x14ac:dyDescent="0.2">
      <c r="A42">
        <v>2061</v>
      </c>
      <c r="B42">
        <v>20</v>
      </c>
    </row>
    <row r="43" spans="1:2" x14ac:dyDescent="0.2">
      <c r="A43">
        <v>2062</v>
      </c>
      <c r="B43">
        <v>20</v>
      </c>
    </row>
    <row r="44" spans="1:2" x14ac:dyDescent="0.2">
      <c r="A44">
        <v>2063</v>
      </c>
      <c r="B44">
        <v>20</v>
      </c>
    </row>
    <row r="45" spans="1:2" x14ac:dyDescent="0.2">
      <c r="A45">
        <v>2064</v>
      </c>
      <c r="B45">
        <v>20</v>
      </c>
    </row>
    <row r="46" spans="1:2" x14ac:dyDescent="0.2">
      <c r="A46">
        <v>2065</v>
      </c>
      <c r="B46">
        <v>20</v>
      </c>
    </row>
    <row r="47" spans="1:2" x14ac:dyDescent="0.2">
      <c r="A47">
        <v>2066</v>
      </c>
      <c r="B47">
        <v>20</v>
      </c>
    </row>
    <row r="48" spans="1:2" x14ac:dyDescent="0.2">
      <c r="A48">
        <v>2067</v>
      </c>
      <c r="B48">
        <v>20</v>
      </c>
    </row>
    <row r="49" spans="1:2" x14ac:dyDescent="0.2">
      <c r="A49">
        <v>2068</v>
      </c>
      <c r="B49">
        <v>20</v>
      </c>
    </row>
    <row r="50" spans="1:2" x14ac:dyDescent="0.2">
      <c r="A50">
        <v>2069</v>
      </c>
      <c r="B50">
        <v>20</v>
      </c>
    </row>
    <row r="51" spans="1:2" x14ac:dyDescent="0.2">
      <c r="A51">
        <v>2070</v>
      </c>
      <c r="B51">
        <v>20</v>
      </c>
    </row>
    <row r="52" spans="1:2" x14ac:dyDescent="0.2">
      <c r="A52">
        <v>2071</v>
      </c>
      <c r="B52">
        <v>20</v>
      </c>
    </row>
    <row r="53" spans="1:2" x14ac:dyDescent="0.2">
      <c r="A53">
        <v>2072</v>
      </c>
      <c r="B53">
        <v>20</v>
      </c>
    </row>
    <row r="54" spans="1:2" x14ac:dyDescent="0.2">
      <c r="A54">
        <v>2073</v>
      </c>
      <c r="B54">
        <v>20</v>
      </c>
    </row>
    <row r="55" spans="1:2" x14ac:dyDescent="0.2">
      <c r="A55">
        <v>2074</v>
      </c>
      <c r="B55">
        <v>20</v>
      </c>
    </row>
    <row r="56" spans="1:2" x14ac:dyDescent="0.2">
      <c r="A56">
        <v>2075</v>
      </c>
      <c r="B56">
        <v>20</v>
      </c>
    </row>
    <row r="57" spans="1:2" x14ac:dyDescent="0.2">
      <c r="A57">
        <v>2076</v>
      </c>
      <c r="B57">
        <v>20</v>
      </c>
    </row>
    <row r="58" spans="1:2" x14ac:dyDescent="0.2">
      <c r="A58">
        <v>2077</v>
      </c>
      <c r="B58">
        <v>20</v>
      </c>
    </row>
    <row r="59" spans="1:2" x14ac:dyDescent="0.2">
      <c r="A59">
        <v>2078</v>
      </c>
      <c r="B59">
        <v>20</v>
      </c>
    </row>
    <row r="60" spans="1:2" x14ac:dyDescent="0.2">
      <c r="A60">
        <v>2079</v>
      </c>
      <c r="B60">
        <v>20</v>
      </c>
    </row>
    <row r="61" spans="1:2" x14ac:dyDescent="0.2">
      <c r="A61">
        <v>2080</v>
      </c>
      <c r="B61">
        <v>20</v>
      </c>
    </row>
    <row r="62" spans="1:2" x14ac:dyDescent="0.2">
      <c r="A62">
        <v>2081</v>
      </c>
      <c r="B62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2"/>
  <sheetViews>
    <sheetView workbookViewId="0">
      <selection activeCell="A3" sqref="A3"/>
    </sheetView>
  </sheetViews>
  <sheetFormatPr baseColWidth="10" defaultColWidth="8.83203125" defaultRowHeight="15" x14ac:dyDescent="0.2"/>
  <sheetData>
    <row r="1" spans="1:2" x14ac:dyDescent="0.2">
      <c r="A1" t="s">
        <v>15</v>
      </c>
      <c r="B1" t="s">
        <v>91</v>
      </c>
    </row>
    <row r="2" spans="1:2" x14ac:dyDescent="0.2">
      <c r="A2">
        <v>2021</v>
      </c>
      <c r="B2">
        <v>20</v>
      </c>
    </row>
    <row r="3" spans="1:2" x14ac:dyDescent="0.2">
      <c r="A3">
        <v>2022</v>
      </c>
      <c r="B3">
        <v>20</v>
      </c>
    </row>
    <row r="4" spans="1:2" x14ac:dyDescent="0.2">
      <c r="A4">
        <v>2023</v>
      </c>
      <c r="B4">
        <v>20</v>
      </c>
    </row>
    <row r="5" spans="1:2" x14ac:dyDescent="0.2">
      <c r="A5">
        <v>2024</v>
      </c>
      <c r="B5">
        <v>20</v>
      </c>
    </row>
    <row r="6" spans="1:2" x14ac:dyDescent="0.2">
      <c r="A6">
        <v>2025</v>
      </c>
      <c r="B6">
        <v>20</v>
      </c>
    </row>
    <row r="7" spans="1:2" x14ac:dyDescent="0.2">
      <c r="A7">
        <v>2026</v>
      </c>
      <c r="B7">
        <v>20</v>
      </c>
    </row>
    <row r="8" spans="1:2" x14ac:dyDescent="0.2">
      <c r="A8">
        <v>2027</v>
      </c>
      <c r="B8">
        <v>20</v>
      </c>
    </row>
    <row r="9" spans="1:2" x14ac:dyDescent="0.2">
      <c r="A9">
        <v>2028</v>
      </c>
      <c r="B9">
        <v>20</v>
      </c>
    </row>
    <row r="10" spans="1:2" x14ac:dyDescent="0.2">
      <c r="A10">
        <v>2029</v>
      </c>
      <c r="B10">
        <v>20</v>
      </c>
    </row>
    <row r="11" spans="1:2" x14ac:dyDescent="0.2">
      <c r="A11">
        <v>2030</v>
      </c>
      <c r="B11">
        <v>20</v>
      </c>
    </row>
    <row r="12" spans="1:2" x14ac:dyDescent="0.2">
      <c r="A12">
        <v>2031</v>
      </c>
      <c r="B12">
        <v>20</v>
      </c>
    </row>
    <row r="13" spans="1:2" x14ac:dyDescent="0.2">
      <c r="A13">
        <v>2032</v>
      </c>
      <c r="B13">
        <v>20</v>
      </c>
    </row>
    <row r="14" spans="1:2" x14ac:dyDescent="0.2">
      <c r="A14">
        <v>2033</v>
      </c>
      <c r="B14">
        <v>20</v>
      </c>
    </row>
    <row r="15" spans="1:2" x14ac:dyDescent="0.2">
      <c r="A15">
        <v>2034</v>
      </c>
      <c r="B15">
        <v>20</v>
      </c>
    </row>
    <row r="16" spans="1:2" x14ac:dyDescent="0.2">
      <c r="A16">
        <v>2035</v>
      </c>
      <c r="B16">
        <v>20</v>
      </c>
    </row>
    <row r="17" spans="1:2" x14ac:dyDescent="0.2">
      <c r="A17">
        <v>2036</v>
      </c>
      <c r="B17">
        <v>20</v>
      </c>
    </row>
    <row r="18" spans="1:2" x14ac:dyDescent="0.2">
      <c r="A18">
        <v>2037</v>
      </c>
      <c r="B18">
        <v>20</v>
      </c>
    </row>
    <row r="19" spans="1:2" x14ac:dyDescent="0.2">
      <c r="A19">
        <v>2038</v>
      </c>
      <c r="B19">
        <v>20</v>
      </c>
    </row>
    <row r="20" spans="1:2" x14ac:dyDescent="0.2">
      <c r="A20">
        <v>2039</v>
      </c>
      <c r="B20">
        <v>20</v>
      </c>
    </row>
    <row r="21" spans="1:2" x14ac:dyDescent="0.2">
      <c r="A21">
        <v>2040</v>
      </c>
      <c r="B21">
        <v>20</v>
      </c>
    </row>
    <row r="22" spans="1:2" x14ac:dyDescent="0.2">
      <c r="A22">
        <v>2041</v>
      </c>
      <c r="B22">
        <v>20</v>
      </c>
    </row>
    <row r="23" spans="1:2" x14ac:dyDescent="0.2">
      <c r="A23">
        <v>2042</v>
      </c>
      <c r="B23">
        <v>20</v>
      </c>
    </row>
    <row r="24" spans="1:2" x14ac:dyDescent="0.2">
      <c r="A24">
        <v>2043</v>
      </c>
      <c r="B24">
        <v>20</v>
      </c>
    </row>
    <row r="25" spans="1:2" x14ac:dyDescent="0.2">
      <c r="A25">
        <v>2044</v>
      </c>
      <c r="B25">
        <v>20</v>
      </c>
    </row>
    <row r="26" spans="1:2" x14ac:dyDescent="0.2">
      <c r="A26">
        <v>2045</v>
      </c>
      <c r="B26">
        <v>20</v>
      </c>
    </row>
    <row r="27" spans="1:2" x14ac:dyDescent="0.2">
      <c r="A27">
        <v>2046</v>
      </c>
      <c r="B27">
        <v>20</v>
      </c>
    </row>
    <row r="28" spans="1:2" x14ac:dyDescent="0.2">
      <c r="A28">
        <v>2047</v>
      </c>
      <c r="B28">
        <v>20</v>
      </c>
    </row>
    <row r="29" spans="1:2" x14ac:dyDescent="0.2">
      <c r="A29">
        <v>2048</v>
      </c>
      <c r="B29">
        <v>20</v>
      </c>
    </row>
    <row r="30" spans="1:2" x14ac:dyDescent="0.2">
      <c r="A30">
        <v>2049</v>
      </c>
      <c r="B30">
        <v>20</v>
      </c>
    </row>
    <row r="31" spans="1:2" x14ac:dyDescent="0.2">
      <c r="A31">
        <v>2050</v>
      </c>
      <c r="B31">
        <v>20</v>
      </c>
    </row>
    <row r="32" spans="1:2" x14ac:dyDescent="0.2">
      <c r="A32">
        <v>2051</v>
      </c>
      <c r="B32">
        <v>20</v>
      </c>
    </row>
    <row r="33" spans="1:2" x14ac:dyDescent="0.2">
      <c r="A33">
        <v>2052</v>
      </c>
      <c r="B33">
        <v>20</v>
      </c>
    </row>
    <row r="34" spans="1:2" x14ac:dyDescent="0.2">
      <c r="A34">
        <v>2053</v>
      </c>
      <c r="B34">
        <v>20</v>
      </c>
    </row>
    <row r="35" spans="1:2" x14ac:dyDescent="0.2">
      <c r="A35">
        <v>2054</v>
      </c>
      <c r="B35">
        <v>20</v>
      </c>
    </row>
    <row r="36" spans="1:2" x14ac:dyDescent="0.2">
      <c r="A36">
        <v>2055</v>
      </c>
      <c r="B36">
        <v>20</v>
      </c>
    </row>
    <row r="37" spans="1:2" x14ac:dyDescent="0.2">
      <c r="A37">
        <v>2056</v>
      </c>
      <c r="B37">
        <v>20</v>
      </c>
    </row>
    <row r="38" spans="1:2" x14ac:dyDescent="0.2">
      <c r="A38">
        <v>2057</v>
      </c>
      <c r="B38">
        <v>20</v>
      </c>
    </row>
    <row r="39" spans="1:2" x14ac:dyDescent="0.2">
      <c r="A39">
        <v>2058</v>
      </c>
      <c r="B39">
        <v>20</v>
      </c>
    </row>
    <row r="40" spans="1:2" x14ac:dyDescent="0.2">
      <c r="A40">
        <v>2059</v>
      </c>
      <c r="B40">
        <v>20</v>
      </c>
    </row>
    <row r="41" spans="1:2" x14ac:dyDescent="0.2">
      <c r="A41">
        <v>2060</v>
      </c>
      <c r="B41">
        <v>20</v>
      </c>
    </row>
    <row r="42" spans="1:2" x14ac:dyDescent="0.2">
      <c r="A42">
        <v>2061</v>
      </c>
      <c r="B42">
        <v>20</v>
      </c>
    </row>
    <row r="43" spans="1:2" x14ac:dyDescent="0.2">
      <c r="A43">
        <v>2062</v>
      </c>
      <c r="B43">
        <v>20</v>
      </c>
    </row>
    <row r="44" spans="1:2" x14ac:dyDescent="0.2">
      <c r="A44">
        <v>2063</v>
      </c>
      <c r="B44">
        <v>20</v>
      </c>
    </row>
    <row r="45" spans="1:2" x14ac:dyDescent="0.2">
      <c r="A45">
        <v>2064</v>
      </c>
      <c r="B45">
        <v>20</v>
      </c>
    </row>
    <row r="46" spans="1:2" x14ac:dyDescent="0.2">
      <c r="A46">
        <v>2065</v>
      </c>
      <c r="B46">
        <v>20</v>
      </c>
    </row>
    <row r="47" spans="1:2" x14ac:dyDescent="0.2">
      <c r="A47">
        <v>2066</v>
      </c>
      <c r="B47">
        <v>20</v>
      </c>
    </row>
    <row r="48" spans="1:2" x14ac:dyDescent="0.2">
      <c r="A48">
        <v>2067</v>
      </c>
      <c r="B48">
        <v>20</v>
      </c>
    </row>
    <row r="49" spans="1:2" x14ac:dyDescent="0.2">
      <c r="A49">
        <v>2068</v>
      </c>
      <c r="B49">
        <v>20</v>
      </c>
    </row>
    <row r="50" spans="1:2" x14ac:dyDescent="0.2">
      <c r="A50">
        <v>2069</v>
      </c>
      <c r="B50">
        <v>20</v>
      </c>
    </row>
    <row r="51" spans="1:2" x14ac:dyDescent="0.2">
      <c r="A51">
        <v>2070</v>
      </c>
      <c r="B51">
        <v>20</v>
      </c>
    </row>
    <row r="52" spans="1:2" x14ac:dyDescent="0.2">
      <c r="A52">
        <v>2071</v>
      </c>
      <c r="B52">
        <v>20</v>
      </c>
    </row>
    <row r="53" spans="1:2" x14ac:dyDescent="0.2">
      <c r="A53">
        <v>2072</v>
      </c>
      <c r="B53">
        <v>20</v>
      </c>
    </row>
    <row r="54" spans="1:2" x14ac:dyDescent="0.2">
      <c r="A54">
        <v>2073</v>
      </c>
      <c r="B54">
        <v>20</v>
      </c>
    </row>
    <row r="55" spans="1:2" x14ac:dyDescent="0.2">
      <c r="A55">
        <v>2074</v>
      </c>
      <c r="B55">
        <v>20</v>
      </c>
    </row>
    <row r="56" spans="1:2" x14ac:dyDescent="0.2">
      <c r="A56">
        <v>2075</v>
      </c>
      <c r="B56">
        <v>20</v>
      </c>
    </row>
    <row r="57" spans="1:2" x14ac:dyDescent="0.2">
      <c r="A57">
        <v>2076</v>
      </c>
      <c r="B57">
        <v>20</v>
      </c>
    </row>
    <row r="58" spans="1:2" x14ac:dyDescent="0.2">
      <c r="A58">
        <v>2077</v>
      </c>
      <c r="B58">
        <v>20</v>
      </c>
    </row>
    <row r="59" spans="1:2" x14ac:dyDescent="0.2">
      <c r="A59">
        <v>2078</v>
      </c>
      <c r="B59">
        <v>20</v>
      </c>
    </row>
    <row r="60" spans="1:2" x14ac:dyDescent="0.2">
      <c r="A60">
        <v>2079</v>
      </c>
      <c r="B60">
        <v>20</v>
      </c>
    </row>
    <row r="61" spans="1:2" x14ac:dyDescent="0.2">
      <c r="A61">
        <v>2080</v>
      </c>
      <c r="B61">
        <v>20</v>
      </c>
    </row>
    <row r="62" spans="1:2" x14ac:dyDescent="0.2">
      <c r="A62">
        <v>2081</v>
      </c>
      <c r="B62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0"/>
  <sheetViews>
    <sheetView workbookViewId="0">
      <selection activeCell="E10" sqref="E10"/>
    </sheetView>
  </sheetViews>
  <sheetFormatPr baseColWidth="10" defaultColWidth="8.83203125" defaultRowHeight="15" x14ac:dyDescent="0.2"/>
  <cols>
    <col min="2" max="2" width="12.5" customWidth="1"/>
    <col min="3" max="3" width="20.5" customWidth="1"/>
    <col min="4" max="4" width="19" customWidth="1"/>
    <col min="5" max="5" width="14" customWidth="1"/>
    <col min="9" max="9" width="20.1640625" bestFit="1" customWidth="1"/>
  </cols>
  <sheetData>
    <row r="1" spans="1:5" x14ac:dyDescent="0.2">
      <c r="A1" t="s">
        <v>43</v>
      </c>
      <c r="B1" s="12" t="s">
        <v>29</v>
      </c>
      <c r="C1" s="13" t="s">
        <v>30</v>
      </c>
      <c r="D1" s="13" t="s">
        <v>31</v>
      </c>
      <c r="E1" s="14" t="s">
        <v>34</v>
      </c>
    </row>
    <row r="2" spans="1:5" x14ac:dyDescent="0.2">
      <c r="A2">
        <v>2022</v>
      </c>
      <c r="B2" s="15">
        <v>7.0000000000000007E-2</v>
      </c>
      <c r="C2" s="16">
        <v>-0.24</v>
      </c>
      <c r="D2" s="16">
        <v>-0.24</v>
      </c>
      <c r="E2" s="17">
        <v>0.06</v>
      </c>
    </row>
    <row r="3" spans="1:5" x14ac:dyDescent="0.2">
      <c r="A3">
        <v>2023</v>
      </c>
      <c r="B3" s="15">
        <v>7.0000000000000007E-2</v>
      </c>
      <c r="C3" s="18">
        <v>0.11</v>
      </c>
      <c r="D3" s="18">
        <v>0.11</v>
      </c>
      <c r="E3" s="17">
        <v>0.06</v>
      </c>
    </row>
    <row r="4" spans="1:5" x14ac:dyDescent="0.2">
      <c r="A4">
        <v>2024</v>
      </c>
      <c r="B4" s="15">
        <v>7.0000000000000007E-2</v>
      </c>
      <c r="C4" s="18">
        <v>0.11</v>
      </c>
      <c r="D4" s="18">
        <v>0.11</v>
      </c>
      <c r="E4" s="17">
        <v>0.06</v>
      </c>
    </row>
    <row r="5" spans="1:5" x14ac:dyDescent="0.2">
      <c r="A5">
        <v>2025</v>
      </c>
      <c r="B5" s="15">
        <v>7.0000000000000007E-2</v>
      </c>
      <c r="C5" s="18">
        <v>0.11</v>
      </c>
      <c r="D5" s="18">
        <v>0.11</v>
      </c>
      <c r="E5" s="17">
        <v>0.06</v>
      </c>
    </row>
    <row r="6" spans="1:5" x14ac:dyDescent="0.2">
      <c r="A6">
        <v>2026</v>
      </c>
      <c r="B6" s="15">
        <v>7.0000000000000007E-2</v>
      </c>
      <c r="C6" s="19">
        <v>0.06</v>
      </c>
      <c r="D6" s="19">
        <v>0.06</v>
      </c>
      <c r="E6" s="17">
        <v>0.06</v>
      </c>
    </row>
    <row r="7" spans="1:5" x14ac:dyDescent="0.2">
      <c r="A7">
        <v>2027</v>
      </c>
      <c r="B7" s="15">
        <v>7.0000000000000007E-2</v>
      </c>
      <c r="C7" s="19">
        <v>0.06</v>
      </c>
      <c r="D7" s="19">
        <v>0.06</v>
      </c>
      <c r="E7" s="17">
        <v>0.06</v>
      </c>
    </row>
    <row r="8" spans="1:5" x14ac:dyDescent="0.2">
      <c r="A8">
        <v>2028</v>
      </c>
      <c r="B8" s="15">
        <v>7.0000000000000007E-2</v>
      </c>
      <c r="C8" s="19">
        <v>0.06</v>
      </c>
      <c r="D8" s="19">
        <v>0.06</v>
      </c>
      <c r="E8" s="17">
        <v>0.06</v>
      </c>
    </row>
    <row r="9" spans="1:5" x14ac:dyDescent="0.2">
      <c r="A9">
        <v>2029</v>
      </c>
      <c r="B9" s="15">
        <v>7.0000000000000007E-2</v>
      </c>
      <c r="C9" s="19">
        <v>0.06</v>
      </c>
      <c r="D9" s="19">
        <v>0.06</v>
      </c>
      <c r="E9" s="17">
        <v>0.06</v>
      </c>
    </row>
    <row r="10" spans="1:5" x14ac:dyDescent="0.2">
      <c r="A10">
        <v>2030</v>
      </c>
      <c r="B10" s="15">
        <v>7.0000000000000007E-2</v>
      </c>
      <c r="C10" s="19">
        <v>0.06</v>
      </c>
      <c r="D10" s="19">
        <v>0.06</v>
      </c>
      <c r="E10" s="17">
        <v>0.06</v>
      </c>
    </row>
    <row r="11" spans="1:5" x14ac:dyDescent="0.2">
      <c r="A11">
        <v>2031</v>
      </c>
      <c r="B11" s="15">
        <v>7.0000000000000007E-2</v>
      </c>
      <c r="C11" s="19">
        <v>0.06</v>
      </c>
      <c r="D11" s="19">
        <v>0.06</v>
      </c>
      <c r="E11" s="17">
        <v>0.06</v>
      </c>
    </row>
    <row r="12" spans="1:5" x14ac:dyDescent="0.2">
      <c r="A12">
        <v>2032</v>
      </c>
      <c r="B12" s="15">
        <v>7.0000000000000007E-2</v>
      </c>
      <c r="C12" s="19">
        <v>0.06</v>
      </c>
      <c r="D12" s="19">
        <v>0.06</v>
      </c>
      <c r="E12" s="17">
        <v>0.06</v>
      </c>
    </row>
    <row r="13" spans="1:5" x14ac:dyDescent="0.2">
      <c r="A13">
        <v>2033</v>
      </c>
      <c r="B13" s="15">
        <v>7.0000000000000007E-2</v>
      </c>
      <c r="C13" s="19">
        <v>0.06</v>
      </c>
      <c r="D13" s="19">
        <v>0.06</v>
      </c>
      <c r="E13" s="17">
        <v>0.06</v>
      </c>
    </row>
    <row r="14" spans="1:5" x14ac:dyDescent="0.2">
      <c r="A14">
        <v>2034</v>
      </c>
      <c r="B14" s="15">
        <v>7.0000000000000007E-2</v>
      </c>
      <c r="C14" s="19">
        <v>0.06</v>
      </c>
      <c r="D14" s="19">
        <v>0.06</v>
      </c>
      <c r="E14" s="17">
        <v>0.06</v>
      </c>
    </row>
    <row r="15" spans="1:5" x14ac:dyDescent="0.2">
      <c r="A15">
        <v>2035</v>
      </c>
      <c r="B15" s="15">
        <v>7.0000000000000007E-2</v>
      </c>
      <c r="C15" s="19">
        <v>0.06</v>
      </c>
      <c r="D15" s="19">
        <v>0.06</v>
      </c>
      <c r="E15" s="17">
        <v>0.06</v>
      </c>
    </row>
    <row r="16" spans="1:5" x14ac:dyDescent="0.2">
      <c r="A16">
        <v>2036</v>
      </c>
      <c r="B16" s="15">
        <v>7.0000000000000007E-2</v>
      </c>
      <c r="C16" s="19">
        <v>0.06</v>
      </c>
      <c r="D16" s="19">
        <v>0.06</v>
      </c>
      <c r="E16" s="17">
        <v>0.06</v>
      </c>
    </row>
    <row r="17" spans="1:10" x14ac:dyDescent="0.2">
      <c r="A17">
        <v>2037</v>
      </c>
      <c r="B17" s="15">
        <v>7.0000000000000007E-2</v>
      </c>
      <c r="C17" s="19">
        <v>0.06</v>
      </c>
      <c r="D17" s="18">
        <v>-0.24</v>
      </c>
      <c r="E17" s="17">
        <v>0.06</v>
      </c>
    </row>
    <row r="18" spans="1:10" x14ac:dyDescent="0.2">
      <c r="A18">
        <v>2038</v>
      </c>
      <c r="B18" s="15">
        <v>7.0000000000000007E-2</v>
      </c>
      <c r="C18" s="19">
        <v>0.06</v>
      </c>
      <c r="D18" s="18">
        <v>0.11</v>
      </c>
      <c r="E18" s="17">
        <v>0.06</v>
      </c>
    </row>
    <row r="19" spans="1:10" x14ac:dyDescent="0.2">
      <c r="A19">
        <v>2039</v>
      </c>
      <c r="B19" s="15">
        <v>7.0000000000000007E-2</v>
      </c>
      <c r="C19" s="19">
        <v>0.06</v>
      </c>
      <c r="D19" s="18">
        <v>0.11</v>
      </c>
      <c r="E19" s="17">
        <v>0.06</v>
      </c>
    </row>
    <row r="20" spans="1:10" x14ac:dyDescent="0.2">
      <c r="A20">
        <v>2040</v>
      </c>
      <c r="B20" s="15">
        <v>7.0000000000000007E-2</v>
      </c>
      <c r="C20" s="19">
        <v>0.06</v>
      </c>
      <c r="D20" s="18">
        <v>0.11</v>
      </c>
      <c r="E20" s="17">
        <v>0.06</v>
      </c>
    </row>
    <row r="21" spans="1:10" x14ac:dyDescent="0.2">
      <c r="A21">
        <v>2041</v>
      </c>
      <c r="B21" s="15">
        <v>7.0000000000000007E-2</v>
      </c>
      <c r="C21" s="19">
        <v>0.06</v>
      </c>
      <c r="D21" s="19">
        <v>0.06</v>
      </c>
      <c r="E21" s="17">
        <v>0.06</v>
      </c>
    </row>
    <row r="22" spans="1:10" x14ac:dyDescent="0.2">
      <c r="A22">
        <v>2042</v>
      </c>
      <c r="B22" s="15">
        <v>7.0000000000000007E-2</v>
      </c>
      <c r="C22" s="19">
        <v>0.06</v>
      </c>
      <c r="D22" s="19">
        <v>0.06</v>
      </c>
      <c r="E22" s="17">
        <v>0.06</v>
      </c>
    </row>
    <row r="23" spans="1:10" x14ac:dyDescent="0.2">
      <c r="A23">
        <v>2043</v>
      </c>
      <c r="B23" s="15">
        <v>7.0000000000000007E-2</v>
      </c>
      <c r="C23" s="19">
        <v>0.06</v>
      </c>
      <c r="D23" s="19">
        <v>0.06</v>
      </c>
      <c r="E23" s="17">
        <v>0.06</v>
      </c>
    </row>
    <row r="24" spans="1:10" x14ac:dyDescent="0.2">
      <c r="A24">
        <v>2044</v>
      </c>
      <c r="B24" s="15">
        <v>7.0000000000000007E-2</v>
      </c>
      <c r="C24" s="19">
        <v>0.06</v>
      </c>
      <c r="D24" s="19">
        <v>0.06</v>
      </c>
      <c r="E24" s="17">
        <v>0.06</v>
      </c>
    </row>
    <row r="25" spans="1:10" x14ac:dyDescent="0.2">
      <c r="A25">
        <v>2045</v>
      </c>
      <c r="B25" s="15">
        <v>7.0000000000000007E-2</v>
      </c>
      <c r="C25" s="19">
        <v>0.06</v>
      </c>
      <c r="D25" s="19">
        <v>0.06</v>
      </c>
      <c r="E25" s="17">
        <v>0.06</v>
      </c>
    </row>
    <row r="26" spans="1:10" x14ac:dyDescent="0.2">
      <c r="A26">
        <v>2046</v>
      </c>
      <c r="B26" s="15">
        <v>7.0000000000000007E-2</v>
      </c>
      <c r="C26" s="19">
        <v>0.06</v>
      </c>
      <c r="D26" s="19">
        <v>0.06</v>
      </c>
      <c r="E26" s="17">
        <v>0.06</v>
      </c>
    </row>
    <row r="27" spans="1:10" x14ac:dyDescent="0.2">
      <c r="A27">
        <v>2047</v>
      </c>
      <c r="B27" s="15">
        <v>7.0000000000000007E-2</v>
      </c>
      <c r="C27" s="19">
        <v>0.06</v>
      </c>
      <c r="D27" s="19">
        <v>0.06</v>
      </c>
      <c r="E27" s="17">
        <v>0.06</v>
      </c>
    </row>
    <row r="28" spans="1:10" x14ac:dyDescent="0.2">
      <c r="A28">
        <v>2048</v>
      </c>
      <c r="B28" s="15">
        <v>7.0000000000000007E-2</v>
      </c>
      <c r="C28" s="19">
        <v>0.06</v>
      </c>
      <c r="D28" s="19">
        <v>0.06</v>
      </c>
      <c r="E28" s="17">
        <v>0.06</v>
      </c>
    </row>
    <row r="29" spans="1:10" x14ac:dyDescent="0.2">
      <c r="A29">
        <v>2049</v>
      </c>
      <c r="B29" s="15">
        <v>7.0000000000000007E-2</v>
      </c>
      <c r="C29" s="19">
        <v>0.06</v>
      </c>
      <c r="D29" s="19">
        <v>0.06</v>
      </c>
      <c r="E29" s="17">
        <v>0.06</v>
      </c>
    </row>
    <row r="30" spans="1:10" x14ac:dyDescent="0.2">
      <c r="A30">
        <v>2050</v>
      </c>
      <c r="B30" s="15">
        <v>7.0000000000000007E-2</v>
      </c>
      <c r="C30" s="19">
        <v>0.06</v>
      </c>
      <c r="D30" s="19">
        <v>0.06</v>
      </c>
      <c r="E30" s="17">
        <v>0.06</v>
      </c>
      <c r="I30" s="71"/>
      <c r="J30" s="27"/>
    </row>
    <row r="31" spans="1:10" x14ac:dyDescent="0.2">
      <c r="A31">
        <v>2051</v>
      </c>
      <c r="B31" s="15">
        <v>7.0000000000000007E-2</v>
      </c>
      <c r="C31" s="19">
        <v>0.06</v>
      </c>
      <c r="D31" s="19">
        <v>0.06</v>
      </c>
      <c r="E31" s="17">
        <v>0.06</v>
      </c>
    </row>
    <row r="32" spans="1:10" x14ac:dyDescent="0.2">
      <c r="A32">
        <v>2052</v>
      </c>
      <c r="B32" s="15">
        <v>7.0000000000000007E-2</v>
      </c>
      <c r="C32" s="19">
        <v>0.06</v>
      </c>
      <c r="D32" s="19">
        <v>0.06</v>
      </c>
      <c r="E32" s="17">
        <v>0.06</v>
      </c>
    </row>
    <row r="33" spans="1:5" x14ac:dyDescent="0.2">
      <c r="A33">
        <v>2053</v>
      </c>
      <c r="B33" s="15">
        <v>7.0000000000000007E-2</v>
      </c>
      <c r="C33" s="19">
        <v>0.06</v>
      </c>
      <c r="D33" s="19">
        <v>0.06</v>
      </c>
      <c r="E33" s="17">
        <v>0.06</v>
      </c>
    </row>
    <row r="34" spans="1:5" x14ac:dyDescent="0.2">
      <c r="A34">
        <v>2054</v>
      </c>
      <c r="B34" s="15">
        <v>7.0000000000000007E-2</v>
      </c>
      <c r="C34" s="19">
        <v>0.06</v>
      </c>
      <c r="D34" s="19">
        <v>0.06</v>
      </c>
      <c r="E34" s="17">
        <v>0.06</v>
      </c>
    </row>
    <row r="35" spans="1:5" x14ac:dyDescent="0.2">
      <c r="A35">
        <v>2055</v>
      </c>
      <c r="B35" s="15">
        <v>7.0000000000000007E-2</v>
      </c>
      <c r="C35" s="19">
        <v>0.06</v>
      </c>
      <c r="D35" s="19">
        <v>0.06</v>
      </c>
      <c r="E35" s="17">
        <v>0.06</v>
      </c>
    </row>
    <row r="36" spans="1:5" x14ac:dyDescent="0.2">
      <c r="A36">
        <v>2056</v>
      </c>
      <c r="B36" s="15">
        <v>7.0000000000000007E-2</v>
      </c>
      <c r="C36" s="19">
        <v>0.06</v>
      </c>
      <c r="D36" s="19">
        <v>0.06</v>
      </c>
      <c r="E36" s="17">
        <v>0.06</v>
      </c>
    </row>
    <row r="37" spans="1:5" x14ac:dyDescent="0.2">
      <c r="A37">
        <v>2057</v>
      </c>
      <c r="B37" s="15">
        <v>7.0000000000000007E-2</v>
      </c>
      <c r="C37" s="19">
        <v>0.06</v>
      </c>
      <c r="D37" s="19">
        <v>0.06</v>
      </c>
      <c r="E37" s="17">
        <v>0.06</v>
      </c>
    </row>
    <row r="38" spans="1:5" x14ac:dyDescent="0.2">
      <c r="A38">
        <v>2058</v>
      </c>
      <c r="B38" s="15">
        <v>7.0000000000000007E-2</v>
      </c>
      <c r="C38" s="19">
        <v>0.06</v>
      </c>
      <c r="D38" s="19">
        <v>0.06</v>
      </c>
      <c r="E38" s="17">
        <v>0.06</v>
      </c>
    </row>
    <row r="39" spans="1:5" x14ac:dyDescent="0.2">
      <c r="A39">
        <v>2059</v>
      </c>
      <c r="B39" s="15">
        <v>7.0000000000000007E-2</v>
      </c>
      <c r="C39" s="19">
        <v>0.06</v>
      </c>
      <c r="D39" s="19">
        <v>0.06</v>
      </c>
      <c r="E39" s="17">
        <v>0.06</v>
      </c>
    </row>
    <row r="40" spans="1:5" x14ac:dyDescent="0.2">
      <c r="A40">
        <v>2060</v>
      </c>
      <c r="B40" s="15">
        <v>7.0000000000000007E-2</v>
      </c>
      <c r="C40" s="19">
        <v>0.06</v>
      </c>
      <c r="D40" s="19">
        <v>0.06</v>
      </c>
      <c r="E40" s="17">
        <v>0.06</v>
      </c>
    </row>
    <row r="41" spans="1:5" x14ac:dyDescent="0.2">
      <c r="A41">
        <v>2061</v>
      </c>
      <c r="B41" s="15">
        <v>7.0000000000000007E-2</v>
      </c>
      <c r="C41" s="19">
        <v>0.06</v>
      </c>
      <c r="D41" s="19">
        <v>0.06</v>
      </c>
      <c r="E41" s="17">
        <v>0.06</v>
      </c>
    </row>
    <row r="42" spans="1:5" x14ac:dyDescent="0.2">
      <c r="A42">
        <v>2062</v>
      </c>
      <c r="B42" s="15">
        <v>7.0000000000000007E-2</v>
      </c>
      <c r="C42" s="19">
        <v>0.06</v>
      </c>
      <c r="D42" s="19">
        <v>0.06</v>
      </c>
      <c r="E42" s="17">
        <v>0.06</v>
      </c>
    </row>
    <row r="43" spans="1:5" x14ac:dyDescent="0.2">
      <c r="A43">
        <v>2063</v>
      </c>
      <c r="B43" s="15">
        <v>7.0000000000000007E-2</v>
      </c>
      <c r="C43" s="19">
        <v>0.06</v>
      </c>
      <c r="D43" s="19">
        <v>0.06</v>
      </c>
      <c r="E43" s="17">
        <v>0.06</v>
      </c>
    </row>
    <row r="44" spans="1:5" x14ac:dyDescent="0.2">
      <c r="A44">
        <v>2064</v>
      </c>
      <c r="B44" s="15">
        <v>7.0000000000000007E-2</v>
      </c>
      <c r="C44" s="19">
        <v>0.06</v>
      </c>
      <c r="D44" s="19">
        <v>0.06</v>
      </c>
      <c r="E44" s="17">
        <v>0.06</v>
      </c>
    </row>
    <row r="45" spans="1:5" x14ac:dyDescent="0.2">
      <c r="A45">
        <v>2065</v>
      </c>
      <c r="B45" s="15">
        <v>7.0000000000000007E-2</v>
      </c>
      <c r="C45" s="19">
        <v>0.06</v>
      </c>
      <c r="D45" s="19">
        <v>0.06</v>
      </c>
      <c r="E45" s="17">
        <v>0.06</v>
      </c>
    </row>
    <row r="46" spans="1:5" x14ac:dyDescent="0.2">
      <c r="A46">
        <v>2066</v>
      </c>
      <c r="B46" s="15">
        <v>7.0000000000000007E-2</v>
      </c>
      <c r="C46" s="19">
        <v>0.06</v>
      </c>
      <c r="D46" s="19">
        <v>0.06</v>
      </c>
      <c r="E46" s="17">
        <v>0.06</v>
      </c>
    </row>
    <row r="47" spans="1:5" x14ac:dyDescent="0.2">
      <c r="A47">
        <v>2067</v>
      </c>
      <c r="B47" s="15">
        <v>7.0000000000000007E-2</v>
      </c>
      <c r="C47" s="19">
        <v>0.06</v>
      </c>
      <c r="D47" s="19">
        <v>0.06</v>
      </c>
      <c r="E47" s="17">
        <v>0.06</v>
      </c>
    </row>
    <row r="48" spans="1:5" x14ac:dyDescent="0.2">
      <c r="A48">
        <v>2068</v>
      </c>
      <c r="B48" s="15">
        <v>7.0000000000000007E-2</v>
      </c>
      <c r="C48" s="19">
        <v>0.06</v>
      </c>
      <c r="D48" s="19">
        <v>0.06</v>
      </c>
      <c r="E48" s="17">
        <v>0.06</v>
      </c>
    </row>
    <row r="49" spans="1:5" x14ac:dyDescent="0.2">
      <c r="A49">
        <v>2069</v>
      </c>
      <c r="B49" s="15">
        <v>7.0000000000000007E-2</v>
      </c>
      <c r="C49" s="19">
        <v>0.06</v>
      </c>
      <c r="D49" s="19">
        <v>0.06</v>
      </c>
      <c r="E49" s="17">
        <v>0.06</v>
      </c>
    </row>
    <row r="50" spans="1:5" x14ac:dyDescent="0.2">
      <c r="A50">
        <v>2070</v>
      </c>
      <c r="B50" s="15">
        <v>7.0000000000000007E-2</v>
      </c>
      <c r="C50" s="19">
        <v>0.06</v>
      </c>
      <c r="D50" s="19">
        <v>0.06</v>
      </c>
      <c r="E50" s="17">
        <v>0.06</v>
      </c>
    </row>
    <row r="51" spans="1:5" x14ac:dyDescent="0.2">
      <c r="A51">
        <v>2071</v>
      </c>
      <c r="B51" s="15">
        <v>7.0000000000000007E-2</v>
      </c>
      <c r="C51" s="19">
        <v>0.06</v>
      </c>
      <c r="D51" s="19">
        <v>0.06</v>
      </c>
      <c r="E51" s="17">
        <v>0.06</v>
      </c>
    </row>
    <row r="52" spans="1:5" x14ac:dyDescent="0.2">
      <c r="A52">
        <v>2072</v>
      </c>
      <c r="B52" s="15">
        <v>7.0000000000000007E-2</v>
      </c>
      <c r="C52" s="19">
        <v>0.06</v>
      </c>
      <c r="D52" s="19">
        <v>0.06</v>
      </c>
      <c r="E52" s="17">
        <v>0.06</v>
      </c>
    </row>
    <row r="53" spans="1:5" x14ac:dyDescent="0.2">
      <c r="A53">
        <v>2073</v>
      </c>
      <c r="B53" s="15">
        <v>7.0000000000000007E-2</v>
      </c>
      <c r="C53" s="19">
        <v>0.06</v>
      </c>
      <c r="D53" s="19">
        <v>0.06</v>
      </c>
      <c r="E53" s="17">
        <v>0.06</v>
      </c>
    </row>
    <row r="54" spans="1:5" x14ac:dyDescent="0.2">
      <c r="A54">
        <v>2074</v>
      </c>
      <c r="B54" s="15">
        <v>7.0000000000000007E-2</v>
      </c>
      <c r="C54" s="19">
        <v>0.06</v>
      </c>
      <c r="D54" s="19">
        <v>0.06</v>
      </c>
      <c r="E54" s="17">
        <v>0.06</v>
      </c>
    </row>
    <row r="55" spans="1:5" x14ac:dyDescent="0.2">
      <c r="A55">
        <v>2075</v>
      </c>
      <c r="B55" s="15">
        <v>7.0000000000000007E-2</v>
      </c>
      <c r="C55" s="19">
        <v>0.06</v>
      </c>
      <c r="D55" s="19">
        <v>0.06</v>
      </c>
      <c r="E55" s="17">
        <v>0.06</v>
      </c>
    </row>
    <row r="56" spans="1:5" x14ac:dyDescent="0.2">
      <c r="A56">
        <v>2076</v>
      </c>
      <c r="B56" s="15">
        <v>7.0000000000000007E-2</v>
      </c>
      <c r="C56" s="19">
        <v>0.06</v>
      </c>
      <c r="D56" s="19">
        <v>0.06</v>
      </c>
      <c r="E56" s="17">
        <v>0.06</v>
      </c>
    </row>
    <row r="57" spans="1:5" x14ac:dyDescent="0.2">
      <c r="A57">
        <v>2077</v>
      </c>
      <c r="B57" s="15">
        <v>7.0000000000000007E-2</v>
      </c>
      <c r="C57" s="19">
        <v>0.06</v>
      </c>
      <c r="D57" s="19">
        <v>0.06</v>
      </c>
      <c r="E57" s="17">
        <v>0.06</v>
      </c>
    </row>
    <row r="58" spans="1:5" x14ac:dyDescent="0.2">
      <c r="A58">
        <v>2078</v>
      </c>
      <c r="B58" s="15">
        <v>7.0000000000000007E-2</v>
      </c>
      <c r="C58" s="19">
        <v>0.06</v>
      </c>
      <c r="D58" s="19">
        <v>0.06</v>
      </c>
      <c r="E58" s="17">
        <v>0.06</v>
      </c>
    </row>
    <row r="59" spans="1:5" x14ac:dyDescent="0.2">
      <c r="A59">
        <v>2079</v>
      </c>
      <c r="B59" s="15">
        <v>7.0000000000000007E-2</v>
      </c>
      <c r="C59" s="19">
        <v>0.06</v>
      </c>
      <c r="D59" s="19">
        <v>0.06</v>
      </c>
      <c r="E59" s="17">
        <v>0.06</v>
      </c>
    </row>
    <row r="60" spans="1:5" x14ac:dyDescent="0.2">
      <c r="A60">
        <v>2080</v>
      </c>
      <c r="B60" s="15">
        <v>7.0000000000000007E-2</v>
      </c>
      <c r="C60" s="19">
        <v>0.06</v>
      </c>
      <c r="D60" s="19">
        <v>0.06</v>
      </c>
      <c r="E60" s="17">
        <v>0.06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A13"/>
  <sheetViews>
    <sheetView topLeftCell="I1" zoomScale="111" zoomScaleNormal="110" workbookViewId="0">
      <selection activeCell="AP7" sqref="AP7"/>
    </sheetView>
  </sheetViews>
  <sheetFormatPr baseColWidth="10" defaultColWidth="8.83203125" defaultRowHeight="15" x14ac:dyDescent="0.2"/>
  <cols>
    <col min="1" max="1" width="4.6640625" bestFit="1" customWidth="1"/>
    <col min="2" max="2" width="9.33203125" bestFit="1" customWidth="1"/>
    <col min="3" max="3" width="9.1640625" bestFit="1" customWidth="1"/>
    <col min="4" max="4" width="9.1640625" customWidth="1"/>
    <col min="5" max="6" width="11.1640625" bestFit="1" customWidth="1"/>
    <col min="7" max="7" width="9" bestFit="1" customWidth="1"/>
    <col min="8" max="8" width="18.1640625" bestFit="1" customWidth="1"/>
    <col min="9" max="9" width="15.83203125" bestFit="1" customWidth="1"/>
    <col min="10" max="10" width="16" bestFit="1" customWidth="1"/>
    <col min="11" max="11" width="13.33203125" bestFit="1" customWidth="1"/>
    <col min="12" max="12" width="16.1640625" bestFit="1" customWidth="1"/>
    <col min="13" max="13" width="21.6640625" bestFit="1" customWidth="1"/>
    <col min="14" max="14" width="19.33203125" bestFit="1" customWidth="1"/>
    <col min="15" max="15" width="13.83203125" bestFit="1" customWidth="1"/>
    <col min="16" max="16" width="17.33203125" bestFit="1" customWidth="1"/>
    <col min="17" max="17" width="16.33203125" bestFit="1" customWidth="1"/>
    <col min="18" max="18" width="21.83203125" bestFit="1" customWidth="1"/>
    <col min="19" max="19" width="19.5" bestFit="1" customWidth="1"/>
    <col min="20" max="20" width="14" bestFit="1" customWidth="1"/>
    <col min="21" max="21" width="17.5" bestFit="1" customWidth="1"/>
    <col min="22" max="22" width="6" bestFit="1" customWidth="1"/>
    <col min="23" max="23" width="13.33203125" bestFit="1" customWidth="1"/>
    <col min="24" max="24" width="11.33203125" bestFit="1" customWidth="1"/>
    <col min="25" max="25" width="11.83203125" bestFit="1" customWidth="1"/>
    <col min="26" max="26" width="13.83203125" bestFit="1" customWidth="1"/>
    <col min="27" max="27" width="11.83203125" bestFit="1" customWidth="1"/>
    <col min="28" max="28" width="8.5" bestFit="1" customWidth="1"/>
    <col min="29" max="29" width="7.6640625" bestFit="1" customWidth="1"/>
    <col min="30" max="30" width="12.83203125" bestFit="1" customWidth="1"/>
    <col min="31" max="31" width="17" bestFit="1" customWidth="1"/>
    <col min="32" max="32" width="14.83203125" bestFit="1" customWidth="1"/>
    <col min="33" max="33" width="8.1640625" bestFit="1" customWidth="1"/>
    <col min="34" max="34" width="13.33203125" bestFit="1" customWidth="1"/>
    <col min="35" max="35" width="17.5" bestFit="1" customWidth="1"/>
    <col min="36" max="36" width="15.33203125" bestFit="1" customWidth="1"/>
    <col min="37" max="37" width="6.6640625" bestFit="1" customWidth="1"/>
    <col min="38" max="38" width="7.1640625" bestFit="1" customWidth="1"/>
    <col min="39" max="39" width="13" bestFit="1" customWidth="1"/>
    <col min="40" max="40" width="13.1640625" bestFit="1" customWidth="1"/>
    <col min="41" max="41" width="12.6640625" bestFit="1" customWidth="1"/>
    <col min="42" max="42" width="10.33203125" bestFit="1" customWidth="1"/>
    <col min="43" max="43" width="19.5" bestFit="1" customWidth="1"/>
    <col min="44" max="44" width="17.1640625" bestFit="1" customWidth="1"/>
    <col min="45" max="45" width="19.33203125" bestFit="1" customWidth="1"/>
    <col min="46" max="47" width="17" bestFit="1" customWidth="1"/>
    <col min="48" max="48" width="14.5" bestFit="1" customWidth="1"/>
    <col min="49" max="49" width="18.5" bestFit="1" customWidth="1"/>
    <col min="50" max="50" width="16.33203125" bestFit="1" customWidth="1"/>
    <col min="51" max="52" width="16.33203125" customWidth="1"/>
    <col min="53" max="53" width="11.83203125" bestFit="1" customWidth="1"/>
    <col min="54" max="54" width="14.5" bestFit="1" customWidth="1"/>
    <col min="55" max="55" width="20.1640625" bestFit="1" customWidth="1"/>
    <col min="56" max="56" width="17.6640625" bestFit="1" customWidth="1"/>
    <col min="57" max="57" width="23.1640625" bestFit="1" customWidth="1"/>
    <col min="58" max="58" width="23.1640625" customWidth="1"/>
    <col min="59" max="59" width="6.5" bestFit="1" customWidth="1"/>
    <col min="60" max="60" width="7.33203125" bestFit="1" customWidth="1"/>
    <col min="61" max="61" width="17.6640625" bestFit="1" customWidth="1"/>
    <col min="62" max="62" width="15.5" bestFit="1" customWidth="1"/>
    <col min="63" max="63" width="15" bestFit="1" customWidth="1"/>
    <col min="64" max="64" width="12.6640625" bestFit="1" customWidth="1"/>
    <col min="65" max="65" width="16.1640625" bestFit="1" customWidth="1"/>
    <col min="66" max="66" width="14" bestFit="1" customWidth="1"/>
    <col min="67" max="67" width="18.5" bestFit="1" customWidth="1"/>
    <col min="68" max="68" width="16.1640625" bestFit="1" customWidth="1"/>
    <col min="69" max="69" width="10" bestFit="1" customWidth="1"/>
    <col min="70" max="70" width="15.1640625" bestFit="1" customWidth="1"/>
    <col min="71" max="71" width="12.6640625" bestFit="1" customWidth="1"/>
    <col min="72" max="72" width="16.33203125" bestFit="1" customWidth="1"/>
    <col min="73" max="73" width="14" bestFit="1" customWidth="1"/>
    <col min="74" max="74" width="19.83203125" bestFit="1" customWidth="1"/>
    <col min="75" max="75" width="17.5" bestFit="1" customWidth="1"/>
    <col min="76" max="76" width="14.33203125" bestFit="1" customWidth="1"/>
    <col min="77" max="77" width="13.33203125" bestFit="1" customWidth="1"/>
    <col min="78" max="78" width="15.1640625" bestFit="1" customWidth="1"/>
    <col min="79" max="79" width="13.33203125" bestFit="1" customWidth="1"/>
    <col min="80" max="80" width="12.33203125" bestFit="1" customWidth="1"/>
    <col min="81" max="81" width="6" bestFit="1" customWidth="1"/>
    <col min="82" max="82" width="8" bestFit="1" customWidth="1"/>
    <col min="83" max="83" width="7" bestFit="1" customWidth="1"/>
    <col min="84" max="84" width="11.1640625" bestFit="1" customWidth="1"/>
    <col min="85" max="85" width="16.33203125" bestFit="1" customWidth="1"/>
    <col min="86" max="86" width="19.1640625" bestFit="1" customWidth="1"/>
    <col min="87" max="87" width="22.33203125" bestFit="1" customWidth="1"/>
    <col min="88" max="88" width="18.5" bestFit="1" customWidth="1"/>
    <col min="89" max="89" width="23.6640625" bestFit="1" customWidth="1"/>
    <col min="90" max="92" width="18" bestFit="1" customWidth="1"/>
    <col min="93" max="93" width="18" customWidth="1"/>
    <col min="94" max="94" width="21.6640625" bestFit="1" customWidth="1"/>
    <col min="95" max="95" width="13.83203125" bestFit="1" customWidth="1"/>
    <col min="96" max="96" width="16.6640625" bestFit="1" customWidth="1"/>
    <col min="97" max="97" width="19.83203125" bestFit="1" customWidth="1"/>
    <col min="98" max="98" width="16" bestFit="1" customWidth="1"/>
    <col min="99" max="99" width="21.1640625" bestFit="1" customWidth="1"/>
    <col min="100" max="102" width="15.6640625" bestFit="1" customWidth="1"/>
    <col min="103" max="103" width="15.6640625" customWidth="1"/>
    <col min="104" max="104" width="19.1640625" bestFit="1" customWidth="1"/>
  </cols>
  <sheetData>
    <row r="1" spans="1:105" x14ac:dyDescent="0.2">
      <c r="A1" s="1" t="s">
        <v>15</v>
      </c>
      <c r="B1" s="6" t="s">
        <v>77</v>
      </c>
      <c r="C1" s="7" t="s">
        <v>201</v>
      </c>
      <c r="D1" s="7" t="s">
        <v>302</v>
      </c>
      <c r="E1" s="7" t="s">
        <v>202</v>
      </c>
      <c r="F1" s="7" t="s">
        <v>227</v>
      </c>
      <c r="G1" s="7" t="s">
        <v>205</v>
      </c>
      <c r="H1" s="6" t="s">
        <v>159</v>
      </c>
      <c r="I1" s="8" t="s">
        <v>160</v>
      </c>
      <c r="J1" s="6" t="s">
        <v>161</v>
      </c>
      <c r="K1" s="8" t="s">
        <v>162</v>
      </c>
      <c r="L1" s="4" t="s">
        <v>163</v>
      </c>
      <c r="M1" s="4" t="s">
        <v>203</v>
      </c>
      <c r="N1" s="4" t="s">
        <v>164</v>
      </c>
      <c r="O1" s="1" t="s">
        <v>222</v>
      </c>
      <c r="P1" s="3" t="s">
        <v>223</v>
      </c>
      <c r="Q1" s="4" t="s">
        <v>165</v>
      </c>
      <c r="R1" s="4" t="s">
        <v>204</v>
      </c>
      <c r="S1" s="4" t="s">
        <v>166</v>
      </c>
      <c r="T1" s="1" t="s">
        <v>224</v>
      </c>
      <c r="U1" s="3" t="s">
        <v>225</v>
      </c>
      <c r="V1" s="1" t="s">
        <v>18</v>
      </c>
      <c r="W1" s="1" t="s">
        <v>171</v>
      </c>
      <c r="X1" s="1" t="s">
        <v>172</v>
      </c>
      <c r="Y1" s="1" t="s">
        <v>17</v>
      </c>
      <c r="Z1" s="1" t="s">
        <v>173</v>
      </c>
      <c r="AA1" s="1" t="s">
        <v>174</v>
      </c>
      <c r="AB1" s="1" t="s">
        <v>78</v>
      </c>
      <c r="AC1" s="1" t="s">
        <v>79</v>
      </c>
      <c r="AD1" s="1" t="s">
        <v>300</v>
      </c>
      <c r="AE1" s="1" t="s">
        <v>123</v>
      </c>
      <c r="AF1" s="1" t="s">
        <v>124</v>
      </c>
      <c r="AG1" s="1" t="s">
        <v>80</v>
      </c>
      <c r="AH1" s="1" t="s">
        <v>301</v>
      </c>
      <c r="AI1" s="1" t="s">
        <v>125</v>
      </c>
      <c r="AJ1" s="1" t="s">
        <v>126</v>
      </c>
      <c r="AK1" s="1" t="s">
        <v>81</v>
      </c>
      <c r="AL1" s="1" t="s">
        <v>82</v>
      </c>
      <c r="AM1" s="3" t="s">
        <v>83</v>
      </c>
      <c r="AN1" s="1" t="s">
        <v>127</v>
      </c>
      <c r="AO1" s="1" t="s">
        <v>128</v>
      </c>
      <c r="AP1" s="1" t="s">
        <v>129</v>
      </c>
      <c r="AQ1" s="1" t="s">
        <v>130</v>
      </c>
      <c r="AR1" s="1" t="s">
        <v>131</v>
      </c>
      <c r="AS1" s="1" t="s">
        <v>132</v>
      </c>
      <c r="AT1" s="1" t="s">
        <v>133</v>
      </c>
      <c r="AU1" s="1" t="s">
        <v>134</v>
      </c>
      <c r="AV1" s="1" t="s">
        <v>135</v>
      </c>
      <c r="AW1" s="1" t="s">
        <v>254</v>
      </c>
      <c r="AX1" s="1" t="s">
        <v>255</v>
      </c>
      <c r="AY1" s="1" t="s">
        <v>298</v>
      </c>
      <c r="AZ1" s="1" t="s">
        <v>299</v>
      </c>
      <c r="BA1" s="1" t="s">
        <v>260</v>
      </c>
      <c r="BB1" s="4" t="s">
        <v>263</v>
      </c>
      <c r="BC1" s="4" t="s">
        <v>136</v>
      </c>
      <c r="BD1" s="4" t="s">
        <v>137</v>
      </c>
      <c r="BE1" s="4" t="s">
        <v>290</v>
      </c>
      <c r="BF1" s="4" t="s">
        <v>291</v>
      </c>
      <c r="BG1" s="1" t="s">
        <v>206</v>
      </c>
      <c r="BH1" s="1" t="s">
        <v>251</v>
      </c>
      <c r="BI1" s="1" t="s">
        <v>138</v>
      </c>
      <c r="BJ1" s="1" t="s">
        <v>139</v>
      </c>
      <c r="BK1" s="1" t="s">
        <v>140</v>
      </c>
      <c r="BL1" s="1" t="s">
        <v>141</v>
      </c>
      <c r="BM1" s="1" t="s">
        <v>256</v>
      </c>
      <c r="BN1" s="1" t="s">
        <v>187</v>
      </c>
      <c r="BO1" s="1" t="s">
        <v>207</v>
      </c>
      <c r="BP1" s="1" t="s">
        <v>208</v>
      </c>
      <c r="BQ1" s="1" t="s">
        <v>209</v>
      </c>
      <c r="BR1" s="1" t="s">
        <v>167</v>
      </c>
      <c r="BS1" s="1" t="s">
        <v>168</v>
      </c>
      <c r="BT1" s="1" t="s">
        <v>169</v>
      </c>
      <c r="BU1" s="1" t="s">
        <v>170</v>
      </c>
      <c r="BV1" s="1" t="s">
        <v>142</v>
      </c>
      <c r="BW1" s="1" t="s">
        <v>143</v>
      </c>
      <c r="BX1" s="1" t="s">
        <v>257</v>
      </c>
      <c r="BY1" s="3" t="s">
        <v>258</v>
      </c>
      <c r="BZ1" s="3" t="s">
        <v>288</v>
      </c>
      <c r="CA1" s="3" t="s">
        <v>287</v>
      </c>
      <c r="CB1" s="3" t="s">
        <v>289</v>
      </c>
      <c r="CC1" s="5" t="s">
        <v>200</v>
      </c>
      <c r="CD1" s="4" t="s">
        <v>197</v>
      </c>
      <c r="CE1" s="1" t="s">
        <v>84</v>
      </c>
      <c r="CF1" s="1" t="s">
        <v>196</v>
      </c>
      <c r="CG1" t="s">
        <v>259</v>
      </c>
      <c r="CH1" t="s">
        <v>144</v>
      </c>
      <c r="CI1" t="s">
        <v>145</v>
      </c>
      <c r="CJ1" t="s">
        <v>146</v>
      </c>
      <c r="CK1" t="s">
        <v>281</v>
      </c>
      <c r="CL1" t="s">
        <v>147</v>
      </c>
      <c r="CM1" t="s">
        <v>148</v>
      </c>
      <c r="CN1" t="s">
        <v>149</v>
      </c>
      <c r="CO1" t="s">
        <v>282</v>
      </c>
      <c r="CP1" t="s">
        <v>285</v>
      </c>
      <c r="CQ1" t="s">
        <v>150</v>
      </c>
      <c r="CR1" t="s">
        <v>151</v>
      </c>
      <c r="CS1" t="s">
        <v>152</v>
      </c>
      <c r="CT1" t="s">
        <v>153</v>
      </c>
      <c r="CU1" t="s">
        <v>283</v>
      </c>
      <c r="CV1" t="s">
        <v>154</v>
      </c>
      <c r="CW1" t="s">
        <v>155</v>
      </c>
      <c r="CX1" t="s">
        <v>156</v>
      </c>
      <c r="CY1" t="s">
        <v>284</v>
      </c>
      <c r="CZ1" t="s">
        <v>286</v>
      </c>
    </row>
    <row r="2" spans="1:105" s="24" customFormat="1" x14ac:dyDescent="0.2">
      <c r="A2" s="39">
        <v>2016</v>
      </c>
      <c r="B2" s="40">
        <v>1007.764043</v>
      </c>
      <c r="C2" s="41">
        <v>1007.764043</v>
      </c>
      <c r="D2" s="41">
        <v>0</v>
      </c>
      <c r="E2" s="41">
        <v>0</v>
      </c>
      <c r="F2" s="41">
        <v>0</v>
      </c>
      <c r="G2" s="42">
        <v>12.678458388513357</v>
      </c>
      <c r="H2" s="43">
        <v>0.08</v>
      </c>
      <c r="I2" s="43">
        <v>0.08</v>
      </c>
      <c r="J2" s="43">
        <v>0.08</v>
      </c>
      <c r="K2" s="43">
        <v>0.08</v>
      </c>
      <c r="L2" s="25">
        <v>3299.3811000000001</v>
      </c>
      <c r="M2" s="25">
        <v>3299.3811000000001</v>
      </c>
      <c r="N2" s="25">
        <v>0</v>
      </c>
      <c r="O2" s="25">
        <v>107.826127</v>
      </c>
      <c r="P2" s="45"/>
      <c r="Q2" s="25">
        <v>3299.3811000000001</v>
      </c>
      <c r="R2" s="25">
        <v>3299.3811000000001</v>
      </c>
      <c r="S2" s="25"/>
      <c r="T2" s="25">
        <f>O2</f>
        <v>107.826127</v>
      </c>
      <c r="U2" s="45"/>
      <c r="V2" s="25">
        <v>2180.7486159999999</v>
      </c>
      <c r="W2" s="25">
        <v>2180.7486159999999</v>
      </c>
      <c r="X2" s="25">
        <v>0</v>
      </c>
      <c r="Y2" s="25">
        <v>2324.7836229999998</v>
      </c>
      <c r="Z2" s="25">
        <f>Y2</f>
        <v>2324.7836229999998</v>
      </c>
      <c r="AA2" s="25">
        <v>0</v>
      </c>
      <c r="AB2" s="46">
        <v>4.5999999999999999E-3</v>
      </c>
      <c r="AC2" s="41">
        <f>Q2-V2</f>
        <v>1118.6324840000002</v>
      </c>
      <c r="AD2" s="41">
        <f>AC2</f>
        <v>1118.6324840000002</v>
      </c>
      <c r="AE2" s="41">
        <f>AC2</f>
        <v>1118.6324840000002</v>
      </c>
      <c r="AF2" s="41">
        <v>0</v>
      </c>
      <c r="AG2" s="41">
        <f>Q2-Y2</f>
        <v>974.59747700000025</v>
      </c>
      <c r="AH2" s="41">
        <f>AG2</f>
        <v>974.59747700000025</v>
      </c>
      <c r="AI2" s="41">
        <f>AG2</f>
        <v>974.59747700000025</v>
      </c>
      <c r="AJ2" s="41">
        <v>0</v>
      </c>
      <c r="AK2" s="48">
        <v>0.66095687339664999</v>
      </c>
      <c r="AL2" s="75">
        <v>0.70461203254149685</v>
      </c>
      <c r="AM2" s="47"/>
      <c r="AN2" s="33">
        <v>2050</v>
      </c>
      <c r="AO2" s="49">
        <v>0.1</v>
      </c>
      <c r="AP2" s="44"/>
      <c r="AQ2" s="49">
        <v>7.0000000000000007E-2</v>
      </c>
      <c r="AR2" s="51"/>
      <c r="AS2" s="43">
        <f>AO2-AQ2</f>
        <v>0.03</v>
      </c>
      <c r="AT2" s="51"/>
      <c r="AU2" s="43">
        <v>7.2400000000000006E-2</v>
      </c>
      <c r="AV2" s="25">
        <v>0</v>
      </c>
      <c r="AW2" s="25">
        <v>0</v>
      </c>
      <c r="AX2" s="25">
        <v>0</v>
      </c>
      <c r="AY2" s="25">
        <v>0</v>
      </c>
      <c r="AZ2" s="25">
        <v>0</v>
      </c>
      <c r="BA2" s="25">
        <v>0</v>
      </c>
      <c r="BB2" s="65">
        <f>BC2+BD2</f>
        <v>-145.864485</v>
      </c>
      <c r="BC2" s="40">
        <v>-145.864485</v>
      </c>
      <c r="BD2" s="25">
        <v>0</v>
      </c>
      <c r="BE2" s="25">
        <v>0</v>
      </c>
      <c r="BF2" s="65">
        <f>BB2</f>
        <v>-145.864485</v>
      </c>
      <c r="BG2" s="25">
        <v>0</v>
      </c>
      <c r="BH2" s="25">
        <v>12.243337</v>
      </c>
      <c r="BI2" s="25">
        <v>-2.4811869999999998</v>
      </c>
      <c r="BJ2" s="25">
        <v>0</v>
      </c>
      <c r="BK2" s="25">
        <f>71.996797</f>
        <v>71.996797000000001</v>
      </c>
      <c r="BL2" s="41">
        <v>0</v>
      </c>
      <c r="BM2" s="41">
        <v>0</v>
      </c>
      <c r="BN2" s="41">
        <v>0</v>
      </c>
      <c r="BO2" s="41">
        <v>8.9056060000000006</v>
      </c>
      <c r="BP2" s="41">
        <v>0</v>
      </c>
      <c r="BQ2" s="25">
        <v>0</v>
      </c>
      <c r="BR2" s="25">
        <v>53.512270683299995</v>
      </c>
      <c r="BS2" s="41">
        <v>0</v>
      </c>
      <c r="BT2" s="25">
        <v>19.448217316700003</v>
      </c>
      <c r="BU2" s="41">
        <v>0</v>
      </c>
      <c r="BV2" s="41">
        <v>0</v>
      </c>
      <c r="BW2" s="41">
        <v>0</v>
      </c>
      <c r="BX2" s="41">
        <v>0</v>
      </c>
      <c r="BY2" s="41">
        <v>153.86289100000002</v>
      </c>
      <c r="BZ2" s="41">
        <v>0</v>
      </c>
      <c r="CA2" s="41">
        <v>0</v>
      </c>
      <c r="CB2" s="52">
        <f>BR2+BT2</f>
        <v>72.960487999999998</v>
      </c>
      <c r="CC2" s="38">
        <f>CD2+AG2</f>
        <v>1047.5579650000002</v>
      </c>
      <c r="CD2" s="9">
        <f>CB2</f>
        <v>72.960487999999998</v>
      </c>
      <c r="CE2" s="9">
        <v>0</v>
      </c>
      <c r="CF2" s="10">
        <f t="shared" ref="CF2:CF7" si="0">CB2/B2</f>
        <v>7.2398383834776286E-2</v>
      </c>
      <c r="CG2" s="72">
        <f>BC2+BI2+BH2+BK2+BM2+BR2+BT2+BQ2+BO2</f>
        <v>17.760555999999987</v>
      </c>
      <c r="CH2"/>
      <c r="CI2"/>
      <c r="CJ2"/>
      <c r="CK2">
        <v>0</v>
      </c>
      <c r="CL2">
        <v>0</v>
      </c>
      <c r="CM2">
        <v>0</v>
      </c>
      <c r="CN2">
        <v>0</v>
      </c>
      <c r="CO2">
        <v>0</v>
      </c>
      <c r="CP2"/>
      <c r="CQ2" s="34">
        <f>BD2+BJ2+BL2+BN2+BS2+BQ2+BP2+BU2</f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/>
    </row>
    <row r="3" spans="1:105" x14ac:dyDescent="0.2">
      <c r="A3" s="39">
        <v>2017</v>
      </c>
      <c r="B3" s="40">
        <v>1020.843253</v>
      </c>
      <c r="C3" s="25">
        <v>1020.843253</v>
      </c>
      <c r="D3" s="41">
        <v>0</v>
      </c>
      <c r="E3" s="41">
        <v>0</v>
      </c>
      <c r="F3" s="41">
        <v>0</v>
      </c>
      <c r="G3" s="42">
        <v>13.122204432111324</v>
      </c>
      <c r="H3" s="43">
        <v>7.7499999999999999E-2</v>
      </c>
      <c r="I3" s="43">
        <v>7.7499999999999999E-2</v>
      </c>
      <c r="J3" s="43">
        <v>7.7499999999999999E-2</v>
      </c>
      <c r="K3" s="43">
        <v>7.7499999999999999E-2</v>
      </c>
      <c r="L3" s="25">
        <v>3618.0839729999998</v>
      </c>
      <c r="M3" s="25">
        <v>3618.0839729999998</v>
      </c>
      <c r="N3" s="25">
        <v>0</v>
      </c>
      <c r="O3" s="25">
        <v>117.029448</v>
      </c>
      <c r="P3" s="41"/>
      <c r="Q3" s="25">
        <v>3618.0839729999998</v>
      </c>
      <c r="R3" s="25">
        <v>3618.0839729999998</v>
      </c>
      <c r="S3" s="25"/>
      <c r="T3" s="25">
        <f t="shared" ref="T3:T7" si="1">O3</f>
        <v>117.029448</v>
      </c>
      <c r="U3" s="41"/>
      <c r="V3" s="25">
        <v>2529.6310079999998</v>
      </c>
      <c r="W3" s="25">
        <v>2529.6310079999998</v>
      </c>
      <c r="X3" s="25">
        <v>0</v>
      </c>
      <c r="Y3" s="25">
        <v>2620.5457529999999</v>
      </c>
      <c r="Z3" s="25">
        <f t="shared" ref="Z3:Z7" si="2">Y3</f>
        <v>2620.5457529999999</v>
      </c>
      <c r="AA3" s="25">
        <v>0</v>
      </c>
      <c r="AB3" s="46">
        <v>0.129</v>
      </c>
      <c r="AC3" s="41">
        <f t="shared" ref="AC3:AC7" si="3">Q3-V3</f>
        <v>1088.4529649999999</v>
      </c>
      <c r="AD3" s="41">
        <f t="shared" ref="AD3:AD7" si="4">AC3</f>
        <v>1088.4529649999999</v>
      </c>
      <c r="AE3" s="41">
        <f t="shared" ref="AE3:AE7" si="5">AC3</f>
        <v>1088.4529649999999</v>
      </c>
      <c r="AF3" s="41">
        <v>0</v>
      </c>
      <c r="AG3" s="41">
        <f t="shared" ref="AG3:AG7" si="6">Q3-Y3</f>
        <v>997.53821999999991</v>
      </c>
      <c r="AH3" s="41">
        <f t="shared" ref="AH3:AH7" si="7">AG3</f>
        <v>997.53821999999991</v>
      </c>
      <c r="AI3" s="41">
        <f t="shared" ref="AI3:AI7" si="8">AG3</f>
        <v>997.53821999999991</v>
      </c>
      <c r="AJ3" s="41">
        <v>0</v>
      </c>
      <c r="AK3" s="48">
        <v>0.69916315565846598</v>
      </c>
      <c r="AL3" s="75">
        <v>0.72429102601151818</v>
      </c>
      <c r="AM3" s="47"/>
      <c r="AO3" s="49">
        <v>0.10722623008247349</v>
      </c>
      <c r="AP3" s="44"/>
      <c r="AQ3" s="49">
        <v>7.0000000000000007E-2</v>
      </c>
      <c r="AR3" s="44"/>
      <c r="AS3" s="43">
        <f t="shared" ref="AS3:AS7" si="9">AO3-AQ3</f>
        <v>3.7226230082473485E-2</v>
      </c>
      <c r="AT3" s="44"/>
      <c r="AU3" s="43">
        <v>7.2400000000000006E-2</v>
      </c>
      <c r="AV3" s="25">
        <v>0</v>
      </c>
      <c r="AW3" s="25">
        <v>0</v>
      </c>
      <c r="AX3" s="25">
        <v>0</v>
      </c>
      <c r="AY3" s="25">
        <v>0</v>
      </c>
      <c r="AZ3" s="25">
        <v>0</v>
      </c>
      <c r="BA3" s="25">
        <v>0</v>
      </c>
      <c r="BB3" s="65">
        <f t="shared" ref="BB3:BB7" si="10">BC3+BD3</f>
        <v>-158.544085</v>
      </c>
      <c r="BC3" s="40">
        <v>-158.544085</v>
      </c>
      <c r="BD3" s="25">
        <v>0</v>
      </c>
      <c r="BE3" s="25">
        <v>0</v>
      </c>
      <c r="BF3" s="65">
        <f t="shared" ref="BF3:BF7" si="11">BB3</f>
        <v>-158.544085</v>
      </c>
      <c r="BG3" s="41">
        <v>0</v>
      </c>
      <c r="BH3" s="41">
        <v>0</v>
      </c>
      <c r="BI3" s="25">
        <v>-2.5472649999999999</v>
      </c>
      <c r="BJ3" s="25">
        <v>0</v>
      </c>
      <c r="BK3" s="25">
        <v>73.287125000000003</v>
      </c>
      <c r="BL3" s="41">
        <v>0</v>
      </c>
      <c r="BM3" s="41">
        <v>0</v>
      </c>
      <c r="BN3" s="41">
        <v>0</v>
      </c>
      <c r="BO3" s="25">
        <v>9.7849079999999997</v>
      </c>
      <c r="BP3" s="41">
        <v>0</v>
      </c>
      <c r="BQ3" s="41">
        <v>0</v>
      </c>
      <c r="BR3" s="41">
        <v>30.625297589999999</v>
      </c>
      <c r="BS3" s="41">
        <v>0</v>
      </c>
      <c r="BT3" s="25">
        <v>43.398257409999999</v>
      </c>
      <c r="BU3" s="41">
        <v>0</v>
      </c>
      <c r="BV3" s="41">
        <v>0</v>
      </c>
      <c r="BW3" s="41">
        <v>0</v>
      </c>
      <c r="BX3" s="41">
        <v>0</v>
      </c>
      <c r="BY3" s="41">
        <v>157.09558800000002</v>
      </c>
      <c r="BZ3" s="41">
        <v>0</v>
      </c>
      <c r="CA3" s="41">
        <v>0</v>
      </c>
      <c r="CB3" s="52">
        <f t="shared" ref="CB3:CB7" si="12">BR3+BT3</f>
        <v>74.023555000000002</v>
      </c>
      <c r="CD3" s="9">
        <f t="shared" ref="CD3:CD7" si="13">CB3</f>
        <v>74.023555000000002</v>
      </c>
      <c r="CE3" s="9">
        <v>0</v>
      </c>
      <c r="CF3" s="10">
        <f t="shared" si="0"/>
        <v>7.251216558709038E-2</v>
      </c>
      <c r="CG3" s="72">
        <f t="shared" ref="CG3:CG6" si="14">BC3+BI3+BH3+BK3+BM3+BR3+BT3+BQ3+BO3</f>
        <v>-3.9957620000000009</v>
      </c>
      <c r="CH3" s="58">
        <f>Z2*I2+CG3*((1+I2)^0.5-1)</f>
        <v>185.82593416062815</v>
      </c>
      <c r="CI3" s="58">
        <f>Z2+CG3+CH3</f>
        <v>2506.6137951606279</v>
      </c>
      <c r="CJ3" s="58">
        <f>Z3-CI3</f>
        <v>113.93195783937199</v>
      </c>
      <c r="CK3" s="58">
        <f>CJ3*0.2</f>
        <v>22.7863915678744</v>
      </c>
      <c r="CL3" s="58">
        <f>CK2</f>
        <v>0</v>
      </c>
      <c r="CM3" s="58">
        <f t="shared" ref="CM3:CO3" si="15">CL2</f>
        <v>0</v>
      </c>
      <c r="CN3" s="58">
        <f t="shared" si="15"/>
        <v>0</v>
      </c>
      <c r="CO3" s="58">
        <f t="shared" si="15"/>
        <v>0</v>
      </c>
      <c r="CP3" s="58">
        <f>SUM(CK3:CO3)</f>
        <v>22.7863915678744</v>
      </c>
      <c r="CQ3" s="34">
        <f t="shared" ref="CQ3:CQ6" si="16">BD3+BJ3+BL3+BN3+BS3+BQ3+BP3+BU3</f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</row>
    <row r="4" spans="1:105" x14ac:dyDescent="0.2">
      <c r="A4" s="39">
        <v>2018</v>
      </c>
      <c r="B4" s="40">
        <v>1027.317202</v>
      </c>
      <c r="C4" s="25">
        <v>1027.317202</v>
      </c>
      <c r="D4" s="41">
        <v>0</v>
      </c>
      <c r="E4" s="41">
        <v>0</v>
      </c>
      <c r="F4" s="41">
        <v>0</v>
      </c>
      <c r="G4" s="42">
        <v>13.581481587235221</v>
      </c>
      <c r="H4" s="43">
        <v>7.7499999999999999E-2</v>
      </c>
      <c r="I4" s="43">
        <v>7.7499999999999999E-2</v>
      </c>
      <c r="J4" s="43">
        <v>7.7499999999999999E-2</v>
      </c>
      <c r="K4" s="43">
        <v>7.7499999999999999E-2</v>
      </c>
      <c r="L4" s="25">
        <v>3841.7011790000001</v>
      </c>
      <c r="M4" s="25">
        <v>3841.7011790000001</v>
      </c>
      <c r="N4" s="25">
        <v>0</v>
      </c>
      <c r="O4" s="25">
        <v>118.922545</v>
      </c>
      <c r="P4" s="41"/>
      <c r="Q4" s="25">
        <v>3841.7011790000001</v>
      </c>
      <c r="R4" s="25">
        <v>3841.7011790000001</v>
      </c>
      <c r="S4" s="25"/>
      <c r="T4" s="25">
        <f t="shared" si="1"/>
        <v>118.922545</v>
      </c>
      <c r="U4" s="41"/>
      <c r="V4" s="25">
        <v>2752.0533049999999</v>
      </c>
      <c r="W4" s="25">
        <v>2752.0533049999999</v>
      </c>
      <c r="X4" s="25">
        <v>0</v>
      </c>
      <c r="Y4" s="25">
        <v>2849.3190749999999</v>
      </c>
      <c r="Z4" s="25">
        <f t="shared" si="2"/>
        <v>2849.3190749999999</v>
      </c>
      <c r="AA4" s="25">
        <v>0</v>
      </c>
      <c r="AB4" s="46">
        <v>9.1499999999999998E-2</v>
      </c>
      <c r="AC4" s="41">
        <f t="shared" si="3"/>
        <v>1089.6478740000002</v>
      </c>
      <c r="AD4" s="41">
        <f t="shared" si="4"/>
        <v>1089.6478740000002</v>
      </c>
      <c r="AE4" s="41">
        <f t="shared" si="5"/>
        <v>1089.6478740000002</v>
      </c>
      <c r="AF4" s="41">
        <v>0</v>
      </c>
      <c r="AG4" s="41">
        <f t="shared" si="6"/>
        <v>992.38210400000025</v>
      </c>
      <c r="AH4" s="41">
        <f t="shared" si="7"/>
        <v>992.38210400000025</v>
      </c>
      <c r="AI4" s="41">
        <f t="shared" si="8"/>
        <v>992.38210400000025</v>
      </c>
      <c r="AJ4" s="41">
        <v>0</v>
      </c>
      <c r="AK4" s="48">
        <v>0.71636318827805423</v>
      </c>
      <c r="AL4" s="75">
        <v>0.74168159943707057</v>
      </c>
      <c r="AM4" s="47"/>
      <c r="AO4" s="49">
        <v>0.10829453483719607</v>
      </c>
      <c r="AP4" s="44"/>
      <c r="AQ4" s="49">
        <v>7.0000000000000007E-2</v>
      </c>
      <c r="AR4" s="44"/>
      <c r="AS4" s="43">
        <f t="shared" si="9"/>
        <v>3.8294534837196068E-2</v>
      </c>
      <c r="AT4" s="44"/>
      <c r="AU4" s="43">
        <v>7.1999999999999995E-2</v>
      </c>
      <c r="AV4" s="25">
        <v>0</v>
      </c>
      <c r="AW4" s="25">
        <v>0</v>
      </c>
      <c r="AX4" s="25">
        <v>0</v>
      </c>
      <c r="AY4" s="25">
        <v>0</v>
      </c>
      <c r="AZ4" s="25">
        <v>0</v>
      </c>
      <c r="BA4" s="25">
        <v>0</v>
      </c>
      <c r="BB4" s="65">
        <f t="shared" si="10"/>
        <v>-177.047022</v>
      </c>
      <c r="BC4" s="40">
        <v>-177.047022</v>
      </c>
      <c r="BD4" s="25">
        <v>0</v>
      </c>
      <c r="BE4" s="25">
        <v>0</v>
      </c>
      <c r="BF4" s="65">
        <f t="shared" si="11"/>
        <v>-177.047022</v>
      </c>
      <c r="BG4" s="41">
        <v>0</v>
      </c>
      <c r="BH4" s="41">
        <v>-0.43492500000000001</v>
      </c>
      <c r="BI4" s="25">
        <v>-2.4030459999999998</v>
      </c>
      <c r="BJ4" s="25">
        <v>0</v>
      </c>
      <c r="BK4" s="25">
        <v>74.724650999999994</v>
      </c>
      <c r="BL4" s="41">
        <v>0</v>
      </c>
      <c r="BM4" s="41">
        <v>0</v>
      </c>
      <c r="BN4" s="41">
        <v>0</v>
      </c>
      <c r="BO4" s="25">
        <v>19.160584</v>
      </c>
      <c r="BP4" s="41">
        <v>0</v>
      </c>
      <c r="BQ4" s="41">
        <v>0</v>
      </c>
      <c r="BR4" s="41">
        <v>38.243146529334886</v>
      </c>
      <c r="BS4" s="41">
        <v>0</v>
      </c>
      <c r="BT4" s="25">
        <v>37.42315347066512</v>
      </c>
      <c r="BU4" s="41">
        <v>0</v>
      </c>
      <c r="BV4" s="41">
        <v>0</v>
      </c>
      <c r="BW4" s="41">
        <v>0</v>
      </c>
      <c r="BX4" s="41">
        <v>0</v>
      </c>
      <c r="BY4" s="41">
        <v>169.551535</v>
      </c>
      <c r="BZ4" s="41">
        <v>0</v>
      </c>
      <c r="CA4" s="41">
        <v>0</v>
      </c>
      <c r="CB4" s="52">
        <f t="shared" si="12"/>
        <v>75.666300000000007</v>
      </c>
      <c r="CD4" s="9">
        <f t="shared" si="13"/>
        <v>75.666300000000007</v>
      </c>
      <c r="CE4" s="9">
        <v>0</v>
      </c>
      <c r="CF4" s="10">
        <f t="shared" si="0"/>
        <v>7.3654271390269199E-2</v>
      </c>
      <c r="CG4" s="72">
        <f t="shared" si="14"/>
        <v>-10.333457999999972</v>
      </c>
      <c r="CH4" s="58">
        <f t="shared" ref="CH4:CH7" si="17">Z3*I3+CG4*((1+I3)^0.5-1)</f>
        <v>202.69934571259003</v>
      </c>
      <c r="CI4" s="58">
        <f t="shared" ref="CI4:CI6" si="18">Z3+CG4+CH4</f>
        <v>2812.9116407125898</v>
      </c>
      <c r="CJ4" s="58">
        <f t="shared" ref="CJ4:CJ6" si="19">Z4-CI4</f>
        <v>36.407434287410069</v>
      </c>
      <c r="CK4" s="58">
        <f t="shared" ref="CK4:CK7" si="20">CJ4*0.2</f>
        <v>7.2814868574820144</v>
      </c>
      <c r="CL4" s="58">
        <f t="shared" ref="CL4:CO7" si="21">CK3</f>
        <v>22.7863915678744</v>
      </c>
      <c r="CM4" s="58">
        <f t="shared" si="21"/>
        <v>0</v>
      </c>
      <c r="CN4" s="58">
        <f t="shared" si="21"/>
        <v>0</v>
      </c>
      <c r="CO4" s="58">
        <f t="shared" si="21"/>
        <v>0</v>
      </c>
      <c r="CP4" s="58">
        <f t="shared" ref="CP4:CP7" si="22">SUM(CK4:CO4)</f>
        <v>30.067878425356415</v>
      </c>
      <c r="CQ4" s="34">
        <f t="shared" si="16"/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</row>
    <row r="5" spans="1:105" x14ac:dyDescent="0.2">
      <c r="A5" s="39">
        <v>2019</v>
      </c>
      <c r="B5" s="40">
        <v>1040.1701740000001</v>
      </c>
      <c r="C5" s="25">
        <v>1040.1701740000001</v>
      </c>
      <c r="D5" s="41">
        <v>0</v>
      </c>
      <c r="E5" s="41">
        <v>0</v>
      </c>
      <c r="F5" s="41">
        <v>0</v>
      </c>
      <c r="G5" s="42">
        <v>14.056833442788452</v>
      </c>
      <c r="H5" s="43">
        <v>7.4999999999999997E-2</v>
      </c>
      <c r="I5" s="43">
        <v>7.4999999999999997E-2</v>
      </c>
      <c r="J5" s="43">
        <v>7.4999999999999997E-2</v>
      </c>
      <c r="K5" s="43">
        <v>7.4999999999999997E-2</v>
      </c>
      <c r="L5" s="25">
        <v>4136.2529869999998</v>
      </c>
      <c r="M5" s="25">
        <v>4136.2529869999998</v>
      </c>
      <c r="N5" s="25">
        <v>0</v>
      </c>
      <c r="O5" s="25">
        <v>126.95711300000001</v>
      </c>
      <c r="P5" s="41"/>
      <c r="Q5" s="25">
        <v>4136.2529869999998</v>
      </c>
      <c r="R5" s="25">
        <v>4136.2529869999998</v>
      </c>
      <c r="S5" s="25"/>
      <c r="T5" s="25">
        <f t="shared" si="1"/>
        <v>126.95711300000001</v>
      </c>
      <c r="U5" s="41"/>
      <c r="V5" s="25">
        <v>2949.9670489999999</v>
      </c>
      <c r="W5" s="25">
        <v>2949.9670489999999</v>
      </c>
      <c r="X5" s="25">
        <v>0</v>
      </c>
      <c r="Y5" s="25">
        <v>2964.1806280000001</v>
      </c>
      <c r="Z5" s="25">
        <f t="shared" si="2"/>
        <v>2964.1806280000001</v>
      </c>
      <c r="AA5" s="25">
        <v>0</v>
      </c>
      <c r="AB5" s="46">
        <v>5.4100000000000002E-2</v>
      </c>
      <c r="AC5" s="41">
        <f t="shared" si="3"/>
        <v>1186.285938</v>
      </c>
      <c r="AD5" s="41">
        <f t="shared" si="4"/>
        <v>1186.285938</v>
      </c>
      <c r="AE5" s="41">
        <f t="shared" si="5"/>
        <v>1186.285938</v>
      </c>
      <c r="AF5" s="41">
        <v>0</v>
      </c>
      <c r="AG5" s="41">
        <f t="shared" si="6"/>
        <v>1172.0723589999998</v>
      </c>
      <c r="AH5" s="41">
        <f t="shared" si="7"/>
        <v>1172.0723589999998</v>
      </c>
      <c r="AI5" s="41">
        <f t="shared" si="8"/>
        <v>1172.0723589999998</v>
      </c>
      <c r="AJ5" s="41">
        <v>0</v>
      </c>
      <c r="AK5" s="48">
        <v>0.71319792533763604</v>
      </c>
      <c r="AL5" s="75">
        <v>0.71663426712927025</v>
      </c>
      <c r="AM5" s="47"/>
      <c r="AO5" s="49">
        <v>0.11410561352265819</v>
      </c>
      <c r="AP5" s="44"/>
      <c r="AQ5" s="49">
        <v>7.0000000000000007E-2</v>
      </c>
      <c r="AR5" s="44"/>
      <c r="AS5" s="43">
        <f t="shared" si="9"/>
        <v>4.4105613522658182E-2</v>
      </c>
      <c r="AT5" s="44"/>
      <c r="AU5" s="43">
        <v>7.5800000000000006E-2</v>
      </c>
      <c r="AV5" s="25">
        <v>0</v>
      </c>
      <c r="AW5" s="25">
        <v>0</v>
      </c>
      <c r="AX5" s="25">
        <v>0</v>
      </c>
      <c r="AY5" s="25">
        <v>0</v>
      </c>
      <c r="AZ5" s="25">
        <v>0</v>
      </c>
      <c r="BA5" s="25">
        <v>0</v>
      </c>
      <c r="BB5" s="65">
        <f t="shared" si="10"/>
        <v>-191.905089</v>
      </c>
      <c r="BC5" s="40">
        <v>-191.905089</v>
      </c>
      <c r="BD5" s="25">
        <v>0</v>
      </c>
      <c r="BE5" s="25">
        <v>0</v>
      </c>
      <c r="BF5" s="65">
        <f t="shared" si="11"/>
        <v>-191.905089</v>
      </c>
      <c r="BG5" s="41">
        <v>0</v>
      </c>
      <c r="BH5" s="41">
        <v>-1.6736690000000001</v>
      </c>
      <c r="BI5" s="25">
        <f>-2455262/1000000</f>
        <v>-2.4552619999999998</v>
      </c>
      <c r="BJ5" s="25">
        <v>0</v>
      </c>
      <c r="BK5" s="25">
        <f>74974506/1000000</f>
        <v>74.974506000000005</v>
      </c>
      <c r="BL5" s="41">
        <v>0</v>
      </c>
      <c r="BM5" s="41">
        <v>0</v>
      </c>
      <c r="BN5" s="41">
        <v>0</v>
      </c>
      <c r="BO5" s="25">
        <v>7.0740879999999997</v>
      </c>
      <c r="BP5" s="41">
        <v>0</v>
      </c>
      <c r="BQ5" s="41">
        <v>0</v>
      </c>
      <c r="BR5" s="41">
        <v>39.832832964855299</v>
      </c>
      <c r="BS5" s="41">
        <v>0</v>
      </c>
      <c r="BT5" s="25">
        <v>35.897427035144702</v>
      </c>
      <c r="BU5" s="41">
        <v>0</v>
      </c>
      <c r="BV5" s="41">
        <v>0</v>
      </c>
      <c r="BW5" s="41">
        <v>0</v>
      </c>
      <c r="BX5" s="41">
        <v>0</v>
      </c>
      <c r="BY5" s="41">
        <v>157.77885400000002</v>
      </c>
      <c r="BZ5" s="41">
        <v>0</v>
      </c>
      <c r="CA5" s="41">
        <v>0</v>
      </c>
      <c r="CB5" s="52">
        <f t="shared" si="12"/>
        <v>75.730260000000001</v>
      </c>
      <c r="CD5" s="9">
        <f t="shared" si="13"/>
        <v>75.730260000000001</v>
      </c>
      <c r="CE5" s="9">
        <v>0</v>
      </c>
      <c r="CF5" s="10">
        <f t="shared" si="0"/>
        <v>7.2805644588690155E-2</v>
      </c>
      <c r="CG5" s="72">
        <f t="shared" si="14"/>
        <v>-38.255165999999988</v>
      </c>
      <c r="CH5" s="58">
        <f t="shared" si="17"/>
        <v>219.36750008664814</v>
      </c>
      <c r="CI5" s="58">
        <f t="shared" si="18"/>
        <v>3030.4314090866483</v>
      </c>
      <c r="CJ5" s="58">
        <f t="shared" si="19"/>
        <v>-66.250781086648203</v>
      </c>
      <c r="CK5" s="58">
        <f t="shared" si="20"/>
        <v>-13.250156217329641</v>
      </c>
      <c r="CL5" s="58">
        <f t="shared" si="21"/>
        <v>7.2814868574820144</v>
      </c>
      <c r="CM5" s="58">
        <f t="shared" si="21"/>
        <v>22.7863915678744</v>
      </c>
      <c r="CN5" s="58">
        <f t="shared" si="21"/>
        <v>0</v>
      </c>
      <c r="CO5" s="58">
        <f t="shared" si="21"/>
        <v>0</v>
      </c>
      <c r="CP5" s="58">
        <f t="shared" si="22"/>
        <v>16.817722208026773</v>
      </c>
      <c r="CQ5" s="34">
        <f t="shared" si="16"/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</row>
    <row r="6" spans="1:105" x14ac:dyDescent="0.2">
      <c r="A6" s="39">
        <v>2020</v>
      </c>
      <c r="B6" s="77">
        <v>1103.120694</v>
      </c>
      <c r="C6" s="25">
        <v>1103.120694</v>
      </c>
      <c r="D6" s="41">
        <v>0</v>
      </c>
      <c r="E6" s="41">
        <v>0</v>
      </c>
      <c r="F6" s="41">
        <v>0</v>
      </c>
      <c r="G6" s="42">
        <v>14.548822613286047</v>
      </c>
      <c r="H6" s="43">
        <v>7.0000000000000007E-2</v>
      </c>
      <c r="I6" s="43">
        <v>7.0000000000000007E-2</v>
      </c>
      <c r="J6" s="43">
        <v>7.0000000000000007E-2</v>
      </c>
      <c r="K6" s="43">
        <v>7.0000000000000007E-2</v>
      </c>
      <c r="L6" s="25">
        <v>4557.6790199999996</v>
      </c>
      <c r="M6" s="25">
        <v>4557.6790199999996</v>
      </c>
      <c r="N6" s="25">
        <v>0</v>
      </c>
      <c r="O6" s="25">
        <f>129793835/1000000</f>
        <v>129.793835</v>
      </c>
      <c r="P6" s="41"/>
      <c r="Q6" s="25">
        <v>4557.6790199999996</v>
      </c>
      <c r="R6" s="25">
        <v>4557.6790199999996</v>
      </c>
      <c r="S6" s="25"/>
      <c r="T6" s="25">
        <f t="shared" si="1"/>
        <v>129.793835</v>
      </c>
      <c r="U6" s="41"/>
      <c r="V6" s="25">
        <v>3112.9200329999999</v>
      </c>
      <c r="W6" s="25">
        <v>3112.9200329999999</v>
      </c>
      <c r="X6" s="25">
        <v>0</v>
      </c>
      <c r="Y6" s="25">
        <v>3011.4992940000002</v>
      </c>
      <c r="Z6" s="25">
        <f t="shared" si="2"/>
        <v>3011.4992940000002</v>
      </c>
      <c r="AA6" s="25">
        <v>0</v>
      </c>
      <c r="AB6" s="48">
        <v>3.2899999999999999E-2</v>
      </c>
      <c r="AC6" s="41">
        <f t="shared" si="3"/>
        <v>1444.7589869999997</v>
      </c>
      <c r="AD6" s="41">
        <f t="shared" si="4"/>
        <v>1444.7589869999997</v>
      </c>
      <c r="AE6" s="41">
        <f t="shared" si="5"/>
        <v>1444.7589869999997</v>
      </c>
      <c r="AF6" s="41">
        <v>0</v>
      </c>
      <c r="AG6" s="41">
        <f t="shared" si="6"/>
        <v>1546.1797259999994</v>
      </c>
      <c r="AH6" s="41">
        <f t="shared" si="7"/>
        <v>1546.1797259999994</v>
      </c>
      <c r="AI6" s="41">
        <f t="shared" si="8"/>
        <v>1546.1797259999994</v>
      </c>
      <c r="AJ6" s="41">
        <v>0</v>
      </c>
      <c r="AK6" s="48">
        <v>0.68300554280805847</v>
      </c>
      <c r="AL6" s="75">
        <v>0.6607528263365946</v>
      </c>
      <c r="AM6" s="47"/>
      <c r="AO6" s="50">
        <v>0.111</v>
      </c>
      <c r="AP6" s="44"/>
      <c r="AQ6" s="49">
        <v>7.0000000000000007E-2</v>
      </c>
      <c r="AR6" s="44">
        <v>7.0000000000000007E-2</v>
      </c>
      <c r="AS6" s="43">
        <f t="shared" si="9"/>
        <v>4.0999999999999995E-2</v>
      </c>
      <c r="AT6" s="44"/>
      <c r="AU6" s="43">
        <v>8.6099999999999996E-2</v>
      </c>
      <c r="AV6" s="25">
        <v>0</v>
      </c>
      <c r="AW6" s="25">
        <v>0</v>
      </c>
      <c r="AX6" s="25">
        <v>0</v>
      </c>
      <c r="AY6" s="25">
        <v>0</v>
      </c>
      <c r="AZ6" s="25">
        <v>0</v>
      </c>
      <c r="BA6" s="25">
        <v>0</v>
      </c>
      <c r="BB6" s="65">
        <f t="shared" si="10"/>
        <v>-212.14052699999999</v>
      </c>
      <c r="BC6" s="40">
        <v>-212.14052699999999</v>
      </c>
      <c r="BD6" s="25">
        <v>0</v>
      </c>
      <c r="BE6" s="25">
        <v>0</v>
      </c>
      <c r="BF6" s="65">
        <f t="shared" si="11"/>
        <v>-212.14052699999999</v>
      </c>
      <c r="BG6" s="41">
        <v>0</v>
      </c>
      <c r="BH6" s="41">
        <v>-0.242733</v>
      </c>
      <c r="BI6" s="25">
        <f>-2639036/1000000</f>
        <v>-2.6390359999999999</v>
      </c>
      <c r="BJ6" s="25">
        <v>0</v>
      </c>
      <c r="BK6" s="25">
        <f>77718958/1000000</f>
        <v>77.718958000000001</v>
      </c>
      <c r="BL6" s="41">
        <v>0</v>
      </c>
      <c r="BM6" s="41">
        <v>0</v>
      </c>
      <c r="BN6" s="41">
        <v>0</v>
      </c>
      <c r="BO6" s="25">
        <v>9.8819210000000002</v>
      </c>
      <c r="BP6" s="41">
        <v>0</v>
      </c>
      <c r="BQ6" s="41">
        <v>0</v>
      </c>
      <c r="BR6" s="41">
        <v>48.653814998410475</v>
      </c>
      <c r="BS6" s="41">
        <v>0</v>
      </c>
      <c r="BT6" s="25">
        <v>29.456746001589529</v>
      </c>
      <c r="BU6" s="41">
        <v>0</v>
      </c>
      <c r="BV6" s="41">
        <v>0</v>
      </c>
      <c r="BW6" s="41">
        <v>0</v>
      </c>
      <c r="BX6" s="41">
        <v>0</v>
      </c>
      <c r="BY6" s="41">
        <v>165.71144000000001</v>
      </c>
      <c r="BZ6" s="41">
        <v>0</v>
      </c>
      <c r="CA6" s="41">
        <v>0</v>
      </c>
      <c r="CB6" s="52">
        <f t="shared" si="12"/>
        <v>78.110561000000004</v>
      </c>
      <c r="CD6" s="9">
        <f t="shared" si="13"/>
        <v>78.110561000000004</v>
      </c>
      <c r="CE6" s="9">
        <v>0</v>
      </c>
      <c r="CF6" s="10">
        <f t="shared" si="0"/>
        <v>7.0808716965289759E-2</v>
      </c>
      <c r="CG6" s="72">
        <f t="shared" si="14"/>
        <v>-49.310856000000001</v>
      </c>
      <c r="CH6" s="58">
        <f t="shared" si="17"/>
        <v>220.49781942368057</v>
      </c>
      <c r="CI6" s="58">
        <f t="shared" si="18"/>
        <v>3135.3675914236806</v>
      </c>
      <c r="CJ6" s="58">
        <f t="shared" si="19"/>
        <v>-123.86829742368036</v>
      </c>
      <c r="CK6" s="58">
        <f t="shared" si="20"/>
        <v>-24.773659484736072</v>
      </c>
      <c r="CL6" s="58">
        <f t="shared" si="21"/>
        <v>-13.250156217329641</v>
      </c>
      <c r="CM6" s="58">
        <f t="shared" si="21"/>
        <v>7.2814868574820144</v>
      </c>
      <c r="CN6" s="58">
        <f t="shared" si="21"/>
        <v>22.7863915678744</v>
      </c>
      <c r="CO6" s="58">
        <f t="shared" si="21"/>
        <v>0</v>
      </c>
      <c r="CP6" s="58">
        <f t="shared" si="22"/>
        <v>-7.955937276709296</v>
      </c>
      <c r="CQ6" s="34">
        <f t="shared" si="16"/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</row>
    <row r="7" spans="1:105" x14ac:dyDescent="0.2">
      <c r="A7" s="39">
        <v>2021</v>
      </c>
      <c r="B7" s="77">
        <f>1132390738/1000000</f>
        <v>1132.3907380000001</v>
      </c>
      <c r="C7" s="25">
        <f>B7</f>
        <v>1132.3907380000001</v>
      </c>
      <c r="D7" s="41">
        <v>0</v>
      </c>
      <c r="E7" s="41">
        <v>0</v>
      </c>
      <c r="F7" s="41">
        <v>0</v>
      </c>
      <c r="G7" s="42"/>
      <c r="H7" s="43">
        <v>7.0000000000000007E-2</v>
      </c>
      <c r="I7" s="43">
        <v>7.0000000000000007E-2</v>
      </c>
      <c r="J7" s="43">
        <v>7.0000000000000007E-2</v>
      </c>
      <c r="K7" s="43">
        <v>7.0000000000000007E-2</v>
      </c>
      <c r="L7" s="25">
        <f>4795054158/1000000</f>
        <v>4795.0541579999999</v>
      </c>
      <c r="M7" s="25">
        <f>L7</f>
        <v>4795.0541579999999</v>
      </c>
      <c r="N7" s="25">
        <v>0</v>
      </c>
      <c r="O7" s="61">
        <f>131755463/1000000</f>
        <v>131.75546299999999</v>
      </c>
      <c r="P7" s="59">
        <v>0</v>
      </c>
      <c r="Q7" s="25">
        <f>L7</f>
        <v>4795.0541579999999</v>
      </c>
      <c r="R7" s="25">
        <f>Q7</f>
        <v>4795.0541579999999</v>
      </c>
      <c r="S7" s="25"/>
      <c r="T7" s="25">
        <f t="shared" si="1"/>
        <v>131.75546299999999</v>
      </c>
      <c r="U7" s="59">
        <f>P7</f>
        <v>0</v>
      </c>
      <c r="V7" s="25">
        <f>3369943759/1000000</f>
        <v>3369.9437589999998</v>
      </c>
      <c r="W7" s="25">
        <f>V7</f>
        <v>3369.9437589999998</v>
      </c>
      <c r="X7" s="25">
        <v>0</v>
      </c>
      <c r="Y7" s="25">
        <v>3752.753612</v>
      </c>
      <c r="Z7" s="25">
        <f t="shared" si="2"/>
        <v>3752.753612</v>
      </c>
      <c r="AA7" s="25">
        <v>0</v>
      </c>
      <c r="AB7" s="48">
        <v>0.27150000000000002</v>
      </c>
      <c r="AC7" s="41">
        <f t="shared" si="3"/>
        <v>1425.1103990000001</v>
      </c>
      <c r="AD7" s="41">
        <f t="shared" si="4"/>
        <v>1425.1103990000001</v>
      </c>
      <c r="AE7" s="41">
        <f t="shared" si="5"/>
        <v>1425.1103990000001</v>
      </c>
      <c r="AF7" s="41">
        <v>0</v>
      </c>
      <c r="AG7" s="41">
        <f t="shared" si="6"/>
        <v>1042.3005459999999</v>
      </c>
      <c r="AH7" s="41">
        <f t="shared" si="7"/>
        <v>1042.3005459999999</v>
      </c>
      <c r="AI7" s="41">
        <f t="shared" si="8"/>
        <v>1042.3005459999999</v>
      </c>
      <c r="AJ7" s="41">
        <v>0</v>
      </c>
      <c r="AK7" s="73">
        <f>V7/Q7</f>
        <v>0.70279576579497727</v>
      </c>
      <c r="AL7" s="74">
        <f>Y7/Q7</f>
        <v>0.78263007848179555</v>
      </c>
      <c r="AM7" s="47"/>
      <c r="AO7" s="50">
        <v>0.10979999999999999</v>
      </c>
      <c r="AP7" s="60">
        <v>9.7918409999999997E-2</v>
      </c>
      <c r="AQ7" s="49">
        <v>7.0000000000000007E-2</v>
      </c>
      <c r="AR7" s="44">
        <v>7.0000000000000007E-2</v>
      </c>
      <c r="AS7" s="43">
        <f t="shared" si="9"/>
        <v>3.9799999999999988E-2</v>
      </c>
      <c r="AT7" s="60">
        <f>AP7-AR7</f>
        <v>2.7918409999999991E-2</v>
      </c>
      <c r="AU7" s="43">
        <v>8.2699999999999996E-2</v>
      </c>
      <c r="AV7" s="25">
        <v>0</v>
      </c>
      <c r="AW7" s="25">
        <v>0</v>
      </c>
      <c r="AX7" s="25">
        <v>0</v>
      </c>
      <c r="AY7" s="25">
        <v>0</v>
      </c>
      <c r="AZ7" s="25">
        <v>0</v>
      </c>
      <c r="BA7" s="25">
        <v>0</v>
      </c>
      <c r="BB7" s="65">
        <f t="shared" si="10"/>
        <v>-224.26585299999999</v>
      </c>
      <c r="BC7" s="40">
        <f>-224265853/1000000</f>
        <v>-224.26585299999999</v>
      </c>
      <c r="BD7" s="25">
        <v>0</v>
      </c>
      <c r="BE7" s="25">
        <v>0</v>
      </c>
      <c r="BF7" s="65">
        <f t="shared" si="11"/>
        <v>-224.26585299999999</v>
      </c>
      <c r="BG7" s="59">
        <v>0</v>
      </c>
      <c r="BH7" s="59">
        <f>-12595524/1000000</f>
        <v>-12.595523999999999</v>
      </c>
      <c r="BI7" s="61">
        <f>-2475682/1000000</f>
        <v>-2.4756819999999999</v>
      </c>
      <c r="BJ7" s="25">
        <v>0</v>
      </c>
      <c r="BK7" s="61">
        <f>81568186/1000000</f>
        <v>81.568185999999997</v>
      </c>
      <c r="BL7" s="41">
        <v>0</v>
      </c>
      <c r="BM7" s="41">
        <v>0</v>
      </c>
      <c r="BN7" s="41">
        <v>0</v>
      </c>
      <c r="BO7" s="61">
        <f>6894649/1000000</f>
        <v>6.8946490000000002</v>
      </c>
      <c r="BP7" s="41">
        <v>0</v>
      </c>
      <c r="BQ7" s="59">
        <v>0</v>
      </c>
      <c r="BR7" s="61">
        <f>AS7*C7</f>
        <v>45.069151372399986</v>
      </c>
      <c r="BS7" s="59">
        <v>0</v>
      </c>
      <c r="BT7" s="61">
        <f>83508849/1000000-BR7</f>
        <v>38.439697627600012</v>
      </c>
      <c r="BU7" s="41">
        <v>0</v>
      </c>
      <c r="BV7" s="41">
        <v>0</v>
      </c>
      <c r="BW7" s="41">
        <v>0</v>
      </c>
      <c r="BX7" s="41">
        <v>0</v>
      </c>
      <c r="BY7" s="41">
        <f>SUM(BK7:BX7)</f>
        <v>171.97168399999998</v>
      </c>
      <c r="BZ7" s="41">
        <v>0</v>
      </c>
      <c r="CA7" s="41">
        <v>0</v>
      </c>
      <c r="CB7" s="52">
        <f t="shared" si="12"/>
        <v>83.508848999999998</v>
      </c>
      <c r="CD7" s="9">
        <f t="shared" si="13"/>
        <v>83.508848999999998</v>
      </c>
      <c r="CE7" s="9">
        <v>0</v>
      </c>
      <c r="CF7" s="10">
        <f t="shared" si="0"/>
        <v>7.3745612885788181E-2</v>
      </c>
      <c r="CG7" s="72">
        <f t="shared" ref="CG7" si="23">BC7+BI7+BH7+BK7+BM7+BR7+BT7+BQ7+BO7</f>
        <v>-67.365375000000014</v>
      </c>
      <c r="CH7" s="58">
        <f t="shared" si="17"/>
        <v>208.48703984150339</v>
      </c>
      <c r="CI7" s="58">
        <f t="shared" ref="CI7" si="24">Z6+CG7+CH7</f>
        <v>3152.6209588415036</v>
      </c>
      <c r="CJ7" s="58">
        <f t="shared" ref="CJ7" si="25">Z7-CI7</f>
        <v>600.1326531584964</v>
      </c>
      <c r="CK7" s="58">
        <f t="shared" si="20"/>
        <v>120.02653063169929</v>
      </c>
      <c r="CL7" s="58">
        <f t="shared" si="21"/>
        <v>-24.773659484736072</v>
      </c>
      <c r="CM7" s="58">
        <f t="shared" si="21"/>
        <v>-13.250156217329641</v>
      </c>
      <c r="CN7" s="58">
        <f t="shared" si="21"/>
        <v>7.2814868574820144</v>
      </c>
      <c r="CO7" s="58">
        <f t="shared" si="21"/>
        <v>22.7863915678744</v>
      </c>
      <c r="CP7" s="58">
        <f t="shared" si="22"/>
        <v>112.07059335498998</v>
      </c>
      <c r="CQ7" s="34">
        <f t="shared" ref="CQ7" si="26">BD7+BJ7+BL7+BN7+BS7+BQ7+BP7+BU7</f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</row>
    <row r="9" spans="1:105" x14ac:dyDescent="0.2">
      <c r="Y9" s="58"/>
    </row>
    <row r="10" spans="1:105" x14ac:dyDescent="0.2">
      <c r="Y10" s="58"/>
    </row>
    <row r="11" spans="1:105" x14ac:dyDescent="0.2">
      <c r="AC11" s="67"/>
      <c r="AD11" s="67"/>
      <c r="BT11" s="70"/>
      <c r="CJ11" s="67"/>
    </row>
    <row r="12" spans="1:105" x14ac:dyDescent="0.2">
      <c r="CJ12" s="58"/>
    </row>
    <row r="13" spans="1:105" x14ac:dyDescent="0.2">
      <c r="CJ13" s="68"/>
    </row>
  </sheetData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Numeric Inputs</vt:lpstr>
      <vt:lpstr>Character Inputs</vt:lpstr>
      <vt:lpstr>List Box</vt:lpstr>
      <vt:lpstr>Amortization_CurrentHires</vt:lpstr>
      <vt:lpstr>Amortization_NewHires</vt:lpstr>
      <vt:lpstr>Inv_Returns</vt:lpstr>
      <vt:lpstr>Historical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Microsoft Office User</cp:lastModifiedBy>
  <dcterms:created xsi:type="dcterms:W3CDTF">2021-01-07T15:43:46Z</dcterms:created>
  <dcterms:modified xsi:type="dcterms:W3CDTF">2022-04-25T09:47:39Z</dcterms:modified>
</cp:coreProperties>
</file>