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waro\Desktop\NDPERS R Model\"/>
    </mc:Choice>
  </mc:AlternateContent>
  <xr:revisionPtr revIDLastSave="0" documentId="13_ncr:1_{BB727F71-B5D8-4A11-9180-FEAC4C531D0B}" xr6:coauthVersionLast="47" xr6:coauthVersionMax="47" xr10:uidLastSave="{00000000-0000-0000-0000-000000000000}"/>
  <bookViews>
    <workbookView xWindow="3384" yWindow="3384" windowWidth="17316" windowHeight="8952" firstSheet="5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" i="2" l="1"/>
  <c r="CG3" i="2"/>
  <c r="CH5" i="2"/>
  <c r="CG4" i="2"/>
  <c r="CF3" i="2"/>
  <c r="CF6" i="2"/>
  <c r="CF5" i="2"/>
  <c r="CG6" i="2" s="1"/>
  <c r="CF4" i="2"/>
  <c r="CG5" i="2" s="1"/>
  <c r="CH6" i="2" s="1"/>
  <c r="CH4" i="2"/>
  <c r="CO6" i="2"/>
  <c r="CP6" i="2"/>
  <c r="CO5" i="2"/>
  <c r="CQ6" i="2"/>
  <c r="CP5" i="2"/>
  <c r="CO4" i="2"/>
  <c r="CQ3" i="2"/>
  <c r="CQ4" i="2"/>
  <c r="CP3" i="2"/>
  <c r="CQ5" i="2"/>
  <c r="CP4" i="2"/>
  <c r="CO3" i="2"/>
  <c r="CN4" i="2"/>
  <c r="CN5" i="2"/>
  <c r="CN6" i="2"/>
  <c r="CN3" i="2"/>
  <c r="CE4" i="2"/>
  <c r="CE5" i="2"/>
  <c r="CE6" i="2"/>
  <c r="CE3" i="2"/>
  <c r="CM4" i="2"/>
  <c r="CM5" i="2"/>
  <c r="CM6" i="2"/>
  <c r="CM3" i="2"/>
  <c r="CL4" i="2"/>
  <c r="CL5" i="2"/>
  <c r="CL6" i="2"/>
  <c r="CL3" i="2"/>
  <c r="CK4" i="2"/>
  <c r="CK5" i="2"/>
  <c r="CK6" i="2"/>
  <c r="CK3" i="2"/>
  <c r="CB5" i="2"/>
  <c r="CJ3" i="2"/>
  <c r="CJ4" i="2"/>
  <c r="CJ5" i="2"/>
  <c r="CJ6" i="2"/>
  <c r="CJ2" i="2"/>
  <c r="C41" i="1"/>
  <c r="BF6" i="2"/>
  <c r="BF5" i="2"/>
  <c r="BF2" i="2"/>
  <c r="CA2" i="2" s="1"/>
  <c r="BD6" i="2"/>
  <c r="BD5" i="2"/>
  <c r="AZ6" i="2"/>
  <c r="CA6" i="2" s="1"/>
  <c r="AZ5" i="2"/>
  <c r="CA5" i="2" s="1"/>
  <c r="AZ4" i="2"/>
  <c r="CA4" i="2" s="1"/>
  <c r="AZ3" i="2"/>
  <c r="CA3" i="2" s="1"/>
  <c r="CB4" i="2" l="1"/>
  <c r="CC4" i="2" s="1"/>
  <c r="CD4" i="2" s="1"/>
  <c r="CC6" i="2"/>
  <c r="CD6" i="2" s="1"/>
  <c r="CB6" i="2"/>
  <c r="CC5" i="2"/>
  <c r="CD5" i="2" s="1"/>
  <c r="CB3" i="2"/>
  <c r="CC3" i="2" s="1"/>
  <c r="CD3" i="2" s="1"/>
  <c r="BW2" i="2"/>
  <c r="C49" i="1" l="1"/>
  <c r="E49" i="1"/>
  <c r="D50" i="1"/>
  <c r="E51" i="1"/>
  <c r="E50" i="1" s="1"/>
  <c r="C51" i="1" l="1"/>
  <c r="C50" i="1" s="1"/>
  <c r="C53" i="1" l="1"/>
  <c r="C54" i="1"/>
  <c r="C55" i="1" l="1"/>
  <c r="C57" i="1"/>
  <c r="C56" i="1" l="1"/>
  <c r="C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<sst xmlns="http://schemas.openxmlformats.org/spreadsheetml/2006/main" count="322" uniqueCount="283">
  <si>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</si>
  <si>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</si>
  <si>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</si>
  <si>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</si>
  <si>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</si>
  <si>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</si>
  <si>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</si>
  <si>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</si>
  <si>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</si>
  <si>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</si>
  <si>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</si>
  <si>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</si>
  <si>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</si>
  <si>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</si>
  <si>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</si>
  <si>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</si>
  <si>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</si>
  <si>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</si>
  <si>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</si>
  <si>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</si>
  <si>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</si>
  <si>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</si>
  <si>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</si>
  <si>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</si>
  <si>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</si>
  <si>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</si>
  <si>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</si>
  <si>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</si>
  <si>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</si>
  <si>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</si>
  <si>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</si>
  <si>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</si>
  <si>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</si>
  <si>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</si>
  <si>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</si>
  <si>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</si>
  <si>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</si>
  <si>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</si>
  <si>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</si>
  <si>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</si>
  <si>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</si>
  <si>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</si>
  <si>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</si>
  <si>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</si>
  <si>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</si>
  <si>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</si>
  <si>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</si>
  <si>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</si>
  <si>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</si>
  <si>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</si>
  <si>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</si>
  <si>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</si>
  <si>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</si>
  <si>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</si>
  <si>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</si>
  <si>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</si>
  <si>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</si>
  <si>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</si>
  <si>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</si>
  <si>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</si>
  <si>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</si>
  <si>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</si>
  <si>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</si>
  <si>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</si>
  <si>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</si>
  <si>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</si>
  <si>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</si>
  <si>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</si>
  <si>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</si>
  <si>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</si>
  <si>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</si>
  <si>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</si>
  <si>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</si>
  <si>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</si>
  <si>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</si>
  <si>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</si>
  <si>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</si>
  <si>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</si>
  <si>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</si>
  <si>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</si>
  <si>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</si>
  <si>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</si>
  <si>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</si>
  <si>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</si>
  <si>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</si>
  <si>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</si>
  <si>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</si>
  <si>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</si>
  <si>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</si>
  <si>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</si>
  <si>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</si>
  <si>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</si>
  <si>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</si>
  <si>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</si>
  <si>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</si>
  <si>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</si>
  <si>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</si>
  <si>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</si>
  <si>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</si>
  <si>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</si>
  <si>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</si>
  <si>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</si>
  <si>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</si>
  <si>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</si>
  <si>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</si>
  <si>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</si>
  <si>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</si>
  <si>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</si>
  <si>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</si>
  <si>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</si>
  <si>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</si>
  <si>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</si>
  <si>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</si>
  <si>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</si>
  <si>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</si>
  <si>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</si>
  <si>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</si>
  <si>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</si>
  <si>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</si>
  <si>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</si>
  <si>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</si>
  <si>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</si>
  <si>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</si>
  <si>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</si>
  <si>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</si>
  <si>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</si>
  <si>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</si>
  <si>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</si>
  <si>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</si>
  <si>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</si>
  <si>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</si>
  <si>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</si>
  <si>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</si>
  <si>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</si>
  <si>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</si>
  <si>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</si>
  <si>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</si>
  <si>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</si>
  <si>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</si>
  <si>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</si>
  <si>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</si>
  <si>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</si>
  <si>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</si>
  <si>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</si>
  <si>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</si>
  <si>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</si>
  <si>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</si>
  <si>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Total_Contrib_DC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</si>
  <si>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</si>
  <si>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</si>
  <si>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</si>
  <si>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</si>
  <si>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</si>
  <si>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</si>
  <si>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</si>
  <si>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</si>
  <si>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</si>
  <si>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</si>
  <si>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</si>
  <si>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</si>
  <si>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</si>
  <si>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</si>
  <si>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</si>
  <si>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</si>
  <si>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</si>
  <si>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</si>
  <si>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</si>
  <si>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</si>
  <si>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</si>
  <si>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</si>
  <si>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</si>
  <si>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</si>
  <si>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</si>
  <si>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</si>
  <si>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</si>
  <si>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</si>
  <si>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</si>
  <si>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</si>
  <si>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</si>
  <si>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</si>
  <si>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</si>
  <si>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</si>
  <si>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</si>
  <si>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</si>
  <si>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</si>
  <si>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</si>
  <si>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</si>
  <si>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</si>
  <si>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</si>
  <si>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</si>
  <si>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</si>
  <si>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</si>
  <si>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</si>
  <si>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</si>
  <si>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</si>
  <si>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</si>
  <si>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</si>
  <si>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</si>
  <si>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</si>
  <si>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</si>
  <si>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</si>
  <si>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</si>
  <si>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</si>
  <si>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</si>
  <si>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CurrentHires</t>
  </si>
  <si>
    <t>NewHires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</si>
  <si>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</si>
  <si>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</si>
  <si>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</si>
  <si>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</si>
  <si>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</si>
  <si>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</si>
  <si>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</si>
  <si>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</si>
  <si>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</si>
  <si>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</si>
  <si>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</si>
  <si>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</si>
  <si>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</si>
  <si>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</si>
  <si>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</si>
  <si>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</si>
  <si>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</si>
  <si>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</si>
  <si>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</si>
  <si>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</si>
  <si>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</si>
  <si>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</si>
  <si>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</si>
  <si>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</si>
  <si>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</si>
  <si>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</si>
  <si>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Benefit Grwoth Rate</t>
  </si>
  <si>
    <t>BenGrowth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</si>
  <si>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</si>
  <si>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</si>
  <si>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</si>
  <si>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</si>
  <si>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</si>
  <si>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</si>
  <si>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</si>
  <si>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</si>
  <si>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</si>
  <si>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</si>
  <si>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</si>
  <si>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</si>
  <si>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</si>
  <si>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</si>
  <si>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</si>
  <si>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</si>
  <si>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</si>
  <si>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</si>
  <si>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</si>
  <si>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</si>
  <si>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</si>
  <si>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</si>
  <si>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</si>
  <si>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</si>
  <si>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</si>
  <si>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</si>
  <si>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</si>
  <si>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</si>
  <si>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</si>
  <si>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</si>
  <si>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</si>
  <si>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</si>
  <si>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</si>
  <si>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</si>
  <si>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</si>
  <si>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Bill1AdditionalER</t>
  </si>
  <si>
    <t>Bill1CashInfusion</t>
  </si>
  <si>
    <t>Bill2TransferGF</t>
  </si>
  <si>
    <t>Bill2TransferPERS</t>
  </si>
  <si>
    <t>Bill2TransferFRTreshold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</si>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</sst>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3" fillId="0" borderId="3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37" workbookViewId="0">
      <selection activeCell="B46" sqref="B4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2" t="s">
        <v>0</v>
      </c>
    </row>
    <row r="2" spans="1:3" x14ac:dyDescent="0.3">
      <c r="A2" t="s">
        <v>96</v>
      </c>
      <c r="B2" t="s">
        <v>186</v>
      </c>
      <c r="C2" s="33">
        <v>7.0000000000000007E-2</v>
      </c>
    </row>
    <row r="3" spans="1:3" x14ac:dyDescent="0.3">
      <c r="A3" t="s">
        <v>97</v>
      </c>
      <c r="B3" t="s">
        <v>187</v>
      </c>
      <c r="C3" s="33">
        <v>7.0000000000000007E-2</v>
      </c>
    </row>
    <row r="4" spans="1:3" x14ac:dyDescent="0.3">
      <c r="A4" t="s">
        <v>98</v>
      </c>
      <c r="B4" t="s">
        <v>188</v>
      </c>
      <c r="C4" s="33">
        <v>7.0000000000000007E-2</v>
      </c>
    </row>
    <row r="5" spans="1:3" x14ac:dyDescent="0.3">
      <c r="A5" t="s">
        <v>99</v>
      </c>
      <c r="B5" t="s">
        <v>189</v>
      </c>
      <c r="C5" s="33">
        <v>7.0000000000000007E-2</v>
      </c>
    </row>
    <row r="6" spans="1:3" x14ac:dyDescent="0.3">
      <c r="A6" t="s">
        <v>15</v>
      </c>
      <c r="B6" t="s">
        <v>60</v>
      </c>
      <c r="C6" s="33">
        <v>2.2499999999999999E-2</v>
      </c>
    </row>
    <row r="7" spans="1:3" x14ac:dyDescent="0.3">
      <c r="A7" s="32" t="s">
        <v>3</v>
      </c>
    </row>
    <row r="8" spans="1:3" x14ac:dyDescent="0.3">
      <c r="A8" t="s">
        <v>101</v>
      </c>
      <c r="B8" t="s">
        <v>102</v>
      </c>
      <c r="C8" s="34">
        <v>0.5</v>
      </c>
    </row>
    <row r="9" spans="1:3" x14ac:dyDescent="0.3">
      <c r="A9" t="s">
        <v>59</v>
      </c>
      <c r="B9" t="s">
        <v>63</v>
      </c>
      <c r="C9">
        <v>2020</v>
      </c>
    </row>
    <row r="10" spans="1:3" x14ac:dyDescent="0.3">
      <c r="A10" t="s">
        <v>230</v>
      </c>
      <c r="B10" t="s">
        <v>244</v>
      </c>
      <c r="C10" s="33">
        <v>0.11169999999999999</v>
      </c>
    </row>
    <row r="11" spans="1:3" x14ac:dyDescent="0.3">
      <c r="A11" t="s">
        <v>231</v>
      </c>
      <c r="B11" t="s">
        <v>185</v>
      </c>
      <c r="C11" s="33">
        <v>9.98E-2</v>
      </c>
    </row>
    <row r="12" spans="1:3" x14ac:dyDescent="0.3">
      <c r="A12" t="s">
        <v>58</v>
      </c>
      <c r="B12" t="s">
        <v>190</v>
      </c>
      <c r="C12" s="33">
        <v>0</v>
      </c>
    </row>
    <row r="13" spans="1:3" x14ac:dyDescent="0.3">
      <c r="A13" t="s">
        <v>201</v>
      </c>
      <c r="B13" t="s">
        <v>202</v>
      </c>
      <c r="C13" s="43">
        <v>0.5</v>
      </c>
    </row>
    <row r="14" spans="1:3" x14ac:dyDescent="0.3">
      <c r="A14" t="s">
        <v>105</v>
      </c>
      <c r="B14" t="s">
        <v>198</v>
      </c>
      <c r="C14" s="34">
        <v>0</v>
      </c>
    </row>
    <row r="15" spans="1:3" x14ac:dyDescent="0.3">
      <c r="A15" t="s">
        <v>106</v>
      </c>
      <c r="B15" t="s">
        <v>199</v>
      </c>
      <c r="C15" s="34">
        <v>0</v>
      </c>
    </row>
    <row r="16" spans="1:3" x14ac:dyDescent="0.3">
      <c r="A16" t="s">
        <v>206</v>
      </c>
      <c r="B16" t="s">
        <v>207</v>
      </c>
      <c r="C16" s="15">
        <v>2.75E-2</v>
      </c>
    </row>
    <row r="17" spans="1:3" x14ac:dyDescent="0.3">
      <c r="A17" t="s">
        <v>236</v>
      </c>
      <c r="B17" t="s">
        <v>238</v>
      </c>
      <c r="C17" s="15">
        <v>1</v>
      </c>
    </row>
    <row r="18" spans="1:3" x14ac:dyDescent="0.3">
      <c r="A18" t="s">
        <v>237</v>
      </c>
      <c r="B18" t="s">
        <v>239</v>
      </c>
      <c r="C18" s="15">
        <v>0</v>
      </c>
    </row>
    <row r="19" spans="1:3" x14ac:dyDescent="0.3">
      <c r="A19" s="62" t="s">
        <v>257</v>
      </c>
      <c r="B19" t="s">
        <v>260</v>
      </c>
      <c r="C19" s="15">
        <v>0</v>
      </c>
    </row>
    <row r="20" spans="1:3" x14ac:dyDescent="0.3">
      <c r="A20" s="62" t="s">
        <v>258</v>
      </c>
      <c r="B20" t="s">
        <v>261</v>
      </c>
      <c r="C20" s="15">
        <v>0</v>
      </c>
    </row>
    <row r="21" spans="1:3" x14ac:dyDescent="0.3">
      <c r="A21" s="62" t="s">
        <v>259</v>
      </c>
      <c r="B21" t="s">
        <v>262</v>
      </c>
      <c r="C21" s="15">
        <v>0</v>
      </c>
    </row>
    <row r="22" spans="1:3" x14ac:dyDescent="0.3">
      <c r="A22" s="32" t="s">
        <v>107</v>
      </c>
    </row>
    <row r="23" spans="1:3" x14ac:dyDescent="0.3">
      <c r="A23" t="s">
        <v>17</v>
      </c>
      <c r="B23" t="s">
        <v>64</v>
      </c>
      <c r="C23" s="33">
        <v>7.0000000000000007E-2</v>
      </c>
    </row>
    <row r="24" spans="1:3" x14ac:dyDescent="0.3">
      <c r="A24" t="s">
        <v>108</v>
      </c>
      <c r="B24" t="s">
        <v>109</v>
      </c>
      <c r="C24" s="33">
        <v>2.5000000000000001E-2</v>
      </c>
    </row>
    <row r="25" spans="1:3" x14ac:dyDescent="0.3">
      <c r="A25" t="s">
        <v>5</v>
      </c>
      <c r="B25" t="s">
        <v>62</v>
      </c>
      <c r="C25" s="33">
        <v>0</v>
      </c>
    </row>
    <row r="26" spans="1:3" x14ac:dyDescent="0.3">
      <c r="A26" t="s">
        <v>6</v>
      </c>
      <c r="B26" t="s">
        <v>66</v>
      </c>
      <c r="C26">
        <v>66</v>
      </c>
    </row>
    <row r="27" spans="1:3" x14ac:dyDescent="0.3">
      <c r="A27" t="s">
        <v>110</v>
      </c>
      <c r="B27" t="s">
        <v>112</v>
      </c>
      <c r="C27" s="33">
        <v>2.3E-3</v>
      </c>
    </row>
    <row r="28" spans="1:3" x14ac:dyDescent="0.3">
      <c r="A28" t="s">
        <v>232</v>
      </c>
      <c r="B28" t="s">
        <v>233</v>
      </c>
      <c r="C28" s="33">
        <v>4.3200000000000002E-2</v>
      </c>
    </row>
    <row r="29" spans="1:3" x14ac:dyDescent="0.3">
      <c r="A29" t="s">
        <v>111</v>
      </c>
      <c r="B29" t="s">
        <v>200</v>
      </c>
      <c r="C29" s="42">
        <v>8.5</v>
      </c>
    </row>
    <row r="30" spans="1:3" x14ac:dyDescent="0.3">
      <c r="A30" t="s">
        <v>4</v>
      </c>
      <c r="B30" t="s">
        <v>65</v>
      </c>
      <c r="C30" s="33">
        <v>3.5000000000000003E-2</v>
      </c>
    </row>
    <row r="31" spans="1:3" x14ac:dyDescent="0.3">
      <c r="A31" t="s">
        <v>234</v>
      </c>
      <c r="B31" t="s">
        <v>235</v>
      </c>
      <c r="C31" s="33">
        <v>0.98</v>
      </c>
    </row>
    <row r="32" spans="1:3" x14ac:dyDescent="0.3">
      <c r="A32" s="32" t="s">
        <v>263</v>
      </c>
      <c r="C32" s="33"/>
    </row>
    <row r="33" spans="1:3" x14ac:dyDescent="0.3">
      <c r="A33" s="63" t="s">
        <v>264</v>
      </c>
      <c r="B33" t="s">
        <v>269</v>
      </c>
      <c r="C33" s="64">
        <v>0</v>
      </c>
    </row>
    <row r="34" spans="1:3" x14ac:dyDescent="0.3">
      <c r="A34" s="63" t="s">
        <v>265</v>
      </c>
      <c r="B34" t="s">
        <v>270</v>
      </c>
      <c r="C34" s="65">
        <v>0</v>
      </c>
    </row>
    <row r="35" spans="1:3" x14ac:dyDescent="0.3">
      <c r="A35" s="63" t="s">
        <v>266</v>
      </c>
      <c r="B35" t="s">
        <v>271</v>
      </c>
      <c r="C35" s="66">
        <v>0</v>
      </c>
    </row>
    <row r="36" spans="1:3" x14ac:dyDescent="0.3">
      <c r="A36" s="63" t="s">
        <v>267</v>
      </c>
      <c r="B36" t="s">
        <v>272</v>
      </c>
      <c r="C36" s="64">
        <v>0.14000000000000001</v>
      </c>
    </row>
    <row r="37" spans="1:3" x14ac:dyDescent="0.3">
      <c r="A37" s="63" t="s">
        <v>268</v>
      </c>
      <c r="B37" t="s">
        <v>273</v>
      </c>
      <c r="C37" s="64">
        <v>0.9</v>
      </c>
    </row>
    <row r="38" spans="1:3" x14ac:dyDescent="0.3">
      <c r="A38" s="32" t="s">
        <v>7</v>
      </c>
      <c r="C38" s="33"/>
    </row>
    <row r="39" spans="1:3" x14ac:dyDescent="0.3">
      <c r="A39" s="41" t="s">
        <v>165</v>
      </c>
      <c r="B39" t="s">
        <v>167</v>
      </c>
      <c r="C39" s="42">
        <v>25</v>
      </c>
    </row>
    <row r="40" spans="1:3" x14ac:dyDescent="0.3">
      <c r="A40" s="41" t="s">
        <v>166</v>
      </c>
      <c r="B40" t="s">
        <v>168</v>
      </c>
      <c r="C40" s="42">
        <v>20</v>
      </c>
    </row>
    <row r="41" spans="1:3" x14ac:dyDescent="0.3">
      <c r="A41" t="s">
        <v>12</v>
      </c>
      <c r="B41" t="s">
        <v>69</v>
      </c>
      <c r="C41" s="33">
        <f>C30</f>
        <v>3.5000000000000003E-2</v>
      </c>
    </row>
    <row r="42" spans="1:3" x14ac:dyDescent="0.3">
      <c r="A42" t="s">
        <v>123</v>
      </c>
      <c r="B42" t="s">
        <v>124</v>
      </c>
      <c r="C42" s="33">
        <v>99.99</v>
      </c>
    </row>
    <row r="43" spans="1:3" x14ac:dyDescent="0.3">
      <c r="A43" t="s">
        <v>226</v>
      </c>
      <c r="B43" t="s">
        <v>255</v>
      </c>
      <c r="C43" s="33">
        <v>7.0000000000000007E-2</v>
      </c>
    </row>
    <row r="44" spans="1:3" x14ac:dyDescent="0.3">
      <c r="A44" t="s">
        <v>256</v>
      </c>
      <c r="B44" t="s">
        <v>254</v>
      </c>
      <c r="C44" s="33">
        <v>7.0000000000000007E-2</v>
      </c>
    </row>
    <row r="45" spans="1:3" x14ac:dyDescent="0.3">
      <c r="A45" t="s">
        <v>227</v>
      </c>
      <c r="B45" t="s">
        <v>229</v>
      </c>
      <c r="C45" s="33">
        <v>7.1199999999999999E-2</v>
      </c>
    </row>
    <row r="46" spans="1:3" x14ac:dyDescent="0.3">
      <c r="A46" t="s">
        <v>228</v>
      </c>
      <c r="B46" t="s">
        <v>113</v>
      </c>
      <c r="C46" s="33">
        <v>8.2600000000000007E-2</v>
      </c>
    </row>
    <row r="47" spans="1:3" x14ac:dyDescent="0.3">
      <c r="A47" t="s">
        <v>13</v>
      </c>
      <c r="B47" t="s">
        <v>70</v>
      </c>
      <c r="C47">
        <v>0.8</v>
      </c>
    </row>
    <row r="48" spans="1:3" x14ac:dyDescent="0.3">
      <c r="A48" t="s">
        <v>14</v>
      </c>
      <c r="B48" t="s">
        <v>71</v>
      </c>
      <c r="C48">
        <v>1.2</v>
      </c>
    </row>
    <row r="49" spans="1:5" x14ac:dyDescent="0.3">
      <c r="A49" t="s">
        <v>20</v>
      </c>
      <c r="C49" s="33">
        <f>D49-1%</f>
        <v>6.2499999999999993E-2</v>
      </c>
      <c r="D49" s="33">
        <v>7.2499999999999995E-2</v>
      </c>
      <c r="E49" s="33">
        <f>D49+1%</f>
        <v>8.249999999999999E-2</v>
      </c>
    </row>
    <row r="50" spans="1:5" x14ac:dyDescent="0.3">
      <c r="A50" t="s">
        <v>21</v>
      </c>
      <c r="C50" s="36">
        <f>C51+C52</f>
        <v>5270.3829970000006</v>
      </c>
      <c r="D50" s="36">
        <f>D51+D52</f>
        <v>4731.9598219999998</v>
      </c>
      <c r="E50" s="36">
        <f>E51+E52</f>
        <v>4282.6246919999994</v>
      </c>
    </row>
    <row r="51" spans="1:5" x14ac:dyDescent="0.3">
      <c r="A51" t="s">
        <v>22</v>
      </c>
      <c r="C51" s="36">
        <f>D51</f>
        <v>2057.857317</v>
      </c>
      <c r="D51" s="36">
        <v>2057.857317</v>
      </c>
      <c r="E51" s="36">
        <f>D51</f>
        <v>2057.857317</v>
      </c>
    </row>
    <row r="52" spans="1:5" x14ac:dyDescent="0.3">
      <c r="A52" t="s">
        <v>23</v>
      </c>
      <c r="C52" s="36">
        <v>3212.5256800000002</v>
      </c>
      <c r="D52" s="36">
        <v>2674.1025049999998</v>
      </c>
      <c r="E52" s="36">
        <v>2224.7673749999999</v>
      </c>
    </row>
    <row r="53" spans="1:5" x14ac:dyDescent="0.3">
      <c r="A53" t="s">
        <v>24</v>
      </c>
      <c r="B53" t="s">
        <v>72</v>
      </c>
      <c r="C53" s="35">
        <f>((C50/E50)^(1/2)-1)*100</f>
        <v>10.934359407830318</v>
      </c>
    </row>
    <row r="54" spans="1:5" x14ac:dyDescent="0.3">
      <c r="A54" t="s">
        <v>25</v>
      </c>
      <c r="B54" t="s">
        <v>25</v>
      </c>
      <c r="C54" s="35">
        <f>((C50*E50)/(D50^2)-1)*100</f>
        <v>0.80221983082513493</v>
      </c>
    </row>
    <row r="55" spans="1:5" x14ac:dyDescent="0.3">
      <c r="A55" t="s">
        <v>26</v>
      </c>
      <c r="B55" t="s">
        <v>73</v>
      </c>
      <c r="C55" s="35">
        <f>C53*2</f>
        <v>21.868718815660635</v>
      </c>
    </row>
    <row r="56" spans="1:5" x14ac:dyDescent="0.3">
      <c r="A56" t="s">
        <v>191</v>
      </c>
      <c r="B56" t="s">
        <v>194</v>
      </c>
      <c r="C56" s="35">
        <f>C55</f>
        <v>21.868718815660635</v>
      </c>
    </row>
    <row r="57" spans="1:5" x14ac:dyDescent="0.3">
      <c r="A57" t="s">
        <v>192</v>
      </c>
      <c r="B57" t="s">
        <v>195</v>
      </c>
      <c r="C57" s="35">
        <f>C53</f>
        <v>10.934359407830318</v>
      </c>
    </row>
    <row r="58" spans="1:5" x14ac:dyDescent="0.3">
      <c r="A58" t="s">
        <v>193</v>
      </c>
      <c r="B58" t="s">
        <v>196</v>
      </c>
      <c r="C58" s="35">
        <f>(C55-C57)/45</f>
        <v>0.24298576461845151</v>
      </c>
    </row>
    <row r="59" spans="1:5" x14ac:dyDescent="0.3">
      <c r="A59" t="s">
        <v>88</v>
      </c>
      <c r="B59" t="s">
        <v>93</v>
      </c>
      <c r="C59" s="35">
        <v>7.609863E-2</v>
      </c>
    </row>
    <row r="60" spans="1:5" x14ac:dyDescent="0.3">
      <c r="A60" t="s">
        <v>89</v>
      </c>
      <c r="B60" t="s">
        <v>92</v>
      </c>
      <c r="C60" s="35">
        <v>6.7256999999999997E-2</v>
      </c>
    </row>
    <row r="61" spans="1:5" x14ac:dyDescent="0.3">
      <c r="A61" t="s">
        <v>90</v>
      </c>
      <c r="B61" t="s">
        <v>91</v>
      </c>
      <c r="C61" s="35">
        <v>0.114567006975394</v>
      </c>
    </row>
  </sheetData>
  <conditionalFormatting sqref="C33">
    <cfRule type="expression" dxfId="9" priority="9">
      <formula>"bw57=""ADC"""</formula>
    </cfRule>
  </conditionalFormatting>
  <conditionalFormatting sqref="C33">
    <cfRule type="expression" dxfId="8" priority="10">
      <formula>$DC$39="ADC"</formula>
    </cfRule>
  </conditionalFormatting>
  <conditionalFormatting sqref="C34">
    <cfRule type="expression" dxfId="7" priority="7">
      <formula>"bw57=""ADC"""</formula>
    </cfRule>
  </conditionalFormatting>
  <conditionalFormatting sqref="C34">
    <cfRule type="expression" dxfId="6" priority="8">
      <formula>$DC$39="ADC"</formula>
    </cfRule>
  </conditionalFormatting>
  <conditionalFormatting sqref="C36">
    <cfRule type="expression" dxfId="5" priority="5">
      <formula>"bw57=""ADC"""</formula>
    </cfRule>
  </conditionalFormatting>
  <conditionalFormatting sqref="C36">
    <cfRule type="expression" dxfId="4" priority="6">
      <formula>$DC$39="ADC"</formula>
    </cfRule>
  </conditionalFormatting>
  <conditionalFormatting sqref="C37">
    <cfRule type="expression" dxfId="3" priority="3">
      <formula>"bw57=""ADC"""</formula>
    </cfRule>
  </conditionalFormatting>
  <conditionalFormatting sqref="C37">
    <cfRule type="expression" dxfId="2" priority="4">
      <formula>$DC$39="ADC"</formula>
    </cfRule>
  </conditionalFormatting>
  <conditionalFormatting sqref="C35">
    <cfRule type="expression" dxfId="1" priority="1">
      <formula>"bw57=""ADC"""</formula>
    </cfRule>
  </conditionalFormatting>
  <conditionalFormatting sqref="C35">
    <cfRule type="expression" dxfId="0" priority="2">
      <formula>$DC$39="ADC"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6" sqref="C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2" t="s">
        <v>3</v>
      </c>
    </row>
    <row r="2" spans="1:3" x14ac:dyDescent="0.3">
      <c r="A2" t="s">
        <v>95</v>
      </c>
      <c r="B2" t="s">
        <v>211</v>
      </c>
      <c r="C2" t="s">
        <v>210</v>
      </c>
    </row>
    <row r="3" spans="1:3" x14ac:dyDescent="0.3">
      <c r="A3" t="s">
        <v>100</v>
      </c>
      <c r="B3" t="s">
        <v>122</v>
      </c>
      <c r="C3" t="s">
        <v>117</v>
      </c>
    </row>
    <row r="4" spans="1:3" x14ac:dyDescent="0.3">
      <c r="A4" t="s">
        <v>246</v>
      </c>
      <c r="B4" t="s">
        <v>250</v>
      </c>
      <c r="C4" t="s">
        <v>10</v>
      </c>
    </row>
    <row r="5" spans="1:3" x14ac:dyDescent="0.3">
      <c r="A5" t="s">
        <v>247</v>
      </c>
      <c r="B5" t="s">
        <v>252</v>
      </c>
      <c r="C5" t="s">
        <v>10</v>
      </c>
    </row>
    <row r="6" spans="1:3" x14ac:dyDescent="0.3">
      <c r="A6" t="s">
        <v>248</v>
      </c>
      <c r="B6" t="s">
        <v>251</v>
      </c>
      <c r="C6" t="s">
        <v>10</v>
      </c>
    </row>
    <row r="7" spans="1:3" x14ac:dyDescent="0.3">
      <c r="A7" t="s">
        <v>249</v>
      </c>
      <c r="B7" t="s">
        <v>253</v>
      </c>
      <c r="C7" t="s">
        <v>10</v>
      </c>
    </row>
    <row r="8" spans="1:3" x14ac:dyDescent="0.3">
      <c r="A8" t="s">
        <v>103</v>
      </c>
      <c r="B8" t="s">
        <v>104</v>
      </c>
      <c r="C8" t="s">
        <v>10</v>
      </c>
    </row>
    <row r="9" spans="1:3" x14ac:dyDescent="0.3">
      <c r="A9" t="s">
        <v>1</v>
      </c>
      <c r="B9" t="s">
        <v>61</v>
      </c>
      <c r="C9" t="s">
        <v>2</v>
      </c>
    </row>
    <row r="10" spans="1:3" x14ac:dyDescent="0.3">
      <c r="A10" s="32" t="s">
        <v>7</v>
      </c>
    </row>
    <row r="11" spans="1:3" x14ac:dyDescent="0.3">
      <c r="A11" t="s">
        <v>8</v>
      </c>
      <c r="B11" t="s">
        <v>67</v>
      </c>
      <c r="C11" t="s">
        <v>48</v>
      </c>
    </row>
    <row r="12" spans="1:3" x14ac:dyDescent="0.3">
      <c r="A12" t="s">
        <v>125</v>
      </c>
      <c r="B12" t="s">
        <v>68</v>
      </c>
      <c r="C12" t="s">
        <v>120</v>
      </c>
    </row>
    <row r="13" spans="1:3" x14ac:dyDescent="0.3">
      <c r="A13" t="s">
        <v>275</v>
      </c>
      <c r="B13" t="s">
        <v>276</v>
      </c>
      <c r="C13" t="s">
        <v>116</v>
      </c>
    </row>
    <row r="14" spans="1:3" x14ac:dyDescent="0.3">
      <c r="A14" s="32" t="s">
        <v>36</v>
      </c>
    </row>
    <row r="15" spans="1:3" x14ac:dyDescent="0.3">
      <c r="A15" t="s">
        <v>38</v>
      </c>
      <c r="B15" t="s">
        <v>74</v>
      </c>
      <c r="C15" t="s">
        <v>40</v>
      </c>
    </row>
    <row r="16" spans="1:3" x14ac:dyDescent="0.3">
      <c r="A16" t="s">
        <v>37</v>
      </c>
      <c r="B16" t="s">
        <v>75</v>
      </c>
      <c r="C16" t="s">
        <v>41</v>
      </c>
    </row>
    <row r="17" spans="1:3" x14ac:dyDescent="0.3">
      <c r="A17" t="s">
        <v>39</v>
      </c>
      <c r="B17" t="s">
        <v>78</v>
      </c>
      <c r="C17" t="s">
        <v>30</v>
      </c>
    </row>
    <row r="18" spans="1:3" x14ac:dyDescent="0.3">
      <c r="A18" t="s">
        <v>45</v>
      </c>
      <c r="B18" t="s">
        <v>76</v>
      </c>
      <c r="C18" t="s">
        <v>46</v>
      </c>
    </row>
    <row r="19" spans="1:3" x14ac:dyDescent="0.3">
      <c r="A19" t="s">
        <v>43</v>
      </c>
      <c r="B19" t="s">
        <v>77</v>
      </c>
      <c r="C19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114</v>
      </c>
      <c r="D8" s="24"/>
      <c r="E8" s="38" t="s">
        <v>116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37" t="s">
        <v>115</v>
      </c>
      <c r="D9" s="24"/>
      <c r="E9" s="37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37" t="s">
        <v>203</v>
      </c>
      <c r="E11" s="37" t="s">
        <v>50</v>
      </c>
      <c r="G11" s="37" t="s">
        <v>117</v>
      </c>
      <c r="I11" s="26"/>
      <c r="K11" s="26"/>
      <c r="L11" s="26"/>
    </row>
    <row r="12" spans="1:13" x14ac:dyDescent="0.3">
      <c r="C12" s="37" t="s">
        <v>210</v>
      </c>
      <c r="E12" s="37" t="s">
        <v>10</v>
      </c>
      <c r="G12" s="37" t="s">
        <v>118</v>
      </c>
      <c r="I12" s="26"/>
      <c r="K12" s="26"/>
      <c r="L12" s="26"/>
    </row>
    <row r="13" spans="1:13" x14ac:dyDescent="0.3">
      <c r="G13" s="37" t="s">
        <v>119</v>
      </c>
      <c r="I13" s="26"/>
      <c r="K13" s="26"/>
      <c r="L13" s="26"/>
    </row>
    <row r="14" spans="1:13" x14ac:dyDescent="0.3">
      <c r="C14" s="37" t="s">
        <v>120</v>
      </c>
      <c r="I14" s="26"/>
      <c r="K14" s="26"/>
      <c r="L14" s="26"/>
    </row>
    <row r="15" spans="1:13" x14ac:dyDescent="0.3">
      <c r="C15" s="37" t="s">
        <v>121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2" sqref="E2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2021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3">
      <c r="A3">
        <v>2022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3">
      <c r="A4">
        <v>2023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2024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2025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2026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2027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2028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2029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2030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2031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3">
      <c r="A13">
        <v>2032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3">
      <c r="A14">
        <v>2033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2034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2035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2036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2037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2038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2039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2040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2041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2042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2043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2044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2045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2046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2047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2048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2049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2050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2051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2052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2053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3">
      <c r="A35">
        <v>2054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3">
      <c r="A36">
        <v>2055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2056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2057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2058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2059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2060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2061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2062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2063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2064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2065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2066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2067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2068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2069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2070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2071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2072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2073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2074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2075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2076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2077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2078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2079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7"/>
  <sheetViews>
    <sheetView tabSelected="1" topLeftCell="CD1" workbookViewId="0">
      <selection activeCell="CH4" sqref="CH4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8.33203125" bestFit="1" customWidth="1"/>
    <col min="4" max="4" width="8.33203125" customWidth="1"/>
    <col min="5" max="5" width="16.21875" bestFit="1" customWidth="1"/>
    <col min="6" max="6" width="11.44140625" bestFit="1" customWidth="1"/>
    <col min="7" max="7" width="12.6640625" bestFit="1" customWidth="1"/>
    <col min="8" max="10" width="12.6640625" customWidth="1"/>
    <col min="11" max="11" width="19.21875" bestFit="1" customWidth="1"/>
    <col min="12" max="12" width="16.5546875" bestFit="1" customWidth="1"/>
    <col min="13" max="13" width="16.6640625" bestFit="1" customWidth="1"/>
    <col min="14" max="14" width="14.109375" bestFit="1" customWidth="1"/>
    <col min="15" max="15" width="16.77734375" bestFit="1" customWidth="1"/>
    <col min="16" max="16" width="29.77734375" bestFit="1" customWidth="1"/>
    <col min="17" max="17" width="16.77734375" bestFit="1" customWidth="1"/>
    <col min="18" max="18" width="16" bestFit="1" customWidth="1"/>
    <col min="19" max="19" width="19.21875" bestFit="1" customWidth="1"/>
    <col min="20" max="20" width="16.77734375" bestFit="1" customWidth="1"/>
    <col min="21" max="21" width="29.77734375" bestFit="1" customWidth="1"/>
    <col min="22" max="22" width="16.77734375" bestFit="1" customWidth="1"/>
    <col min="23" max="23" width="16.21875" bestFit="1" customWidth="1"/>
    <col min="24" max="24" width="19.44140625" bestFit="1" customWidth="1"/>
    <col min="25" max="25" width="7.5546875" bestFit="1" customWidth="1"/>
    <col min="26" max="27" width="7.5546875" customWidth="1"/>
    <col min="28" max="28" width="7.5546875" bestFit="1" customWidth="1"/>
    <col min="29" max="31" width="7.5546875" customWidth="1"/>
    <col min="32" max="32" width="8.33203125" bestFit="1" customWidth="1"/>
    <col min="33" max="34" width="8.33203125" customWidth="1"/>
    <col min="38" max="38" width="7.109375" bestFit="1" customWidth="1"/>
    <col min="39" max="39" width="7.6640625" bestFit="1" customWidth="1"/>
    <col min="40" max="40" width="14.33203125" bestFit="1" customWidth="1"/>
    <col min="41" max="51" width="14.33203125" customWidth="1"/>
    <col min="52" max="52" width="11.5546875" bestFit="1" customWidth="1"/>
    <col min="53" max="55" width="11.5546875" customWidth="1"/>
    <col min="56" max="56" width="8.77734375" bestFit="1" customWidth="1"/>
    <col min="57" max="57" width="8.77734375" customWidth="1"/>
    <col min="58" max="58" width="9.44140625" bestFit="1" customWidth="1"/>
    <col min="59" max="59" width="14.33203125" bestFit="1" customWidth="1"/>
    <col min="60" max="60" width="14.33203125" customWidth="1"/>
    <col min="61" max="61" width="15.77734375" bestFit="1" customWidth="1"/>
    <col min="62" max="64" width="9.44140625" customWidth="1"/>
    <col min="65" max="65" width="16.88671875" bestFit="1" customWidth="1"/>
    <col min="66" max="66" width="6" customWidth="1"/>
    <col min="67" max="67" width="7.44140625" bestFit="1" customWidth="1"/>
    <col min="68" max="68" width="7.44140625" customWidth="1"/>
    <col min="69" max="69" width="6.88671875" bestFit="1" customWidth="1"/>
    <col min="70" max="70" width="10.88671875" bestFit="1" customWidth="1"/>
    <col min="71" max="71" width="10.88671875" customWidth="1"/>
    <col min="72" max="74" width="11.5546875" customWidth="1"/>
    <col min="75" max="75" width="12" customWidth="1"/>
    <col min="76" max="76" width="7.6640625" bestFit="1" customWidth="1"/>
    <col min="77" max="77" width="11.6640625" bestFit="1" customWidth="1"/>
    <col min="78" max="78" width="21.44140625" bestFit="1" customWidth="1"/>
    <col min="79" max="79" width="11.6640625" bestFit="1" customWidth="1"/>
    <col min="80" max="80" width="12" bestFit="1" customWidth="1"/>
    <col min="81" max="81" width="12.33203125" bestFit="1" customWidth="1"/>
    <col min="82" max="82" width="12.6640625" bestFit="1" customWidth="1"/>
    <col min="83" max="83" width="14.109375" bestFit="1" customWidth="1"/>
    <col min="84" max="84" width="12" bestFit="1" customWidth="1"/>
    <col min="85" max="85" width="12.6640625" bestFit="1" customWidth="1"/>
    <col min="86" max="86" width="11.6640625" bestFit="1" customWidth="1"/>
    <col min="87" max="87" width="12.6640625" bestFit="1" customWidth="1"/>
  </cols>
  <sheetData>
    <row r="1" spans="1:97" x14ac:dyDescent="0.3">
      <c r="A1" s="1" t="s">
        <v>16</v>
      </c>
      <c r="B1" s="6" t="s">
        <v>79</v>
      </c>
      <c r="C1" s="7" t="s">
        <v>213</v>
      </c>
      <c r="D1" s="7" t="s">
        <v>214</v>
      </c>
      <c r="E1" s="7" t="s">
        <v>245</v>
      </c>
      <c r="F1" s="6" t="s">
        <v>215</v>
      </c>
      <c r="G1" s="7" t="s">
        <v>216</v>
      </c>
      <c r="H1" s="7" t="s">
        <v>217</v>
      </c>
      <c r="I1" s="7" t="s">
        <v>218</v>
      </c>
      <c r="J1" s="7" t="s">
        <v>221</v>
      </c>
      <c r="K1" s="6" t="s">
        <v>169</v>
      </c>
      <c r="L1" s="8" t="s">
        <v>170</v>
      </c>
      <c r="M1" s="6" t="s">
        <v>171</v>
      </c>
      <c r="N1" s="8" t="s">
        <v>172</v>
      </c>
      <c r="O1" s="4" t="s">
        <v>173</v>
      </c>
      <c r="P1" s="4" t="s">
        <v>219</v>
      </c>
      <c r="Q1" s="4" t="s">
        <v>174</v>
      </c>
      <c r="R1" s="1" t="s">
        <v>240</v>
      </c>
      <c r="S1" s="3" t="s">
        <v>241</v>
      </c>
      <c r="T1" s="4" t="s">
        <v>175</v>
      </c>
      <c r="U1" s="4" t="s">
        <v>220</v>
      </c>
      <c r="V1" s="4" t="s">
        <v>176</v>
      </c>
      <c r="W1" s="1" t="s">
        <v>242</v>
      </c>
      <c r="X1" s="3" t="s">
        <v>243</v>
      </c>
      <c r="Y1" s="1" t="s">
        <v>19</v>
      </c>
      <c r="Z1" s="1" t="s">
        <v>181</v>
      </c>
      <c r="AA1" s="1" t="s">
        <v>182</v>
      </c>
      <c r="AB1" s="1" t="s">
        <v>18</v>
      </c>
      <c r="AC1" s="1" t="s">
        <v>183</v>
      </c>
      <c r="AD1" s="1" t="s">
        <v>184</v>
      </c>
      <c r="AE1" s="1" t="s">
        <v>80</v>
      </c>
      <c r="AF1" s="1" t="s">
        <v>81</v>
      </c>
      <c r="AG1" s="1" t="s">
        <v>126</v>
      </c>
      <c r="AH1" s="1" t="s">
        <v>127</v>
      </c>
      <c r="AI1" s="1" t="s">
        <v>82</v>
      </c>
      <c r="AJ1" s="1" t="s">
        <v>128</v>
      </c>
      <c r="AK1" s="1" t="s">
        <v>129</v>
      </c>
      <c r="AL1" s="1" t="s">
        <v>83</v>
      </c>
      <c r="AM1" s="1" t="s">
        <v>84</v>
      </c>
      <c r="AN1" s="3" t="s">
        <v>85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277</v>
      </c>
      <c r="AY1" s="1" t="s">
        <v>278</v>
      </c>
      <c r="AZ1" s="4" t="s">
        <v>139</v>
      </c>
      <c r="BA1" s="4" t="s">
        <v>140</v>
      </c>
      <c r="BB1" s="1" t="s">
        <v>222</v>
      </c>
      <c r="BC1" s="1" t="s">
        <v>274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279</v>
      </c>
      <c r="BI1" s="1" t="s">
        <v>197</v>
      </c>
      <c r="BJ1" s="1" t="s">
        <v>223</v>
      </c>
      <c r="BK1" s="1" t="s">
        <v>224</v>
      </c>
      <c r="BL1" s="1" t="s">
        <v>225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145</v>
      </c>
      <c r="BR1" s="1" t="s">
        <v>146</v>
      </c>
      <c r="BS1" s="1" t="s">
        <v>280</v>
      </c>
      <c r="BT1" s="3" t="s">
        <v>281</v>
      </c>
      <c r="BU1" s="3" t="s">
        <v>147</v>
      </c>
      <c r="BV1" s="3" t="s">
        <v>86</v>
      </c>
      <c r="BW1" s="5" t="s">
        <v>212</v>
      </c>
      <c r="BX1" s="4" t="s">
        <v>209</v>
      </c>
      <c r="BY1" s="1" t="s">
        <v>87</v>
      </c>
      <c r="BZ1" s="1" t="s">
        <v>208</v>
      </c>
      <c r="CA1" t="s">
        <v>282</v>
      </c>
      <c r="CB1" t="s">
        <v>148</v>
      </c>
      <c r="CC1" t="s">
        <v>149</v>
      </c>
      <c r="CD1" t="s">
        <v>150</v>
      </c>
      <c r="CE1" t="s">
        <v>151</v>
      </c>
      <c r="CF1" t="s">
        <v>152</v>
      </c>
      <c r="CG1" t="s">
        <v>153</v>
      </c>
      <c r="CH1" t="s">
        <v>154</v>
      </c>
      <c r="CI1" t="s">
        <v>155</v>
      </c>
      <c r="CJ1" t="s">
        <v>156</v>
      </c>
      <c r="CK1" t="s">
        <v>157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163</v>
      </c>
      <c r="CR1" t="s">
        <v>164</v>
      </c>
    </row>
    <row r="2" spans="1:97" s="28" customFormat="1" x14ac:dyDescent="0.3">
      <c r="A2" s="45">
        <v>2017</v>
      </c>
      <c r="B2" s="46">
        <v>1007.764043</v>
      </c>
      <c r="C2" s="47">
        <v>1007.764043</v>
      </c>
      <c r="D2" s="47"/>
      <c r="E2" s="47"/>
      <c r="F2" s="31">
        <v>1078.313326</v>
      </c>
      <c r="G2" s="31">
        <v>1078.313326</v>
      </c>
      <c r="H2" s="31"/>
      <c r="I2" s="31"/>
      <c r="J2" s="50">
        <v>12.678458388513357</v>
      </c>
      <c r="K2" s="51">
        <v>0.08</v>
      </c>
      <c r="L2" s="51">
        <v>0.08</v>
      </c>
      <c r="M2" s="51">
        <v>0.08</v>
      </c>
      <c r="N2" s="51">
        <v>0.08</v>
      </c>
      <c r="O2" s="31">
        <v>3299.3811000000001</v>
      </c>
      <c r="P2" s="31">
        <v>3299.3811000000001</v>
      </c>
      <c r="Q2" s="31">
        <v>0</v>
      </c>
      <c r="R2" s="31">
        <v>107.826127</v>
      </c>
      <c r="S2" s="53"/>
      <c r="T2" s="31">
        <v>3299.3811000000001</v>
      </c>
      <c r="U2" s="31">
        <v>3299.3811000000001</v>
      </c>
      <c r="V2" s="31"/>
      <c r="W2" s="31">
        <v>107.826127</v>
      </c>
      <c r="X2" s="53"/>
      <c r="Y2" s="31">
        <v>2180.7486159999999</v>
      </c>
      <c r="Z2" s="31">
        <v>2180.7486159999999</v>
      </c>
      <c r="AA2" s="31"/>
      <c r="AB2" s="31">
        <v>2324.7836229999998</v>
      </c>
      <c r="AC2" s="31">
        <v>2324.7836229999998</v>
      </c>
      <c r="AD2" s="31">
        <v>0</v>
      </c>
      <c r="AE2" s="54">
        <v>4.5999999999999999E-3</v>
      </c>
      <c r="AF2" s="47">
        <v>1118.6324840000002</v>
      </c>
      <c r="AG2" s="47">
        <v>1118.6324840000002</v>
      </c>
      <c r="AH2" s="47">
        <v>0</v>
      </c>
      <c r="AI2" s="47">
        <v>974.59747700000025</v>
      </c>
      <c r="AJ2" s="47">
        <v>974.59747700000025</v>
      </c>
      <c r="AK2" s="47">
        <v>0</v>
      </c>
      <c r="AL2" s="55">
        <v>0.66095687339664999</v>
      </c>
      <c r="AM2" s="56">
        <v>0.70461203254149685</v>
      </c>
      <c r="AN2" s="56"/>
      <c r="AO2" s="39">
        <v>2050</v>
      </c>
      <c r="AP2" s="58">
        <v>0.1</v>
      </c>
      <c r="AQ2" s="52"/>
      <c r="AR2" s="58">
        <v>7.0000000000000007E-2</v>
      </c>
      <c r="AS2" s="60"/>
      <c r="AT2" s="51">
        <v>0.03</v>
      </c>
      <c r="AU2" s="60"/>
      <c r="AV2" s="51">
        <v>7.2400000000000006E-2</v>
      </c>
      <c r="AW2" s="51"/>
      <c r="AX2" s="51"/>
      <c r="AY2" s="51"/>
      <c r="AZ2" s="46">
        <v>-145.864485</v>
      </c>
      <c r="BA2" s="31"/>
      <c r="BB2" s="31">
        <v>0</v>
      </c>
      <c r="BC2" s="31">
        <v>0</v>
      </c>
      <c r="BD2" s="31">
        <v>-2.4811869999999998</v>
      </c>
      <c r="BE2" s="31"/>
      <c r="BF2" s="31">
        <f>71.996797</f>
        <v>71.996797000000001</v>
      </c>
      <c r="BG2" s="47"/>
      <c r="BH2" s="47"/>
      <c r="BI2" s="30"/>
      <c r="BJ2" s="47">
        <v>8.9056060000000006</v>
      </c>
      <c r="BK2" s="47"/>
      <c r="BL2" s="31">
        <v>0</v>
      </c>
      <c r="BM2" s="31">
        <v>53.512270683299995</v>
      </c>
      <c r="BN2" s="31"/>
      <c r="BO2" s="31">
        <v>19.448217316700003</v>
      </c>
      <c r="BP2" s="47"/>
      <c r="BQ2" s="47"/>
      <c r="BR2" s="47"/>
      <c r="BS2" s="47"/>
      <c r="BT2" s="47">
        <v>153.86289100000002</v>
      </c>
      <c r="BU2" s="47">
        <v>0</v>
      </c>
      <c r="BV2" s="61">
        <v>153.86289100000002</v>
      </c>
      <c r="BW2" s="44">
        <f>BX2+AI2</f>
        <v>1130.3185640000002</v>
      </c>
      <c r="BX2" s="29">
        <v>155.72108700000001</v>
      </c>
      <c r="BY2" s="9">
        <v>155.72108700000001</v>
      </c>
      <c r="BZ2" s="10">
        <v>0.42884548781797605</v>
      </c>
      <c r="CA2" s="67">
        <f>AZ2+BD2+BC2+BF2+BH2+BM2+BO2+BL2+BJ2</f>
        <v>5.5172189999999919</v>
      </c>
      <c r="CB2">
        <v>144.11230419999998</v>
      </c>
      <c r="CC2">
        <v>2077.7100141999999</v>
      </c>
      <c r="CD2">
        <v>-19.852697199999966</v>
      </c>
      <c r="CE2">
        <v>-15.882157759999973</v>
      </c>
      <c r="CF2">
        <v>-63.534632999999999</v>
      </c>
      <c r="CG2">
        <v>-20.860636</v>
      </c>
      <c r="CH2">
        <v>-1.9908669999999999</v>
      </c>
      <c r="CI2">
        <v>-102.26829375999996</v>
      </c>
      <c r="CJ2" s="40">
        <f>BA2+BE2+BG2+BI2+BN2+BL2+BK2+BP2</f>
        <v>0</v>
      </c>
      <c r="CK2" s="40">
        <v>0</v>
      </c>
      <c r="CL2" s="40">
        <v>0</v>
      </c>
      <c r="CM2" s="40">
        <v>0</v>
      </c>
      <c r="CN2" s="40">
        <v>0</v>
      </c>
      <c r="CO2" s="40">
        <v>0</v>
      </c>
      <c r="CP2" s="40">
        <v>0</v>
      </c>
      <c r="CQ2" s="40">
        <v>0</v>
      </c>
      <c r="CR2" s="40">
        <v>0</v>
      </c>
      <c r="CS2"/>
    </row>
    <row r="3" spans="1:97" x14ac:dyDescent="0.3">
      <c r="A3" s="45">
        <v>2018</v>
      </c>
      <c r="B3" s="46">
        <v>1020.843253</v>
      </c>
      <c r="C3" s="31">
        <v>1020.843253</v>
      </c>
      <c r="D3" s="47"/>
      <c r="E3" s="47"/>
      <c r="F3" s="31">
        <v>1091.4255579999999</v>
      </c>
      <c r="G3" s="31">
        <v>1091.4255579999999</v>
      </c>
      <c r="H3" s="47"/>
      <c r="I3" s="47"/>
      <c r="J3" s="50">
        <v>13.122204432111324</v>
      </c>
      <c r="K3" s="51">
        <v>7.7499999999999999E-2</v>
      </c>
      <c r="L3" s="51">
        <v>7.7499999999999999E-2</v>
      </c>
      <c r="M3" s="51">
        <v>7.7499999999999999E-2</v>
      </c>
      <c r="N3" s="51">
        <v>7.7499999999999999E-2</v>
      </c>
      <c r="O3" s="31">
        <v>3618.0839729999998</v>
      </c>
      <c r="P3" s="31">
        <v>3618.0839729999998</v>
      </c>
      <c r="Q3" s="31">
        <v>0</v>
      </c>
      <c r="R3" s="31">
        <v>117.029448</v>
      </c>
      <c r="S3" s="47"/>
      <c r="T3" s="31">
        <v>3618.0839729999998</v>
      </c>
      <c r="U3" s="31">
        <v>3618.0839729999998</v>
      </c>
      <c r="V3" s="31"/>
      <c r="W3" s="31">
        <v>117.029448</v>
      </c>
      <c r="X3" s="47"/>
      <c r="Y3" s="31">
        <v>2529.6310079999998</v>
      </c>
      <c r="Z3" s="31">
        <v>2529.6310079999998</v>
      </c>
      <c r="AA3" s="31"/>
      <c r="AB3" s="31">
        <v>2620.5457529999999</v>
      </c>
      <c r="AC3" s="31">
        <v>2620.5457529999999</v>
      </c>
      <c r="AD3" s="31">
        <v>0</v>
      </c>
      <c r="AE3" s="54">
        <v>0.129</v>
      </c>
      <c r="AF3" s="47">
        <v>1088.4529649999999</v>
      </c>
      <c r="AG3" s="47">
        <v>1088.4529649999999</v>
      </c>
      <c r="AH3" s="47">
        <v>0</v>
      </c>
      <c r="AI3" s="47">
        <v>997.53821999999991</v>
      </c>
      <c r="AJ3" s="47">
        <v>997.53821999999991</v>
      </c>
      <c r="AK3" s="47">
        <v>0</v>
      </c>
      <c r="AL3" s="55">
        <v>0.69916315565846598</v>
      </c>
      <c r="AM3" s="56">
        <v>0.72429102601151818</v>
      </c>
      <c r="AN3" s="56"/>
      <c r="AP3" s="58">
        <v>0.10722623008247349</v>
      </c>
      <c r="AQ3" s="52"/>
      <c r="AR3" s="58">
        <v>7.0000000000000007E-2</v>
      </c>
      <c r="AS3" s="52"/>
      <c r="AT3" s="52">
        <v>3.7226230082473485E-2</v>
      </c>
      <c r="AU3" s="52"/>
      <c r="AV3" s="51">
        <v>7.2400000000000006E-2</v>
      </c>
      <c r="AW3" s="51"/>
      <c r="AX3" s="51"/>
      <c r="AY3" s="51"/>
      <c r="AZ3" s="46">
        <f>-158.544085</f>
        <v>-158.544085</v>
      </c>
      <c r="BA3" s="31"/>
      <c r="BB3" s="47">
        <v>0</v>
      </c>
      <c r="BC3" s="47">
        <v>0</v>
      </c>
      <c r="BD3" s="31">
        <v>-2.5472649999999999</v>
      </c>
      <c r="BE3" s="31"/>
      <c r="BF3" s="31">
        <v>73.287125000000003</v>
      </c>
      <c r="BG3" s="47"/>
      <c r="BH3" s="47"/>
      <c r="BJ3" s="31">
        <v>9.7849079999999997</v>
      </c>
      <c r="BK3" s="47"/>
      <c r="BL3" s="47">
        <v>0</v>
      </c>
      <c r="BM3" s="47">
        <v>30.625297589999999</v>
      </c>
      <c r="BN3" s="47"/>
      <c r="BO3" s="31">
        <v>43.398257409999999</v>
      </c>
      <c r="BP3" s="47"/>
      <c r="BQ3" s="47"/>
      <c r="BR3" s="47"/>
      <c r="BS3" s="47"/>
      <c r="BT3" s="47">
        <v>157.09558800000002</v>
      </c>
      <c r="BU3" s="47">
        <v>165.71144000000001</v>
      </c>
      <c r="BV3" s="61">
        <v>157.09558800000002</v>
      </c>
      <c r="CA3" s="67">
        <f t="shared" ref="CA3:CA6" si="0">AZ3+BD3+BC3+BF3+BH3+BM3+BO3+BL3+BJ3</f>
        <v>-3.9957620000000009</v>
      </c>
      <c r="CB3" s="68">
        <f>(AC2*L2)+(CA3*L2*0.5)</f>
        <v>185.82285935999997</v>
      </c>
      <c r="CC3" s="68">
        <f>AC2+CA3+CB3</f>
        <v>2506.61072036</v>
      </c>
      <c r="CD3" s="68">
        <f>AC3-CC3</f>
        <v>113.93503263999992</v>
      </c>
      <c r="CE3" s="68">
        <f>CD3*0.8</f>
        <v>91.14802611199994</v>
      </c>
      <c r="CF3" s="68">
        <f>CE2*0.6</f>
        <v>-9.5292946559999834</v>
      </c>
      <c r="CG3" s="68">
        <f>CF2*0.4</f>
        <v>-25.413853200000002</v>
      </c>
      <c r="CH3" s="68">
        <f>CG2*0.2</f>
        <v>-4.1721272000000003</v>
      </c>
      <c r="CJ3" s="40">
        <f t="shared" ref="CJ3:CJ6" si="1">BA3+BE3+BG3+BI3+BN3+BL3+BK3+BP3</f>
        <v>0</v>
      </c>
      <c r="CK3" s="68">
        <f>(AD2*L2)+(CJ3*L2*0.5)</f>
        <v>0</v>
      </c>
      <c r="CL3" s="68">
        <f>AD2+CJ3+CK3</f>
        <v>0</v>
      </c>
      <c r="CM3" s="68">
        <f>CL3-AD3</f>
        <v>0</v>
      </c>
      <c r="CN3" s="68">
        <f>CM3*0.8</f>
        <v>0</v>
      </c>
      <c r="CO3" s="68">
        <f>CN2*0.6</f>
        <v>0</v>
      </c>
      <c r="CP3" s="68">
        <f>CO2*0.4</f>
        <v>0</v>
      </c>
      <c r="CQ3" s="68">
        <f>CP2*0.2</f>
        <v>0</v>
      </c>
    </row>
    <row r="4" spans="1:97" x14ac:dyDescent="0.3">
      <c r="A4" s="45">
        <v>2019</v>
      </c>
      <c r="B4" s="46">
        <v>1027.317202</v>
      </c>
      <c r="C4" s="31">
        <v>1027.317202</v>
      </c>
      <c r="D4" s="47"/>
      <c r="E4" s="47"/>
      <c r="F4" s="31">
        <v>1098.1398569999999</v>
      </c>
      <c r="G4" s="31">
        <v>1098.1398569999999</v>
      </c>
      <c r="H4" s="47"/>
      <c r="I4" s="47"/>
      <c r="J4" s="50">
        <v>13.581481587235221</v>
      </c>
      <c r="K4" s="51">
        <v>7.7499999999999999E-2</v>
      </c>
      <c r="L4" s="51">
        <v>7.7499999999999999E-2</v>
      </c>
      <c r="M4" s="51">
        <v>7.7499999999999999E-2</v>
      </c>
      <c r="N4" s="51">
        <v>7.7499999999999999E-2</v>
      </c>
      <c r="O4" s="31">
        <v>3841.7011790000001</v>
      </c>
      <c r="P4" s="31">
        <v>3841.7011790000001</v>
      </c>
      <c r="Q4" s="31">
        <v>0</v>
      </c>
      <c r="R4" s="31">
        <v>118.922545</v>
      </c>
      <c r="S4" s="47"/>
      <c r="T4" s="31">
        <v>3841.7011790000001</v>
      </c>
      <c r="U4" s="31">
        <v>3841.7011790000001</v>
      </c>
      <c r="V4" s="31"/>
      <c r="W4" s="31">
        <v>118.922545</v>
      </c>
      <c r="X4" s="47"/>
      <c r="Y4" s="31">
        <v>2752.0533049999999</v>
      </c>
      <c r="Z4" s="31">
        <v>2752.0533049999999</v>
      </c>
      <c r="AA4" s="31"/>
      <c r="AB4" s="31">
        <v>2849.3190749999999</v>
      </c>
      <c r="AC4" s="31">
        <v>2849.3190749999999</v>
      </c>
      <c r="AD4" s="31">
        <v>0</v>
      </c>
      <c r="AE4" s="54">
        <v>9.1499999999999998E-2</v>
      </c>
      <c r="AF4" s="47">
        <v>1089.6478740000002</v>
      </c>
      <c r="AG4" s="47">
        <v>1089.6478740000002</v>
      </c>
      <c r="AH4" s="47">
        <v>0</v>
      </c>
      <c r="AI4" s="47">
        <v>992.38210400000025</v>
      </c>
      <c r="AJ4" s="47">
        <v>992.38210400000025</v>
      </c>
      <c r="AK4" s="47">
        <v>0</v>
      </c>
      <c r="AL4" s="55">
        <v>0.71636318827805423</v>
      </c>
      <c r="AM4" s="56">
        <v>0.74168159943707057</v>
      </c>
      <c r="AN4" s="56"/>
      <c r="AP4" s="58">
        <v>0.10829453483719607</v>
      </c>
      <c r="AQ4" s="52"/>
      <c r="AR4" s="58">
        <v>7.0000000000000007E-2</v>
      </c>
      <c r="AS4" s="52"/>
      <c r="AT4" s="52">
        <v>3.8294534837196068E-2</v>
      </c>
      <c r="AU4" s="52"/>
      <c r="AV4" s="51">
        <v>7.1999999999999995E-2</v>
      </c>
      <c r="AW4" s="51"/>
      <c r="AX4" s="51"/>
      <c r="AY4" s="51"/>
      <c r="AZ4" s="46">
        <f>-177.047022</f>
        <v>-177.047022</v>
      </c>
      <c r="BA4" s="31"/>
      <c r="BB4" s="47">
        <v>0</v>
      </c>
      <c r="BC4" s="47">
        <v>0</v>
      </c>
      <c r="BD4" s="31">
        <v>-2.4030459999999998</v>
      </c>
      <c r="BE4" s="31"/>
      <c r="BF4" s="31">
        <v>74.724650999999994</v>
      </c>
      <c r="BG4" s="47"/>
      <c r="BH4" s="47"/>
      <c r="BJ4" s="31">
        <v>19.160584</v>
      </c>
      <c r="BK4" s="47"/>
      <c r="BL4" s="47">
        <v>0</v>
      </c>
      <c r="BM4" s="47">
        <v>38.243146529334886</v>
      </c>
      <c r="BN4" s="47"/>
      <c r="BO4" s="31">
        <v>37.42315347066512</v>
      </c>
      <c r="BP4" s="47"/>
      <c r="BQ4" s="47"/>
      <c r="BR4" s="47"/>
      <c r="BS4" s="47"/>
      <c r="BT4" s="47">
        <v>169.551535</v>
      </c>
      <c r="BU4" s="47">
        <v>165.71144000000001</v>
      </c>
      <c r="BV4" s="61">
        <v>169.551535</v>
      </c>
      <c r="CA4" s="67">
        <f t="shared" si="0"/>
        <v>-9.8985329999999792</v>
      </c>
      <c r="CB4" s="68">
        <f t="shared" ref="CB4:CB6" si="2">(AC3*L3)+(CA4*L3*0.5)</f>
        <v>202.70872770374999</v>
      </c>
      <c r="CC4" s="68">
        <f t="shared" ref="CC4:CC6" si="3">AC3+CA4+CB4</f>
        <v>2813.3559477037497</v>
      </c>
      <c r="CD4" s="68">
        <f t="shared" ref="CD4:CD6" si="4">AC4-CC4</f>
        <v>35.96312729625015</v>
      </c>
      <c r="CE4" s="68">
        <f t="shared" ref="CE4:CE6" si="5">CD4*0.8</f>
        <v>28.770501837000122</v>
      </c>
      <c r="CF4" s="68">
        <f>CE3*0.6</f>
        <v>54.688815667199961</v>
      </c>
      <c r="CG4" s="68">
        <f>CF3*0.4</f>
        <v>-3.8117178623999934</v>
      </c>
      <c r="CH4" s="68">
        <f>CG3*0.2</f>
        <v>-5.0827706400000006</v>
      </c>
      <c r="CJ4" s="40">
        <f t="shared" si="1"/>
        <v>0</v>
      </c>
      <c r="CK4" s="68">
        <f t="shared" ref="CK4:CK6" si="6">(AD3*L3)+(CJ4*L3*0.5)</f>
        <v>0</v>
      </c>
      <c r="CL4" s="68">
        <f t="shared" ref="CL4:CL6" si="7">AD3+CJ4+CK4</f>
        <v>0</v>
      </c>
      <c r="CM4" s="68">
        <f t="shared" ref="CM4:CM6" si="8">CL4-AD4</f>
        <v>0</v>
      </c>
      <c r="CN4" s="68">
        <f t="shared" ref="CN4:CN6" si="9">CM4*0.8</f>
        <v>0</v>
      </c>
      <c r="CO4" s="68">
        <f>CN3*0.6</f>
        <v>0</v>
      </c>
      <c r="CP4" s="68">
        <f>CO3*0.4</f>
        <v>0</v>
      </c>
      <c r="CQ4" s="68">
        <f>CP3*0.2</f>
        <v>0</v>
      </c>
    </row>
    <row r="5" spans="1:97" x14ac:dyDescent="0.3">
      <c r="A5" s="45">
        <v>2020</v>
      </c>
      <c r="B5" s="46">
        <v>1040.1701740000001</v>
      </c>
      <c r="C5" s="31">
        <v>1040.1701740000001</v>
      </c>
      <c r="D5" s="47"/>
      <c r="E5" s="47"/>
      <c r="F5" s="31">
        <v>1112.628109</v>
      </c>
      <c r="G5" s="31">
        <v>1112.628109</v>
      </c>
      <c r="H5" s="47"/>
      <c r="I5" s="47"/>
      <c r="J5" s="50">
        <v>14.056833442788452</v>
      </c>
      <c r="K5" s="51">
        <v>7.4999999999999997E-2</v>
      </c>
      <c r="L5" s="51">
        <v>7.4999999999999997E-2</v>
      </c>
      <c r="M5" s="51">
        <v>7.4999999999999997E-2</v>
      </c>
      <c r="N5" s="51">
        <v>7.4999999999999997E-2</v>
      </c>
      <c r="O5" s="31">
        <v>4136.2529869999998</v>
      </c>
      <c r="P5" s="31">
        <v>4136.2529869999998</v>
      </c>
      <c r="Q5" s="31">
        <v>0</v>
      </c>
      <c r="R5" s="31">
        <v>126.95711300000001</v>
      </c>
      <c r="S5" s="47"/>
      <c r="T5" s="31">
        <v>4136.2529869999998</v>
      </c>
      <c r="U5" s="31">
        <v>4136.2529869999998</v>
      </c>
      <c r="V5" s="31"/>
      <c r="W5" s="31">
        <v>126.95711300000001</v>
      </c>
      <c r="X5" s="47"/>
      <c r="Y5" s="31">
        <v>2949.9670489999999</v>
      </c>
      <c r="Z5" s="31">
        <v>2949.9670489999999</v>
      </c>
      <c r="AA5" s="31"/>
      <c r="AB5" s="31">
        <v>2964.1806280000001</v>
      </c>
      <c r="AC5" s="31">
        <v>2964.1806280000001</v>
      </c>
      <c r="AD5" s="31"/>
      <c r="AE5" s="54">
        <v>5.4100000000000002E-2</v>
      </c>
      <c r="AF5" s="47">
        <v>1186.285938</v>
      </c>
      <c r="AG5" s="47">
        <v>1186.285938</v>
      </c>
      <c r="AH5" s="47">
        <v>0</v>
      </c>
      <c r="AI5" s="47">
        <v>1172.0723589999998</v>
      </c>
      <c r="AJ5" s="47">
        <v>1172.0723589999998</v>
      </c>
      <c r="AK5" s="47">
        <v>0</v>
      </c>
      <c r="AL5" s="55">
        <v>0.71319792533763604</v>
      </c>
      <c r="AM5" s="56">
        <v>0.71663426712927025</v>
      </c>
      <c r="AN5" s="56"/>
      <c r="AP5" s="58">
        <v>0.11410561352265819</v>
      </c>
      <c r="AQ5" s="52"/>
      <c r="AR5" s="58">
        <v>7.0000000000000007E-2</v>
      </c>
      <c r="AS5" s="52"/>
      <c r="AT5" s="52">
        <v>4.4105613522658182E-2</v>
      </c>
      <c r="AU5" s="52"/>
      <c r="AV5" s="51">
        <v>7.5800000000000006E-2</v>
      </c>
      <c r="AW5" s="51"/>
      <c r="AX5" s="51"/>
      <c r="AY5" s="51"/>
      <c r="AZ5" s="46">
        <f>-191905089/1000000</f>
        <v>-191.905089</v>
      </c>
      <c r="BA5" s="31"/>
      <c r="BB5" s="47">
        <v>0</v>
      </c>
      <c r="BC5" s="47">
        <v>0</v>
      </c>
      <c r="BD5" s="31">
        <f>-2455262/1000000</f>
        <v>-2.4552619999999998</v>
      </c>
      <c r="BE5" s="31"/>
      <c r="BF5" s="31">
        <f>74974506/1000000</f>
        <v>74.974506000000005</v>
      </c>
      <c r="BG5" s="47"/>
      <c r="BH5" s="47"/>
      <c r="BJ5" s="31">
        <v>7.0740879999999997</v>
      </c>
      <c r="BK5" s="47"/>
      <c r="BL5" s="47">
        <v>0</v>
      </c>
      <c r="BM5" s="47">
        <v>39.832832964855299</v>
      </c>
      <c r="BN5" s="47"/>
      <c r="BO5" s="31">
        <v>35.897427035144702</v>
      </c>
      <c r="BP5" s="47"/>
      <c r="BQ5" s="47"/>
      <c r="BR5" s="47"/>
      <c r="BS5" s="47"/>
      <c r="BT5" s="47">
        <v>157.77885400000002</v>
      </c>
      <c r="BU5" s="47">
        <v>165.71144000000001</v>
      </c>
      <c r="BV5" s="61">
        <v>157.77885400000002</v>
      </c>
      <c r="CA5" s="67">
        <f t="shared" si="0"/>
        <v>-36.581496999999999</v>
      </c>
      <c r="CB5" s="68">
        <f>(AC4*L4)+(CA5*L4*0.5)</f>
        <v>219.40469530374997</v>
      </c>
      <c r="CC5" s="68">
        <f t="shared" si="3"/>
        <v>3032.1422733037498</v>
      </c>
      <c r="CD5" s="68">
        <f t="shared" si="4"/>
        <v>-67.961645303749719</v>
      </c>
      <c r="CE5" s="68">
        <f t="shared" si="5"/>
        <v>-54.36931624299978</v>
      </c>
      <c r="CF5" s="68">
        <f>CE4*0.6</f>
        <v>17.262301102200073</v>
      </c>
      <c r="CG5" s="68">
        <f>CF4*0.4</f>
        <v>21.875526266879987</v>
      </c>
      <c r="CH5" s="68">
        <f>CG4*0.2</f>
        <v>-0.76234357247999873</v>
      </c>
      <c r="CJ5" s="40">
        <f t="shared" si="1"/>
        <v>0</v>
      </c>
      <c r="CK5" s="68">
        <f t="shared" si="6"/>
        <v>0</v>
      </c>
      <c r="CL5" s="68">
        <f t="shared" si="7"/>
        <v>0</v>
      </c>
      <c r="CM5" s="68">
        <f t="shared" si="8"/>
        <v>0</v>
      </c>
      <c r="CN5" s="68">
        <f t="shared" si="9"/>
        <v>0</v>
      </c>
      <c r="CO5" s="68">
        <f>CN4*0.6</f>
        <v>0</v>
      </c>
      <c r="CP5" s="68">
        <f>CO4*0.4</f>
        <v>0</v>
      </c>
      <c r="CQ5" s="68">
        <f>CP4*0.2</f>
        <v>0</v>
      </c>
    </row>
    <row r="6" spans="1:97" x14ac:dyDescent="0.3">
      <c r="A6" s="45">
        <v>2021</v>
      </c>
      <c r="B6" s="48">
        <v>1103.120694</v>
      </c>
      <c r="C6" s="49">
        <v>1103.120694</v>
      </c>
      <c r="D6" s="47"/>
      <c r="E6" s="47"/>
      <c r="F6" s="47">
        <v>1141.7299182899999</v>
      </c>
      <c r="G6" s="47">
        <v>1070.0270731799999</v>
      </c>
      <c r="H6" s="47">
        <v>71.702845109999998</v>
      </c>
      <c r="I6" s="47">
        <v>0</v>
      </c>
      <c r="J6" s="50">
        <v>14.548822613286047</v>
      </c>
      <c r="K6" s="51">
        <v>7.0000000000000007E-2</v>
      </c>
      <c r="L6" s="51">
        <v>7.0000000000000007E-2</v>
      </c>
      <c r="M6" s="51">
        <v>7.0000000000000007E-2</v>
      </c>
      <c r="N6" s="51">
        <v>7.0000000000000007E-2</v>
      </c>
      <c r="O6" s="31">
        <v>4557.6790199999996</v>
      </c>
      <c r="P6" s="31">
        <v>4557.6790199999996</v>
      </c>
      <c r="Q6" s="31">
        <v>0</v>
      </c>
      <c r="R6" s="47">
        <v>119.57303593916789</v>
      </c>
      <c r="S6" s="47">
        <v>7.1589849910220975</v>
      </c>
      <c r="T6" s="31">
        <v>4557.6790199999996</v>
      </c>
      <c r="U6" s="31">
        <v>4557.6790199999996</v>
      </c>
      <c r="V6" s="31"/>
      <c r="W6" s="47">
        <v>119.57303593916789</v>
      </c>
      <c r="X6" s="47">
        <v>7.1589849910220975</v>
      </c>
      <c r="Y6" s="31">
        <v>3112.9200329999999</v>
      </c>
      <c r="Z6" s="31">
        <v>3112.9200329999999</v>
      </c>
      <c r="AA6" s="31"/>
      <c r="AB6" s="31">
        <v>3011.4992940000002</v>
      </c>
      <c r="AC6" s="49">
        <v>3011.4992940000002</v>
      </c>
      <c r="AD6" s="31">
        <v>0</v>
      </c>
      <c r="AE6" s="57">
        <v>3.2899999999999999E-2</v>
      </c>
      <c r="AF6" s="47">
        <v>1444.7589869999997</v>
      </c>
      <c r="AG6" s="47">
        <v>1444.7589869999997</v>
      </c>
      <c r="AH6" s="47">
        <v>0</v>
      </c>
      <c r="AI6" s="47">
        <v>1546.1797259999994</v>
      </c>
      <c r="AJ6" s="47">
        <v>1546.1797259999994</v>
      </c>
      <c r="AK6" s="47">
        <v>0</v>
      </c>
      <c r="AL6" s="55">
        <v>0.68300554280805847</v>
      </c>
      <c r="AM6" s="56">
        <v>0.6607528263365946</v>
      </c>
      <c r="AN6" s="56"/>
      <c r="AP6" s="59">
        <v>0.11174767343391631</v>
      </c>
      <c r="AQ6" s="52">
        <v>9.9842411832325936E-2</v>
      </c>
      <c r="AR6" s="58">
        <v>7.0000000000000007E-2</v>
      </c>
      <c r="AS6" s="52">
        <v>7.0000000000000007E-2</v>
      </c>
      <c r="AT6" s="52">
        <v>4.1747673433916305E-2</v>
      </c>
      <c r="AU6" s="52">
        <v>2.984241183232593E-2</v>
      </c>
      <c r="AV6" s="51">
        <v>8.6099999999999996E-2</v>
      </c>
      <c r="AW6" s="51"/>
      <c r="AX6" s="51"/>
      <c r="AY6" s="51"/>
      <c r="AZ6" s="46">
        <f>-212140527/1000000</f>
        <v>-212.14052699999999</v>
      </c>
      <c r="BA6" s="47"/>
      <c r="BB6" s="47">
        <v>0</v>
      </c>
      <c r="BC6" s="47">
        <v>0</v>
      </c>
      <c r="BD6" s="31">
        <f>-2639036/1000000</f>
        <v>-2.6390359999999999</v>
      </c>
      <c r="BE6" s="47"/>
      <c r="BF6" s="31">
        <f>77718958/1000000</f>
        <v>77.718958000000001</v>
      </c>
      <c r="BG6" s="47"/>
      <c r="BH6" s="47"/>
      <c r="BJ6" s="31">
        <v>9.8819210000000002</v>
      </c>
      <c r="BK6" s="47"/>
      <c r="BL6" s="47">
        <v>0</v>
      </c>
      <c r="BM6" s="47">
        <v>48.653814998410475</v>
      </c>
      <c r="BN6" s="47">
        <v>0</v>
      </c>
      <c r="BO6" s="31">
        <v>29.456746001589529</v>
      </c>
      <c r="BP6" s="47">
        <v>0</v>
      </c>
      <c r="BQ6" s="47">
        <v>0</v>
      </c>
      <c r="BR6" s="47">
        <v>0</v>
      </c>
      <c r="BS6" s="47"/>
      <c r="BT6" s="47">
        <v>165.71144000000001</v>
      </c>
      <c r="BU6" s="47">
        <v>165.71144000000001</v>
      </c>
      <c r="BV6" s="61">
        <v>165.71144000000001</v>
      </c>
      <c r="CA6" s="67">
        <f t="shared" si="0"/>
        <v>-49.068123000000014</v>
      </c>
      <c r="CB6" s="68">
        <f t="shared" si="2"/>
        <v>220.47349248749998</v>
      </c>
      <c r="CC6" s="68">
        <f t="shared" si="3"/>
        <v>3135.5859974875002</v>
      </c>
      <c r="CD6" s="68">
        <f t="shared" si="4"/>
        <v>-124.08670348750002</v>
      </c>
      <c r="CE6" s="68">
        <f t="shared" si="5"/>
        <v>-99.269362790000017</v>
      </c>
      <c r="CF6" s="68">
        <f>CE5*0.6</f>
        <v>-32.621589745799866</v>
      </c>
      <c r="CG6" s="68">
        <f>CF5*0.4</f>
        <v>6.90492044088003</v>
      </c>
      <c r="CH6" s="68">
        <f>CG5*0.2</f>
        <v>4.375105253375998</v>
      </c>
      <c r="CJ6" s="40">
        <f t="shared" si="1"/>
        <v>0</v>
      </c>
      <c r="CK6" s="68">
        <f t="shared" si="6"/>
        <v>0</v>
      </c>
      <c r="CL6" s="68">
        <f t="shared" si="7"/>
        <v>0</v>
      </c>
      <c r="CM6" s="68">
        <f t="shared" si="8"/>
        <v>0</v>
      </c>
      <c r="CN6" s="68">
        <f t="shared" si="9"/>
        <v>0</v>
      </c>
      <c r="CO6" s="68">
        <f>CN5*0.6</f>
        <v>0</v>
      </c>
      <c r="CP6" s="68">
        <f>CO5*0.4</f>
        <v>0</v>
      </c>
      <c r="CQ6" s="68">
        <f>CP5*0.2</f>
        <v>0</v>
      </c>
    </row>
    <row r="7" spans="1:97" x14ac:dyDescent="0.3">
      <c r="CJ7" s="40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workbookViewId="0">
      <selection activeCell="C2" sqref="C2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</cols>
  <sheetData>
    <row r="1" spans="1:3" x14ac:dyDescent="0.3">
      <c r="A1" t="s">
        <v>16</v>
      </c>
      <c r="B1" t="s">
        <v>204</v>
      </c>
      <c r="C1" t="s">
        <v>205</v>
      </c>
    </row>
    <row r="2" spans="1:3" x14ac:dyDescent="0.3">
      <c r="A2">
        <v>2017</v>
      </c>
      <c r="B2">
        <v>-145.864485</v>
      </c>
    </row>
    <row r="3" spans="1:3" x14ac:dyDescent="0.3">
      <c r="A3">
        <v>2018</v>
      </c>
      <c r="B3">
        <v>-158.544085</v>
      </c>
    </row>
    <row r="4" spans="1:3" x14ac:dyDescent="0.3">
      <c r="A4">
        <v>2019</v>
      </c>
      <c r="B4">
        <v>-177.047022</v>
      </c>
    </row>
    <row r="5" spans="1:3" x14ac:dyDescent="0.3">
      <c r="A5">
        <v>2020</v>
      </c>
      <c r="B5">
        <v>-191.905089</v>
      </c>
    </row>
    <row r="6" spans="1:3" x14ac:dyDescent="0.3">
      <c r="A6">
        <v>2021</v>
      </c>
      <c r="B6">
        <v>-212.14052699999999</v>
      </c>
    </row>
    <row r="7" spans="1:3" x14ac:dyDescent="0.3">
      <c r="A7">
        <v>2022</v>
      </c>
      <c r="B7">
        <v>-222.25549880469276</v>
      </c>
      <c r="C7">
        <v>-0.15684997367812503</v>
      </c>
    </row>
    <row r="8" spans="1:3" x14ac:dyDescent="0.3">
      <c r="A8">
        <v>2023</v>
      </c>
      <c r="B8">
        <v>-237.84239619313698</v>
      </c>
      <c r="C8">
        <v>-0.6523752366750929</v>
      </c>
    </row>
    <row r="9" spans="1:3" x14ac:dyDescent="0.3">
      <c r="A9">
        <v>2024</v>
      </c>
      <c r="B9">
        <v>-253.54125799248524</v>
      </c>
      <c r="C9">
        <v>-1.5210336167660348</v>
      </c>
    </row>
    <row r="10" spans="1:3" x14ac:dyDescent="0.3">
      <c r="A10">
        <v>2025</v>
      </c>
      <c r="B10">
        <v>-269.26799223437547</v>
      </c>
      <c r="C10">
        <v>-2.7929175475528929</v>
      </c>
    </row>
    <row r="11" spans="1:3" x14ac:dyDescent="0.3">
      <c r="A11">
        <v>2026</v>
      </c>
      <c r="B11">
        <v>-284.93634531778906</v>
      </c>
      <c r="C11">
        <v>-4.4934404306160847</v>
      </c>
    </row>
    <row r="12" spans="1:3" x14ac:dyDescent="0.3">
      <c r="A12">
        <v>2027</v>
      </c>
      <c r="B12">
        <v>-300.45813352659394</v>
      </c>
      <c r="C12">
        <v>-6.6431895332483961</v>
      </c>
    </row>
    <row r="13" spans="1:3" x14ac:dyDescent="0.3">
      <c r="A13">
        <v>2028</v>
      </c>
      <c r="B13">
        <v>-315.74338778070376</v>
      </c>
      <c r="C13">
        <v>-9.257945484712458</v>
      </c>
    </row>
    <row r="14" spans="1:3" x14ac:dyDescent="0.3">
      <c r="A14">
        <v>2029</v>
      </c>
      <c r="B14">
        <v>-330.70042398705232</v>
      </c>
      <c r="C14">
        <v>-12.348861803019121</v>
      </c>
    </row>
    <row r="15" spans="1:3" x14ac:dyDescent="0.3">
      <c r="A15">
        <v>2030</v>
      </c>
      <c r="B15">
        <v>-345.23585667223836</v>
      </c>
      <c r="C15">
        <v>-15.922791774232619</v>
      </c>
    </row>
    <row r="16" spans="1:3" x14ac:dyDescent="0.3">
      <c r="A16">
        <v>2031</v>
      </c>
      <c r="B16">
        <v>-359.25457778058785</v>
      </c>
      <c r="C16">
        <v>-19.982744705474499</v>
      </c>
    </row>
    <row r="17" spans="1:3" x14ac:dyDescent="0.3">
      <c r="A17">
        <v>2032</v>
      </c>
      <c r="B17">
        <v>-372.65972537257176</v>
      </c>
      <c r="C17">
        <v>-24.528449315315275</v>
      </c>
    </row>
    <row r="18" spans="1:3" x14ac:dyDescent="0.3">
      <c r="A18">
        <v>2033</v>
      </c>
      <c r="B18">
        <v>-385.35266830427088</v>
      </c>
      <c r="C18">
        <v>-29.556998979009339</v>
      </c>
    </row>
    <row r="19" spans="1:3" x14ac:dyDescent="0.3">
      <c r="A19">
        <v>2034</v>
      </c>
      <c r="B19">
        <v>-397.23303274442077</v>
      </c>
      <c r="C19">
        <v>-35.063551805072109</v>
      </c>
    </row>
    <row r="20" spans="1:3" x14ac:dyDescent="0.3">
      <c r="A20">
        <v>2035</v>
      </c>
      <c r="B20">
        <v>-409.29205877768158</v>
      </c>
      <c r="C20">
        <v>-41.042058101687076</v>
      </c>
    </row>
    <row r="21" spans="1:3" x14ac:dyDescent="0.3">
      <c r="A21">
        <v>2036</v>
      </c>
      <c r="B21">
        <v>-421.63528871279112</v>
      </c>
      <c r="C21">
        <v>-47.485988640255428</v>
      </c>
    </row>
    <row r="22" spans="1:3" x14ac:dyDescent="0.3">
      <c r="A22">
        <v>2037</v>
      </c>
      <c r="B22">
        <v>-434.30518373727591</v>
      </c>
      <c r="C22">
        <v>-54.389039116433757</v>
      </c>
    </row>
    <row r="23" spans="1:3" x14ac:dyDescent="0.3">
      <c r="A23">
        <v>2038</v>
      </c>
      <c r="B23">
        <v>-447.34471788953834</v>
      </c>
      <c r="C23">
        <v>-61.745789168303034</v>
      </c>
    </row>
    <row r="24" spans="1:3" x14ac:dyDescent="0.3">
      <c r="A24">
        <v>2039</v>
      </c>
      <c r="B24">
        <v>-460.79676312247716</v>
      </c>
      <c r="C24">
        <v>-69.552298017776764</v>
      </c>
    </row>
    <row r="25" spans="1:3" x14ac:dyDescent="0.3">
      <c r="A25">
        <v>2040</v>
      </c>
      <c r="B25">
        <v>-474.70356532531912</v>
      </c>
      <c r="C25">
        <v>-77.806623010687616</v>
      </c>
    </row>
    <row r="26" spans="1:3" x14ac:dyDescent="0.3">
      <c r="A26">
        <v>2041</v>
      </c>
      <c r="B26">
        <v>-489.10632201542194</v>
      </c>
      <c r="C26">
        <v>-86.509251790206335</v>
      </c>
    </row>
    <row r="27" spans="1:3" x14ac:dyDescent="0.3">
      <c r="A27">
        <v>2042</v>
      </c>
      <c r="B27">
        <v>-504.04486731617902</v>
      </c>
      <c r="C27">
        <v>-95.663443301563731</v>
      </c>
    </row>
    <row r="28" spans="1:3" x14ac:dyDescent="0.3">
      <c r="A28">
        <v>2043</v>
      </c>
      <c r="B28">
        <v>-519.55746499351494</v>
      </c>
      <c r="C28">
        <v>-105.2754770690738</v>
      </c>
    </row>
    <row r="29" spans="1:3" x14ac:dyDescent="0.3">
      <c r="A29">
        <v>2044</v>
      </c>
      <c r="B29">
        <v>-535.680705950537</v>
      </c>
      <c r="C29">
        <v>-115.35481401781836</v>
      </c>
    </row>
    <row r="30" spans="1:3" x14ac:dyDescent="0.3">
      <c r="A30">
        <v>2045</v>
      </c>
      <c r="B30">
        <v>-552.44950284902222</v>
      </c>
      <c r="C30">
        <v>-125.91417538214375</v>
      </c>
    </row>
    <row r="31" spans="1:3" x14ac:dyDescent="0.3">
      <c r="A31">
        <v>2046</v>
      </c>
      <c r="B31">
        <v>-569.89717155583708</v>
      </c>
      <c r="C31">
        <v>-136.96954884788235</v>
      </c>
    </row>
    <row r="32" spans="1:3" x14ac:dyDescent="0.3">
      <c r="A32">
        <v>2047</v>
      </c>
      <c r="B32">
        <v>-588.05558696558774</v>
      </c>
      <c r="C32">
        <v>-148.54013295938972</v>
      </c>
    </row>
    <row r="33" spans="1:3" x14ac:dyDescent="0.3">
      <c r="A33">
        <v>2048</v>
      </c>
      <c r="B33">
        <v>-606.95539943861968</v>
      </c>
      <c r="C33">
        <v>-160.64823197663148</v>
      </c>
    </row>
    <row r="34" spans="1:3" x14ac:dyDescent="0.3">
      <c r="A34">
        <v>2049</v>
      </c>
      <c r="B34">
        <v>-626.62629757932871</v>
      </c>
      <c r="C34">
        <v>-173.31911382368139</v>
      </c>
    </row>
    <row r="35" spans="1:3" x14ac:dyDescent="0.3">
      <c r="A35">
        <v>2050</v>
      </c>
      <c r="B35">
        <v>-647.09730328741068</v>
      </c>
      <c r="C35">
        <v>-186.58084359479128</v>
      </c>
    </row>
    <row r="36" spans="1:3" x14ac:dyDescent="0.3">
      <c r="A36">
        <v>2051</v>
      </c>
      <c r="B36">
        <v>-668.397085837806</v>
      </c>
      <c r="C36">
        <v>-200.46410437075446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2021-10-21T16:36:12Z</dcterms:modified>
</cp:coreProperties>
</file>