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9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0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2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3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4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5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6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fileSharing readOnlyRecommended="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swaro\Desktop\SCRS\"/>
    </mc:Choice>
  </mc:AlternateContent>
  <xr:revisionPtr revIDLastSave="0" documentId="13_ncr:1_{DE5968FD-F77B-40A6-AA0C-4E16C578F673}" xr6:coauthVersionLast="47" xr6:coauthVersionMax="47" xr10:uidLastSave="{00000000-0000-0000-0000-000000000000}"/>
  <bookViews>
    <workbookView xWindow="28680" yWindow="-120" windowWidth="29040" windowHeight="15720" xr2:uid="{324A4265-FA70-4AA0-B9C6-FED0F2E9A44D}"/>
  </bookViews>
  <sheets>
    <sheet name="SCRS" sheetId="12" r:id="rId1"/>
    <sheet name="Outputs - Cash Infusion" sheetId="20" r:id="rId2"/>
    <sheet name="Outputs" sheetId="19" r:id="rId3"/>
    <sheet name="Inv.Returns" sheetId="18" r:id="rId4"/>
    <sheet name="Duration" sheetId="14" r:id="rId5"/>
    <sheet name="Sheet1" sheetId="13" r:id="rId6"/>
    <sheet name="Develop NCs" sheetId="15" r:id="rId7"/>
    <sheet name="Sheet3" sheetId="17" r:id="rId8"/>
  </sheets>
  <definedNames>
    <definedName name="_xlnm._FilterDatabase" localSheetId="0" hidden="1">SCRS!#REF!</definedName>
    <definedName name="_xlnm.Print_Area" localSheetId="0">SCRS!$A$1:$MQ$71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A14" i="12" l="1"/>
  <c r="HF15" i="12"/>
  <c r="HF23" i="12" l="1"/>
  <c r="HF24" i="12"/>
  <c r="HF25" i="12"/>
  <c r="HF26" i="12"/>
  <c r="HF14" i="12"/>
  <c r="HF16" i="12"/>
  <c r="HF17" i="12"/>
  <c r="HF18" i="12"/>
  <c r="HF19" i="12"/>
  <c r="HF20" i="12"/>
  <c r="HF21" i="12"/>
  <c r="HF22" i="12"/>
  <c r="ME10" i="12"/>
  <c r="MF10" i="12"/>
  <c r="ME9" i="12"/>
  <c r="MF9" i="12"/>
  <c r="ME6" i="12"/>
  <c r="ME7" i="12"/>
  <c r="ME8" i="12"/>
  <c r="ME5" i="12"/>
  <c r="MF6" i="12"/>
  <c r="MF7" i="12"/>
  <c r="MF8" i="12"/>
  <c r="MF5" i="12"/>
  <c r="FQ12" i="12"/>
  <c r="FQ13" i="12"/>
  <c r="FQ14" i="12"/>
  <c r="FQ15" i="12"/>
  <c r="FQ16" i="12"/>
  <c r="FQ17" i="12"/>
  <c r="FQ18" i="12"/>
  <c r="FQ19" i="12"/>
  <c r="FQ20" i="12"/>
  <c r="FQ21" i="12"/>
  <c r="FQ22" i="12"/>
  <c r="FQ23" i="12"/>
  <c r="FQ24" i="12"/>
  <c r="FQ25" i="12"/>
  <c r="FQ26" i="12"/>
  <c r="FQ27" i="12"/>
  <c r="FQ28" i="12"/>
  <c r="FQ29" i="12"/>
  <c r="FQ30" i="12"/>
  <c r="FQ31" i="12"/>
  <c r="FQ32" i="12"/>
  <c r="FQ33" i="12"/>
  <c r="FQ34" i="12"/>
  <c r="FQ35" i="12"/>
  <c r="FQ36" i="12"/>
  <c r="FQ37" i="12"/>
  <c r="FQ38" i="12"/>
  <c r="FQ39" i="12"/>
  <c r="FQ40" i="12"/>
  <c r="FQ41" i="12"/>
  <c r="FQ42" i="12"/>
  <c r="FQ43" i="12"/>
  <c r="FQ44" i="12"/>
  <c r="FQ45" i="12"/>
  <c r="FQ11" i="12"/>
  <c r="AZ14" i="12"/>
  <c r="AY14" i="12"/>
  <c r="AI14" i="12"/>
  <c r="CJ14" i="12"/>
  <c r="BO18" i="12"/>
  <c r="CB14" i="12"/>
  <c r="MM33" i="12" l="1"/>
  <c r="MN33" i="12"/>
  <c r="MO33" i="12"/>
  <c r="MO32" i="12"/>
  <c r="MM32" i="12"/>
  <c r="MO31" i="12"/>
  <c r="MN31" i="12"/>
  <c r="MM31" i="12"/>
  <c r="ME14" i="12"/>
  <c r="BP14" i="12"/>
  <c r="HF45" i="12" l="1"/>
  <c r="JV45" i="12"/>
  <c r="JW45" i="12"/>
  <c r="CO45" i="12"/>
  <c r="CP45" i="12"/>
  <c r="AX43" i="12"/>
  <c r="T45" i="12"/>
  <c r="U45" i="12"/>
  <c r="AA45" i="12"/>
  <c r="AB45" i="12"/>
  <c r="A45" i="12"/>
  <c r="B45" i="12"/>
  <c r="R45" i="12"/>
  <c r="DU70" i="12"/>
  <c r="DU69" i="12"/>
  <c r="BV14" i="12"/>
  <c r="BT14" i="12"/>
  <c r="BR14" i="12"/>
  <c r="AL14" i="12"/>
  <c r="AH14" i="12"/>
  <c r="AK14" i="12"/>
  <c r="AA14" i="12"/>
  <c r="W14" i="12"/>
  <c r="AD14" i="12" s="1"/>
  <c r="AC14" i="12" s="1"/>
  <c r="Q14" i="12"/>
  <c r="O14" i="12"/>
  <c r="I14" i="12"/>
  <c r="G14" i="12" s="1"/>
  <c r="D14" i="12"/>
  <c r="AN14" i="12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37" i="20"/>
  <c r="V14" i="12" l="1"/>
  <c r="K14" i="12"/>
  <c r="FR45" i="12"/>
  <c r="FU45" i="12"/>
  <c r="FV45" i="12" l="1"/>
  <c r="HE45" i="12"/>
  <c r="AR136" i="20"/>
  <c r="AR103" i="20" s="1"/>
  <c r="AS136" i="20"/>
  <c r="AS103" i="20" s="1"/>
  <c r="AT136" i="20"/>
  <c r="AT103" i="20" s="1"/>
  <c r="AR137" i="20"/>
  <c r="AR104" i="20" s="1"/>
  <c r="AS137" i="20"/>
  <c r="AS104" i="20" s="1"/>
  <c r="AT137" i="20"/>
  <c r="AT104" i="20" s="1"/>
  <c r="AR138" i="20"/>
  <c r="AR105" i="20" s="1"/>
  <c r="AS138" i="20"/>
  <c r="AS105" i="20" s="1"/>
  <c r="AT138" i="20"/>
  <c r="AT105" i="20" s="1"/>
  <c r="AR139" i="20"/>
  <c r="AR106" i="20" s="1"/>
  <c r="AS139" i="20"/>
  <c r="AS106" i="20" s="1"/>
  <c r="AT139" i="20"/>
  <c r="AT106" i="20" s="1"/>
  <c r="AR140" i="20"/>
  <c r="AR107" i="20" s="1"/>
  <c r="AS140" i="20"/>
  <c r="AS107" i="20" s="1"/>
  <c r="AT140" i="20"/>
  <c r="AT107" i="20" s="1"/>
  <c r="AR141" i="20"/>
  <c r="AR108" i="20" s="1"/>
  <c r="AS141" i="20"/>
  <c r="AS108" i="20" s="1"/>
  <c r="AT141" i="20"/>
  <c r="AT108" i="20" s="1"/>
  <c r="AR142" i="20"/>
  <c r="AR109" i="20" s="1"/>
  <c r="AS142" i="20"/>
  <c r="AS109" i="20" s="1"/>
  <c r="AT142" i="20"/>
  <c r="AT109" i="20" s="1"/>
  <c r="AR143" i="20"/>
  <c r="AR110" i="20" s="1"/>
  <c r="AS143" i="20"/>
  <c r="AS110" i="20" s="1"/>
  <c r="AT143" i="20"/>
  <c r="AT110" i="20" s="1"/>
  <c r="AR144" i="20"/>
  <c r="AR111" i="20" s="1"/>
  <c r="AS144" i="20"/>
  <c r="AS111" i="20" s="1"/>
  <c r="AT144" i="20"/>
  <c r="AT111" i="20" s="1"/>
  <c r="AR145" i="20"/>
  <c r="AR112" i="20" s="1"/>
  <c r="AS145" i="20"/>
  <c r="AS112" i="20" s="1"/>
  <c r="AT145" i="20"/>
  <c r="AT112" i="20" s="1"/>
  <c r="AR146" i="20"/>
  <c r="AR113" i="20" s="1"/>
  <c r="AS146" i="20"/>
  <c r="AS113" i="20" s="1"/>
  <c r="AT146" i="20"/>
  <c r="AT113" i="20" s="1"/>
  <c r="AR147" i="20"/>
  <c r="AR114" i="20" s="1"/>
  <c r="AS147" i="20"/>
  <c r="AS114" i="20" s="1"/>
  <c r="AT147" i="20"/>
  <c r="AT114" i="20" s="1"/>
  <c r="AR148" i="20"/>
  <c r="AR115" i="20" s="1"/>
  <c r="AS148" i="20"/>
  <c r="AS82" i="20" s="1"/>
  <c r="AT148" i="20"/>
  <c r="AT115" i="20" s="1"/>
  <c r="AR149" i="20"/>
  <c r="AR116" i="20" s="1"/>
  <c r="AS149" i="20"/>
  <c r="AS116" i="20" s="1"/>
  <c r="AT149" i="20"/>
  <c r="AT116" i="20" s="1"/>
  <c r="AR150" i="20"/>
  <c r="AR117" i="20" s="1"/>
  <c r="AS150" i="20"/>
  <c r="AS117" i="20" s="1"/>
  <c r="AT150" i="20"/>
  <c r="AT117" i="20" s="1"/>
  <c r="AR151" i="20"/>
  <c r="AR85" i="20" s="1"/>
  <c r="AS151" i="20"/>
  <c r="AS118" i="20" s="1"/>
  <c r="AT151" i="20"/>
  <c r="AT118" i="20" s="1"/>
  <c r="AR152" i="20"/>
  <c r="AR119" i="20" s="1"/>
  <c r="AS152" i="20"/>
  <c r="AS119" i="20" s="1"/>
  <c r="AT152" i="20"/>
  <c r="AT119" i="20" s="1"/>
  <c r="AR153" i="20"/>
  <c r="AR120" i="20" s="1"/>
  <c r="AS153" i="20"/>
  <c r="AS120" i="20" s="1"/>
  <c r="AT153" i="20"/>
  <c r="AT120" i="20" s="1"/>
  <c r="AR154" i="20"/>
  <c r="AR121" i="20" s="1"/>
  <c r="AS154" i="20"/>
  <c r="AS121" i="20" s="1"/>
  <c r="AT154" i="20"/>
  <c r="AT121" i="20" s="1"/>
  <c r="AR155" i="20"/>
  <c r="AR122" i="20" s="1"/>
  <c r="AS155" i="20"/>
  <c r="AS122" i="20" s="1"/>
  <c r="AT155" i="20"/>
  <c r="AT122" i="20" s="1"/>
  <c r="AR156" i="20"/>
  <c r="AR123" i="20" s="1"/>
  <c r="AS156" i="20"/>
  <c r="AS123" i="20" s="1"/>
  <c r="AT156" i="20"/>
  <c r="AT123" i="20" s="1"/>
  <c r="AR157" i="20"/>
  <c r="AR124" i="20" s="1"/>
  <c r="AS157" i="20"/>
  <c r="AS124" i="20" s="1"/>
  <c r="AT157" i="20"/>
  <c r="AT124" i="20" s="1"/>
  <c r="AR158" i="20"/>
  <c r="AR125" i="20" s="1"/>
  <c r="AS158" i="20"/>
  <c r="AS125" i="20" s="1"/>
  <c r="AT158" i="20"/>
  <c r="AT125" i="20" s="1"/>
  <c r="AR159" i="20"/>
  <c r="AR93" i="20" s="1"/>
  <c r="AS159" i="20"/>
  <c r="AS126" i="20" s="1"/>
  <c r="AT159" i="20"/>
  <c r="AT126" i="20" s="1"/>
  <c r="AR160" i="20"/>
  <c r="AR127" i="20" s="1"/>
  <c r="AS160" i="20"/>
  <c r="AS127" i="20" s="1"/>
  <c r="AT160" i="20"/>
  <c r="AT127" i="20" s="1"/>
  <c r="AR161" i="20"/>
  <c r="AR128" i="20" s="1"/>
  <c r="AS161" i="20"/>
  <c r="AS128" i="20" s="1"/>
  <c r="AT161" i="20"/>
  <c r="AT95" i="20" s="1"/>
  <c r="AR162" i="20"/>
  <c r="AR129" i="20" s="1"/>
  <c r="AS162" i="20"/>
  <c r="AS129" i="20" s="1"/>
  <c r="AT162" i="20"/>
  <c r="AT129" i="20" s="1"/>
  <c r="AR163" i="20"/>
  <c r="AR130" i="20" s="1"/>
  <c r="AS163" i="20"/>
  <c r="AS130" i="20" s="1"/>
  <c r="AT163" i="20"/>
  <c r="AT130" i="20" s="1"/>
  <c r="AR164" i="20"/>
  <c r="AR131" i="20" s="1"/>
  <c r="AS164" i="20"/>
  <c r="AS98" i="20" s="1"/>
  <c r="AT164" i="20"/>
  <c r="AT131" i="20" s="1"/>
  <c r="AR165" i="20"/>
  <c r="AR132" i="20" s="1"/>
  <c r="AR202" i="20" s="1"/>
  <c r="AS165" i="20"/>
  <c r="AS132" i="20" s="1"/>
  <c r="AS202" i="20" s="1"/>
  <c r="AT165" i="20"/>
  <c r="AT132" i="20" s="1"/>
  <c r="AT202" i="20" s="1"/>
  <c r="AQ137" i="20"/>
  <c r="AQ104" i="20" s="1"/>
  <c r="AQ138" i="20"/>
  <c r="AQ105" i="20" s="1"/>
  <c r="AQ139" i="20"/>
  <c r="AQ106" i="20" s="1"/>
  <c r="AQ140" i="20"/>
  <c r="AQ74" i="20" s="1"/>
  <c r="AQ141" i="20"/>
  <c r="AQ108" i="20" s="1"/>
  <c r="AQ142" i="20"/>
  <c r="AQ109" i="20" s="1"/>
  <c r="AQ143" i="20"/>
  <c r="AQ110" i="20" s="1"/>
  <c r="AQ144" i="20"/>
  <c r="AQ111" i="20" s="1"/>
  <c r="AQ145" i="20"/>
  <c r="AQ112" i="20" s="1"/>
  <c r="AQ146" i="20"/>
  <c r="AQ113" i="20" s="1"/>
  <c r="AQ147" i="20"/>
  <c r="AQ114" i="20" s="1"/>
  <c r="AQ148" i="20"/>
  <c r="AQ115" i="20" s="1"/>
  <c r="AQ149" i="20"/>
  <c r="AQ116" i="20" s="1"/>
  <c r="AQ150" i="20"/>
  <c r="AQ117" i="20" s="1"/>
  <c r="AQ151" i="20"/>
  <c r="AQ118" i="20" s="1"/>
  <c r="AQ152" i="20"/>
  <c r="AQ119" i="20" s="1"/>
  <c r="AQ153" i="20"/>
  <c r="AQ120" i="20" s="1"/>
  <c r="AQ154" i="20"/>
  <c r="AQ121" i="20" s="1"/>
  <c r="AQ155" i="20"/>
  <c r="AQ122" i="20" s="1"/>
  <c r="AQ156" i="20"/>
  <c r="AQ123" i="20" s="1"/>
  <c r="AQ157" i="20"/>
  <c r="AQ124" i="20" s="1"/>
  <c r="AQ158" i="20"/>
  <c r="AQ125" i="20" s="1"/>
  <c r="AQ159" i="20"/>
  <c r="AQ126" i="20" s="1"/>
  <c r="AQ160" i="20"/>
  <c r="AQ127" i="20" s="1"/>
  <c r="AQ161" i="20"/>
  <c r="AQ128" i="20" s="1"/>
  <c r="AQ162" i="20"/>
  <c r="AQ129" i="20" s="1"/>
  <c r="AQ163" i="20"/>
  <c r="AQ130" i="20" s="1"/>
  <c r="AQ164" i="20"/>
  <c r="AQ98" i="20" s="1"/>
  <c r="AQ165" i="20"/>
  <c r="AQ132" i="20" s="1"/>
  <c r="AQ202" i="20" s="1"/>
  <c r="AQ136" i="20"/>
  <c r="AQ103" i="20" s="1"/>
  <c r="AR201" i="20"/>
  <c r="AS201" i="20"/>
  <c r="AT201" i="20"/>
  <c r="AQ201" i="20"/>
  <c r="AM201" i="20"/>
  <c r="AN201" i="20"/>
  <c r="AO201" i="20"/>
  <c r="AL201" i="20"/>
  <c r="AM103" i="20"/>
  <c r="AN103" i="20"/>
  <c r="AO103" i="20"/>
  <c r="AM104" i="20"/>
  <c r="AN104" i="20"/>
  <c r="AO104" i="20"/>
  <c r="AM105" i="20"/>
  <c r="AN105" i="20"/>
  <c r="AO105" i="20"/>
  <c r="AM106" i="20"/>
  <c r="AN106" i="20"/>
  <c r="AO106" i="20"/>
  <c r="AM107" i="20"/>
  <c r="AN107" i="20"/>
  <c r="AO107" i="20"/>
  <c r="AM108" i="20"/>
  <c r="AN108" i="20"/>
  <c r="AO108" i="20"/>
  <c r="AM109" i="20"/>
  <c r="AN109" i="20"/>
  <c r="AO109" i="20"/>
  <c r="AM110" i="20"/>
  <c r="AN110" i="20"/>
  <c r="AO110" i="20"/>
  <c r="AM111" i="20"/>
  <c r="AN111" i="20"/>
  <c r="AO111" i="20"/>
  <c r="AM112" i="20"/>
  <c r="AN112" i="20"/>
  <c r="AO112" i="20"/>
  <c r="AM113" i="20"/>
  <c r="AN113" i="20"/>
  <c r="AO113" i="20"/>
  <c r="AM114" i="20"/>
  <c r="AN114" i="20"/>
  <c r="AO114" i="20"/>
  <c r="AM115" i="20"/>
  <c r="AN115" i="20"/>
  <c r="AO115" i="20"/>
  <c r="AM116" i="20"/>
  <c r="AN116" i="20"/>
  <c r="AO116" i="20"/>
  <c r="AM117" i="20"/>
  <c r="AN117" i="20"/>
  <c r="AO117" i="20"/>
  <c r="AM118" i="20"/>
  <c r="AN118" i="20"/>
  <c r="AO118" i="20"/>
  <c r="AM119" i="20"/>
  <c r="AN119" i="20"/>
  <c r="AO119" i="20"/>
  <c r="AM120" i="20"/>
  <c r="AN120" i="20"/>
  <c r="AO120" i="20"/>
  <c r="AM121" i="20"/>
  <c r="AN121" i="20"/>
  <c r="AO121" i="20"/>
  <c r="AM122" i="20"/>
  <c r="AN122" i="20"/>
  <c r="AO122" i="20"/>
  <c r="AM123" i="20"/>
  <c r="AN123" i="20"/>
  <c r="AO123" i="20"/>
  <c r="AM124" i="20"/>
  <c r="AN124" i="20"/>
  <c r="AO124" i="20"/>
  <c r="AM125" i="20"/>
  <c r="AN125" i="20"/>
  <c r="AO125" i="20"/>
  <c r="AM126" i="20"/>
  <c r="AN126" i="20"/>
  <c r="AO126" i="20"/>
  <c r="AM127" i="20"/>
  <c r="AN127" i="20"/>
  <c r="AO127" i="20"/>
  <c r="AM128" i="20"/>
  <c r="AN128" i="20"/>
  <c r="AO128" i="20"/>
  <c r="AM129" i="20"/>
  <c r="AN129" i="20"/>
  <c r="AO129" i="20"/>
  <c r="AM130" i="20"/>
  <c r="AN130" i="20"/>
  <c r="AO130" i="20"/>
  <c r="AM131" i="20"/>
  <c r="AN131" i="20"/>
  <c r="AO131" i="20"/>
  <c r="AM132" i="20"/>
  <c r="AM202" i="20" s="1"/>
  <c r="AN132" i="20"/>
  <c r="AN202" i="20" s="1"/>
  <c r="AO132" i="20"/>
  <c r="AO202" i="20" s="1"/>
  <c r="AL104" i="20"/>
  <c r="AL105" i="20"/>
  <c r="AL106" i="20"/>
  <c r="AL107" i="20"/>
  <c r="AL108" i="20"/>
  <c r="AL109" i="20"/>
  <c r="AL110" i="20"/>
  <c r="AL111" i="20"/>
  <c r="AL112" i="20"/>
  <c r="AL113" i="20"/>
  <c r="AL114" i="20"/>
  <c r="AL115" i="20"/>
  <c r="AL116" i="20"/>
  <c r="AL117" i="20"/>
  <c r="AL118" i="20"/>
  <c r="AL119" i="20"/>
  <c r="AL120" i="20"/>
  <c r="AL121" i="20"/>
  <c r="AL122" i="20"/>
  <c r="AL123" i="20"/>
  <c r="AL124" i="20"/>
  <c r="AL125" i="20"/>
  <c r="AL126" i="20"/>
  <c r="AL127" i="20"/>
  <c r="AL128" i="20"/>
  <c r="AL129" i="20"/>
  <c r="AL130" i="20"/>
  <c r="AL131" i="20"/>
  <c r="AL132" i="20"/>
  <c r="AL202" i="20" s="1"/>
  <c r="AL103" i="20"/>
  <c r="AO99" i="20"/>
  <c r="AN99" i="20"/>
  <c r="AM99" i="20"/>
  <c r="AO98" i="20"/>
  <c r="AN98" i="20"/>
  <c r="AM98" i="20"/>
  <c r="AO97" i="20"/>
  <c r="AN97" i="20"/>
  <c r="AM97" i="20"/>
  <c r="AO96" i="20"/>
  <c r="AN96" i="20"/>
  <c r="AM96" i="20"/>
  <c r="AO95" i="20"/>
  <c r="AN95" i="20"/>
  <c r="AM95" i="20"/>
  <c r="AO94" i="20"/>
  <c r="AN94" i="20"/>
  <c r="AM94" i="20"/>
  <c r="AO93" i="20"/>
  <c r="AN93" i="20"/>
  <c r="AM93" i="20"/>
  <c r="AO92" i="20"/>
  <c r="AN92" i="20"/>
  <c r="AM92" i="20"/>
  <c r="AO91" i="20"/>
  <c r="AN91" i="20"/>
  <c r="AM91" i="20"/>
  <c r="AO90" i="20"/>
  <c r="AN90" i="20"/>
  <c r="AM90" i="20"/>
  <c r="AO89" i="20"/>
  <c r="AN89" i="20"/>
  <c r="AM89" i="20"/>
  <c r="AO88" i="20"/>
  <c r="AN88" i="20"/>
  <c r="AM88" i="20"/>
  <c r="AO87" i="20"/>
  <c r="AN87" i="20"/>
  <c r="AM87" i="20"/>
  <c r="AO86" i="20"/>
  <c r="AN86" i="20"/>
  <c r="AM86" i="20"/>
  <c r="AO85" i="20"/>
  <c r="AN85" i="20"/>
  <c r="AM85" i="20"/>
  <c r="AO84" i="20"/>
  <c r="AN84" i="20"/>
  <c r="AM84" i="20"/>
  <c r="AO83" i="20"/>
  <c r="AN83" i="20"/>
  <c r="AM83" i="20"/>
  <c r="AO82" i="20"/>
  <c r="AN82" i="20"/>
  <c r="AM82" i="20"/>
  <c r="AO81" i="20"/>
  <c r="AN81" i="20"/>
  <c r="AM81" i="20"/>
  <c r="AO80" i="20"/>
  <c r="AN80" i="20"/>
  <c r="AM80" i="20"/>
  <c r="AO79" i="20"/>
  <c r="AN79" i="20"/>
  <c r="AM79" i="20"/>
  <c r="AO78" i="20"/>
  <c r="AN78" i="20"/>
  <c r="AM78" i="20"/>
  <c r="AO77" i="20"/>
  <c r="AN77" i="20"/>
  <c r="AM77" i="20"/>
  <c r="AO76" i="20"/>
  <c r="AN76" i="20"/>
  <c r="AM76" i="20"/>
  <c r="AO75" i="20"/>
  <c r="AN75" i="20"/>
  <c r="AM75" i="20"/>
  <c r="AO74" i="20"/>
  <c r="AN74" i="20"/>
  <c r="AM74" i="20"/>
  <c r="AO73" i="20"/>
  <c r="AN73" i="20"/>
  <c r="AM73" i="20"/>
  <c r="AO72" i="20"/>
  <c r="AN72" i="20"/>
  <c r="AM72" i="20"/>
  <c r="AO71" i="20"/>
  <c r="AN71" i="20"/>
  <c r="AM71" i="20"/>
  <c r="AO70" i="20"/>
  <c r="AN70" i="20"/>
  <c r="AM70" i="20"/>
  <c r="AL71" i="20"/>
  <c r="AL72" i="20"/>
  <c r="AL73" i="20"/>
  <c r="AL74" i="20"/>
  <c r="AL75" i="20"/>
  <c r="AL76" i="20"/>
  <c r="AL77" i="20"/>
  <c r="AL78" i="20"/>
  <c r="AL79" i="20"/>
  <c r="AL80" i="20"/>
  <c r="AL81" i="20"/>
  <c r="AL82" i="20"/>
  <c r="AL83" i="20"/>
  <c r="AL84" i="20"/>
  <c r="AL85" i="20"/>
  <c r="AL86" i="20"/>
  <c r="AL87" i="20"/>
  <c r="AL88" i="20"/>
  <c r="AL89" i="20"/>
  <c r="AL90" i="20"/>
  <c r="AL91" i="20"/>
  <c r="AL92" i="20"/>
  <c r="AL93" i="20"/>
  <c r="AL94" i="20"/>
  <c r="AL95" i="20"/>
  <c r="AL96" i="20"/>
  <c r="AL97" i="20"/>
  <c r="AL98" i="20"/>
  <c r="AL99" i="20"/>
  <c r="AL70" i="20"/>
  <c r="AX11" i="12"/>
  <c r="AX12" i="12"/>
  <c r="AX13" i="12"/>
  <c r="AX14" i="12"/>
  <c r="AX15" i="12"/>
  <c r="AX16" i="12"/>
  <c r="AX17" i="12"/>
  <c r="AX18" i="12"/>
  <c r="AX19" i="12"/>
  <c r="AX20" i="12"/>
  <c r="AX21" i="12"/>
  <c r="AX22" i="12"/>
  <c r="AX23" i="12"/>
  <c r="AX24" i="12"/>
  <c r="AX25" i="12"/>
  <c r="AX26" i="12"/>
  <c r="AX27" i="12"/>
  <c r="AX28" i="12"/>
  <c r="AX29" i="12"/>
  <c r="AX30" i="12"/>
  <c r="AX31" i="12"/>
  <c r="AX32" i="12"/>
  <c r="AX33" i="12"/>
  <c r="AX34" i="12"/>
  <c r="AX35" i="12"/>
  <c r="AX36" i="12"/>
  <c r="AX37" i="12"/>
  <c r="AX38" i="12"/>
  <c r="AX39" i="12"/>
  <c r="AX40" i="12"/>
  <c r="AX41" i="12"/>
  <c r="AX42" i="12"/>
  <c r="AX10" i="12"/>
  <c r="DG49" i="12"/>
  <c r="DH49" i="12"/>
  <c r="DG50" i="12"/>
  <c r="DG51" i="12"/>
  <c r="DG52" i="12"/>
  <c r="DG53" i="12"/>
  <c r="DG54" i="12"/>
  <c r="DG55" i="12"/>
  <c r="DG56" i="12"/>
  <c r="DG57" i="12"/>
  <c r="DG58" i="12"/>
  <c r="DG59" i="12"/>
  <c r="DG60" i="12"/>
  <c r="DG61" i="12"/>
  <c r="DG62" i="12"/>
  <c r="DG63" i="12"/>
  <c r="DG64" i="12"/>
  <c r="DG65" i="12"/>
  <c r="DG66" i="12"/>
  <c r="DG67" i="12"/>
  <c r="DG68" i="12"/>
  <c r="DG69" i="12"/>
  <c r="DG70" i="12"/>
  <c r="DG71" i="12"/>
  <c r="DG72" i="12"/>
  <c r="DG73" i="12"/>
  <c r="DG74" i="12"/>
  <c r="DG75" i="12"/>
  <c r="DG76" i="12"/>
  <c r="DG77" i="12"/>
  <c r="DG78" i="12"/>
  <c r="DG79" i="12"/>
  <c r="DH82" i="12"/>
  <c r="DG83" i="12"/>
  <c r="DG84" i="12"/>
  <c r="DG85" i="12"/>
  <c r="DG86" i="12"/>
  <c r="DG87" i="12"/>
  <c r="DG88" i="12"/>
  <c r="DG89" i="12"/>
  <c r="DG90" i="12"/>
  <c r="DG91" i="12"/>
  <c r="DG92" i="12"/>
  <c r="DG93" i="12"/>
  <c r="DG94" i="12"/>
  <c r="DG95" i="12"/>
  <c r="DG96" i="12"/>
  <c r="DG97" i="12"/>
  <c r="DG98" i="12"/>
  <c r="DG99" i="12"/>
  <c r="DG100" i="12"/>
  <c r="DG101" i="12"/>
  <c r="DG102" i="12"/>
  <c r="DG103" i="12"/>
  <c r="DG104" i="12"/>
  <c r="DG105" i="12"/>
  <c r="DG106" i="12"/>
  <c r="DG107" i="12"/>
  <c r="DG108" i="12"/>
  <c r="DG109" i="12"/>
  <c r="DG110" i="12"/>
  <c r="DG111" i="12"/>
  <c r="DG112" i="12"/>
  <c r="DH115" i="12"/>
  <c r="DG116" i="12"/>
  <c r="DG117" i="12"/>
  <c r="DG118" i="12"/>
  <c r="DG119" i="12"/>
  <c r="DG120" i="12"/>
  <c r="DG121" i="12"/>
  <c r="DG122" i="12"/>
  <c r="DG123" i="12"/>
  <c r="DG124" i="12"/>
  <c r="DG125" i="12"/>
  <c r="DG126" i="12"/>
  <c r="DG127" i="12"/>
  <c r="DG128" i="12"/>
  <c r="DG129" i="12"/>
  <c r="DG130" i="12"/>
  <c r="DG131" i="12"/>
  <c r="DG132" i="12"/>
  <c r="DG133" i="12"/>
  <c r="DG134" i="12"/>
  <c r="DG135" i="12"/>
  <c r="DG136" i="12"/>
  <c r="DG137" i="12"/>
  <c r="DG138" i="12"/>
  <c r="DG139" i="12"/>
  <c r="DG140" i="12"/>
  <c r="DG141" i="12"/>
  <c r="DG142" i="12"/>
  <c r="DG143" i="12"/>
  <c r="DG144" i="12"/>
  <c r="DG145" i="12"/>
  <c r="DH148" i="12"/>
  <c r="DG149" i="12"/>
  <c r="DG150" i="12"/>
  <c r="DG151" i="12"/>
  <c r="DG152" i="12"/>
  <c r="DG153" i="12"/>
  <c r="DG154" i="12"/>
  <c r="DG155" i="12"/>
  <c r="DG156" i="12"/>
  <c r="DG157" i="12"/>
  <c r="DG158" i="12"/>
  <c r="DG159" i="12"/>
  <c r="DG160" i="12"/>
  <c r="DG161" i="12"/>
  <c r="DG162" i="12"/>
  <c r="DG163" i="12"/>
  <c r="DG164" i="12"/>
  <c r="DG165" i="12"/>
  <c r="DG166" i="12"/>
  <c r="DG167" i="12"/>
  <c r="DG168" i="12"/>
  <c r="DG169" i="12"/>
  <c r="DG170" i="12"/>
  <c r="DG171" i="12"/>
  <c r="DG172" i="12"/>
  <c r="DG173" i="12"/>
  <c r="DG174" i="12"/>
  <c r="DG175" i="12"/>
  <c r="DG176" i="12"/>
  <c r="DG177" i="12"/>
  <c r="DG178" i="12"/>
  <c r="DH181" i="12"/>
  <c r="DG182" i="12"/>
  <c r="DG183" i="12"/>
  <c r="DG184" i="12"/>
  <c r="DG185" i="12"/>
  <c r="DG186" i="12"/>
  <c r="DG187" i="12"/>
  <c r="DG188" i="12"/>
  <c r="DG189" i="12"/>
  <c r="DG190" i="12"/>
  <c r="DG191" i="12"/>
  <c r="DG192" i="12"/>
  <c r="DG193" i="12"/>
  <c r="DG194" i="12"/>
  <c r="DG195" i="12"/>
  <c r="DG196" i="12"/>
  <c r="DG197" i="12"/>
  <c r="DG198" i="12"/>
  <c r="DG199" i="12"/>
  <c r="DG200" i="12"/>
  <c r="DG201" i="12"/>
  <c r="DG202" i="12"/>
  <c r="DG203" i="12"/>
  <c r="DG204" i="12"/>
  <c r="DG205" i="12"/>
  <c r="DG206" i="12"/>
  <c r="DG207" i="12"/>
  <c r="DG208" i="12"/>
  <c r="DG209" i="12"/>
  <c r="DG210" i="12"/>
  <c r="DG211" i="12"/>
  <c r="DH214" i="12"/>
  <c r="DG215" i="12"/>
  <c r="DG216" i="12"/>
  <c r="DG217" i="12"/>
  <c r="DG218" i="12"/>
  <c r="DG219" i="12"/>
  <c r="DG220" i="12"/>
  <c r="DG221" i="12"/>
  <c r="DG222" i="12"/>
  <c r="DG223" i="12"/>
  <c r="DG224" i="12"/>
  <c r="DG225" i="12"/>
  <c r="DG226" i="12"/>
  <c r="DG227" i="12"/>
  <c r="DG228" i="12"/>
  <c r="DG229" i="12"/>
  <c r="DG230" i="12"/>
  <c r="DG231" i="12"/>
  <c r="DG232" i="12"/>
  <c r="DG233" i="12"/>
  <c r="DG234" i="12"/>
  <c r="DG235" i="12"/>
  <c r="DG236" i="12"/>
  <c r="DG237" i="12"/>
  <c r="DG238" i="12"/>
  <c r="DG239" i="12"/>
  <c r="DG240" i="12"/>
  <c r="DG241" i="12"/>
  <c r="DG242" i="12"/>
  <c r="DG243" i="12"/>
  <c r="DG244" i="12"/>
  <c r="DG247" i="12"/>
  <c r="DG248" i="12"/>
  <c r="DG249" i="12"/>
  <c r="A4" i="18"/>
  <c r="A5" i="18"/>
  <c r="A6" i="18" s="1"/>
  <c r="A7" i="18" s="1"/>
  <c r="A8" i="18" s="1"/>
  <c r="A9" i="18" s="1"/>
  <c r="A10" i="18" s="1"/>
  <c r="A11" i="18" s="1"/>
  <c r="A12" i="18" s="1"/>
  <c r="A13" i="18" s="1"/>
  <c r="A14" i="18" s="1"/>
  <c r="A15" i="18" s="1"/>
  <c r="A16" i="18" s="1"/>
  <c r="A17" i="18" s="1"/>
  <c r="A18" i="18" s="1"/>
  <c r="A19" i="18" s="1"/>
  <c r="A20" i="18" s="1"/>
  <c r="A21" i="18" s="1"/>
  <c r="A22" i="18" s="1"/>
  <c r="A23" i="18" s="1"/>
  <c r="A24" i="18" s="1"/>
  <c r="A25" i="18" s="1"/>
  <c r="A26" i="18" s="1"/>
  <c r="A27" i="18" s="1"/>
  <c r="A28" i="18" s="1"/>
  <c r="A29" i="18" s="1"/>
  <c r="A30" i="18" s="1"/>
  <c r="A31" i="18" s="1"/>
  <c r="A32" i="18" s="1"/>
  <c r="A3" i="18"/>
  <c r="CJ15" i="12"/>
  <c r="O133" i="19"/>
  <c r="O129" i="19"/>
  <c r="O125" i="19"/>
  <c r="O121" i="19"/>
  <c r="O117" i="19"/>
  <c r="O113" i="19"/>
  <c r="O109" i="19"/>
  <c r="O105" i="19"/>
  <c r="O132" i="19"/>
  <c r="O131" i="19"/>
  <c r="O128" i="19"/>
  <c r="O124" i="19"/>
  <c r="O123" i="19"/>
  <c r="O120" i="19"/>
  <c r="O116" i="19"/>
  <c r="O115" i="19"/>
  <c r="O112" i="19"/>
  <c r="O108" i="19"/>
  <c r="O107" i="19"/>
  <c r="O104" i="19"/>
  <c r="O106" i="19"/>
  <c r="O110" i="19"/>
  <c r="O111" i="19"/>
  <c r="O114" i="19"/>
  <c r="O118" i="19"/>
  <c r="O119" i="19"/>
  <c r="O122" i="19"/>
  <c r="O126" i="19"/>
  <c r="O127" i="19"/>
  <c r="O130" i="19"/>
  <c r="O103" i="19"/>
  <c r="M104" i="19"/>
  <c r="M105" i="19"/>
  <c r="M106" i="19"/>
  <c r="M107" i="19"/>
  <c r="M108" i="19"/>
  <c r="M109" i="19"/>
  <c r="M110" i="19"/>
  <c r="M111" i="19"/>
  <c r="M112" i="19"/>
  <c r="M113" i="19"/>
  <c r="M114" i="19"/>
  <c r="M115" i="19"/>
  <c r="M116" i="19"/>
  <c r="M117" i="19"/>
  <c r="M118" i="19"/>
  <c r="M119" i="19"/>
  <c r="M120" i="19"/>
  <c r="M121" i="19"/>
  <c r="M123" i="19"/>
  <c r="M124" i="19"/>
  <c r="M125" i="19"/>
  <c r="M126" i="19"/>
  <c r="M127" i="19"/>
  <c r="M128" i="19"/>
  <c r="M129" i="19"/>
  <c r="M130" i="19"/>
  <c r="M131" i="19"/>
  <c r="M132" i="19"/>
  <c r="M133" i="19"/>
  <c r="M103" i="19"/>
  <c r="AQ90" i="20" l="1"/>
  <c r="AT71" i="20"/>
  <c r="AQ70" i="20"/>
  <c r="AQ92" i="20"/>
  <c r="AQ84" i="20"/>
  <c r="AQ76" i="20"/>
  <c r="AR99" i="20"/>
  <c r="AS96" i="20"/>
  <c r="AT93" i="20"/>
  <c r="AR91" i="20"/>
  <c r="AS88" i="20"/>
  <c r="AT85" i="20"/>
  <c r="AR83" i="20"/>
  <c r="AS80" i="20"/>
  <c r="AT77" i="20"/>
  <c r="AR75" i="20"/>
  <c r="AS72" i="20"/>
  <c r="AQ99" i="20"/>
  <c r="AQ91" i="20"/>
  <c r="AQ83" i="20"/>
  <c r="AQ75" i="20"/>
  <c r="AT98" i="20"/>
  <c r="AR96" i="20"/>
  <c r="AS93" i="20"/>
  <c r="AT90" i="20"/>
  <c r="AR88" i="20"/>
  <c r="AS85" i="20"/>
  <c r="AT82" i="20"/>
  <c r="AR80" i="20"/>
  <c r="AS77" i="20"/>
  <c r="AT74" i="20"/>
  <c r="AR72" i="20"/>
  <c r="AQ82" i="20"/>
  <c r="AS90" i="20"/>
  <c r="AT87" i="20"/>
  <c r="AS74" i="20"/>
  <c r="AQ131" i="20"/>
  <c r="AT128" i="20"/>
  <c r="AR126" i="20"/>
  <c r="AR118" i="20"/>
  <c r="AQ97" i="20"/>
  <c r="AQ89" i="20"/>
  <c r="AQ81" i="20"/>
  <c r="AQ73" i="20"/>
  <c r="AR98" i="20"/>
  <c r="AS95" i="20"/>
  <c r="AT92" i="20"/>
  <c r="AR90" i="20"/>
  <c r="AS87" i="20"/>
  <c r="AT84" i="20"/>
  <c r="AR82" i="20"/>
  <c r="AS79" i="20"/>
  <c r="AT76" i="20"/>
  <c r="AR74" i="20"/>
  <c r="AS71" i="20"/>
  <c r="AT79" i="20"/>
  <c r="AS131" i="20"/>
  <c r="AQ96" i="20"/>
  <c r="AQ88" i="20"/>
  <c r="AQ80" i="20"/>
  <c r="AQ72" i="20"/>
  <c r="AT97" i="20"/>
  <c r="AR95" i="20"/>
  <c r="AS92" i="20"/>
  <c r="AT89" i="20"/>
  <c r="AR87" i="20"/>
  <c r="AS84" i="20"/>
  <c r="AT81" i="20"/>
  <c r="AR79" i="20"/>
  <c r="AS76" i="20"/>
  <c r="AT73" i="20"/>
  <c r="AR71" i="20"/>
  <c r="AQ95" i="20"/>
  <c r="AQ87" i="20"/>
  <c r="AQ79" i="20"/>
  <c r="AQ71" i="20"/>
  <c r="AS97" i="20"/>
  <c r="AT94" i="20"/>
  <c r="AR92" i="20"/>
  <c r="AS89" i="20"/>
  <c r="AT86" i="20"/>
  <c r="AR84" i="20"/>
  <c r="AS81" i="20"/>
  <c r="AT78" i="20"/>
  <c r="AR76" i="20"/>
  <c r="AS73" i="20"/>
  <c r="AT70" i="20"/>
  <c r="AR77" i="20"/>
  <c r="AQ107" i="20"/>
  <c r="AS115" i="20"/>
  <c r="AQ94" i="20"/>
  <c r="AQ86" i="20"/>
  <c r="AQ78" i="20"/>
  <c r="AT99" i="20"/>
  <c r="AR97" i="20"/>
  <c r="AS94" i="20"/>
  <c r="AT91" i="20"/>
  <c r="AR89" i="20"/>
  <c r="AS86" i="20"/>
  <c r="AT83" i="20"/>
  <c r="AR81" i="20"/>
  <c r="AS78" i="20"/>
  <c r="AT75" i="20"/>
  <c r="AR73" i="20"/>
  <c r="AS70" i="20"/>
  <c r="AQ93" i="20"/>
  <c r="AQ85" i="20"/>
  <c r="AQ77" i="20"/>
  <c r="AS99" i="20"/>
  <c r="AT96" i="20"/>
  <c r="AR94" i="20"/>
  <c r="AS91" i="20"/>
  <c r="AT88" i="20"/>
  <c r="AR86" i="20"/>
  <c r="AS83" i="20"/>
  <c r="AT80" i="20"/>
  <c r="AR78" i="20"/>
  <c r="AS75" i="20"/>
  <c r="AT72" i="20"/>
  <c r="AR70" i="20"/>
  <c r="AT203" i="20"/>
  <c r="AS203" i="20"/>
  <c r="AR203" i="20"/>
  <c r="AQ203" i="20"/>
  <c r="AO203" i="20"/>
  <c r="AN203" i="20"/>
  <c r="AM203" i="20"/>
  <c r="AL203" i="20"/>
  <c r="DU42" i="12"/>
  <c r="BG6" i="12" s="1"/>
  <c r="CJ47" i="12"/>
  <c r="JW16" i="12" l="1"/>
  <c r="JW17" i="12"/>
  <c r="JW18" i="12"/>
  <c r="JW19" i="12"/>
  <c r="JW20" i="12"/>
  <c r="JW21" i="12"/>
  <c r="JW22" i="12"/>
  <c r="JW23" i="12"/>
  <c r="JW24" i="12"/>
  <c r="JW25" i="12"/>
  <c r="JW26" i="12"/>
  <c r="JW27" i="12"/>
  <c r="JW28" i="12"/>
  <c r="JW29" i="12"/>
  <c r="JW30" i="12"/>
  <c r="JW31" i="12"/>
  <c r="JW32" i="12"/>
  <c r="JW33" i="12"/>
  <c r="JW34" i="12"/>
  <c r="JW35" i="12"/>
  <c r="JW36" i="12"/>
  <c r="JW37" i="12"/>
  <c r="JW38" i="12"/>
  <c r="JW39" i="12"/>
  <c r="JW40" i="12"/>
  <c r="JW41" i="12"/>
  <c r="JW42" i="12"/>
  <c r="JW43" i="12"/>
  <c r="JW44" i="12"/>
  <c r="BO11" i="12"/>
  <c r="N104" i="19" l="1"/>
  <c r="N105" i="19"/>
  <c r="N106" i="19"/>
  <c r="N107" i="19"/>
  <c r="N108" i="19"/>
  <c r="N109" i="19"/>
  <c r="N110" i="19"/>
  <c r="N111" i="19"/>
  <c r="N112" i="19"/>
  <c r="N113" i="19"/>
  <c r="N114" i="19"/>
  <c r="N115" i="19"/>
  <c r="N116" i="19"/>
  <c r="N117" i="19"/>
  <c r="N118" i="19"/>
  <c r="N119" i="19"/>
  <c r="N120" i="19"/>
  <c r="N121" i="19"/>
  <c r="N122" i="19"/>
  <c r="N123" i="19"/>
  <c r="N124" i="19"/>
  <c r="N125" i="19"/>
  <c r="N126" i="19"/>
  <c r="N127" i="19"/>
  <c r="N128" i="19"/>
  <c r="N129" i="19"/>
  <c r="N130" i="19"/>
  <c r="N131" i="19"/>
  <c r="N132" i="19"/>
  <c r="N133" i="19"/>
  <c r="N103" i="19"/>
  <c r="CY9" i="12" l="1"/>
  <c r="CY10" i="12"/>
  <c r="CY11" i="12"/>
  <c r="B32" i="18"/>
  <c r="AN45" i="12" s="1"/>
  <c r="HF43" i="12"/>
  <c r="JV43" i="12"/>
  <c r="HF44" i="12"/>
  <c r="JV44" i="12"/>
  <c r="CO43" i="12"/>
  <c r="CP43" i="12"/>
  <c r="CO44" i="12"/>
  <c r="CP44" i="12"/>
  <c r="CP42" i="12"/>
  <c r="AA43" i="12"/>
  <c r="BJ43" i="12" s="1"/>
  <c r="AB43" i="12"/>
  <c r="AA44" i="12"/>
  <c r="AB44" i="12"/>
  <c r="T43" i="12"/>
  <c r="U43" i="12"/>
  <c r="T44" i="12"/>
  <c r="U44" i="12"/>
  <c r="A43" i="12"/>
  <c r="A44" i="12"/>
  <c r="B43" i="12"/>
  <c r="B44" i="12"/>
  <c r="Y8" i="12"/>
  <c r="Y9" i="12"/>
  <c r="Y10" i="12"/>
  <c r="Y11" i="12"/>
  <c r="B5" i="12"/>
  <c r="B6" i="12"/>
  <c r="B7" i="12"/>
  <c r="B8" i="12"/>
  <c r="B9" i="12"/>
  <c r="B10" i="12"/>
  <c r="B11" i="12"/>
  <c r="B12" i="12"/>
  <c r="B13" i="12"/>
  <c r="B14" i="12"/>
  <c r="DO14" i="12" s="1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AN28" i="12" s="1"/>
  <c r="B29" i="12"/>
  <c r="B30" i="12"/>
  <c r="B31" i="12"/>
  <c r="B32" i="12"/>
  <c r="B33" i="12"/>
  <c r="B34" i="12"/>
  <c r="B35" i="12"/>
  <c r="B36" i="12"/>
  <c r="AN36" i="12" s="1"/>
  <c r="B37" i="12"/>
  <c r="B38" i="12"/>
  <c r="B39" i="12"/>
  <c r="B40" i="12"/>
  <c r="B41" i="12"/>
  <c r="B42" i="12"/>
  <c r="B4" i="12"/>
  <c r="B3" i="18"/>
  <c r="B4" i="18"/>
  <c r="B5" i="18"/>
  <c r="B6" i="18"/>
  <c r="B7" i="18"/>
  <c r="B8" i="18"/>
  <c r="B9" i="18"/>
  <c r="B10" i="18"/>
  <c r="B11" i="18"/>
  <c r="B12" i="18"/>
  <c r="B13" i="18"/>
  <c r="B14" i="18"/>
  <c r="B15" i="18"/>
  <c r="B16" i="18"/>
  <c r="B17" i="18"/>
  <c r="B18" i="18"/>
  <c r="B19" i="18"/>
  <c r="B20" i="18"/>
  <c r="B21" i="18"/>
  <c r="B22" i="18"/>
  <c r="B23" i="18"/>
  <c r="B24" i="18"/>
  <c r="B25" i="18"/>
  <c r="B26" i="18"/>
  <c r="B27" i="18"/>
  <c r="B28" i="18"/>
  <c r="B29" i="18"/>
  <c r="B30" i="18"/>
  <c r="B31" i="18"/>
  <c r="B2" i="18"/>
  <c r="E20" i="18"/>
  <c r="E19" i="18"/>
  <c r="E18" i="18"/>
  <c r="E5" i="18"/>
  <c r="E4" i="18"/>
  <c r="E3" i="18"/>
  <c r="D2" i="18"/>
  <c r="DO35" i="12" l="1"/>
  <c r="DO27" i="12"/>
  <c r="DO19" i="12"/>
  <c r="DO11" i="12"/>
  <c r="DO42" i="12"/>
  <c r="DO26" i="12"/>
  <c r="DO18" i="12"/>
  <c r="DO10" i="12"/>
  <c r="DO34" i="12"/>
  <c r="DO33" i="12"/>
  <c r="DO25" i="12"/>
  <c r="DO32" i="12"/>
  <c r="DO16" i="12"/>
  <c r="DO37" i="12"/>
  <c r="DO17" i="12"/>
  <c r="AN21" i="12"/>
  <c r="AN37" i="12"/>
  <c r="AN43" i="12"/>
  <c r="DO9" i="12"/>
  <c r="DO29" i="12"/>
  <c r="AN44" i="12"/>
  <c r="AN42" i="12"/>
  <c r="AN34" i="12"/>
  <c r="AN26" i="12"/>
  <c r="DO21" i="12"/>
  <c r="AN20" i="12"/>
  <c r="DO12" i="12"/>
  <c r="AN18" i="12"/>
  <c r="DO13" i="12"/>
  <c r="AN41" i="12"/>
  <c r="AN24" i="12"/>
  <c r="AN25" i="12"/>
  <c r="AN31" i="12"/>
  <c r="AN40" i="12"/>
  <c r="AN39" i="12"/>
  <c r="AN15" i="12"/>
  <c r="AN38" i="12"/>
  <c r="AN30" i="12"/>
  <c r="AN22" i="12"/>
  <c r="AN23" i="12"/>
  <c r="AN27" i="12"/>
  <c r="DO41" i="12"/>
  <c r="DO40" i="12"/>
  <c r="AN33" i="12"/>
  <c r="AN17" i="12"/>
  <c r="DO39" i="12"/>
  <c r="DO31" i="12"/>
  <c r="DO23" i="12"/>
  <c r="DO15" i="12"/>
  <c r="AN35" i="12"/>
  <c r="DO24" i="12"/>
  <c r="AN32" i="12"/>
  <c r="AN16" i="12"/>
  <c r="DO38" i="12"/>
  <c r="DO30" i="12"/>
  <c r="DO22" i="12"/>
  <c r="AN19" i="12"/>
  <c r="DO36" i="12"/>
  <c r="DO28" i="12"/>
  <c r="DO20" i="12"/>
  <c r="E2" i="18"/>
  <c r="E17" i="18"/>
  <c r="AN29" i="12" s="1"/>
  <c r="AI13" i="12" l="1"/>
  <c r="FI16" i="12"/>
  <c r="FH16" i="12"/>
  <c r="FI17" i="12" s="1"/>
  <c r="FG16" i="12"/>
  <c r="FH17" i="12" s="1"/>
  <c r="FI18" i="12" s="1"/>
  <c r="CJ13" i="12"/>
  <c r="CJ12" i="12"/>
  <c r="BD10" i="12"/>
  <c r="BH6" i="12"/>
  <c r="BA7" i="12"/>
  <c r="BA8" i="12"/>
  <c r="BA9" i="12"/>
  <c r="BA6" i="12"/>
  <c r="BE6" i="12" s="1"/>
  <c r="FP16" i="12" l="1"/>
  <c r="FP15" i="12"/>
  <c r="JV17" i="12" l="1"/>
  <c r="JV18" i="12"/>
  <c r="JV19" i="12"/>
  <c r="JV20" i="12"/>
  <c r="JV21" i="12"/>
  <c r="JV22" i="12"/>
  <c r="JV23" i="12"/>
  <c r="JV24" i="12"/>
  <c r="JV25" i="12"/>
  <c r="JV26" i="12"/>
  <c r="JV27" i="12"/>
  <c r="JV28" i="12"/>
  <c r="JV29" i="12"/>
  <c r="JV30" i="12"/>
  <c r="JV31" i="12"/>
  <c r="JV32" i="12"/>
  <c r="JV33" i="12"/>
  <c r="JV34" i="12"/>
  <c r="JV35" i="12"/>
  <c r="JV36" i="12"/>
  <c r="JV37" i="12"/>
  <c r="JV38" i="12"/>
  <c r="JV39" i="12"/>
  <c r="JV40" i="12"/>
  <c r="JV41" i="12"/>
  <c r="JV42" i="12"/>
  <c r="JV16" i="12"/>
  <c r="HF27" i="12"/>
  <c r="HF28" i="12"/>
  <c r="HF29" i="12"/>
  <c r="HF30" i="12"/>
  <c r="HF31" i="12"/>
  <c r="HF32" i="12"/>
  <c r="HF33" i="12"/>
  <c r="HF34" i="12"/>
  <c r="HF35" i="12"/>
  <c r="HF36" i="12"/>
  <c r="HF37" i="12"/>
  <c r="HF38" i="12"/>
  <c r="HF39" i="12"/>
  <c r="HF40" i="12"/>
  <c r="HF41" i="12"/>
  <c r="HF42" i="12"/>
  <c r="AA6" i="12" l="1"/>
  <c r="AA7" i="12"/>
  <c r="AA8" i="12"/>
  <c r="AA9" i="12"/>
  <c r="AA10" i="12"/>
  <c r="AA11" i="12"/>
  <c r="AA12" i="12"/>
  <c r="AA13" i="12"/>
  <c r="BJ13" i="12" s="1"/>
  <c r="AA5" i="12"/>
  <c r="BJ11" i="12" l="1"/>
  <c r="BJ10" i="12"/>
  <c r="BJ9" i="12"/>
  <c r="BJ12" i="12"/>
  <c r="BO12" i="12"/>
  <c r="MC21" i="12" l="1"/>
  <c r="MC22" i="12" s="1"/>
  <c r="MC23" i="12" s="1"/>
  <c r="MC24" i="12" s="1"/>
  <c r="MC25" i="12" s="1"/>
  <c r="MC26" i="12" s="1"/>
  <c r="MC27" i="12" s="1"/>
  <c r="MC28" i="12" s="1"/>
  <c r="MC29" i="12" s="1"/>
  <c r="MC30" i="12" s="1"/>
  <c r="MC31" i="12" s="1"/>
  <c r="MC32" i="12" s="1"/>
  <c r="MC33" i="12" s="1"/>
  <c r="MC34" i="12" s="1"/>
  <c r="MC35" i="12" s="1"/>
  <c r="MC36" i="12" s="1"/>
  <c r="MC37" i="12" s="1"/>
  <c r="MC38" i="12" s="1"/>
  <c r="MC39" i="12" s="1"/>
  <c r="MC40" i="12" s="1"/>
  <c r="MC41" i="12" s="1"/>
  <c r="MC42" i="12" s="1"/>
  <c r="MC43" i="12" s="1"/>
  <c r="MC44" i="12" s="1"/>
  <c r="MC45" i="12" s="1"/>
  <c r="MC46" i="12" s="1"/>
  <c r="MC47" i="12" s="1"/>
  <c r="MC48" i="12" s="1"/>
  <c r="MG21" i="12"/>
  <c r="MG22" i="12" s="1"/>
  <c r="MG23" i="12" s="1"/>
  <c r="MG24" i="12" s="1"/>
  <c r="MG25" i="12" s="1"/>
  <c r="MG26" i="12" s="1"/>
  <c r="MG27" i="12" s="1"/>
  <c r="MG28" i="12" s="1"/>
  <c r="MG29" i="12" s="1"/>
  <c r="MG30" i="12" s="1"/>
  <c r="MG31" i="12" s="1"/>
  <c r="MG32" i="12" s="1"/>
  <c r="MG33" i="12" s="1"/>
  <c r="MG34" i="12" s="1"/>
  <c r="MG35" i="12" s="1"/>
  <c r="MG36" i="12" s="1"/>
  <c r="MG37" i="12" s="1"/>
  <c r="MG38" i="12" s="1"/>
  <c r="MG39" i="12" s="1"/>
  <c r="MG40" i="12" s="1"/>
  <c r="MG41" i="12" s="1"/>
  <c r="MG42" i="12" s="1"/>
  <c r="MG43" i="12" s="1"/>
  <c r="MG44" i="12" s="1"/>
  <c r="MG45" i="12" s="1"/>
  <c r="MG46" i="12" s="1"/>
  <c r="MG47" i="12" s="1"/>
  <c r="MG48" i="12" s="1"/>
  <c r="K10" i="12"/>
  <c r="K11" i="12"/>
  <c r="AF6" i="12"/>
  <c r="AF7" i="12"/>
  <c r="AF8" i="12"/>
  <c r="AF9" i="12"/>
  <c r="AF10" i="12"/>
  <c r="AF5" i="12"/>
  <c r="AB15" i="12"/>
  <c r="AB16" i="12"/>
  <c r="AB17" i="12"/>
  <c r="AB18" i="12"/>
  <c r="AB19" i="12"/>
  <c r="AB20" i="12"/>
  <c r="AB21" i="12"/>
  <c r="AB22" i="12"/>
  <c r="AB23" i="12"/>
  <c r="AB24" i="12"/>
  <c r="AB25" i="12"/>
  <c r="AB26" i="12"/>
  <c r="AB27" i="12"/>
  <c r="AB28" i="12"/>
  <c r="AB29" i="12"/>
  <c r="AB30" i="12"/>
  <c r="AB31" i="12"/>
  <c r="AB32" i="12"/>
  <c r="AB33" i="12"/>
  <c r="AB34" i="12"/>
  <c r="AB35" i="12"/>
  <c r="AB36" i="12"/>
  <c r="AB37" i="12"/>
  <c r="AB38" i="12"/>
  <c r="AB39" i="12"/>
  <c r="AB40" i="12"/>
  <c r="AB41" i="12"/>
  <c r="AB42" i="12"/>
  <c r="AA15" i="12"/>
  <c r="BJ15" i="12" s="1"/>
  <c r="AA16" i="12"/>
  <c r="BJ16" i="12" s="1"/>
  <c r="AA17" i="12"/>
  <c r="BJ17" i="12" s="1"/>
  <c r="AA18" i="12"/>
  <c r="BJ18" i="12" s="1"/>
  <c r="AA19" i="12"/>
  <c r="BJ19" i="12" s="1"/>
  <c r="AA20" i="12"/>
  <c r="BJ20" i="12" s="1"/>
  <c r="AA21" i="12"/>
  <c r="BJ21" i="12" s="1"/>
  <c r="AA22" i="12"/>
  <c r="BJ22" i="12" s="1"/>
  <c r="AA23" i="12"/>
  <c r="BJ23" i="12" s="1"/>
  <c r="AA24" i="12"/>
  <c r="BJ24" i="12" s="1"/>
  <c r="AA25" i="12"/>
  <c r="BJ25" i="12" s="1"/>
  <c r="AA26" i="12"/>
  <c r="BJ26" i="12" s="1"/>
  <c r="AA27" i="12"/>
  <c r="BJ27" i="12" s="1"/>
  <c r="AA28" i="12"/>
  <c r="BJ28" i="12" s="1"/>
  <c r="AA29" i="12"/>
  <c r="BJ29" i="12" s="1"/>
  <c r="AA30" i="12"/>
  <c r="BJ30" i="12" s="1"/>
  <c r="AA31" i="12"/>
  <c r="BJ31" i="12" s="1"/>
  <c r="AA32" i="12"/>
  <c r="BJ32" i="12" s="1"/>
  <c r="AA33" i="12"/>
  <c r="BJ33" i="12" s="1"/>
  <c r="AA34" i="12"/>
  <c r="BJ34" i="12" s="1"/>
  <c r="AA35" i="12"/>
  <c r="BJ35" i="12" s="1"/>
  <c r="AA36" i="12"/>
  <c r="BJ36" i="12" s="1"/>
  <c r="AA37" i="12"/>
  <c r="BJ37" i="12" s="1"/>
  <c r="AA38" i="12"/>
  <c r="BJ38" i="12" s="1"/>
  <c r="AA39" i="12"/>
  <c r="BJ39" i="12" s="1"/>
  <c r="AA40" i="12"/>
  <c r="BJ40" i="12" s="1"/>
  <c r="AA41" i="12"/>
  <c r="BJ41" i="12" s="1"/>
  <c r="AA42" i="12"/>
  <c r="BJ42" i="12" s="1"/>
  <c r="BJ14" i="12"/>
  <c r="U15" i="12"/>
  <c r="U16" i="12"/>
  <c r="U17" i="12"/>
  <c r="U18" i="12"/>
  <c r="U19" i="12"/>
  <c r="U20" i="12"/>
  <c r="U21" i="12"/>
  <c r="U22" i="12"/>
  <c r="U23" i="12"/>
  <c r="U24" i="12"/>
  <c r="U25" i="12"/>
  <c r="U26" i="12"/>
  <c r="U27" i="12"/>
  <c r="U28" i="12"/>
  <c r="U29" i="12"/>
  <c r="U30" i="12"/>
  <c r="U31" i="12"/>
  <c r="U32" i="12"/>
  <c r="U33" i="12"/>
  <c r="U34" i="12"/>
  <c r="U35" i="12"/>
  <c r="U36" i="12"/>
  <c r="U37" i="12"/>
  <c r="U38" i="12"/>
  <c r="U39" i="12"/>
  <c r="U40" i="12"/>
  <c r="U41" i="12"/>
  <c r="U42" i="12"/>
  <c r="T15" i="12"/>
  <c r="T16" i="12"/>
  <c r="T17" i="12"/>
  <c r="T18" i="12"/>
  <c r="T19" i="12"/>
  <c r="T20" i="12"/>
  <c r="T21" i="12"/>
  <c r="T22" i="12"/>
  <c r="T23" i="12"/>
  <c r="T24" i="12"/>
  <c r="T25" i="12"/>
  <c r="T26" i="12"/>
  <c r="T27" i="12"/>
  <c r="T28" i="12"/>
  <c r="T29" i="12"/>
  <c r="T30" i="12"/>
  <c r="T31" i="12"/>
  <c r="T32" i="12"/>
  <c r="T33" i="12"/>
  <c r="T34" i="12"/>
  <c r="T35" i="12"/>
  <c r="T36" i="12"/>
  <c r="T37" i="12"/>
  <c r="T38" i="12"/>
  <c r="T39" i="12"/>
  <c r="T40" i="12"/>
  <c r="T41" i="12"/>
  <c r="T42" i="12"/>
  <c r="I13" i="12" l="1"/>
  <c r="I12" i="12"/>
  <c r="D13" i="12"/>
  <c r="E13" i="12" s="1"/>
  <c r="DU84" i="12"/>
  <c r="DU83" i="12"/>
  <c r="DU82" i="12"/>
  <c r="DU81" i="12"/>
  <c r="DU80" i="12"/>
  <c r="DU79" i="12"/>
  <c r="Y12" i="12" l="1"/>
  <c r="Y13" i="12"/>
  <c r="K12" i="12"/>
  <c r="K13" i="12"/>
  <c r="Q13" i="12"/>
  <c r="Q12" i="12"/>
  <c r="O13" i="12"/>
  <c r="CY13" i="12" s="1"/>
  <c r="O12" i="12"/>
  <c r="CY12" i="12" s="1"/>
  <c r="G13" i="12" l="1"/>
  <c r="BV13" i="12"/>
  <c r="BV12" i="12"/>
  <c r="BZ12" i="12" s="1"/>
  <c r="BT13" i="12"/>
  <c r="BR13" i="12"/>
  <c r="MI13" i="12" s="1"/>
  <c r="MI14" i="12" s="1"/>
  <c r="MI15" i="12" s="1"/>
  <c r="MI16" i="12" s="1"/>
  <c r="MI17" i="12" s="1"/>
  <c r="MI18" i="12" s="1"/>
  <c r="MI19" i="12" s="1"/>
  <c r="MI20" i="12" s="1"/>
  <c r="MI21" i="12" s="1"/>
  <c r="MI22" i="12" s="1"/>
  <c r="MI23" i="12" s="1"/>
  <c r="MI24" i="12" s="1"/>
  <c r="MI25" i="12" s="1"/>
  <c r="MI26" i="12" s="1"/>
  <c r="MI27" i="12" s="1"/>
  <c r="MI28" i="12" s="1"/>
  <c r="MI29" i="12" s="1"/>
  <c r="MI30" i="12" s="1"/>
  <c r="MI31" i="12" s="1"/>
  <c r="MI32" i="12" s="1"/>
  <c r="MI33" i="12" s="1"/>
  <c r="MI34" i="12" s="1"/>
  <c r="MI35" i="12" s="1"/>
  <c r="MI36" i="12" s="1"/>
  <c r="MI37" i="12" s="1"/>
  <c r="MI38" i="12" s="1"/>
  <c r="MI39" i="12" s="1"/>
  <c r="MI40" i="12" s="1"/>
  <c r="MI41" i="12" s="1"/>
  <c r="MI42" i="12" s="1"/>
  <c r="MI43" i="12" s="1"/>
  <c r="MI44" i="12" s="1"/>
  <c r="MI45" i="12" s="1"/>
  <c r="MI46" i="12" s="1"/>
  <c r="MI47" i="12" s="1"/>
  <c r="MH47" i="12" s="1"/>
  <c r="BP13" i="12"/>
  <c r="ME13" i="12" s="1"/>
  <c r="BR12" i="12"/>
  <c r="BP12" i="12"/>
  <c r="AK6" i="12"/>
  <c r="AK7" i="12"/>
  <c r="AK8" i="12"/>
  <c r="AK9" i="12"/>
  <c r="AK10" i="12"/>
  <c r="AK11" i="12"/>
  <c r="AK5" i="12"/>
  <c r="AL13" i="12"/>
  <c r="AL12" i="12"/>
  <c r="AH6" i="12"/>
  <c r="AH7" i="12"/>
  <c r="AH8" i="12"/>
  <c r="AH9" i="12"/>
  <c r="AH5" i="12"/>
  <c r="AH13" i="12"/>
  <c r="AI12" i="12"/>
  <c r="AH12" i="12" s="1"/>
  <c r="AI11" i="12"/>
  <c r="AH11" i="12" s="1"/>
  <c r="AI10" i="12"/>
  <c r="AH10" i="12" s="1"/>
  <c r="AD6" i="12"/>
  <c r="AC6" i="12" s="1"/>
  <c r="AD7" i="12"/>
  <c r="AC7" i="12" s="1"/>
  <c r="AD8" i="12"/>
  <c r="AC8" i="12" s="1"/>
  <c r="AD9" i="12"/>
  <c r="AC9" i="12" s="1"/>
  <c r="AD10" i="12"/>
  <c r="AC10" i="12" s="1"/>
  <c r="AD11" i="12"/>
  <c r="AC11" i="12" s="1"/>
  <c r="AD5" i="12"/>
  <c r="AC5" i="12" s="1"/>
  <c r="W13" i="12"/>
  <c r="V13" i="12" s="1"/>
  <c r="W12" i="12"/>
  <c r="V12" i="12" s="1"/>
  <c r="V6" i="12"/>
  <c r="V7" i="12"/>
  <c r="V8" i="12"/>
  <c r="V11" i="12"/>
  <c r="V5" i="12"/>
  <c r="H13" i="12" l="1"/>
  <c r="BZ13" i="12"/>
  <c r="AK12" i="12"/>
  <c r="AK13" i="12"/>
  <c r="B169" i="19" s="1"/>
  <c r="AP8" i="12"/>
  <c r="AP7" i="12"/>
  <c r="AP5" i="12"/>
  <c r="AP11" i="12"/>
  <c r="AP6" i="12"/>
  <c r="AP10" i="12"/>
  <c r="AP9" i="12"/>
  <c r="ME15" i="12"/>
  <c r="AD12" i="12"/>
  <c r="AC12" i="12" s="1"/>
  <c r="AD13" i="12"/>
  <c r="B136" i="19" s="1"/>
  <c r="AP12" i="12" l="1"/>
  <c r="AC13" i="12"/>
  <c r="AP13" i="12" s="1"/>
  <c r="B103" i="19" s="1"/>
  <c r="BS14" i="12"/>
  <c r="ME16" i="12"/>
  <c r="D12" i="12"/>
  <c r="E12" i="12" s="1"/>
  <c r="ME17" i="12" l="1"/>
  <c r="ME18" i="12" l="1"/>
  <c r="ME19" i="12" l="1"/>
  <c r="BP10" i="12"/>
  <c r="BV11" i="12"/>
  <c r="BZ11" i="12" s="1"/>
  <c r="BP11" i="12"/>
  <c r="E11" i="12"/>
  <c r="N12" i="12"/>
  <c r="G12" i="12" s="1"/>
  <c r="H12" i="12" s="1"/>
  <c r="AQ9" i="12"/>
  <c r="AQ8" i="12"/>
  <c r="A4" i="12"/>
  <c r="A5" i="12"/>
  <c r="A6" i="12"/>
  <c r="BD8" i="12"/>
  <c r="BD7" i="12"/>
  <c r="HE9" i="12"/>
  <c r="HE8" i="12"/>
  <c r="A10" i="12"/>
  <c r="A9" i="12"/>
  <c r="BL9" i="12" s="1"/>
  <c r="BD9" i="12"/>
  <c r="EY11" i="12"/>
  <c r="EZ12" i="12" s="1"/>
  <c r="EZ11" i="12"/>
  <c r="A11" i="12"/>
  <c r="BC11" i="12" s="1"/>
  <c r="BD11" i="12" s="1"/>
  <c r="A12" i="12"/>
  <c r="A13" i="12"/>
  <c r="A14" i="12"/>
  <c r="N15" i="12"/>
  <c r="N16" i="12" s="1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R14" i="12"/>
  <c r="A35" i="12"/>
  <c r="A36" i="12"/>
  <c r="J40" i="12"/>
  <c r="A37" i="12"/>
  <c r="II3" i="12"/>
  <c r="A7" i="12"/>
  <c r="A8" i="12"/>
  <c r="BL8" i="12" s="1"/>
  <c r="A42" i="12"/>
  <c r="A41" i="12"/>
  <c r="A40" i="12"/>
  <c r="A39" i="12"/>
  <c r="A38" i="12"/>
  <c r="LW6" i="12"/>
  <c r="LX6" i="12"/>
  <c r="LX7" i="12" s="1"/>
  <c r="LX8" i="12" s="1"/>
  <c r="LX9" i="12" s="1"/>
  <c r="LX10" i="12" s="1"/>
  <c r="LX11" i="12" s="1"/>
  <c r="LX12" i="12" s="1"/>
  <c r="LX13" i="12" s="1"/>
  <c r="LX14" i="12" s="1"/>
  <c r="LX15" i="12" s="1"/>
  <c r="LX16" i="12" s="1"/>
  <c r="LX17" i="12" s="1"/>
  <c r="LX18" i="12" s="1"/>
  <c r="LX19" i="12" s="1"/>
  <c r="LX20" i="12" s="1"/>
  <c r="LX21" i="12" s="1"/>
  <c r="LX22" i="12" s="1"/>
  <c r="LX23" i="12" s="1"/>
  <c r="LX24" i="12" s="1"/>
  <c r="LX25" i="12" s="1"/>
  <c r="LX26" i="12" s="1"/>
  <c r="LX27" i="12" s="1"/>
  <c r="LX28" i="12" s="1"/>
  <c r="LX29" i="12" s="1"/>
  <c r="LX30" i="12" s="1"/>
  <c r="LX31" i="12" s="1"/>
  <c r="LX32" i="12" s="1"/>
  <c r="LX33" i="12" s="1"/>
  <c r="LX34" i="12" s="1"/>
  <c r="LX35" i="12" s="1"/>
  <c r="LX36" i="12" s="1"/>
  <c r="LX37" i="12" s="1"/>
  <c r="LX38" i="12" s="1"/>
  <c r="LX39" i="12" s="1"/>
  <c r="L7" i="12"/>
  <c r="F7" i="12" s="1"/>
  <c r="LW7" i="12" s="1"/>
  <c r="L8" i="12"/>
  <c r="F8" i="12" s="1"/>
  <c r="LW8" i="12" s="1"/>
  <c r="L9" i="12"/>
  <c r="F9" i="12" s="1"/>
  <c r="LW9" i="12" s="1"/>
  <c r="LV10" i="12"/>
  <c r="F10" i="12"/>
  <c r="LV11" i="12"/>
  <c r="LV12" i="12"/>
  <c r="LV13" i="12"/>
  <c r="LV14" i="12"/>
  <c r="LV15" i="12"/>
  <c r="LV16" i="12"/>
  <c r="LV17" i="12"/>
  <c r="LV18" i="12"/>
  <c r="LV19" i="12"/>
  <c r="LV20" i="12"/>
  <c r="LV21" i="12"/>
  <c r="LV22" i="12"/>
  <c r="LV23" i="12"/>
  <c r="LV24" i="12"/>
  <c r="LV25" i="12"/>
  <c r="LV26" i="12"/>
  <c r="LV27" i="12"/>
  <c r="LV28" i="12"/>
  <c r="LV29" i="12"/>
  <c r="LV30" i="12"/>
  <c r="LV31" i="12"/>
  <c r="LV32" i="12"/>
  <c r="LV33" i="12"/>
  <c r="LV34" i="12"/>
  <c r="LV35" i="12"/>
  <c r="LV36" i="12"/>
  <c r="LV37" i="12"/>
  <c r="LV38" i="12"/>
  <c r="LV39" i="12"/>
  <c r="BP9" i="12"/>
  <c r="MA8" i="12" s="1"/>
  <c r="C6" i="14"/>
  <c r="C14" i="14" s="1"/>
  <c r="D5" i="14"/>
  <c r="D13" i="14" s="1"/>
  <c r="B5" i="14"/>
  <c r="B6" i="14" s="1"/>
  <c r="B14" i="14" s="1"/>
  <c r="AO8" i="12"/>
  <c r="BM8" i="12" s="1"/>
  <c r="AO9" i="12"/>
  <c r="D6" i="17"/>
  <c r="C6" i="17" s="1"/>
  <c r="D4" i="17"/>
  <c r="D5" i="17"/>
  <c r="C5" i="17" s="1"/>
  <c r="G13" i="17"/>
  <c r="F13" i="17"/>
  <c r="C13" i="17"/>
  <c r="G12" i="17"/>
  <c r="F12" i="17"/>
  <c r="C12" i="17"/>
  <c r="G11" i="17"/>
  <c r="F11" i="17"/>
  <c r="C11" i="17"/>
  <c r="G10" i="17"/>
  <c r="F10" i="17"/>
  <c r="C10" i="17"/>
  <c r="C9" i="17"/>
  <c r="F6" i="17"/>
  <c r="F5" i="17"/>
  <c r="F4" i="17"/>
  <c r="F3" i="17"/>
  <c r="C3" i="17"/>
  <c r="G6" i="17"/>
  <c r="G3" i="17"/>
  <c r="G4" i="17"/>
  <c r="G5" i="17"/>
  <c r="R15" i="12"/>
  <c r="R16" i="12"/>
  <c r="R17" i="12"/>
  <c r="R18" i="12"/>
  <c r="R19" i="12"/>
  <c r="R20" i="12"/>
  <c r="R21" i="12"/>
  <c r="R22" i="12"/>
  <c r="R23" i="12"/>
  <c r="R24" i="12"/>
  <c r="R25" i="12"/>
  <c r="R26" i="12"/>
  <c r="R27" i="12"/>
  <c r="R28" i="12"/>
  <c r="R29" i="12"/>
  <c r="R30" i="12"/>
  <c r="R31" i="12"/>
  <c r="R32" i="12"/>
  <c r="R33" i="12"/>
  <c r="R34" i="12"/>
  <c r="R35" i="12"/>
  <c r="R36" i="12"/>
  <c r="R37" i="12"/>
  <c r="R38" i="12"/>
  <c r="R39" i="12"/>
  <c r="R40" i="12"/>
  <c r="R41" i="12"/>
  <c r="R42" i="12"/>
  <c r="R43" i="12"/>
  <c r="R44" i="12"/>
  <c r="AQ7" i="12"/>
  <c r="C13" i="14"/>
  <c r="B13" i="14"/>
  <c r="D12" i="14"/>
  <c r="C12" i="14"/>
  <c r="B12" i="14"/>
  <c r="R6" i="12"/>
  <c r="R7" i="12"/>
  <c r="R8" i="12"/>
  <c r="R9" i="12"/>
  <c r="R10" i="12"/>
  <c r="R11" i="12"/>
  <c r="R12" i="12"/>
  <c r="J7" i="12" s="1"/>
  <c r="R13" i="12"/>
  <c r="J8" i="12" s="1"/>
  <c r="R5" i="12"/>
  <c r="E7" i="12"/>
  <c r="E8" i="12"/>
  <c r="E9" i="12"/>
  <c r="E10" i="12"/>
  <c r="MV3" i="12"/>
  <c r="MW3" i="12" s="1"/>
  <c r="MK9" i="12"/>
  <c r="MK10" i="12" s="1"/>
  <c r="MK11" i="12" s="1"/>
  <c r="MK12" i="12" s="1"/>
  <c r="MK13" i="12" s="1"/>
  <c r="MK14" i="12" s="1"/>
  <c r="MK15" i="12" s="1"/>
  <c r="M11" i="15"/>
  <c r="I11" i="15"/>
  <c r="LZ9" i="12"/>
  <c r="I5" i="15"/>
  <c r="AQ5" i="12"/>
  <c r="AQ6" i="12"/>
  <c r="MU6" i="12"/>
  <c r="MU10" i="12" s="1"/>
  <c r="MT6" i="12"/>
  <c r="MT10" i="12" s="1"/>
  <c r="I18" i="15"/>
  <c r="K8" i="12"/>
  <c r="AO7" i="12"/>
  <c r="FM8" i="12" s="1"/>
  <c r="J18" i="15"/>
  <c r="K18" i="15" s="1"/>
  <c r="I19" i="15"/>
  <c r="J19" i="15"/>
  <c r="K19" i="15" s="1"/>
  <c r="I25" i="15"/>
  <c r="J25" i="15" s="1"/>
  <c r="I32" i="15"/>
  <c r="I39" i="15"/>
  <c r="J39" i="15" s="1"/>
  <c r="I40" i="15" s="1"/>
  <c r="J40" i="15" s="1"/>
  <c r="K40" i="15" s="1"/>
  <c r="E38" i="15"/>
  <c r="D38" i="15"/>
  <c r="C38" i="15"/>
  <c r="B38" i="15"/>
  <c r="E31" i="15"/>
  <c r="D31" i="15"/>
  <c r="C31" i="15"/>
  <c r="B31" i="15"/>
  <c r="E24" i="15"/>
  <c r="D24" i="15"/>
  <c r="C24" i="15"/>
  <c r="B24" i="15"/>
  <c r="E17" i="15"/>
  <c r="D17" i="15"/>
  <c r="C17" i="15"/>
  <c r="B17" i="15"/>
  <c r="B8" i="14"/>
  <c r="MK19" i="12"/>
  <c r="MK20" i="12" s="1"/>
  <c r="MK21" i="12" s="1"/>
  <c r="AD4" i="13"/>
  <c r="AE4" i="13" s="1"/>
  <c r="CN5" i="12"/>
  <c r="CP5" i="12" s="1"/>
  <c r="G2" i="13"/>
  <c r="J3" i="13"/>
  <c r="J4" i="13" s="1"/>
  <c r="L2" i="13"/>
  <c r="M2" i="13" s="1"/>
  <c r="K3" i="13"/>
  <c r="K4" i="13" s="1"/>
  <c r="K5" i="13" s="1"/>
  <c r="K6" i="13" s="1"/>
  <c r="B2" i="13"/>
  <c r="E2" i="13" s="1"/>
  <c r="F2" i="13" s="1"/>
  <c r="D3" i="13"/>
  <c r="D14" i="13"/>
  <c r="O3" i="13"/>
  <c r="O4" i="13" s="1"/>
  <c r="Q2" i="13"/>
  <c r="R2" i="13" s="1"/>
  <c r="W2" i="13"/>
  <c r="X2" i="13"/>
  <c r="U3" i="13" s="1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P3" i="13"/>
  <c r="P4" i="13" s="1"/>
  <c r="P5" i="13" s="1"/>
  <c r="MS10" i="12"/>
  <c r="MS11" i="12" s="1"/>
  <c r="MS12" i="12" s="1"/>
  <c r="MS13" i="12" s="1"/>
  <c r="MS14" i="12" s="1"/>
  <c r="MS15" i="12" s="1"/>
  <c r="MS16" i="12" s="1"/>
  <c r="MS17" i="12" s="1"/>
  <c r="MS18" i="12" s="1"/>
  <c r="MS19" i="12" s="1"/>
  <c r="MS20" i="12" s="1"/>
  <c r="MS21" i="12" s="1"/>
  <c r="MS22" i="12" s="1"/>
  <c r="MS23" i="12" s="1"/>
  <c r="MS24" i="12" s="1"/>
  <c r="MS25" i="12" s="1"/>
  <c r="MS26" i="12" s="1"/>
  <c r="MS27" i="12" s="1"/>
  <c r="MS28" i="12" s="1"/>
  <c r="MS29" i="12" s="1"/>
  <c r="MS30" i="12" s="1"/>
  <c r="MS31" i="12" s="1"/>
  <c r="MS32" i="12" s="1"/>
  <c r="LP3" i="12"/>
  <c r="LP6" i="12" s="1"/>
  <c r="LP7" i="12" s="1"/>
  <c r="LP8" i="12" s="1"/>
  <c r="LP9" i="12" s="1"/>
  <c r="LP10" i="12" s="1"/>
  <c r="LP11" i="12" s="1"/>
  <c r="LP12" i="12" s="1"/>
  <c r="LP13" i="12" s="1"/>
  <c r="LP14" i="12" s="1"/>
  <c r="LP15" i="12" s="1"/>
  <c r="LP16" i="12" s="1"/>
  <c r="LP17" i="12" s="1"/>
  <c r="LP18" i="12" s="1"/>
  <c r="LP19" i="12" s="1"/>
  <c r="LP20" i="12" s="1"/>
  <c r="LP21" i="12" s="1"/>
  <c r="LP22" i="12" s="1"/>
  <c r="LP23" i="12" s="1"/>
  <c r="LP24" i="12" s="1"/>
  <c r="LP25" i="12" s="1"/>
  <c r="LP26" i="12" s="1"/>
  <c r="LP27" i="12" s="1"/>
  <c r="LP28" i="12" s="1"/>
  <c r="LP29" i="12" s="1"/>
  <c r="LP30" i="12" s="1"/>
  <c r="LP31" i="12" s="1"/>
  <c r="LP32" i="12" s="1"/>
  <c r="LP33" i="12" s="1"/>
  <c r="LP34" i="12" s="1"/>
  <c r="LP35" i="12" s="1"/>
  <c r="LP36" i="12" s="1"/>
  <c r="DT87" i="12"/>
  <c r="LQ3" i="12"/>
  <c r="LQ6" i="12" s="1"/>
  <c r="LQ7" i="12" s="1"/>
  <c r="LQ8" i="12" s="1"/>
  <c r="LQ9" i="12" s="1"/>
  <c r="LQ10" i="12" s="1"/>
  <c r="LQ11" i="12" s="1"/>
  <c r="LQ12" i="12" s="1"/>
  <c r="LQ13" i="12" s="1"/>
  <c r="LQ14" i="12" s="1"/>
  <c r="LQ15" i="12" s="1"/>
  <c r="LQ16" i="12" s="1"/>
  <c r="LQ17" i="12" s="1"/>
  <c r="LQ18" i="12" s="1"/>
  <c r="LQ19" i="12" s="1"/>
  <c r="LQ20" i="12" s="1"/>
  <c r="LQ21" i="12" s="1"/>
  <c r="LQ22" i="12" s="1"/>
  <c r="LQ23" i="12" s="1"/>
  <c r="LQ24" i="12" s="1"/>
  <c r="LQ25" i="12" s="1"/>
  <c r="LQ26" i="12" s="1"/>
  <c r="LQ27" i="12" s="1"/>
  <c r="LQ28" i="12" s="1"/>
  <c r="LQ29" i="12" s="1"/>
  <c r="LQ30" i="12" s="1"/>
  <c r="LQ31" i="12" s="1"/>
  <c r="LQ32" i="12" s="1"/>
  <c r="LQ33" i="12" s="1"/>
  <c r="LQ34" i="12" s="1"/>
  <c r="LQ35" i="12" s="1"/>
  <c r="LQ36" i="12" s="1"/>
  <c r="DU87" i="12"/>
  <c r="AR6" i="12"/>
  <c r="AR7" i="12"/>
  <c r="AR8" i="12"/>
  <c r="AR9" i="12"/>
  <c r="AR10" i="12"/>
  <c r="AR11" i="12"/>
  <c r="W3" i="13" l="1"/>
  <c r="X3" i="13" s="1"/>
  <c r="U4" i="13" s="1"/>
  <c r="W4" i="13" s="1"/>
  <c r="X4" i="13" s="1"/>
  <c r="U5" i="13" s="1"/>
  <c r="W5" i="13" s="1"/>
  <c r="X5" i="13" s="1"/>
  <c r="U6" i="13" s="1"/>
  <c r="W6" i="13" s="1"/>
  <c r="X6" i="13" s="1"/>
  <c r="U7" i="13" s="1"/>
  <c r="K39" i="15"/>
  <c r="Q3" i="13"/>
  <c r="R3" i="13" s="1"/>
  <c r="G2" i="17"/>
  <c r="D6" i="14"/>
  <c r="Q4" i="13"/>
  <c r="R4" i="13" s="1"/>
  <c r="O5" i="13"/>
  <c r="Q5" i="13" s="1"/>
  <c r="B3" i="13"/>
  <c r="B4" i="13" s="1"/>
  <c r="D8" i="14"/>
  <c r="G9" i="17"/>
  <c r="FM10" i="12"/>
  <c r="J41" i="12"/>
  <c r="LZ11" i="12"/>
  <c r="BH7" i="12"/>
  <c r="BG7" i="12"/>
  <c r="BE8" i="12"/>
  <c r="BH8" i="12"/>
  <c r="BG8" i="12"/>
  <c r="BE9" i="12"/>
  <c r="BG9" i="12"/>
  <c r="BH9" i="12"/>
  <c r="BE7" i="12"/>
  <c r="IJ3" i="12"/>
  <c r="ME20" i="12"/>
  <c r="J9" i="12"/>
  <c r="BZ9" i="12" s="1"/>
  <c r="LZ10" i="12"/>
  <c r="MN35" i="12"/>
  <c r="DU57" i="12" s="1"/>
  <c r="BC12" i="12"/>
  <c r="HE10" i="12"/>
  <c r="BL10" i="12"/>
  <c r="BL11" i="12" s="1"/>
  <c r="FU11" i="12" s="1"/>
  <c r="HE11" i="12" s="1"/>
  <c r="DF10" i="12"/>
  <c r="EN10" i="12" s="1"/>
  <c r="DF37" i="12"/>
  <c r="DF29" i="12"/>
  <c r="DF21" i="12"/>
  <c r="DF38" i="12"/>
  <c r="MM7" i="12"/>
  <c r="MU11" i="12"/>
  <c r="MU12" i="12" s="1"/>
  <c r="MU13" i="12" s="1"/>
  <c r="MU14" i="12" s="1"/>
  <c r="MU15" i="12" s="1"/>
  <c r="MU16" i="12" s="1"/>
  <c r="MU17" i="12" s="1"/>
  <c r="MU18" i="12" s="1"/>
  <c r="MU19" i="12" s="1"/>
  <c r="MU20" i="12" s="1"/>
  <c r="MU21" i="12" s="1"/>
  <c r="MU22" i="12" s="1"/>
  <c r="MU23" i="12" s="1"/>
  <c r="MU24" i="12" s="1"/>
  <c r="MU25" i="12" s="1"/>
  <c r="MU26" i="12" s="1"/>
  <c r="MU27" i="12" s="1"/>
  <c r="MU28" i="12" s="1"/>
  <c r="MU29" i="12" s="1"/>
  <c r="MU30" i="12" s="1"/>
  <c r="MU31" i="12" s="1"/>
  <c r="MU32" i="12" s="1"/>
  <c r="MV6" i="12"/>
  <c r="MV10" i="12" s="1"/>
  <c r="DF20" i="12"/>
  <c r="DF18" i="12"/>
  <c r="MW6" i="12"/>
  <c r="MO7" i="12" s="1"/>
  <c r="MX3" i="12"/>
  <c r="MY3" i="12" s="1"/>
  <c r="MY6" i="12" s="1"/>
  <c r="AD5" i="13"/>
  <c r="MT11" i="12"/>
  <c r="MT12" i="12" s="1"/>
  <c r="MT13" i="12" s="1"/>
  <c r="MT14" i="12" s="1"/>
  <c r="MT15" i="12" s="1"/>
  <c r="MT16" i="12" s="1"/>
  <c r="MT17" i="12" s="1"/>
  <c r="MT18" i="12" s="1"/>
  <c r="MT19" i="12" s="1"/>
  <c r="MT20" i="12" s="1"/>
  <c r="MT21" i="12" s="1"/>
  <c r="MT22" i="12" s="1"/>
  <c r="MT23" i="12" s="1"/>
  <c r="MT24" i="12" s="1"/>
  <c r="MT25" i="12" s="1"/>
  <c r="MT26" i="12" s="1"/>
  <c r="MT27" i="12" s="1"/>
  <c r="MT28" i="12" s="1"/>
  <c r="MT29" i="12" s="1"/>
  <c r="MT30" i="12" s="1"/>
  <c r="MT31" i="12" s="1"/>
  <c r="MT32" i="12" s="1"/>
  <c r="DF39" i="12"/>
  <c r="DF34" i="12"/>
  <c r="DF26" i="12"/>
  <c r="DF13" i="12"/>
  <c r="DF12" i="12"/>
  <c r="DF30" i="12"/>
  <c r="DF22" i="12"/>
  <c r="AO5" i="12"/>
  <c r="AO6" i="12"/>
  <c r="FM7" i="12" s="1"/>
  <c r="DF28" i="12"/>
  <c r="AR5" i="12"/>
  <c r="FM9" i="12"/>
  <c r="BL7" i="12"/>
  <c r="LW10" i="12"/>
  <c r="DF35" i="12"/>
  <c r="DF27" i="12"/>
  <c r="DF19" i="12"/>
  <c r="W7" i="13"/>
  <c r="X7" i="13" s="1"/>
  <c r="U8" i="13" s="1"/>
  <c r="W8" i="13" s="1"/>
  <c r="X8" i="13" s="1"/>
  <c r="U9" i="13" s="1"/>
  <c r="W9" i="13" s="1"/>
  <c r="X9" i="13" s="1"/>
  <c r="U10" i="13" s="1"/>
  <c r="W10" i="13" s="1"/>
  <c r="X10" i="13" s="1"/>
  <c r="U11" i="13" s="1"/>
  <c r="W11" i="13" s="1"/>
  <c r="X11" i="13" s="1"/>
  <c r="U12" i="13" s="1"/>
  <c r="W12" i="13" s="1"/>
  <c r="X12" i="13" s="1"/>
  <c r="U13" i="13" s="1"/>
  <c r="W13" i="13" s="1"/>
  <c r="X13" i="13" s="1"/>
  <c r="U14" i="13" s="1"/>
  <c r="W14" i="13" s="1"/>
  <c r="X14" i="13" s="1"/>
  <c r="U15" i="13" s="1"/>
  <c r="W15" i="13" s="1"/>
  <c r="X15" i="13" s="1"/>
  <c r="U16" i="13" s="1"/>
  <c r="W16" i="13" s="1"/>
  <c r="X16" i="13" s="1"/>
  <c r="U17" i="13" s="1"/>
  <c r="W17" i="13" s="1"/>
  <c r="X17" i="13" s="1"/>
  <c r="U18" i="13" s="1"/>
  <c r="W18" i="13" s="1"/>
  <c r="X18" i="13" s="1"/>
  <c r="U19" i="13" s="1"/>
  <c r="W19" i="13" s="1"/>
  <c r="X19" i="13" s="1"/>
  <c r="U20" i="13" s="1"/>
  <c r="W20" i="13" s="1"/>
  <c r="X20" i="13" s="1"/>
  <c r="U21" i="13" s="1"/>
  <c r="W21" i="13" s="1"/>
  <c r="X21" i="13" s="1"/>
  <c r="U22" i="13" s="1"/>
  <c r="W22" i="13" s="1"/>
  <c r="X22" i="13" s="1"/>
  <c r="U23" i="13" s="1"/>
  <c r="W23" i="13" s="1"/>
  <c r="X23" i="13" s="1"/>
  <c r="U24" i="13" s="1"/>
  <c r="W24" i="13" s="1"/>
  <c r="X24" i="13" s="1"/>
  <c r="U25" i="13" s="1"/>
  <c r="W25" i="13" s="1"/>
  <c r="X25" i="13" s="1"/>
  <c r="U26" i="13" s="1"/>
  <c r="W26" i="13" s="1"/>
  <c r="X26" i="13" s="1"/>
  <c r="U27" i="13" s="1"/>
  <c r="W27" i="13" s="1"/>
  <c r="X27" i="13" s="1"/>
  <c r="U28" i="13" s="1"/>
  <c r="W28" i="13" s="1"/>
  <c r="X28" i="13" s="1"/>
  <c r="U29" i="13" s="1"/>
  <c r="W29" i="13" s="1"/>
  <c r="X29" i="13" s="1"/>
  <c r="U30" i="13" s="1"/>
  <c r="W30" i="13" s="1"/>
  <c r="X30" i="13" s="1"/>
  <c r="U31" i="13" s="1"/>
  <c r="W31" i="13" s="1"/>
  <c r="X31" i="13" s="1"/>
  <c r="P6" i="13"/>
  <c r="R5" i="13"/>
  <c r="K7" i="13"/>
  <c r="O6" i="13"/>
  <c r="E3" i="13"/>
  <c r="F3" i="13" s="1"/>
  <c r="L4" i="13"/>
  <c r="M4" i="13" s="1"/>
  <c r="J5" i="13"/>
  <c r="I12" i="15"/>
  <c r="J5" i="15"/>
  <c r="K5" i="15" s="1"/>
  <c r="D4" i="13"/>
  <c r="D15" i="13"/>
  <c r="J32" i="15"/>
  <c r="K32" i="15" s="1"/>
  <c r="AF4" i="13"/>
  <c r="AF5" i="13" s="1"/>
  <c r="AE5" i="13"/>
  <c r="I26" i="15"/>
  <c r="K25" i="15"/>
  <c r="D26" i="13"/>
  <c r="J11" i="15"/>
  <c r="K11" i="15" s="1"/>
  <c r="L11" i="12"/>
  <c r="BZ10" i="12"/>
  <c r="L3" i="13"/>
  <c r="M3" i="13" s="1"/>
  <c r="DF36" i="12"/>
  <c r="DF24" i="12"/>
  <c r="C4" i="17"/>
  <c r="E4" i="17"/>
  <c r="C2" i="17"/>
  <c r="EL9" i="12"/>
  <c r="DE11" i="12"/>
  <c r="DF9" i="12"/>
  <c r="EN9" i="12" s="1"/>
  <c r="DE9" i="12"/>
  <c r="BL6" i="12"/>
  <c r="LZ8" i="12"/>
  <c r="DF16" i="12"/>
  <c r="EK9" i="12"/>
  <c r="DF15" i="12"/>
  <c r="B15" i="14"/>
  <c r="DF41" i="12"/>
  <c r="DF32" i="12"/>
  <c r="DF42" i="12"/>
  <c r="DF33" i="12"/>
  <c r="DF25" i="12"/>
  <c r="DF17" i="12"/>
  <c r="DE10" i="12"/>
  <c r="DF31" i="12"/>
  <c r="DF23" i="12"/>
  <c r="DF14" i="12"/>
  <c r="DF40" i="12"/>
  <c r="N17" i="12"/>
  <c r="DF11" i="12"/>
  <c r="MN36" i="12"/>
  <c r="DU60" i="12" s="1"/>
  <c r="C9" i="14" l="1"/>
  <c r="D14" i="14"/>
  <c r="C8" i="14"/>
  <c r="M9" i="15" s="1"/>
  <c r="I33" i="15"/>
  <c r="J33" i="15" s="1"/>
  <c r="CB9" i="12"/>
  <c r="CK9" i="12" s="1"/>
  <c r="J42" i="12"/>
  <c r="J43" i="12" s="1"/>
  <c r="J44" i="12" s="1"/>
  <c r="J45" i="12" s="1"/>
  <c r="BC13" i="12"/>
  <c r="BC14" i="12" s="1"/>
  <c r="BC15" i="12" s="1"/>
  <c r="BD12" i="12"/>
  <c r="Q15" i="12"/>
  <c r="IK3" i="12"/>
  <c r="DU59" i="12"/>
  <c r="DU58" i="12"/>
  <c r="ME21" i="12"/>
  <c r="AD7" i="13"/>
  <c r="DD9" i="12"/>
  <c r="MX6" i="12"/>
  <c r="MX10" i="12" s="1"/>
  <c r="MW10" i="12"/>
  <c r="MW11" i="12" s="1"/>
  <c r="MW12" i="12" s="1"/>
  <c r="MW13" i="12" s="1"/>
  <c r="MW14" i="12" s="1"/>
  <c r="MW15" i="12" s="1"/>
  <c r="MW16" i="12" s="1"/>
  <c r="MW17" i="12" s="1"/>
  <c r="MW18" i="12" s="1"/>
  <c r="MW19" i="12" s="1"/>
  <c r="MW20" i="12" s="1"/>
  <c r="MW21" i="12" s="1"/>
  <c r="MW22" i="12" s="1"/>
  <c r="MW23" i="12" s="1"/>
  <c r="MW24" i="12" s="1"/>
  <c r="MW25" i="12" s="1"/>
  <c r="MW26" i="12" s="1"/>
  <c r="MW27" i="12" s="1"/>
  <c r="MW28" i="12" s="1"/>
  <c r="MW29" i="12" s="1"/>
  <c r="MW30" i="12" s="1"/>
  <c r="MW31" i="12" s="1"/>
  <c r="MW32" i="12" s="1"/>
  <c r="FR11" i="12"/>
  <c r="MN7" i="12"/>
  <c r="BL12" i="12"/>
  <c r="FU12" i="12" s="1"/>
  <c r="MV11" i="12"/>
  <c r="MV12" i="12" s="1"/>
  <c r="MV13" i="12" s="1"/>
  <c r="MV14" i="12" s="1"/>
  <c r="MV15" i="12" s="1"/>
  <c r="MV16" i="12" s="1"/>
  <c r="MV17" i="12" s="1"/>
  <c r="MV18" i="12" s="1"/>
  <c r="MV19" i="12" s="1"/>
  <c r="MV20" i="12" s="1"/>
  <c r="MV21" i="12" s="1"/>
  <c r="MV22" i="12" s="1"/>
  <c r="MV23" i="12" s="1"/>
  <c r="MV24" i="12" s="1"/>
  <c r="MV25" i="12" s="1"/>
  <c r="MV26" i="12" s="1"/>
  <c r="MV27" i="12" s="1"/>
  <c r="MV28" i="12" s="1"/>
  <c r="MV29" i="12" s="1"/>
  <c r="MV30" i="12" s="1"/>
  <c r="MV31" i="12" s="1"/>
  <c r="MV32" i="12" s="1"/>
  <c r="CB10" i="12"/>
  <c r="Q25" i="15"/>
  <c r="J26" i="15"/>
  <c r="R25" i="15"/>
  <c r="E4" i="13"/>
  <c r="F4" i="13" s="1"/>
  <c r="B5" i="13"/>
  <c r="MY10" i="12"/>
  <c r="MY11" i="12" s="1"/>
  <c r="MY12" i="12" s="1"/>
  <c r="MY13" i="12" s="1"/>
  <c r="MY14" i="12" s="1"/>
  <c r="MY15" i="12" s="1"/>
  <c r="MY16" i="12" s="1"/>
  <c r="MY17" i="12" s="1"/>
  <c r="MY18" i="12" s="1"/>
  <c r="MY19" i="12" s="1"/>
  <c r="MY20" i="12" s="1"/>
  <c r="MY21" i="12" s="1"/>
  <c r="MY22" i="12" s="1"/>
  <c r="MY23" i="12" s="1"/>
  <c r="MY24" i="12" s="1"/>
  <c r="MY25" i="12" s="1"/>
  <c r="MY26" i="12" s="1"/>
  <c r="MY27" i="12" s="1"/>
  <c r="MY28" i="12" s="1"/>
  <c r="MY29" i="12" s="1"/>
  <c r="MY30" i="12" s="1"/>
  <c r="MY31" i="12" s="1"/>
  <c r="MY32" i="12" s="1"/>
  <c r="MQ7" i="12"/>
  <c r="K33" i="15"/>
  <c r="N32" i="15"/>
  <c r="O33" i="15" s="1"/>
  <c r="F11" i="12"/>
  <c r="LW11" i="12" s="1"/>
  <c r="AF7" i="13"/>
  <c r="MU8" i="12"/>
  <c r="K8" i="13"/>
  <c r="N18" i="12"/>
  <c r="Q6" i="13"/>
  <c r="R6" i="13" s="1"/>
  <c r="O7" i="13"/>
  <c r="MT8" i="12"/>
  <c r="FV11" i="12"/>
  <c r="D38" i="13"/>
  <c r="D27" i="13"/>
  <c r="L5" i="13"/>
  <c r="M5" i="13" s="1"/>
  <c r="J6" i="13"/>
  <c r="P7" i="13"/>
  <c r="J12" i="15"/>
  <c r="R18" i="15"/>
  <c r="D5" i="13"/>
  <c r="D16" i="13"/>
  <c r="DD10" i="12"/>
  <c r="EN11" i="12"/>
  <c r="I6" i="15"/>
  <c r="CK10" i="12" l="1"/>
  <c r="M10" i="15"/>
  <c r="M5" i="15" s="1"/>
  <c r="O10" i="15"/>
  <c r="C16" i="14"/>
  <c r="C17" i="14"/>
  <c r="C15" i="14"/>
  <c r="CN9" i="12"/>
  <c r="CL9" i="12"/>
  <c r="CM9" i="12"/>
  <c r="DC9" i="12"/>
  <c r="DA9" i="12"/>
  <c r="DB9" i="12" s="1"/>
  <c r="BM9" i="12"/>
  <c r="CN10" i="12"/>
  <c r="CM10" i="12"/>
  <c r="CL10" i="12"/>
  <c r="ET10" i="12" s="1"/>
  <c r="DA10" i="12"/>
  <c r="DB10" i="12" s="1"/>
  <c r="BI9" i="12"/>
  <c r="BK9" i="12" s="1"/>
  <c r="Q16" i="12"/>
  <c r="IL3" i="12"/>
  <c r="ME22" i="12"/>
  <c r="MP7" i="12"/>
  <c r="DC10" i="12"/>
  <c r="MV8" i="12"/>
  <c r="MV7" i="12" s="1"/>
  <c r="MM17" i="12" s="1"/>
  <c r="FR12" i="12"/>
  <c r="BL13" i="12"/>
  <c r="BL14" i="12" s="1"/>
  <c r="MT7" i="12"/>
  <c r="K9" i="13"/>
  <c r="D39" i="13"/>
  <c r="N25" i="15"/>
  <c r="N18" i="15" s="1"/>
  <c r="O19" i="15" s="1"/>
  <c r="O26" i="15"/>
  <c r="K26" i="15"/>
  <c r="E5" i="13"/>
  <c r="F5" i="13" s="1"/>
  <c r="B6" i="13"/>
  <c r="D50" i="13"/>
  <c r="O8" i="13"/>
  <c r="Q7" i="13"/>
  <c r="R7" i="13" s="1"/>
  <c r="S25" i="15"/>
  <c r="MX11" i="12"/>
  <c r="MX12" i="12" s="1"/>
  <c r="MX13" i="12" s="1"/>
  <c r="MX14" i="12" s="1"/>
  <c r="MX15" i="12" s="1"/>
  <c r="MX16" i="12" s="1"/>
  <c r="MX17" i="12" s="1"/>
  <c r="MX18" i="12" s="1"/>
  <c r="MX19" i="12" s="1"/>
  <c r="MX20" i="12" s="1"/>
  <c r="MX21" i="12" s="1"/>
  <c r="MX22" i="12" s="1"/>
  <c r="MX23" i="12" s="1"/>
  <c r="MX24" i="12" s="1"/>
  <c r="MX25" i="12" s="1"/>
  <c r="MX26" i="12" s="1"/>
  <c r="MX27" i="12" s="1"/>
  <c r="MX28" i="12" s="1"/>
  <c r="MX29" i="12" s="1"/>
  <c r="MX30" i="12" s="1"/>
  <c r="MX31" i="12" s="1"/>
  <c r="MX32" i="12" s="1"/>
  <c r="L6" i="13"/>
  <c r="M6" i="13" s="1"/>
  <c r="J7" i="13"/>
  <c r="MY8" i="12"/>
  <c r="D28" i="13"/>
  <c r="N11" i="15"/>
  <c r="N10" i="15" s="1"/>
  <c r="K12" i="15"/>
  <c r="Q18" i="15"/>
  <c r="S18" i="15" s="1"/>
  <c r="MW8" i="12"/>
  <c r="P8" i="13"/>
  <c r="AF11" i="12"/>
  <c r="L12" i="12"/>
  <c r="CO9" i="12" s="1"/>
  <c r="D17" i="13"/>
  <c r="D6" i="13"/>
  <c r="J6" i="15"/>
  <c r="R11" i="15"/>
  <c r="N19" i="12"/>
  <c r="HE12" i="12"/>
  <c r="FV12" i="12"/>
  <c r="EU10" i="12" l="1"/>
  <c r="Q17" i="12"/>
  <c r="ME23" i="12"/>
  <c r="MU7" i="12"/>
  <c r="ML17" i="12" s="1"/>
  <c r="MW7" i="12"/>
  <c r="MO17" i="12" s="1"/>
  <c r="FU13" i="12"/>
  <c r="AF12" i="12"/>
  <c r="L13" i="12"/>
  <c r="CO10" i="12" s="1"/>
  <c r="MX8" i="12"/>
  <c r="MX7" i="12" s="1"/>
  <c r="BL15" i="12"/>
  <c r="O12" i="15"/>
  <c r="O8" i="15" s="1"/>
  <c r="K10" i="13"/>
  <c r="CB11" i="12"/>
  <c r="DD11" i="12"/>
  <c r="D40" i="13"/>
  <c r="O9" i="13"/>
  <c r="Q8" i="13"/>
  <c r="R8" i="13" s="1"/>
  <c r="DH9" i="12"/>
  <c r="F12" i="12"/>
  <c r="LW12" i="12" s="1"/>
  <c r="K6" i="15"/>
  <c r="N5" i="15"/>
  <c r="O6" i="15" s="1"/>
  <c r="Q11" i="15"/>
  <c r="S11" i="15" s="1"/>
  <c r="D62" i="13"/>
  <c r="F6" i="13"/>
  <c r="D7" i="13"/>
  <c r="D18" i="13"/>
  <c r="P9" i="13"/>
  <c r="J8" i="13"/>
  <c r="L7" i="13"/>
  <c r="M7" i="13" s="1"/>
  <c r="E6" i="13"/>
  <c r="B7" i="13"/>
  <c r="N20" i="12"/>
  <c r="D29" i="13"/>
  <c r="D51" i="13"/>
  <c r="Q18" i="12" l="1"/>
  <c r="ML13" i="12"/>
  <c r="MM13" i="12" s="1"/>
  <c r="MN13" i="12" s="1"/>
  <c r="MO13" i="12" s="1"/>
  <c r="MP13" i="12" s="1"/>
  <c r="ML16" i="12"/>
  <c r="ML8" i="12" s="1"/>
  <c r="MM8" i="12" s="1"/>
  <c r="MN8" i="12" s="1"/>
  <c r="MO8" i="12" s="1"/>
  <c r="MP8" i="12" s="1"/>
  <c r="ME24" i="12"/>
  <c r="MP17" i="12"/>
  <c r="ML20" i="12"/>
  <c r="MM20" i="12" s="1"/>
  <c r="MN20" i="12" s="1"/>
  <c r="MO20" i="12" s="1"/>
  <c r="MP20" i="12" s="1"/>
  <c r="ML9" i="12"/>
  <c r="MM9" i="12" s="1"/>
  <c r="MN9" i="12" s="1"/>
  <c r="MO9" i="12" s="1"/>
  <c r="MP9" i="12" s="1"/>
  <c r="ML18" i="12"/>
  <c r="MM18" i="12" s="1"/>
  <c r="MN18" i="12" s="1"/>
  <c r="MO18" i="12" s="1"/>
  <c r="MP18" i="12" s="1"/>
  <c r="ML15" i="12"/>
  <c r="MM15" i="12" s="1"/>
  <c r="MN15" i="12" s="1"/>
  <c r="MO15" i="12" s="1"/>
  <c r="MP15" i="12" s="1"/>
  <c r="ML11" i="12"/>
  <c r="MM11" i="12" s="1"/>
  <c r="MN11" i="12" s="1"/>
  <c r="MO11" i="12" s="1"/>
  <c r="MP11" i="12" s="1"/>
  <c r="ML21" i="12"/>
  <c r="MM21" i="12" s="1"/>
  <c r="MN21" i="12" s="1"/>
  <c r="MO21" i="12" s="1"/>
  <c r="MP21" i="12" s="1"/>
  <c r="ML10" i="12"/>
  <c r="MM10" i="12" s="1"/>
  <c r="MN10" i="12" s="1"/>
  <c r="MO10" i="12" s="1"/>
  <c r="MP10" i="12" s="1"/>
  <c r="ML19" i="12"/>
  <c r="MM19" i="12" s="1"/>
  <c r="MN19" i="12" s="1"/>
  <c r="MO19" i="12" s="1"/>
  <c r="MP19" i="12" s="1"/>
  <c r="ML14" i="12"/>
  <c r="MM14" i="12" s="1"/>
  <c r="MN14" i="12" s="1"/>
  <c r="MO14" i="12" s="1"/>
  <c r="MP14" i="12" s="1"/>
  <c r="FR13" i="12"/>
  <c r="ML12" i="12"/>
  <c r="MM12" i="12" s="1"/>
  <c r="MN12" i="12" s="1"/>
  <c r="MO12" i="12" s="1"/>
  <c r="MP12" i="12" s="1"/>
  <c r="BL16" i="12"/>
  <c r="FR14" i="12"/>
  <c r="FU14" i="12"/>
  <c r="J9" i="13"/>
  <c r="L8" i="13"/>
  <c r="M8" i="13" s="1"/>
  <c r="DJ9" i="12"/>
  <c r="DI9" i="12"/>
  <c r="D41" i="13"/>
  <c r="DH10" i="12"/>
  <c r="F13" i="12"/>
  <c r="LW13" i="12" s="1"/>
  <c r="D74" i="13"/>
  <c r="O10" i="13"/>
  <c r="Q9" i="13"/>
  <c r="R9" i="13" s="1"/>
  <c r="D8" i="13"/>
  <c r="D19" i="13"/>
  <c r="HE13" i="12"/>
  <c r="FV13" i="12"/>
  <c r="N21" i="12"/>
  <c r="MY7" i="12"/>
  <c r="D52" i="13"/>
  <c r="K11" i="13"/>
  <c r="DK9" i="12"/>
  <c r="MA9" i="12"/>
  <c r="DG9" i="12"/>
  <c r="CP9" i="12"/>
  <c r="E7" i="13"/>
  <c r="F7" i="13" s="1"/>
  <c r="B8" i="13"/>
  <c r="P10" i="13"/>
  <c r="D63" i="13"/>
  <c r="D30" i="13"/>
  <c r="LZ12" i="12"/>
  <c r="Q19" i="12" l="1"/>
  <c r="MM16" i="12"/>
  <c r="MN16" i="12" s="1"/>
  <c r="MO16" i="12" s="1"/>
  <c r="MP16" i="12" s="1"/>
  <c r="MQ16" i="12" s="1"/>
  <c r="ME25" i="12"/>
  <c r="MQ17" i="12"/>
  <c r="EM9" i="12"/>
  <c r="EQ9" i="12" s="1"/>
  <c r="MQ11" i="12"/>
  <c r="MQ10" i="12"/>
  <c r="MQ8" i="12"/>
  <c r="MQ14" i="12"/>
  <c r="MQ9" i="12"/>
  <c r="MQ18" i="12"/>
  <c r="MQ13" i="12"/>
  <c r="MQ20" i="12"/>
  <c r="MQ15" i="12"/>
  <c r="MQ21" i="12"/>
  <c r="MQ12" i="12"/>
  <c r="J10" i="13"/>
  <c r="L9" i="13"/>
  <c r="M9" i="13" s="1"/>
  <c r="D64" i="13"/>
  <c r="Q10" i="13"/>
  <c r="R10" i="13" s="1"/>
  <c r="O11" i="13"/>
  <c r="DI10" i="12"/>
  <c r="DJ10" i="12"/>
  <c r="FV14" i="12"/>
  <c r="HE14" i="12"/>
  <c r="DK10" i="12"/>
  <c r="CP10" i="12"/>
  <c r="MA10" i="12"/>
  <c r="DG10" i="12"/>
  <c r="P11" i="13"/>
  <c r="D53" i="13"/>
  <c r="FU15" i="12"/>
  <c r="FR15" i="12"/>
  <c r="D86" i="13"/>
  <c r="BL17" i="12"/>
  <c r="D42" i="13"/>
  <c r="DL9" i="12"/>
  <c r="DM9" i="12"/>
  <c r="D31" i="13"/>
  <c r="AF13" i="12"/>
  <c r="D20" i="13"/>
  <c r="D9" i="13"/>
  <c r="MQ19" i="12"/>
  <c r="D75" i="13"/>
  <c r="E8" i="13"/>
  <c r="F8" i="13" s="1"/>
  <c r="B9" i="13"/>
  <c r="LZ13" i="12"/>
  <c r="K12" i="13"/>
  <c r="N22" i="12"/>
  <c r="HG14" i="12" l="1"/>
  <c r="HH14" i="12"/>
  <c r="HI14" i="12"/>
  <c r="Q20" i="12"/>
  <c r="ME26" i="12"/>
  <c r="EV10" i="12"/>
  <c r="EW10" i="12" s="1"/>
  <c r="FA10" i="12" s="1"/>
  <c r="K13" i="13"/>
  <c r="N23" i="12"/>
  <c r="DH11" i="12"/>
  <c r="D54" i="13"/>
  <c r="D65" i="13"/>
  <c r="P12" i="13"/>
  <c r="DL10" i="12"/>
  <c r="DM10" i="12"/>
  <c r="O12" i="13"/>
  <c r="Q11" i="13"/>
  <c r="R11" i="13" s="1"/>
  <c r="FR16" i="12"/>
  <c r="FU16" i="12"/>
  <c r="EM10" i="12"/>
  <c r="D76" i="13"/>
  <c r="D87" i="13"/>
  <c r="BL18" i="12"/>
  <c r="E9" i="13"/>
  <c r="B10" i="13"/>
  <c r="D10" i="13"/>
  <c r="D21" i="13"/>
  <c r="F9" i="13"/>
  <c r="D43" i="13"/>
  <c r="D98" i="13"/>
  <c r="D32" i="13"/>
  <c r="HE15" i="12"/>
  <c r="FV15" i="12"/>
  <c r="J11" i="13"/>
  <c r="L10" i="13"/>
  <c r="M10" i="13" s="1"/>
  <c r="Q21" i="12" l="1"/>
  <c r="ME27" i="12"/>
  <c r="EX11" i="12"/>
  <c r="EY12" i="12" s="1"/>
  <c r="EZ13" i="12" s="1"/>
  <c r="D44" i="13"/>
  <c r="BL19" i="12"/>
  <c r="P13" i="13"/>
  <c r="AO10" i="12"/>
  <c r="BI10" i="12" s="1"/>
  <c r="BK10" i="12" s="1"/>
  <c r="AQ10" i="12"/>
  <c r="HE16" i="12"/>
  <c r="FV16" i="12"/>
  <c r="D99" i="13"/>
  <c r="D88" i="13"/>
  <c r="D55" i="13"/>
  <c r="FU17" i="12"/>
  <c r="FR17" i="12"/>
  <c r="D77" i="13"/>
  <c r="D33" i="13"/>
  <c r="D66" i="13"/>
  <c r="D22" i="13"/>
  <c r="D11" i="13"/>
  <c r="Q12" i="13"/>
  <c r="R12" i="13" s="1"/>
  <c r="O13" i="13"/>
  <c r="N24" i="12"/>
  <c r="E10" i="13"/>
  <c r="F10" i="13" s="1"/>
  <c r="B11" i="13"/>
  <c r="J12" i="13"/>
  <c r="L11" i="13"/>
  <c r="M11" i="13" s="1"/>
  <c r="D110" i="13"/>
  <c r="V9" i="12"/>
  <c r="DI11" i="12"/>
  <c r="K14" i="13"/>
  <c r="Q22" i="12" l="1"/>
  <c r="ME28" i="12"/>
  <c r="BL20" i="12"/>
  <c r="O14" i="13"/>
  <c r="Q13" i="13"/>
  <c r="R13" i="13" s="1"/>
  <c r="D67" i="13"/>
  <c r="FR18" i="12"/>
  <c r="FU18" i="12"/>
  <c r="K15" i="13"/>
  <c r="D111" i="13"/>
  <c r="D56" i="13"/>
  <c r="L12" i="13"/>
  <c r="M12" i="13" s="1"/>
  <c r="J13" i="13"/>
  <c r="D34" i="13"/>
  <c r="D45" i="13"/>
  <c r="D12" i="13"/>
  <c r="D23" i="13"/>
  <c r="DH12" i="12"/>
  <c r="E11" i="13"/>
  <c r="F11" i="13" s="1"/>
  <c r="B12" i="13"/>
  <c r="FV17" i="12"/>
  <c r="HE17" i="12"/>
  <c r="FM11" i="12"/>
  <c r="FS11" i="12" s="1"/>
  <c r="BM10" i="12"/>
  <c r="D122" i="13"/>
  <c r="D89" i="13"/>
  <c r="D78" i="13"/>
  <c r="D100" i="13"/>
  <c r="P14" i="13"/>
  <c r="N25" i="12"/>
  <c r="Q23" i="12" l="1"/>
  <c r="V10" i="12"/>
  <c r="ME29" i="12"/>
  <c r="L13" i="13"/>
  <c r="M13" i="13" s="1"/>
  <c r="J14" i="13"/>
  <c r="FV18" i="12"/>
  <c r="HE18" i="12"/>
  <c r="D112" i="13"/>
  <c r="D13" i="13"/>
  <c r="D24" i="13"/>
  <c r="D79" i="13"/>
  <c r="D90" i="13"/>
  <c r="DH13" i="12"/>
  <c r="CK11" i="12"/>
  <c r="DC11" i="12"/>
  <c r="D123" i="13"/>
  <c r="O15" i="13"/>
  <c r="Q14" i="13"/>
  <c r="D57" i="13"/>
  <c r="D68" i="13"/>
  <c r="N26" i="12"/>
  <c r="D101" i="13"/>
  <c r="DI12" i="12"/>
  <c r="P15" i="13"/>
  <c r="R14" i="13"/>
  <c r="BL21" i="12"/>
  <c r="E12" i="13"/>
  <c r="F12" i="13" s="1"/>
  <c r="B13" i="13"/>
  <c r="D46" i="13"/>
  <c r="D134" i="13"/>
  <c r="D35" i="13"/>
  <c r="K16" i="13"/>
  <c r="FU19" i="12"/>
  <c r="FR19" i="12"/>
  <c r="CL11" i="12" l="1"/>
  <c r="CM11" i="12"/>
  <c r="DA11" i="12"/>
  <c r="DB11" i="12" s="1"/>
  <c r="DG11" i="12" s="1"/>
  <c r="EM11" i="12" s="1"/>
  <c r="BH10" i="12"/>
  <c r="BG10" i="12"/>
  <c r="Q24" i="12"/>
  <c r="ME30" i="12"/>
  <c r="CN11" i="12"/>
  <c r="D47" i="13"/>
  <c r="D124" i="13"/>
  <c r="D135" i="13"/>
  <c r="FR20" i="12"/>
  <c r="FU20" i="12"/>
  <c r="B14" i="13"/>
  <c r="E13" i="13"/>
  <c r="F13" i="13" s="1"/>
  <c r="D69" i="13"/>
  <c r="D146" i="13"/>
  <c r="D113" i="13"/>
  <c r="D102" i="13"/>
  <c r="HE19" i="12"/>
  <c r="FV19" i="12"/>
  <c r="P16" i="13"/>
  <c r="L14" i="13"/>
  <c r="M14" i="13" s="1"/>
  <c r="J15" i="13"/>
  <c r="D80" i="13"/>
  <c r="Q15" i="13"/>
  <c r="R15" i="13" s="1"/>
  <c r="O16" i="13"/>
  <c r="D36" i="13"/>
  <c r="BL22" i="12"/>
  <c r="D58" i="13"/>
  <c r="N27" i="12"/>
  <c r="D91" i="13"/>
  <c r="K17" i="13"/>
  <c r="DI13" i="12"/>
  <c r="D25" i="13"/>
  <c r="BA10" i="12"/>
  <c r="BE10" i="12" s="1"/>
  <c r="EU11" i="12" l="1"/>
  <c r="ET11" i="12"/>
  <c r="Q25" i="12"/>
  <c r="ME31" i="12"/>
  <c r="EL10" i="12"/>
  <c r="D37" i="13"/>
  <c r="BL23" i="12"/>
  <c r="Q16" i="13"/>
  <c r="O17" i="13"/>
  <c r="J16" i="13"/>
  <c r="L15" i="13"/>
  <c r="M15" i="13" s="1"/>
  <c r="D114" i="13"/>
  <c r="D147" i="13"/>
  <c r="FV20" i="12"/>
  <c r="HE20" i="12"/>
  <c r="D70" i="13"/>
  <c r="D103" i="13"/>
  <c r="D125" i="13"/>
  <c r="D81" i="13"/>
  <c r="EK10" i="12"/>
  <c r="AQ11" i="12"/>
  <c r="AO11" i="12"/>
  <c r="BI11" i="12" s="1"/>
  <c r="BK11" i="12" s="1"/>
  <c r="P17" i="13"/>
  <c r="R16" i="13"/>
  <c r="D136" i="13"/>
  <c r="D92" i="13"/>
  <c r="D158" i="13"/>
  <c r="FR21" i="12"/>
  <c r="FU21" i="12"/>
  <c r="DE12" i="12"/>
  <c r="EN12" i="12"/>
  <c r="K18" i="13"/>
  <c r="N28" i="12"/>
  <c r="D48" i="13"/>
  <c r="E14" i="13"/>
  <c r="F14" i="13" s="1"/>
  <c r="B15" i="13"/>
  <c r="D59" i="13"/>
  <c r="EV11" i="12" l="1"/>
  <c r="EW11" i="12" s="1"/>
  <c r="EX12" i="12" s="1"/>
  <c r="EY13" i="12" s="1"/>
  <c r="EZ14" i="12" s="1"/>
  <c r="Q26" i="12"/>
  <c r="ME32" i="12"/>
  <c r="EQ10" i="12"/>
  <c r="D137" i="13"/>
  <c r="BL24" i="12"/>
  <c r="E15" i="13"/>
  <c r="F15" i="13" s="1"/>
  <c r="B16" i="13"/>
  <c r="D170" i="13"/>
  <c r="D115" i="13"/>
  <c r="D82" i="13"/>
  <c r="D126" i="13"/>
  <c r="D49" i="13"/>
  <c r="D71" i="13"/>
  <c r="D60" i="13"/>
  <c r="FV21" i="12"/>
  <c r="HE21" i="12"/>
  <c r="D159" i="13"/>
  <c r="FR22" i="12"/>
  <c r="FU22" i="12"/>
  <c r="N29" i="12"/>
  <c r="D148" i="13"/>
  <c r="CB12" i="12"/>
  <c r="K19" i="13"/>
  <c r="J17" i="13"/>
  <c r="L16" i="13"/>
  <c r="M16" i="13" s="1"/>
  <c r="P18" i="13"/>
  <c r="D93" i="13"/>
  <c r="O18" i="13"/>
  <c r="Q17" i="13"/>
  <c r="R17" i="13" s="1"/>
  <c r="D104" i="13"/>
  <c r="BM11" i="12"/>
  <c r="DT99" i="12"/>
  <c r="FM12" i="12"/>
  <c r="FS12" i="12" s="1"/>
  <c r="FA11" i="12" l="1"/>
  <c r="Q27" i="12"/>
  <c r="ME33" i="12"/>
  <c r="CK12" i="12"/>
  <c r="J18" i="13"/>
  <c r="L17" i="13"/>
  <c r="M17" i="13" s="1"/>
  <c r="FR23" i="12"/>
  <c r="FU23" i="12"/>
  <c r="K20" i="13"/>
  <c r="N30" i="12"/>
  <c r="D138" i="13"/>
  <c r="D182" i="13"/>
  <c r="D94" i="13"/>
  <c r="E16" i="13"/>
  <c r="F16" i="13" s="1"/>
  <c r="B17" i="13"/>
  <c r="P19" i="13"/>
  <c r="D116" i="13"/>
  <c r="DC12" i="12"/>
  <c r="FV22" i="12"/>
  <c r="HE22" i="12"/>
  <c r="D83" i="13"/>
  <c r="D149" i="13"/>
  <c r="D105" i="13"/>
  <c r="DD12" i="12"/>
  <c r="O19" i="13"/>
  <c r="Q18" i="13"/>
  <c r="R18" i="13" s="1"/>
  <c r="D171" i="13"/>
  <c r="D160" i="13"/>
  <c r="D61" i="13"/>
  <c r="D72" i="13"/>
  <c r="D127" i="13"/>
  <c r="BL25" i="12"/>
  <c r="CN12" i="12" l="1"/>
  <c r="CL12" i="12"/>
  <c r="CM12" i="12"/>
  <c r="DA12" i="12"/>
  <c r="Q28" i="12"/>
  <c r="ME34" i="12"/>
  <c r="D150" i="13"/>
  <c r="D172" i="13"/>
  <c r="D161" i="13"/>
  <c r="E17" i="13"/>
  <c r="F17" i="13" s="1"/>
  <c r="B18" i="13"/>
  <c r="N31" i="12"/>
  <c r="J19" i="13"/>
  <c r="L18" i="13"/>
  <c r="M18" i="13" s="1"/>
  <c r="D84" i="13"/>
  <c r="O20" i="13"/>
  <c r="Q19" i="13"/>
  <c r="FV23" i="12"/>
  <c r="HE23" i="12"/>
  <c r="AR12" i="12"/>
  <c r="BL26" i="12"/>
  <c r="D128" i="13"/>
  <c r="FR24" i="12"/>
  <c r="FU24" i="12"/>
  <c r="D183" i="13"/>
  <c r="D139" i="13"/>
  <c r="K21" i="13"/>
  <c r="D194" i="13"/>
  <c r="D117" i="13"/>
  <c r="D73" i="13"/>
  <c r="D95" i="13"/>
  <c r="R19" i="13"/>
  <c r="P20" i="13"/>
  <c r="D106" i="13"/>
  <c r="EU12" i="12" l="1"/>
  <c r="ET12" i="12"/>
  <c r="CZ12" i="12"/>
  <c r="DB12" i="12"/>
  <c r="DG12" i="12" s="1"/>
  <c r="EM12" i="12" s="1"/>
  <c r="BG11" i="12"/>
  <c r="BH11" i="12"/>
  <c r="Q29" i="12"/>
  <c r="ME35" i="12"/>
  <c r="DE13" i="12"/>
  <c r="D173" i="13"/>
  <c r="D195" i="13"/>
  <c r="D107" i="13"/>
  <c r="N32" i="12"/>
  <c r="D140" i="13"/>
  <c r="J20" i="13"/>
  <c r="L19" i="13"/>
  <c r="M19" i="13" s="1"/>
  <c r="D206" i="13"/>
  <c r="FV24" i="12"/>
  <c r="HE24" i="12"/>
  <c r="P21" i="13"/>
  <c r="D151" i="13"/>
  <c r="D162" i="13"/>
  <c r="D96" i="13"/>
  <c r="D129" i="13"/>
  <c r="BL27" i="12"/>
  <c r="D85" i="13"/>
  <c r="FR25" i="12"/>
  <c r="FU25" i="12"/>
  <c r="E18" i="13"/>
  <c r="F18" i="13" s="1"/>
  <c r="B19" i="13"/>
  <c r="D184" i="13"/>
  <c r="D118" i="13"/>
  <c r="K22" i="13"/>
  <c r="O21" i="13"/>
  <c r="Q20" i="13"/>
  <c r="R20" i="13" s="1"/>
  <c r="EV12" i="12" l="1"/>
  <c r="EW12" i="12" s="1"/>
  <c r="EX13" i="12" s="1"/>
  <c r="EY14" i="12" s="1"/>
  <c r="EZ15" i="12" s="1"/>
  <c r="EL11" i="12"/>
  <c r="BA11" i="12"/>
  <c r="BE11" i="12" s="1"/>
  <c r="Q30" i="12"/>
  <c r="ME36" i="12"/>
  <c r="EN13" i="12"/>
  <c r="CB13" i="12"/>
  <c r="EK11" i="12"/>
  <c r="DD13" i="12"/>
  <c r="D97" i="13"/>
  <c r="D174" i="13"/>
  <c r="D218" i="13"/>
  <c r="D207" i="13"/>
  <c r="BL28" i="12"/>
  <c r="D163" i="13"/>
  <c r="D108" i="13"/>
  <c r="D130" i="13"/>
  <c r="Q21" i="13"/>
  <c r="R21" i="13" s="1"/>
  <c r="O22" i="13"/>
  <c r="FR26" i="12"/>
  <c r="FU26" i="12"/>
  <c r="D185" i="13"/>
  <c r="D119" i="13"/>
  <c r="K23" i="13"/>
  <c r="P22" i="13"/>
  <c r="D152" i="13"/>
  <c r="N33" i="12"/>
  <c r="AQ12" i="12"/>
  <c r="AO12" i="12"/>
  <c r="BI12" i="12" s="1"/>
  <c r="BK12" i="12" s="1"/>
  <c r="D196" i="13"/>
  <c r="D141" i="13"/>
  <c r="J21" i="13"/>
  <c r="L20" i="13"/>
  <c r="M20" i="13" s="1"/>
  <c r="E19" i="13"/>
  <c r="F19" i="13" s="1"/>
  <c r="B20" i="13"/>
  <c r="HE25" i="12"/>
  <c r="FV25" i="12"/>
  <c r="FA12" i="12" l="1"/>
  <c r="EQ11" i="12"/>
  <c r="Q31" i="12"/>
  <c r="ME37" i="12"/>
  <c r="D153" i="13"/>
  <c r="N34" i="12"/>
  <c r="D120" i="13"/>
  <c r="D109" i="13"/>
  <c r="D131" i="13"/>
  <c r="D142" i="13"/>
  <c r="D186" i="13"/>
  <c r="D208" i="13"/>
  <c r="HE26" i="12"/>
  <c r="FV26" i="12"/>
  <c r="D197" i="13"/>
  <c r="BL29" i="12"/>
  <c r="FR27" i="12"/>
  <c r="FU27" i="12"/>
  <c r="K24" i="13"/>
  <c r="O23" i="13"/>
  <c r="Q22" i="13"/>
  <c r="R22" i="13" s="1"/>
  <c r="D175" i="13"/>
  <c r="D230" i="13"/>
  <c r="D164" i="13"/>
  <c r="P23" i="13"/>
  <c r="D219" i="13"/>
  <c r="FM13" i="12"/>
  <c r="FS13" i="12" s="1"/>
  <c r="BM12" i="12"/>
  <c r="E20" i="13"/>
  <c r="F20" i="13" s="1"/>
  <c r="B21" i="13"/>
  <c r="L21" i="13"/>
  <c r="M21" i="13" s="1"/>
  <c r="J22" i="13"/>
  <c r="Q32" i="12" l="1"/>
  <c r="ME38" i="12"/>
  <c r="D132" i="13"/>
  <c r="FR28" i="12"/>
  <c r="FU28" i="12"/>
  <c r="B22" i="13"/>
  <c r="E21" i="13"/>
  <c r="F21" i="13" s="1"/>
  <c r="P24" i="13"/>
  <c r="O24" i="13"/>
  <c r="Q23" i="13"/>
  <c r="R23" i="13" s="1"/>
  <c r="BL30" i="12"/>
  <c r="L22" i="13"/>
  <c r="M22" i="13" s="1"/>
  <c r="J23" i="13"/>
  <c r="D220" i="13"/>
  <c r="D176" i="13"/>
  <c r="D209" i="13"/>
  <c r="D198" i="13"/>
  <c r="N35" i="12"/>
  <c r="D187" i="13"/>
  <c r="K25" i="13"/>
  <c r="D154" i="13"/>
  <c r="D231" i="13"/>
  <c r="D121" i="13"/>
  <c r="D165" i="13"/>
  <c r="DC13" i="12"/>
  <c r="CK13" i="12"/>
  <c r="FV27" i="12"/>
  <c r="HE27" i="12"/>
  <c r="D242" i="13"/>
  <c r="D143" i="13"/>
  <c r="CL13" i="12" l="1"/>
  <c r="CM13" i="12"/>
  <c r="DA13" i="12"/>
  <c r="BG12" i="12"/>
  <c r="BH12" i="12"/>
  <c r="Q33" i="12"/>
  <c r="ME39" i="12"/>
  <c r="MD46" i="12"/>
  <c r="D177" i="13"/>
  <c r="HE28" i="12"/>
  <c r="FV28" i="12"/>
  <c r="D188" i="13"/>
  <c r="D155" i="13"/>
  <c r="N36" i="12"/>
  <c r="D166" i="13"/>
  <c r="D232" i="13"/>
  <c r="K26" i="13"/>
  <c r="D254" i="13"/>
  <c r="CN13" i="12"/>
  <c r="D133" i="13"/>
  <c r="L23" i="13"/>
  <c r="M23" i="13" s="1"/>
  <c r="J24" i="13"/>
  <c r="O25" i="13"/>
  <c r="Q24" i="13"/>
  <c r="R24" i="13" s="1"/>
  <c r="D144" i="13"/>
  <c r="P25" i="13"/>
  <c r="D210" i="13"/>
  <c r="D221" i="13"/>
  <c r="BL31" i="12"/>
  <c r="D243" i="13"/>
  <c r="FR29" i="12"/>
  <c r="FU29" i="12"/>
  <c r="D199" i="13"/>
  <c r="E22" i="13"/>
  <c r="F22" i="13" s="1"/>
  <c r="B23" i="13"/>
  <c r="ET13" i="12" l="1"/>
  <c r="EU13" i="12"/>
  <c r="CZ13" i="12"/>
  <c r="DB13" i="12"/>
  <c r="DG13" i="12" s="1"/>
  <c r="EM13" i="12" s="1"/>
  <c r="EK12" i="12"/>
  <c r="BA12" i="12"/>
  <c r="BE12" i="12" s="1"/>
  <c r="Q34" i="12"/>
  <c r="ME40" i="12"/>
  <c r="D145" i="13"/>
  <c r="D266" i="13"/>
  <c r="D178" i="13"/>
  <c r="D244" i="13"/>
  <c r="AR13" i="12"/>
  <c r="B70" i="19" s="1"/>
  <c r="D233" i="13"/>
  <c r="D255" i="13"/>
  <c r="D200" i="13"/>
  <c r="D222" i="13"/>
  <c r="E23" i="13"/>
  <c r="F23" i="13" s="1"/>
  <c r="B24" i="13"/>
  <c r="O26" i="13"/>
  <c r="Q25" i="13"/>
  <c r="R25" i="13" s="1"/>
  <c r="N37" i="12"/>
  <c r="D211" i="13"/>
  <c r="J25" i="13"/>
  <c r="L24" i="13"/>
  <c r="M24" i="13" s="1"/>
  <c r="D189" i="13"/>
  <c r="P26" i="13"/>
  <c r="EL12" i="12"/>
  <c r="D156" i="13"/>
  <c r="BL32" i="12"/>
  <c r="FV29" i="12"/>
  <c r="HE29" i="12"/>
  <c r="FR30" i="12"/>
  <c r="FU30" i="12"/>
  <c r="K27" i="13"/>
  <c r="D167" i="13"/>
  <c r="B4" i="19" l="1"/>
  <c r="EV13" i="12"/>
  <c r="EW13" i="12" s="1"/>
  <c r="FA13" i="12" s="1"/>
  <c r="EQ12" i="12"/>
  <c r="Q35" i="12"/>
  <c r="ME41" i="12"/>
  <c r="P27" i="13"/>
  <c r="FR31" i="12"/>
  <c r="FU31" i="12"/>
  <c r="D223" i="13"/>
  <c r="D278" i="13"/>
  <c r="D234" i="13"/>
  <c r="K28" i="13"/>
  <c r="D256" i="13"/>
  <c r="D201" i="13"/>
  <c r="N38" i="12"/>
  <c r="HE30" i="12"/>
  <c r="FV30" i="12"/>
  <c r="Q26" i="13"/>
  <c r="R26" i="13" s="1"/>
  <c r="O27" i="13"/>
  <c r="D157" i="13"/>
  <c r="BL33" i="12"/>
  <c r="D212" i="13"/>
  <c r="D168" i="13"/>
  <c r="D267" i="13"/>
  <c r="D179" i="13"/>
  <c r="J26" i="13"/>
  <c r="L25" i="13"/>
  <c r="M25" i="13" s="1"/>
  <c r="E24" i="13"/>
  <c r="F24" i="13" s="1"/>
  <c r="B25" i="13"/>
  <c r="D245" i="13"/>
  <c r="D190" i="13"/>
  <c r="EX14" i="12" l="1"/>
  <c r="EY15" i="12" s="1"/>
  <c r="EZ16" i="12" s="1"/>
  <c r="Q36" i="12"/>
  <c r="ME42" i="12"/>
  <c r="D202" i="13"/>
  <c r="D257" i="13"/>
  <c r="D169" i="13"/>
  <c r="AQ13" i="12"/>
  <c r="AO13" i="12"/>
  <c r="BI13" i="12" s="1"/>
  <c r="D213" i="13"/>
  <c r="D224" i="13"/>
  <c r="D191" i="13"/>
  <c r="FR32" i="12"/>
  <c r="FU32" i="12"/>
  <c r="E25" i="13"/>
  <c r="F25" i="13" s="1"/>
  <c r="B26" i="13"/>
  <c r="Q27" i="13"/>
  <c r="R27" i="13" s="1"/>
  <c r="O28" i="13"/>
  <c r="P28" i="13"/>
  <c r="D235" i="13"/>
  <c r="N39" i="12"/>
  <c r="D279" i="13"/>
  <c r="D268" i="13"/>
  <c r="D290" i="13"/>
  <c r="FV31" i="12"/>
  <c r="HE31" i="12"/>
  <c r="J27" i="13"/>
  <c r="L26" i="13"/>
  <c r="M26" i="13" s="1"/>
  <c r="BL34" i="12"/>
  <c r="K29" i="13"/>
  <c r="D180" i="13"/>
  <c r="D246" i="13"/>
  <c r="BK13" i="12" l="1"/>
  <c r="BO15" i="12"/>
  <c r="BO14" i="12"/>
  <c r="BO13" i="12"/>
  <c r="BO16" i="12"/>
  <c r="Q37" i="12"/>
  <c r="ME43" i="12"/>
  <c r="D258" i="13"/>
  <c r="D291" i="13"/>
  <c r="FR33" i="12"/>
  <c r="FU33" i="12"/>
  <c r="D181" i="13"/>
  <c r="D269" i="13"/>
  <c r="P29" i="13"/>
  <c r="D192" i="13"/>
  <c r="FV32" i="12"/>
  <c r="HE32" i="12"/>
  <c r="D203" i="13"/>
  <c r="D225" i="13"/>
  <c r="D236" i="13"/>
  <c r="FM14" i="12"/>
  <c r="FS14" i="12" s="1"/>
  <c r="BM13" i="12"/>
  <c r="D280" i="13"/>
  <c r="D247" i="13"/>
  <c r="L27" i="13"/>
  <c r="M27" i="13" s="1"/>
  <c r="J28" i="13"/>
  <c r="K30" i="13"/>
  <c r="D302" i="13"/>
  <c r="O29" i="13"/>
  <c r="Q28" i="13"/>
  <c r="R28" i="13" s="1"/>
  <c r="BL35" i="12"/>
  <c r="N40" i="12"/>
  <c r="E26" i="13"/>
  <c r="F26" i="13" s="1"/>
  <c r="B27" i="13"/>
  <c r="D214" i="13"/>
  <c r="FO14" i="12" l="1"/>
  <c r="Q38" i="12"/>
  <c r="ME44" i="12"/>
  <c r="Q29" i="13"/>
  <c r="R29" i="13" s="1"/>
  <c r="O30" i="13"/>
  <c r="FR34" i="12"/>
  <c r="FU34" i="12"/>
  <c r="D248" i="13"/>
  <c r="P30" i="13"/>
  <c r="D259" i="13"/>
  <c r="D281" i="13"/>
  <c r="B28" i="13"/>
  <c r="E27" i="13"/>
  <c r="F27" i="13" s="1"/>
  <c r="D314" i="13"/>
  <c r="D292" i="13"/>
  <c r="D204" i="13"/>
  <c r="D237" i="13"/>
  <c r="D193" i="13"/>
  <c r="D303" i="13"/>
  <c r="D226" i="13"/>
  <c r="N41" i="12"/>
  <c r="K31" i="13"/>
  <c r="FV33" i="12"/>
  <c r="HE33" i="12"/>
  <c r="D270" i="13"/>
  <c r="D215" i="13"/>
  <c r="BL36" i="12"/>
  <c r="J29" i="13"/>
  <c r="L28" i="13"/>
  <c r="M28" i="13" s="1"/>
  <c r="Q39" i="12" l="1"/>
  <c r="ME45" i="12"/>
  <c r="D249" i="13"/>
  <c r="D304" i="13"/>
  <c r="D227" i="13"/>
  <c r="D238" i="13"/>
  <c r="FV34" i="12"/>
  <c r="HE34" i="12"/>
  <c r="L29" i="13"/>
  <c r="M29" i="13" s="1"/>
  <c r="J30" i="13"/>
  <c r="D282" i="13"/>
  <c r="D293" i="13"/>
  <c r="BL37" i="12"/>
  <c r="N42" i="12"/>
  <c r="D326" i="13"/>
  <c r="D315" i="13"/>
  <c r="P31" i="13"/>
  <c r="FR35" i="12"/>
  <c r="FU35" i="12"/>
  <c r="D271" i="13"/>
  <c r="Q30" i="13"/>
  <c r="R30" i="13" s="1"/>
  <c r="O31" i="13"/>
  <c r="Q31" i="13" s="1"/>
  <c r="D260" i="13"/>
  <c r="E28" i="13"/>
  <c r="F28" i="13" s="1"/>
  <c r="B29" i="13"/>
  <c r="D205" i="13"/>
  <c r="D216" i="13"/>
  <c r="Q40" i="12" l="1"/>
  <c r="ME46" i="12"/>
  <c r="MH46" i="12" s="1"/>
  <c r="D338" i="13"/>
  <c r="D294" i="13"/>
  <c r="D239" i="13"/>
  <c r="D228" i="13"/>
  <c r="E29" i="13"/>
  <c r="F29" i="13" s="1"/>
  <c r="B30" i="13"/>
  <c r="L30" i="13"/>
  <c r="M30" i="13" s="1"/>
  <c r="J31" i="13"/>
  <c r="L31" i="13" s="1"/>
  <c r="M31" i="13" s="1"/>
  <c r="M1" i="13" s="1"/>
  <c r="D316" i="13"/>
  <c r="R31" i="13"/>
  <c r="R1" i="13" s="1"/>
  <c r="N43" i="12"/>
  <c r="N44" i="12" s="1"/>
  <c r="N45" i="12" s="1"/>
  <c r="D261" i="13"/>
  <c r="FR36" i="12"/>
  <c r="FU36" i="12"/>
  <c r="BL38" i="12"/>
  <c r="D217" i="13"/>
  <c r="D283" i="13"/>
  <c r="D272" i="13"/>
  <c r="D327" i="13"/>
  <c r="D305" i="13"/>
  <c r="D250" i="13"/>
  <c r="HE35" i="12"/>
  <c r="FV35" i="12"/>
  <c r="Q41" i="12" l="1"/>
  <c r="D262" i="13"/>
  <c r="D273" i="13"/>
  <c r="FU37" i="12"/>
  <c r="FR37" i="12"/>
  <c r="D317" i="13"/>
  <c r="D328" i="13"/>
  <c r="D306" i="13"/>
  <c r="D251" i="13"/>
  <c r="D350" i="13"/>
  <c r="FV36" i="12"/>
  <c r="HE36" i="12"/>
  <c r="E30" i="13"/>
  <c r="F30" i="13" s="1"/>
  <c r="B31" i="13"/>
  <c r="D240" i="13"/>
  <c r="D339" i="13"/>
  <c r="D284" i="13"/>
  <c r="D229" i="13"/>
  <c r="D295" i="13"/>
  <c r="BL39" i="12"/>
  <c r="Q42" i="12" l="1"/>
  <c r="FU38" i="12"/>
  <c r="FR38" i="12"/>
  <c r="D263" i="13"/>
  <c r="D340" i="13"/>
  <c r="D329" i="13"/>
  <c r="D318" i="13"/>
  <c r="D285" i="13"/>
  <c r="D307" i="13"/>
  <c r="D241" i="13"/>
  <c r="D274" i="13"/>
  <c r="BL40" i="12"/>
  <c r="D351" i="13"/>
  <c r="D252" i="13"/>
  <c r="E31" i="13"/>
  <c r="F31" i="13" s="1"/>
  <c r="B32" i="13"/>
  <c r="D296" i="13"/>
  <c r="HE37" i="12"/>
  <c r="FV37" i="12"/>
  <c r="Q43" i="12" l="1"/>
  <c r="D352" i="13"/>
  <c r="BL41" i="12"/>
  <c r="D330" i="13"/>
  <c r="D275" i="13"/>
  <c r="D253" i="13"/>
  <c r="D297" i="13"/>
  <c r="D341" i="13"/>
  <c r="FR39" i="12"/>
  <c r="FU39" i="12"/>
  <c r="E32" i="13"/>
  <c r="F32" i="13" s="1"/>
  <c r="B33" i="13"/>
  <c r="D286" i="13"/>
  <c r="D308" i="13"/>
  <c r="D319" i="13"/>
  <c r="D264" i="13"/>
  <c r="FV38" i="12"/>
  <c r="HE38" i="12"/>
  <c r="BD13" i="12" l="1"/>
  <c r="Q44" i="12"/>
  <c r="Q45" i="12" s="1"/>
  <c r="BY45" i="12" s="1"/>
  <c r="D265" i="13"/>
  <c r="D342" i="13"/>
  <c r="D320" i="13"/>
  <c r="D298" i="13"/>
  <c r="BL42" i="12"/>
  <c r="D353" i="13"/>
  <c r="FR40" i="12"/>
  <c r="FU40" i="12"/>
  <c r="D276" i="13"/>
  <c r="E33" i="13"/>
  <c r="F33" i="13" s="1"/>
  <c r="B34" i="13"/>
  <c r="D309" i="13"/>
  <c r="D331" i="13"/>
  <c r="HE39" i="12"/>
  <c r="FV39" i="12"/>
  <c r="D287" i="13"/>
  <c r="BH13" i="12" l="1"/>
  <c r="BG13" i="12"/>
  <c r="FR42" i="12"/>
  <c r="BL43" i="12"/>
  <c r="D310" i="13"/>
  <c r="D332" i="13"/>
  <c r="E34" i="13"/>
  <c r="F34" i="13" s="1"/>
  <c r="B35" i="13"/>
  <c r="D288" i="13"/>
  <c r="HE40" i="12"/>
  <c r="FV40" i="12"/>
  <c r="D354" i="13"/>
  <c r="FU41" i="12"/>
  <c r="FR41" i="12"/>
  <c r="D299" i="13"/>
  <c r="D343" i="13"/>
  <c r="D321" i="13"/>
  <c r="D277" i="13"/>
  <c r="BY15" i="12" l="1"/>
  <c r="FU42" i="12"/>
  <c r="HE42" i="12" s="1"/>
  <c r="BL44" i="12"/>
  <c r="D355" i="13"/>
  <c r="D322" i="13"/>
  <c r="D333" i="13"/>
  <c r="D300" i="13"/>
  <c r="FV41" i="12"/>
  <c r="HE41" i="12"/>
  <c r="D311" i="13"/>
  <c r="B36" i="13"/>
  <c r="E35" i="13"/>
  <c r="F35" i="13" s="1"/>
  <c r="D289" i="13"/>
  <c r="D344" i="13"/>
  <c r="FV42" i="12" l="1"/>
  <c r="FU44" i="12"/>
  <c r="FR44" i="12"/>
  <c r="FU43" i="12"/>
  <c r="FR43" i="12"/>
  <c r="E36" i="13"/>
  <c r="F36" i="13" s="1"/>
  <c r="B37" i="13"/>
  <c r="D323" i="13"/>
  <c r="D312" i="13"/>
  <c r="D356" i="13"/>
  <c r="D301" i="13"/>
  <c r="D345" i="13"/>
  <c r="D334" i="13"/>
  <c r="HE43" i="12" l="1"/>
  <c r="FV43" i="12"/>
  <c r="FV44" i="12"/>
  <c r="HE44" i="12"/>
  <c r="D324" i="13"/>
  <c r="D335" i="13"/>
  <c r="D357" i="13"/>
  <c r="E37" i="13"/>
  <c r="F37" i="13" s="1"/>
  <c r="B38" i="13"/>
  <c r="D313" i="13"/>
  <c r="D346" i="13"/>
  <c r="D347" i="13" l="1"/>
  <c r="D358" i="13"/>
  <c r="D325" i="13"/>
  <c r="D336" i="13"/>
  <c r="E38" i="13"/>
  <c r="F38" i="13" s="1"/>
  <c r="B39" i="13"/>
  <c r="D359" i="13" l="1"/>
  <c r="E39" i="13"/>
  <c r="F39" i="13" s="1"/>
  <c r="B40" i="13"/>
  <c r="D348" i="13"/>
  <c r="D337" i="13"/>
  <c r="D349" i="13" l="1"/>
  <c r="E40" i="13"/>
  <c r="F40" i="13" s="1"/>
  <c r="B41" i="13"/>
  <c r="D360" i="13"/>
  <c r="E41" i="13" l="1"/>
  <c r="F41" i="13" s="1"/>
  <c r="B42" i="13"/>
  <c r="D361" i="13"/>
  <c r="E42" i="13" l="1"/>
  <c r="F42" i="13" s="1"/>
  <c r="B43" i="13"/>
  <c r="E43" i="13" l="1"/>
  <c r="F43" i="13" s="1"/>
  <c r="B44" i="13"/>
  <c r="E44" i="13" l="1"/>
  <c r="F44" i="13" s="1"/>
  <c r="B45" i="13"/>
  <c r="B46" i="13" l="1"/>
  <c r="E45" i="13"/>
  <c r="F45" i="13" s="1"/>
  <c r="E46" i="13" l="1"/>
  <c r="F46" i="13" s="1"/>
  <c r="B47" i="13"/>
  <c r="E47" i="13" l="1"/>
  <c r="F47" i="13" s="1"/>
  <c r="B48" i="13"/>
  <c r="E48" i="13" l="1"/>
  <c r="F48" i="13" s="1"/>
  <c r="B49" i="13"/>
  <c r="E49" i="13" l="1"/>
  <c r="F49" i="13" s="1"/>
  <c r="B50" i="13"/>
  <c r="E50" i="13" l="1"/>
  <c r="F50" i="13" s="1"/>
  <c r="B51" i="13"/>
  <c r="B52" i="13" l="1"/>
  <c r="E51" i="13"/>
  <c r="F51" i="13" s="1"/>
  <c r="E52" i="13" l="1"/>
  <c r="F52" i="13" s="1"/>
  <c r="B53" i="13"/>
  <c r="B54" i="13" l="1"/>
  <c r="E53" i="13"/>
  <c r="F53" i="13" s="1"/>
  <c r="E54" i="13" l="1"/>
  <c r="F54" i="13" s="1"/>
  <c r="B55" i="13"/>
  <c r="E55" i="13" l="1"/>
  <c r="F55" i="13" s="1"/>
  <c r="B56" i="13"/>
  <c r="E56" i="13" l="1"/>
  <c r="F56" i="13" s="1"/>
  <c r="B57" i="13"/>
  <c r="E57" i="13" l="1"/>
  <c r="F57" i="13" s="1"/>
  <c r="B58" i="13"/>
  <c r="E58" i="13" l="1"/>
  <c r="F58" i="13" s="1"/>
  <c r="B59" i="13"/>
  <c r="B60" i="13" l="1"/>
  <c r="E59" i="13"/>
  <c r="F59" i="13" s="1"/>
  <c r="E60" i="13" l="1"/>
  <c r="F60" i="13" s="1"/>
  <c r="B61" i="13"/>
  <c r="E61" i="13" l="1"/>
  <c r="F61" i="13" s="1"/>
  <c r="B62" i="13"/>
  <c r="E62" i="13" l="1"/>
  <c r="F62" i="13" s="1"/>
  <c r="B63" i="13"/>
  <c r="E63" i="13" l="1"/>
  <c r="F63" i="13" s="1"/>
  <c r="B64" i="13"/>
  <c r="E64" i="13" l="1"/>
  <c r="F64" i="13" s="1"/>
  <c r="B65" i="13"/>
  <c r="B66" i="13" l="1"/>
  <c r="E65" i="13"/>
  <c r="F65" i="13" s="1"/>
  <c r="E66" i="13" l="1"/>
  <c r="F66" i="13" s="1"/>
  <c r="B67" i="13"/>
  <c r="E67" i="13" l="1"/>
  <c r="F67" i="13" s="1"/>
  <c r="B68" i="13"/>
  <c r="E68" i="13" l="1"/>
  <c r="F68" i="13" s="1"/>
  <c r="B69" i="13"/>
  <c r="E69" i="13" l="1"/>
  <c r="F69" i="13" s="1"/>
  <c r="B70" i="13"/>
  <c r="B71" i="13" l="1"/>
  <c r="E70" i="13"/>
  <c r="F70" i="13" s="1"/>
  <c r="E71" i="13" l="1"/>
  <c r="F71" i="13" s="1"/>
  <c r="B72" i="13"/>
  <c r="B73" i="13" l="1"/>
  <c r="E72" i="13"/>
  <c r="F72" i="13" s="1"/>
  <c r="E73" i="13" l="1"/>
  <c r="F73" i="13" s="1"/>
  <c r="B74" i="13"/>
  <c r="B75" i="13" l="1"/>
  <c r="E74" i="13"/>
  <c r="F74" i="13" s="1"/>
  <c r="E75" i="13" l="1"/>
  <c r="F75" i="13" s="1"/>
  <c r="B76" i="13"/>
  <c r="E76" i="13" l="1"/>
  <c r="F76" i="13" s="1"/>
  <c r="B77" i="13"/>
  <c r="E77" i="13" l="1"/>
  <c r="F77" i="13" s="1"/>
  <c r="B78" i="13"/>
  <c r="E78" i="13" l="1"/>
  <c r="F78" i="13" s="1"/>
  <c r="B79" i="13"/>
  <c r="B80" i="13" l="1"/>
  <c r="E79" i="13"/>
  <c r="F79" i="13" s="1"/>
  <c r="E80" i="13" l="1"/>
  <c r="F80" i="13" s="1"/>
  <c r="B81" i="13"/>
  <c r="B82" i="13" l="1"/>
  <c r="E81" i="13"/>
  <c r="F81" i="13" s="1"/>
  <c r="E82" i="13" l="1"/>
  <c r="F82" i="13" s="1"/>
  <c r="B83" i="13"/>
  <c r="E83" i="13" l="1"/>
  <c r="F83" i="13" s="1"/>
  <c r="B84" i="13"/>
  <c r="E84" i="13" l="1"/>
  <c r="F84" i="13" s="1"/>
  <c r="B85" i="13"/>
  <c r="B86" i="13" l="1"/>
  <c r="E85" i="13"/>
  <c r="F85" i="13" s="1"/>
  <c r="B87" i="13" l="1"/>
  <c r="E86" i="13"/>
  <c r="F86" i="13" s="1"/>
  <c r="E87" i="13" l="1"/>
  <c r="F87" i="13" s="1"/>
  <c r="B88" i="13"/>
  <c r="B89" i="13" l="1"/>
  <c r="E88" i="13"/>
  <c r="F88" i="13" s="1"/>
  <c r="E89" i="13" l="1"/>
  <c r="F89" i="13" s="1"/>
  <c r="B90" i="13"/>
  <c r="B91" i="13" l="1"/>
  <c r="E90" i="13"/>
  <c r="F90" i="13" s="1"/>
  <c r="E91" i="13" l="1"/>
  <c r="F91" i="13" s="1"/>
  <c r="B92" i="13"/>
  <c r="B93" i="13" l="1"/>
  <c r="E92" i="13"/>
  <c r="F92" i="13" s="1"/>
  <c r="E93" i="13" l="1"/>
  <c r="F93" i="13" s="1"/>
  <c r="B94" i="13"/>
  <c r="B95" i="13" l="1"/>
  <c r="E94" i="13"/>
  <c r="F94" i="13" s="1"/>
  <c r="B96" i="13" l="1"/>
  <c r="E95" i="13"/>
  <c r="F95" i="13" s="1"/>
  <c r="E96" i="13" l="1"/>
  <c r="F96" i="13" s="1"/>
  <c r="B97" i="13"/>
  <c r="B98" i="13" l="1"/>
  <c r="E97" i="13"/>
  <c r="F97" i="13" s="1"/>
  <c r="E98" i="13" l="1"/>
  <c r="F98" i="13" s="1"/>
  <c r="B99" i="13"/>
  <c r="B100" i="13" l="1"/>
  <c r="E99" i="13"/>
  <c r="F99" i="13" s="1"/>
  <c r="E100" i="13" l="1"/>
  <c r="F100" i="13" s="1"/>
  <c r="B101" i="13"/>
  <c r="E101" i="13" l="1"/>
  <c r="F101" i="13" s="1"/>
  <c r="B102" i="13"/>
  <c r="B103" i="13" l="1"/>
  <c r="E102" i="13"/>
  <c r="F102" i="13" s="1"/>
  <c r="B104" i="13" l="1"/>
  <c r="E103" i="13"/>
  <c r="F103" i="13" s="1"/>
  <c r="B105" i="13" l="1"/>
  <c r="E104" i="13"/>
  <c r="F104" i="13" s="1"/>
  <c r="E105" i="13" l="1"/>
  <c r="F105" i="13" s="1"/>
  <c r="B106" i="13"/>
  <c r="B107" i="13" l="1"/>
  <c r="E106" i="13"/>
  <c r="F106" i="13" s="1"/>
  <c r="E107" i="13" l="1"/>
  <c r="F107" i="13" s="1"/>
  <c r="B108" i="13"/>
  <c r="E108" i="13" l="1"/>
  <c r="F108" i="13" s="1"/>
  <c r="B109" i="13"/>
  <c r="E109" i="13" l="1"/>
  <c r="F109" i="13" s="1"/>
  <c r="B110" i="13"/>
  <c r="B111" i="13" l="1"/>
  <c r="E110" i="13"/>
  <c r="F110" i="13" s="1"/>
  <c r="B112" i="13" l="1"/>
  <c r="E111" i="13"/>
  <c r="F111" i="13" s="1"/>
  <c r="E112" i="13" l="1"/>
  <c r="F112" i="13" s="1"/>
  <c r="B113" i="13"/>
  <c r="B114" i="13" l="1"/>
  <c r="E113" i="13"/>
  <c r="F113" i="13" s="1"/>
  <c r="E114" i="13" l="1"/>
  <c r="F114" i="13" s="1"/>
  <c r="B115" i="13"/>
  <c r="E115" i="13" l="1"/>
  <c r="F115" i="13" s="1"/>
  <c r="B116" i="13"/>
  <c r="E116" i="13" l="1"/>
  <c r="F116" i="13" s="1"/>
  <c r="B117" i="13"/>
  <c r="B118" i="13" l="1"/>
  <c r="E117" i="13"/>
  <c r="F117" i="13" s="1"/>
  <c r="B119" i="13" l="1"/>
  <c r="E118" i="13"/>
  <c r="F118" i="13" s="1"/>
  <c r="E119" i="13" l="1"/>
  <c r="F119" i="13" s="1"/>
  <c r="B120" i="13"/>
  <c r="B121" i="13" l="1"/>
  <c r="E120" i="13"/>
  <c r="F120" i="13" s="1"/>
  <c r="E121" i="13" l="1"/>
  <c r="F121" i="13" s="1"/>
  <c r="B122" i="13"/>
  <c r="B123" i="13" l="1"/>
  <c r="E122" i="13"/>
  <c r="F122" i="13" s="1"/>
  <c r="E123" i="13" l="1"/>
  <c r="F123" i="13" s="1"/>
  <c r="B124" i="13"/>
  <c r="E124" i="13" l="1"/>
  <c r="F124" i="13" s="1"/>
  <c r="B125" i="13"/>
  <c r="E125" i="13" l="1"/>
  <c r="F125" i="13" s="1"/>
  <c r="B126" i="13"/>
  <c r="E126" i="13" l="1"/>
  <c r="F126" i="13" s="1"/>
  <c r="B127" i="13"/>
  <c r="B128" i="13" l="1"/>
  <c r="E127" i="13"/>
  <c r="F127" i="13" s="1"/>
  <c r="E128" i="13" l="1"/>
  <c r="F128" i="13" s="1"/>
  <c r="B129" i="13"/>
  <c r="B130" i="13" l="1"/>
  <c r="E129" i="13"/>
  <c r="F129" i="13" s="1"/>
  <c r="E130" i="13" l="1"/>
  <c r="F130" i="13" s="1"/>
  <c r="B131" i="13"/>
  <c r="E131" i="13" l="1"/>
  <c r="F131" i="13" s="1"/>
  <c r="B132" i="13"/>
  <c r="E132" i="13" l="1"/>
  <c r="F132" i="13" s="1"/>
  <c r="B133" i="13"/>
  <c r="E133" i="13" l="1"/>
  <c r="F133" i="13" s="1"/>
  <c r="B134" i="13"/>
  <c r="B135" i="13" l="1"/>
  <c r="E134" i="13"/>
  <c r="F134" i="13" s="1"/>
  <c r="E135" i="13" l="1"/>
  <c r="F135" i="13" s="1"/>
  <c r="B136" i="13"/>
  <c r="B137" i="13" l="1"/>
  <c r="E136" i="13"/>
  <c r="F136" i="13" s="1"/>
  <c r="E137" i="13" l="1"/>
  <c r="F137" i="13" s="1"/>
  <c r="B138" i="13"/>
  <c r="B139" i="13" l="1"/>
  <c r="E138" i="13"/>
  <c r="F138" i="13" s="1"/>
  <c r="E139" i="13" l="1"/>
  <c r="F139" i="13" s="1"/>
  <c r="B140" i="13"/>
  <c r="B141" i="13" l="1"/>
  <c r="E140" i="13"/>
  <c r="F140" i="13" s="1"/>
  <c r="E141" i="13" l="1"/>
  <c r="F141" i="13" s="1"/>
  <c r="B142" i="13"/>
  <c r="B143" i="13" l="1"/>
  <c r="E142" i="13"/>
  <c r="F142" i="13" s="1"/>
  <c r="E143" i="13" l="1"/>
  <c r="F143" i="13" s="1"/>
  <c r="B144" i="13"/>
  <c r="B145" i="13" l="1"/>
  <c r="E144" i="13"/>
  <c r="F144" i="13" s="1"/>
  <c r="E145" i="13" l="1"/>
  <c r="F145" i="13" s="1"/>
  <c r="B146" i="13"/>
  <c r="B147" i="13" l="1"/>
  <c r="E146" i="13"/>
  <c r="F146" i="13" s="1"/>
  <c r="E147" i="13" l="1"/>
  <c r="F147" i="13" s="1"/>
  <c r="B148" i="13"/>
  <c r="B149" i="13" l="1"/>
  <c r="E148" i="13"/>
  <c r="F148" i="13" s="1"/>
  <c r="E149" i="13" l="1"/>
  <c r="F149" i="13" s="1"/>
  <c r="B150" i="13"/>
  <c r="B151" i="13" l="1"/>
  <c r="E150" i="13"/>
  <c r="F150" i="13" s="1"/>
  <c r="E151" i="13" l="1"/>
  <c r="F151" i="13" s="1"/>
  <c r="B152" i="13"/>
  <c r="EK35" i="12" l="1"/>
  <c r="EQ35" i="12" s="1"/>
  <c r="B153" i="13"/>
  <c r="E152" i="13"/>
  <c r="F152" i="13" s="1"/>
  <c r="E153" i="13" l="1"/>
  <c r="F153" i="13" s="1"/>
  <c r="B154" i="13"/>
  <c r="B155" i="13" l="1"/>
  <c r="E154" i="13"/>
  <c r="F154" i="13" s="1"/>
  <c r="E155" i="13" l="1"/>
  <c r="F155" i="13" s="1"/>
  <c r="B156" i="13"/>
  <c r="B157" i="13" l="1"/>
  <c r="E156" i="13"/>
  <c r="F156" i="13" s="1"/>
  <c r="EK36" i="12"/>
  <c r="E157" i="13" l="1"/>
  <c r="F157" i="13" s="1"/>
  <c r="B158" i="13"/>
  <c r="EQ36" i="12"/>
  <c r="B159" i="13" l="1"/>
  <c r="E158" i="13"/>
  <c r="F158" i="13" s="1"/>
  <c r="E159" i="13" l="1"/>
  <c r="F159" i="13" s="1"/>
  <c r="B160" i="13"/>
  <c r="B161" i="13" l="1"/>
  <c r="E160" i="13"/>
  <c r="F160" i="13" s="1"/>
  <c r="E161" i="13" l="1"/>
  <c r="F161" i="13" s="1"/>
  <c r="B162" i="13"/>
  <c r="B163" i="13" l="1"/>
  <c r="E162" i="13"/>
  <c r="F162" i="13" s="1"/>
  <c r="EK37" i="12"/>
  <c r="EQ37" i="12" s="1"/>
  <c r="E163" i="13" l="1"/>
  <c r="F163" i="13" s="1"/>
  <c r="B164" i="13"/>
  <c r="B165" i="13" l="1"/>
  <c r="E164" i="13"/>
  <c r="F164" i="13" s="1"/>
  <c r="E165" i="13" l="1"/>
  <c r="F165" i="13" s="1"/>
  <c r="B166" i="13"/>
  <c r="B167" i="13" l="1"/>
  <c r="E166" i="13"/>
  <c r="F166" i="13" s="1"/>
  <c r="E167" i="13" l="1"/>
  <c r="F167" i="13" s="1"/>
  <c r="B168" i="13"/>
  <c r="EK38" i="12"/>
  <c r="EQ38" i="12" s="1"/>
  <c r="B169" i="13" l="1"/>
  <c r="E168" i="13"/>
  <c r="F168" i="13" s="1"/>
  <c r="E169" i="13" l="1"/>
  <c r="F169" i="13" s="1"/>
  <c r="B170" i="13"/>
  <c r="B171" i="13" l="1"/>
  <c r="E170" i="13"/>
  <c r="F170" i="13" s="1"/>
  <c r="E171" i="13" l="1"/>
  <c r="F171" i="13" s="1"/>
  <c r="B172" i="13"/>
  <c r="B173" i="13" l="1"/>
  <c r="E172" i="13"/>
  <c r="F172" i="13" s="1"/>
  <c r="E173" i="13" l="1"/>
  <c r="F173" i="13" s="1"/>
  <c r="B174" i="13"/>
  <c r="EK39" i="12"/>
  <c r="B175" i="13" l="1"/>
  <c r="E174" i="13"/>
  <c r="F174" i="13" s="1"/>
  <c r="EQ39" i="12"/>
  <c r="E175" i="13" l="1"/>
  <c r="F175" i="13" s="1"/>
  <c r="B176" i="13"/>
  <c r="B177" i="13" l="1"/>
  <c r="E176" i="13"/>
  <c r="F176" i="13" s="1"/>
  <c r="E177" i="13" l="1"/>
  <c r="F177" i="13" s="1"/>
  <c r="B178" i="13"/>
  <c r="B179" i="13" l="1"/>
  <c r="E178" i="13"/>
  <c r="F178" i="13" s="1"/>
  <c r="E179" i="13" l="1"/>
  <c r="F179" i="13" s="1"/>
  <c r="B180" i="13"/>
  <c r="B181" i="13" l="1"/>
  <c r="E180" i="13"/>
  <c r="F180" i="13" s="1"/>
  <c r="E181" i="13" l="1"/>
  <c r="F181" i="13" s="1"/>
  <c r="B182" i="13"/>
  <c r="B183" i="13" l="1"/>
  <c r="E182" i="13"/>
  <c r="F182" i="13" s="1"/>
  <c r="E183" i="13" l="1"/>
  <c r="F183" i="13" s="1"/>
  <c r="B184" i="13"/>
  <c r="B185" i="13" l="1"/>
  <c r="E184" i="13"/>
  <c r="F184" i="13" s="1"/>
  <c r="E185" i="13" l="1"/>
  <c r="F185" i="13" s="1"/>
  <c r="B186" i="13"/>
  <c r="B187" i="13" l="1"/>
  <c r="E186" i="13"/>
  <c r="F186" i="13" s="1"/>
  <c r="E187" i="13" l="1"/>
  <c r="F187" i="13" s="1"/>
  <c r="B188" i="13"/>
  <c r="B189" i="13" l="1"/>
  <c r="E188" i="13"/>
  <c r="F188" i="13" s="1"/>
  <c r="E189" i="13" l="1"/>
  <c r="F189" i="13" s="1"/>
  <c r="B190" i="13"/>
  <c r="B191" i="13" l="1"/>
  <c r="E190" i="13"/>
  <c r="F190" i="13" s="1"/>
  <c r="EK42" i="12"/>
  <c r="EQ42" i="12" s="1"/>
  <c r="E191" i="13" l="1"/>
  <c r="F191" i="13" s="1"/>
  <c r="B192" i="13"/>
  <c r="B193" i="13" l="1"/>
  <c r="E192" i="13"/>
  <c r="F192" i="13" s="1"/>
  <c r="E193" i="13" l="1"/>
  <c r="F193" i="13" s="1"/>
  <c r="B194" i="13"/>
  <c r="B195" i="13" l="1"/>
  <c r="E194" i="13"/>
  <c r="F194" i="13" s="1"/>
  <c r="E195" i="13" l="1"/>
  <c r="F195" i="13" s="1"/>
  <c r="B196" i="13"/>
  <c r="B197" i="13" l="1"/>
  <c r="E196" i="13"/>
  <c r="F196" i="13" s="1"/>
  <c r="E197" i="13" l="1"/>
  <c r="F197" i="13" s="1"/>
  <c r="B198" i="13"/>
  <c r="B199" i="13" l="1"/>
  <c r="E198" i="13"/>
  <c r="F198" i="13" s="1"/>
  <c r="E199" i="13" l="1"/>
  <c r="F199" i="13" s="1"/>
  <c r="B200" i="13"/>
  <c r="B201" i="13" l="1"/>
  <c r="E200" i="13"/>
  <c r="F200" i="13" s="1"/>
  <c r="E201" i="13" l="1"/>
  <c r="F201" i="13" s="1"/>
  <c r="B202" i="13"/>
  <c r="B203" i="13" l="1"/>
  <c r="E202" i="13"/>
  <c r="F202" i="13" s="1"/>
  <c r="E203" i="13" l="1"/>
  <c r="F203" i="13" s="1"/>
  <c r="B204" i="13"/>
  <c r="B205" i="13" l="1"/>
  <c r="E204" i="13"/>
  <c r="F204" i="13" s="1"/>
  <c r="E205" i="13" l="1"/>
  <c r="F205" i="13" s="1"/>
  <c r="B206" i="13"/>
  <c r="B207" i="13" l="1"/>
  <c r="E206" i="13"/>
  <c r="F206" i="13" s="1"/>
  <c r="E207" i="13" l="1"/>
  <c r="F207" i="13" s="1"/>
  <c r="B208" i="13"/>
  <c r="B209" i="13" l="1"/>
  <c r="E208" i="13"/>
  <c r="F208" i="13" s="1"/>
  <c r="E209" i="13" l="1"/>
  <c r="F209" i="13" s="1"/>
  <c r="B210" i="13"/>
  <c r="B211" i="13" l="1"/>
  <c r="E210" i="13"/>
  <c r="F210" i="13" s="1"/>
  <c r="E211" i="13" l="1"/>
  <c r="F211" i="13" s="1"/>
  <c r="B212" i="13"/>
  <c r="B213" i="13" l="1"/>
  <c r="E212" i="13"/>
  <c r="F212" i="13" s="1"/>
  <c r="E213" i="13" l="1"/>
  <c r="F213" i="13" s="1"/>
  <c r="B214" i="13"/>
  <c r="B215" i="13" l="1"/>
  <c r="E214" i="13"/>
  <c r="F214" i="13" s="1"/>
  <c r="E215" i="13" l="1"/>
  <c r="F215" i="13" s="1"/>
  <c r="B216" i="13"/>
  <c r="B217" i="13" l="1"/>
  <c r="E216" i="13"/>
  <c r="F216" i="13" s="1"/>
  <c r="E217" i="13" l="1"/>
  <c r="F217" i="13" s="1"/>
  <c r="B218" i="13"/>
  <c r="B219" i="13" l="1"/>
  <c r="E218" i="13"/>
  <c r="F218" i="13" s="1"/>
  <c r="E219" i="13" l="1"/>
  <c r="F219" i="13" s="1"/>
  <c r="B220" i="13"/>
  <c r="B221" i="13" l="1"/>
  <c r="E220" i="13"/>
  <c r="F220" i="13" s="1"/>
  <c r="E221" i="13" l="1"/>
  <c r="F221" i="13" s="1"/>
  <c r="B222" i="13"/>
  <c r="B223" i="13" l="1"/>
  <c r="E222" i="13"/>
  <c r="F222" i="13" s="1"/>
  <c r="E223" i="13" l="1"/>
  <c r="F223" i="13" s="1"/>
  <c r="B224" i="13"/>
  <c r="B225" i="13" l="1"/>
  <c r="E224" i="13"/>
  <c r="F224" i="13" s="1"/>
  <c r="E225" i="13" l="1"/>
  <c r="F225" i="13" s="1"/>
  <c r="B226" i="13"/>
  <c r="B227" i="13" l="1"/>
  <c r="E226" i="13"/>
  <c r="F226" i="13" s="1"/>
  <c r="E227" i="13" l="1"/>
  <c r="F227" i="13" s="1"/>
  <c r="B228" i="13"/>
  <c r="B229" i="13" l="1"/>
  <c r="E228" i="13"/>
  <c r="F228" i="13" s="1"/>
  <c r="E229" i="13" l="1"/>
  <c r="F229" i="13" s="1"/>
  <c r="B230" i="13"/>
  <c r="B231" i="13" l="1"/>
  <c r="E230" i="13"/>
  <c r="F230" i="13" s="1"/>
  <c r="E231" i="13" l="1"/>
  <c r="F231" i="13" s="1"/>
  <c r="B232" i="13"/>
  <c r="B233" i="13" l="1"/>
  <c r="E232" i="13"/>
  <c r="F232" i="13" s="1"/>
  <c r="E233" i="13" l="1"/>
  <c r="F233" i="13" s="1"/>
  <c r="B234" i="13"/>
  <c r="B235" i="13" l="1"/>
  <c r="E234" i="13"/>
  <c r="F234" i="13" s="1"/>
  <c r="E235" i="13" l="1"/>
  <c r="F235" i="13" s="1"/>
  <c r="B236" i="13"/>
  <c r="B237" i="13" l="1"/>
  <c r="E236" i="13"/>
  <c r="F236" i="13" s="1"/>
  <c r="E237" i="13" l="1"/>
  <c r="F237" i="13" s="1"/>
  <c r="B238" i="13"/>
  <c r="B239" i="13" l="1"/>
  <c r="E238" i="13"/>
  <c r="F238" i="13" s="1"/>
  <c r="E239" i="13" l="1"/>
  <c r="F239" i="13" s="1"/>
  <c r="B240" i="13"/>
  <c r="B241" i="13" l="1"/>
  <c r="E240" i="13"/>
  <c r="F240" i="13" s="1"/>
  <c r="E241" i="13" l="1"/>
  <c r="F241" i="13" s="1"/>
  <c r="B242" i="13"/>
  <c r="B243" i="13" l="1"/>
  <c r="E242" i="13"/>
  <c r="F242" i="13" s="1"/>
  <c r="E243" i="13" l="1"/>
  <c r="F243" i="13" s="1"/>
  <c r="B244" i="13"/>
  <c r="B245" i="13" l="1"/>
  <c r="E244" i="13"/>
  <c r="F244" i="13" s="1"/>
  <c r="E245" i="13" l="1"/>
  <c r="F245" i="13" s="1"/>
  <c r="B246" i="13"/>
  <c r="B247" i="13" l="1"/>
  <c r="E246" i="13"/>
  <c r="F246" i="13" s="1"/>
  <c r="E247" i="13" l="1"/>
  <c r="F247" i="13" s="1"/>
  <c r="B248" i="13"/>
  <c r="B249" i="13" l="1"/>
  <c r="E248" i="13"/>
  <c r="F248" i="13" s="1"/>
  <c r="E249" i="13" l="1"/>
  <c r="F249" i="13" s="1"/>
  <c r="B250" i="13"/>
  <c r="B251" i="13" l="1"/>
  <c r="E250" i="13"/>
  <c r="F250" i="13" s="1"/>
  <c r="E251" i="13" l="1"/>
  <c r="F251" i="13" s="1"/>
  <c r="B252" i="13"/>
  <c r="B253" i="13" l="1"/>
  <c r="E252" i="13"/>
  <c r="F252" i="13" s="1"/>
  <c r="E253" i="13" l="1"/>
  <c r="F253" i="13" s="1"/>
  <c r="B254" i="13"/>
  <c r="B255" i="13" l="1"/>
  <c r="E254" i="13"/>
  <c r="F254" i="13" s="1"/>
  <c r="E255" i="13" l="1"/>
  <c r="F255" i="13" s="1"/>
  <c r="B256" i="13"/>
  <c r="B257" i="13" l="1"/>
  <c r="E256" i="13"/>
  <c r="F256" i="13" s="1"/>
  <c r="E257" i="13" l="1"/>
  <c r="F257" i="13" s="1"/>
  <c r="B258" i="13"/>
  <c r="B259" i="13" l="1"/>
  <c r="E258" i="13"/>
  <c r="F258" i="13" s="1"/>
  <c r="E259" i="13" l="1"/>
  <c r="F259" i="13" s="1"/>
  <c r="B260" i="13"/>
  <c r="B261" i="13" l="1"/>
  <c r="E260" i="13"/>
  <c r="F260" i="13" s="1"/>
  <c r="E261" i="13" l="1"/>
  <c r="F261" i="13" s="1"/>
  <c r="B262" i="13"/>
  <c r="B263" i="13" l="1"/>
  <c r="E262" i="13"/>
  <c r="F262" i="13" s="1"/>
  <c r="E263" i="13" l="1"/>
  <c r="F263" i="13" s="1"/>
  <c r="B264" i="13"/>
  <c r="B265" i="13" l="1"/>
  <c r="E264" i="13"/>
  <c r="F264" i="13" s="1"/>
  <c r="E265" i="13" l="1"/>
  <c r="F265" i="13" s="1"/>
  <c r="B266" i="13"/>
  <c r="B267" i="13" l="1"/>
  <c r="E266" i="13"/>
  <c r="F266" i="13" s="1"/>
  <c r="E267" i="13" l="1"/>
  <c r="F267" i="13" s="1"/>
  <c r="B268" i="13"/>
  <c r="B269" i="13" l="1"/>
  <c r="E268" i="13"/>
  <c r="F268" i="13" s="1"/>
  <c r="E269" i="13" l="1"/>
  <c r="F269" i="13" s="1"/>
  <c r="B270" i="13"/>
  <c r="B271" i="13" l="1"/>
  <c r="E270" i="13"/>
  <c r="F270" i="13" s="1"/>
  <c r="E271" i="13" l="1"/>
  <c r="F271" i="13" s="1"/>
  <c r="B272" i="13"/>
  <c r="B273" i="13" l="1"/>
  <c r="E272" i="13"/>
  <c r="F272" i="13" s="1"/>
  <c r="E273" i="13" l="1"/>
  <c r="F273" i="13" s="1"/>
  <c r="B274" i="13"/>
  <c r="B275" i="13" l="1"/>
  <c r="E274" i="13"/>
  <c r="F274" i="13" s="1"/>
  <c r="E275" i="13" l="1"/>
  <c r="F275" i="13" s="1"/>
  <c r="B276" i="13"/>
  <c r="B277" i="13" l="1"/>
  <c r="E276" i="13"/>
  <c r="F276" i="13" s="1"/>
  <c r="E277" i="13" l="1"/>
  <c r="F277" i="13" s="1"/>
  <c r="B278" i="13"/>
  <c r="B279" i="13" l="1"/>
  <c r="E278" i="13"/>
  <c r="F278" i="13" s="1"/>
  <c r="E279" i="13" l="1"/>
  <c r="F279" i="13" s="1"/>
  <c r="B280" i="13"/>
  <c r="B281" i="13" l="1"/>
  <c r="E280" i="13"/>
  <c r="F280" i="13" s="1"/>
  <c r="E281" i="13" l="1"/>
  <c r="F281" i="13" s="1"/>
  <c r="B282" i="13"/>
  <c r="B283" i="13" l="1"/>
  <c r="E282" i="13"/>
  <c r="F282" i="13" s="1"/>
  <c r="E283" i="13" l="1"/>
  <c r="F283" i="13" s="1"/>
  <c r="B284" i="13"/>
  <c r="B285" i="13" l="1"/>
  <c r="E284" i="13"/>
  <c r="F284" i="13" s="1"/>
  <c r="E285" i="13" l="1"/>
  <c r="F285" i="13" s="1"/>
  <c r="B286" i="13"/>
  <c r="B287" i="13" l="1"/>
  <c r="E286" i="13"/>
  <c r="F286" i="13" s="1"/>
  <c r="E287" i="13" l="1"/>
  <c r="F287" i="13" s="1"/>
  <c r="B288" i="13"/>
  <c r="B289" i="13" l="1"/>
  <c r="E288" i="13"/>
  <c r="F288" i="13" s="1"/>
  <c r="E289" i="13" l="1"/>
  <c r="F289" i="13" s="1"/>
  <c r="B290" i="13"/>
  <c r="B291" i="13" l="1"/>
  <c r="E290" i="13"/>
  <c r="F290" i="13" s="1"/>
  <c r="E291" i="13" l="1"/>
  <c r="F291" i="13" s="1"/>
  <c r="B292" i="13"/>
  <c r="B293" i="13" l="1"/>
  <c r="E292" i="13"/>
  <c r="F292" i="13" s="1"/>
  <c r="E293" i="13" l="1"/>
  <c r="F293" i="13" s="1"/>
  <c r="B294" i="13"/>
  <c r="B295" i="13" l="1"/>
  <c r="E294" i="13"/>
  <c r="F294" i="13" s="1"/>
  <c r="E295" i="13" l="1"/>
  <c r="F295" i="13" s="1"/>
  <c r="B296" i="13"/>
  <c r="B297" i="13" l="1"/>
  <c r="E296" i="13"/>
  <c r="F296" i="13" s="1"/>
  <c r="E297" i="13" l="1"/>
  <c r="F297" i="13" s="1"/>
  <c r="B298" i="13"/>
  <c r="B299" i="13" l="1"/>
  <c r="E298" i="13"/>
  <c r="F298" i="13" s="1"/>
  <c r="E299" i="13" l="1"/>
  <c r="F299" i="13" s="1"/>
  <c r="B300" i="13"/>
  <c r="B301" i="13" l="1"/>
  <c r="E300" i="13"/>
  <c r="F300" i="13" s="1"/>
  <c r="E301" i="13" l="1"/>
  <c r="F301" i="13" s="1"/>
  <c r="B302" i="13"/>
  <c r="B303" i="13" l="1"/>
  <c r="E302" i="13"/>
  <c r="F302" i="13" s="1"/>
  <c r="E303" i="13" l="1"/>
  <c r="F303" i="13" s="1"/>
  <c r="B304" i="13"/>
  <c r="B305" i="13" l="1"/>
  <c r="E304" i="13"/>
  <c r="F304" i="13" s="1"/>
  <c r="E305" i="13" l="1"/>
  <c r="F305" i="13" s="1"/>
  <c r="B306" i="13"/>
  <c r="B307" i="13" l="1"/>
  <c r="E306" i="13"/>
  <c r="F306" i="13" s="1"/>
  <c r="E307" i="13" l="1"/>
  <c r="F307" i="13" s="1"/>
  <c r="B308" i="13"/>
  <c r="B309" i="13" l="1"/>
  <c r="E308" i="13"/>
  <c r="F308" i="13" s="1"/>
  <c r="E309" i="13" l="1"/>
  <c r="F309" i="13" s="1"/>
  <c r="B310" i="13"/>
  <c r="B311" i="13" l="1"/>
  <c r="E310" i="13"/>
  <c r="F310" i="13" s="1"/>
  <c r="E311" i="13" l="1"/>
  <c r="F311" i="13" s="1"/>
  <c r="B312" i="13"/>
  <c r="B313" i="13" l="1"/>
  <c r="E312" i="13"/>
  <c r="F312" i="13" s="1"/>
  <c r="E313" i="13" l="1"/>
  <c r="F313" i="13" s="1"/>
  <c r="B314" i="13"/>
  <c r="B315" i="13" l="1"/>
  <c r="E314" i="13"/>
  <c r="F314" i="13" s="1"/>
  <c r="E315" i="13" l="1"/>
  <c r="F315" i="13" s="1"/>
  <c r="B316" i="13"/>
  <c r="B317" i="13" l="1"/>
  <c r="E316" i="13"/>
  <c r="F316" i="13" s="1"/>
  <c r="E317" i="13" l="1"/>
  <c r="F317" i="13" s="1"/>
  <c r="B318" i="13"/>
  <c r="B319" i="13" l="1"/>
  <c r="E318" i="13"/>
  <c r="F318" i="13" s="1"/>
  <c r="E319" i="13" l="1"/>
  <c r="F319" i="13" s="1"/>
  <c r="B320" i="13"/>
  <c r="EK40" i="12" l="1"/>
  <c r="B321" i="13"/>
  <c r="E320" i="13"/>
  <c r="F320" i="13" s="1"/>
  <c r="EQ40" i="12" l="1"/>
  <c r="E321" i="13"/>
  <c r="F321" i="13" s="1"/>
  <c r="B322" i="13"/>
  <c r="B323" i="13" l="1"/>
  <c r="E322" i="13"/>
  <c r="F322" i="13" s="1"/>
  <c r="E323" i="13" l="1"/>
  <c r="F323" i="13" s="1"/>
  <c r="B324" i="13"/>
  <c r="B325" i="13" l="1"/>
  <c r="E324" i="13"/>
  <c r="F324" i="13" s="1"/>
  <c r="E325" i="13" l="1"/>
  <c r="F325" i="13" s="1"/>
  <c r="B326" i="13"/>
  <c r="B327" i="13" l="1"/>
  <c r="E326" i="13"/>
  <c r="F326" i="13" s="1"/>
  <c r="E327" i="13" l="1"/>
  <c r="F327" i="13" s="1"/>
  <c r="B328" i="13"/>
  <c r="B329" i="13" l="1"/>
  <c r="E328" i="13"/>
  <c r="F328" i="13" s="1"/>
  <c r="E329" i="13" l="1"/>
  <c r="F329" i="13" s="1"/>
  <c r="B330" i="13"/>
  <c r="B331" i="13" l="1"/>
  <c r="E330" i="13"/>
  <c r="F330" i="13" s="1"/>
  <c r="E331" i="13" l="1"/>
  <c r="F331" i="13" s="1"/>
  <c r="B332" i="13"/>
  <c r="E332" i="13" l="1"/>
  <c r="F332" i="13" s="1"/>
  <c r="B333" i="13"/>
  <c r="E333" i="13" l="1"/>
  <c r="F333" i="13" s="1"/>
  <c r="B334" i="13"/>
  <c r="E334" i="13" l="1"/>
  <c r="F334" i="13" s="1"/>
  <c r="B335" i="13"/>
  <c r="E335" i="13" l="1"/>
  <c r="F335" i="13" s="1"/>
  <c r="B336" i="13"/>
  <c r="E336" i="13" l="1"/>
  <c r="F336" i="13" s="1"/>
  <c r="B337" i="13"/>
  <c r="E337" i="13" l="1"/>
  <c r="F337" i="13" s="1"/>
  <c r="B338" i="13"/>
  <c r="E338" i="13" l="1"/>
  <c r="F338" i="13" s="1"/>
  <c r="B339" i="13"/>
  <c r="E339" i="13" l="1"/>
  <c r="F339" i="13" s="1"/>
  <c r="B340" i="13"/>
  <c r="B341" i="13" l="1"/>
  <c r="E340" i="13"/>
  <c r="F340" i="13" s="1"/>
  <c r="E341" i="13" l="1"/>
  <c r="F341" i="13" s="1"/>
  <c r="B342" i="13"/>
  <c r="B343" i="13" l="1"/>
  <c r="E342" i="13"/>
  <c r="F342" i="13" s="1"/>
  <c r="E343" i="13" l="1"/>
  <c r="F343" i="13" s="1"/>
  <c r="B344" i="13"/>
  <c r="B345" i="13" l="1"/>
  <c r="E344" i="13"/>
  <c r="F344" i="13" s="1"/>
  <c r="E345" i="13" l="1"/>
  <c r="F345" i="13" s="1"/>
  <c r="B346" i="13"/>
  <c r="B347" i="13" l="1"/>
  <c r="E346" i="13"/>
  <c r="F346" i="13" s="1"/>
  <c r="E347" i="13" l="1"/>
  <c r="F347" i="13" s="1"/>
  <c r="B348" i="13"/>
  <c r="B349" i="13" l="1"/>
  <c r="E348" i="13"/>
  <c r="F348" i="13" s="1"/>
  <c r="E349" i="13" l="1"/>
  <c r="F349" i="13" s="1"/>
  <c r="B350" i="13"/>
  <c r="B351" i="13" l="1"/>
  <c r="E350" i="13"/>
  <c r="F350" i="13" s="1"/>
  <c r="E351" i="13" l="1"/>
  <c r="F351" i="13" s="1"/>
  <c r="B352" i="13"/>
  <c r="B353" i="13" l="1"/>
  <c r="E352" i="13"/>
  <c r="F352" i="13" s="1"/>
  <c r="E353" i="13" l="1"/>
  <c r="F353" i="13" s="1"/>
  <c r="B354" i="13"/>
  <c r="B355" i="13" l="1"/>
  <c r="E354" i="13"/>
  <c r="F354" i="13" s="1"/>
  <c r="E355" i="13" l="1"/>
  <c r="F355" i="13" s="1"/>
  <c r="B356" i="13"/>
  <c r="B357" i="13" l="1"/>
  <c r="E356" i="13"/>
  <c r="F356" i="13" s="1"/>
  <c r="E357" i="13" l="1"/>
  <c r="F357" i="13" s="1"/>
  <c r="B358" i="13"/>
  <c r="B359" i="13" l="1"/>
  <c r="E358" i="13"/>
  <c r="F358" i="13" s="1"/>
  <c r="E359" i="13" l="1"/>
  <c r="F359" i="13" s="1"/>
  <c r="B360" i="13"/>
  <c r="B361" i="13" l="1"/>
  <c r="E361" i="13" s="1"/>
  <c r="F361" i="13" s="1"/>
  <c r="F1" i="13" s="1"/>
  <c r="G1" i="13" s="1"/>
  <c r="H1" i="13" s="1"/>
  <c r="E360" i="13"/>
  <c r="F360" i="13" s="1"/>
  <c r="BY16" i="12" l="1"/>
  <c r="BY17" i="12" l="1"/>
  <c r="BY18" i="12" l="1"/>
  <c r="BY19" i="12" l="1"/>
  <c r="BY20" i="12" l="1"/>
  <c r="BY21" i="12" l="1"/>
  <c r="BY22" i="12" l="1"/>
  <c r="BY23" i="12" l="1"/>
  <c r="BY24" i="12" l="1"/>
  <c r="BY25" i="12" l="1"/>
  <c r="BY26" i="12" l="1"/>
  <c r="BY27" i="12" l="1"/>
  <c r="BY28" i="12" l="1"/>
  <c r="BY29" i="12" l="1"/>
  <c r="BY30" i="12" l="1"/>
  <c r="BY31" i="12" l="1"/>
  <c r="BY32" i="12" l="1"/>
  <c r="BY33" i="12" l="1"/>
  <c r="BY34" i="12" l="1"/>
  <c r="BY35" i="12" l="1"/>
  <c r="BY36" i="12" l="1"/>
  <c r="EK41" i="12" l="1"/>
  <c r="EQ41" i="12" l="1"/>
  <c r="BY37" i="12" l="1"/>
  <c r="BY38" i="12" l="1"/>
  <c r="BY39" i="12" l="1"/>
  <c r="BY40" i="12" l="1"/>
  <c r="BY41" i="12" l="1"/>
  <c r="BY42" i="12" l="1"/>
  <c r="BY43" i="12" l="1"/>
  <c r="BY44" i="12" l="1"/>
  <c r="Y14" i="12" l="1"/>
  <c r="AF14" i="12" s="1"/>
  <c r="E14" i="12"/>
  <c r="DC14" i="12" l="1"/>
  <c r="CQ14" i="12"/>
  <c r="BZ14" i="12"/>
  <c r="DD14" i="12" l="1"/>
  <c r="B137" i="19" l="1"/>
  <c r="LZ14" i="12" l="1"/>
  <c r="B136" i="20"/>
  <c r="DH182" i="12" s="1"/>
  <c r="L14" i="12"/>
  <c r="CO11" i="12" s="1"/>
  <c r="G15" i="12"/>
  <c r="H14" i="12"/>
  <c r="L15" i="12" l="1"/>
  <c r="P15" i="12" s="1"/>
  <c r="M15" i="12" s="1"/>
  <c r="DK11" i="12"/>
  <c r="CP11" i="12"/>
  <c r="MA11" i="12"/>
  <c r="CO12" i="12"/>
  <c r="MD15" i="12"/>
  <c r="F15" i="12"/>
  <c r="LW15" i="12" s="1"/>
  <c r="DJ12" i="12"/>
  <c r="DJ11" i="12"/>
  <c r="P14" i="12"/>
  <c r="F14" i="12"/>
  <c r="LW14" i="12" s="1"/>
  <c r="G16" i="12"/>
  <c r="H15" i="12"/>
  <c r="M14" i="12"/>
  <c r="CY14" i="12" l="1"/>
  <c r="DH14" i="12" s="1"/>
  <c r="DE14" i="12"/>
  <c r="EN14" i="12"/>
  <c r="CR14" i="12"/>
  <c r="CS14" i="12" s="1"/>
  <c r="DI14" i="12"/>
  <c r="CP12" i="12"/>
  <c r="DK12" i="12"/>
  <c r="MA12" i="12"/>
  <c r="G17" i="12"/>
  <c r="L16" i="12"/>
  <c r="BP15" i="12"/>
  <c r="MH15" i="12"/>
  <c r="BR15" i="12" s="1"/>
  <c r="O15" i="12"/>
  <c r="CY15" i="12" s="1"/>
  <c r="DH15" i="12" s="1"/>
  <c r="DL11" i="12"/>
  <c r="DM11" i="12"/>
  <c r="H16" i="12" l="1"/>
  <c r="AW14" i="12"/>
  <c r="BS15" i="12"/>
  <c r="O16" i="12"/>
  <c r="I16" i="12" s="1"/>
  <c r="G18" i="12"/>
  <c r="L17" i="12"/>
  <c r="H17" i="12" s="1"/>
  <c r="CT14" i="12"/>
  <c r="I15" i="12"/>
  <c r="CK14" i="12"/>
  <c r="DI15" i="12"/>
  <c r="DJ13" i="12"/>
  <c r="P16" i="12"/>
  <c r="M16" i="12" s="1"/>
  <c r="CO13" i="12"/>
  <c r="F16" i="12"/>
  <c r="LW16" i="12" s="1"/>
  <c r="MD16" i="12"/>
  <c r="DL12" i="12"/>
  <c r="DM12" i="12"/>
  <c r="BW16" i="12" l="1"/>
  <c r="BX16" i="12"/>
  <c r="MH16" i="12"/>
  <c r="BR16" i="12" s="1"/>
  <c r="BP16" i="12"/>
  <c r="CL14" i="12"/>
  <c r="CM14" i="12"/>
  <c r="CO14" i="12"/>
  <c r="DK14" i="12" s="1"/>
  <c r="MD17" i="12"/>
  <c r="P17" i="12"/>
  <c r="M17" i="12" s="1"/>
  <c r="F17" i="12"/>
  <c r="LW17" i="12" s="1"/>
  <c r="DJ14" i="12"/>
  <c r="BU16" i="12"/>
  <c r="BQ16" i="12"/>
  <c r="Z16" i="12"/>
  <c r="G19" i="12"/>
  <c r="L18" i="12"/>
  <c r="K15" i="12"/>
  <c r="BT15" i="12"/>
  <c r="BV15" i="12"/>
  <c r="D15" i="12"/>
  <c r="CN14" i="12"/>
  <c r="BV16" i="12"/>
  <c r="D16" i="12"/>
  <c r="BT16" i="12"/>
  <c r="K16" i="12"/>
  <c r="DK13" i="12"/>
  <c r="MA13" i="12"/>
  <c r="CP13" i="12"/>
  <c r="O17" i="12"/>
  <c r="CY16" i="12"/>
  <c r="DH16" i="12" s="1"/>
  <c r="ET14" i="12" l="1"/>
  <c r="ES7" i="12"/>
  <c r="CP14" i="12"/>
  <c r="CY17" i="12"/>
  <c r="DH17" i="12" s="1"/>
  <c r="DI17" i="12" s="1"/>
  <c r="BS16" i="12"/>
  <c r="Z17" i="12"/>
  <c r="AG17" i="12" s="1"/>
  <c r="AU15" i="12" s="1"/>
  <c r="BQ17" i="12"/>
  <c r="BU17" i="12"/>
  <c r="DM13" i="12"/>
  <c r="DL13" i="12"/>
  <c r="DI16" i="12"/>
  <c r="MD18" i="12"/>
  <c r="P18" i="12"/>
  <c r="F18" i="12"/>
  <c r="LW18" i="12" s="1"/>
  <c r="M18" i="12"/>
  <c r="CO15" i="12"/>
  <c r="DJ15" i="12"/>
  <c r="I17" i="12"/>
  <c r="H18" i="12"/>
  <c r="G20" i="12"/>
  <c r="L19" i="12"/>
  <c r="DB14" i="12"/>
  <c r="CZ14" i="12"/>
  <c r="BP17" i="12"/>
  <c r="MH17" i="12"/>
  <c r="BR17" i="12" s="1"/>
  <c r="Y16" i="12"/>
  <c r="AF16" i="12" s="1"/>
  <c r="E16" i="12"/>
  <c r="Y15" i="12"/>
  <c r="E15" i="12"/>
  <c r="X16" i="12"/>
  <c r="AG16" i="12"/>
  <c r="AU14" i="12" s="1"/>
  <c r="DL14" i="12"/>
  <c r="DM14" i="12"/>
  <c r="BB14" i="12" l="1"/>
  <c r="CA16" i="12"/>
  <c r="W15" i="12"/>
  <c r="AF15" i="12"/>
  <c r="CO16" i="12"/>
  <c r="DK16" i="12" s="1"/>
  <c r="P19" i="12"/>
  <c r="M19" i="12" s="1"/>
  <c r="F19" i="12"/>
  <c r="LW19" i="12" s="1"/>
  <c r="MD19" i="12"/>
  <c r="DK15" i="12"/>
  <c r="MH18" i="12"/>
  <c r="BR18" i="12" s="1"/>
  <c r="BP18" i="12"/>
  <c r="BS17" i="12"/>
  <c r="X17" i="12" s="1"/>
  <c r="BQ18" i="12"/>
  <c r="Z18" i="12"/>
  <c r="AG18" i="12" s="1"/>
  <c r="AU16" i="12" s="1"/>
  <c r="BU18" i="12"/>
  <c r="AY15" i="12"/>
  <c r="BW17" i="12" s="1"/>
  <c r="CA17" i="12" s="1"/>
  <c r="L20" i="12"/>
  <c r="H20" i="12" s="1"/>
  <c r="G21" i="12"/>
  <c r="BZ16" i="12"/>
  <c r="BA14" i="12"/>
  <c r="B4" i="20"/>
  <c r="DH50" i="12" s="1"/>
  <c r="B5" i="19"/>
  <c r="EU14" i="12"/>
  <c r="EV14" i="12" s="1"/>
  <c r="EW14" i="12" s="1"/>
  <c r="AE16" i="12"/>
  <c r="B37" i="20"/>
  <c r="DH83" i="12" s="1"/>
  <c r="B37" i="19"/>
  <c r="DG14" i="12"/>
  <c r="EM14" i="12" s="1"/>
  <c r="O18" i="12"/>
  <c r="CY18" i="12" s="1"/>
  <c r="DH18" i="12" s="1"/>
  <c r="BV17" i="12"/>
  <c r="D17" i="12"/>
  <c r="K17" i="12"/>
  <c r="BT17" i="12"/>
  <c r="H19" i="12"/>
  <c r="DJ16" i="12"/>
  <c r="I18" i="12" l="1"/>
  <c r="BT18" i="12" s="1"/>
  <c r="BS18" i="12"/>
  <c r="K18" i="12"/>
  <c r="D18" i="12"/>
  <c r="O19" i="12"/>
  <c r="CY19" i="12" s="1"/>
  <c r="DH19" i="12" s="1"/>
  <c r="G22" i="12"/>
  <c r="L21" i="12"/>
  <c r="H21" i="12" s="1"/>
  <c r="BU19" i="12"/>
  <c r="BQ19" i="12"/>
  <c r="Z19" i="12"/>
  <c r="AG19" i="12" s="1"/>
  <c r="AU17" i="12" s="1"/>
  <c r="DL16" i="12"/>
  <c r="DM16" i="12"/>
  <c r="O20" i="12"/>
  <c r="I20" i="12" s="1"/>
  <c r="DI18" i="12"/>
  <c r="B169" i="20"/>
  <c r="DH215" i="12" s="1"/>
  <c r="MA14" i="12"/>
  <c r="AP14" i="12"/>
  <c r="AR14" i="12"/>
  <c r="B170" i="19"/>
  <c r="P20" i="12"/>
  <c r="M20" i="12" s="1"/>
  <c r="MD20" i="12"/>
  <c r="CO17" i="12"/>
  <c r="F20" i="12"/>
  <c r="LW20" i="12" s="1"/>
  <c r="DJ17" i="12"/>
  <c r="MH19" i="12"/>
  <c r="BR19" i="12" s="1"/>
  <c r="BP19" i="12"/>
  <c r="EK13" i="12"/>
  <c r="EL13" i="12"/>
  <c r="BA13" i="12"/>
  <c r="BE13" i="12" s="1"/>
  <c r="BZ15" i="12"/>
  <c r="Y17" i="12"/>
  <c r="AF17" i="12" s="1"/>
  <c r="AT15" i="12" s="1"/>
  <c r="E17" i="12"/>
  <c r="AY16" i="12"/>
  <c r="BW18" i="12" s="1"/>
  <c r="CA18" i="12" s="1"/>
  <c r="W16" i="12"/>
  <c r="AD15" i="12"/>
  <c r="V15" i="12"/>
  <c r="X18" i="12"/>
  <c r="AE17" i="12"/>
  <c r="FA14" i="12"/>
  <c r="EX15" i="12"/>
  <c r="EY16" i="12" s="1"/>
  <c r="EZ17" i="12" s="1"/>
  <c r="DD16" i="12"/>
  <c r="BB15" i="12"/>
  <c r="DM15" i="12"/>
  <c r="DL15" i="12"/>
  <c r="DJ18" i="12" l="1"/>
  <c r="BV18" i="12"/>
  <c r="BB16" i="12"/>
  <c r="EQ13" i="12"/>
  <c r="O21" i="12"/>
  <c r="BV20" i="12"/>
  <c r="D20" i="12"/>
  <c r="K20" i="12"/>
  <c r="BT20" i="12"/>
  <c r="AE18" i="12"/>
  <c r="DD15" i="12"/>
  <c r="G23" i="12"/>
  <c r="L22" i="12"/>
  <c r="DJ19" i="12" s="1"/>
  <c r="BZ17" i="12"/>
  <c r="BA15" i="12"/>
  <c r="DK17" i="12"/>
  <c r="AC15" i="12"/>
  <c r="B138" i="19"/>
  <c r="MH20" i="12"/>
  <c r="BR20" i="12" s="1"/>
  <c r="BP20" i="12"/>
  <c r="B70" i="20"/>
  <c r="DH116" i="12" s="1"/>
  <c r="B71" i="19"/>
  <c r="W17" i="12"/>
  <c r="AD16" i="12"/>
  <c r="V16" i="12"/>
  <c r="B103" i="20"/>
  <c r="B104" i="19"/>
  <c r="AY17" i="12"/>
  <c r="BW19" i="12" s="1"/>
  <c r="CA19" i="12" s="1"/>
  <c r="I19" i="12"/>
  <c r="Y18" i="12"/>
  <c r="AF18" i="12" s="1"/>
  <c r="AT16" i="12" s="1"/>
  <c r="E18" i="12"/>
  <c r="BU20" i="12"/>
  <c r="BQ20" i="12"/>
  <c r="Z20" i="12"/>
  <c r="AG20" i="12" s="1"/>
  <c r="AU18" i="12" s="1"/>
  <c r="CY20" i="12"/>
  <c r="DH20" i="12" s="1"/>
  <c r="BS19" i="12"/>
  <c r="X19" i="12" s="1"/>
  <c r="MD21" i="12"/>
  <c r="P21" i="12"/>
  <c r="M21" i="12" s="1"/>
  <c r="CO18" i="12"/>
  <c r="DK18" i="12" s="1"/>
  <c r="F21" i="12"/>
  <c r="LW21" i="12" s="1"/>
  <c r="DI19" i="12"/>
  <c r="BS20" i="12" l="1"/>
  <c r="X20" i="12" s="1"/>
  <c r="AE19" i="12"/>
  <c r="Z21" i="12"/>
  <c r="AG21" i="12" s="1"/>
  <c r="AU19" i="12" s="1"/>
  <c r="BU21" i="12"/>
  <c r="BQ21" i="12"/>
  <c r="DD17" i="12"/>
  <c r="BZ18" i="12"/>
  <c r="BA16" i="12"/>
  <c r="BB17" i="12"/>
  <c r="AC16" i="12"/>
  <c r="B139" i="19"/>
  <c r="LZ15" i="12"/>
  <c r="B137" i="20"/>
  <c r="DH183" i="12" s="1"/>
  <c r="DL17" i="12"/>
  <c r="DM17" i="12"/>
  <c r="CO19" i="12"/>
  <c r="DK19" i="12" s="1"/>
  <c r="MD22" i="12"/>
  <c r="F22" i="12"/>
  <c r="LW22" i="12" s="1"/>
  <c r="P22" i="12"/>
  <c r="M22" i="12" s="1"/>
  <c r="AY18" i="12"/>
  <c r="BW20" i="12" s="1"/>
  <c r="CA20" i="12" s="1"/>
  <c r="AD17" i="12"/>
  <c r="W18" i="12"/>
  <c r="V17" i="12"/>
  <c r="AO14" i="12"/>
  <c r="AQ14" i="12"/>
  <c r="G24" i="12"/>
  <c r="L23" i="12"/>
  <c r="DJ20" i="12" s="1"/>
  <c r="Y20" i="12"/>
  <c r="AF20" i="12" s="1"/>
  <c r="AT18" i="12" s="1"/>
  <c r="E20" i="12"/>
  <c r="CY21" i="12"/>
  <c r="DH21" i="12" s="1"/>
  <c r="DI20" i="12"/>
  <c r="MH21" i="12"/>
  <c r="BR21" i="12" s="1"/>
  <c r="BP21" i="12"/>
  <c r="BV19" i="12"/>
  <c r="BT19" i="12"/>
  <c r="D19" i="12"/>
  <c r="K19" i="12"/>
  <c r="DL18" i="12"/>
  <c r="DM18" i="12"/>
  <c r="DH149" i="12"/>
  <c r="B214" i="20"/>
  <c r="H22" i="12"/>
  <c r="I21" i="12"/>
  <c r="BV21" i="12" l="1"/>
  <c r="D21" i="12"/>
  <c r="BT21" i="12"/>
  <c r="K21" i="12"/>
  <c r="E19" i="12"/>
  <c r="Y19" i="12"/>
  <c r="AF19" i="12" s="1"/>
  <c r="AT17" i="12" s="1"/>
  <c r="BZ20" i="12"/>
  <c r="BA18" i="12"/>
  <c r="G25" i="12"/>
  <c r="L24" i="12"/>
  <c r="AD18" i="12"/>
  <c r="V18" i="12"/>
  <c r="BB18" i="12"/>
  <c r="MH22" i="12"/>
  <c r="BR22" i="12" s="1"/>
  <c r="BP22" i="12"/>
  <c r="BU22" i="12"/>
  <c r="Z22" i="12"/>
  <c r="AG22" i="12" s="1"/>
  <c r="AU20" i="12" s="1"/>
  <c r="BQ22" i="12"/>
  <c r="AY19" i="12"/>
  <c r="BW21" i="12" s="1"/>
  <c r="CA21" i="12" s="1"/>
  <c r="CH15" i="12"/>
  <c r="GA14" i="12"/>
  <c r="GW14" i="12"/>
  <c r="IE14" i="12" s="1"/>
  <c r="GK14" i="12"/>
  <c r="HS14" i="12" s="1"/>
  <c r="GF14" i="12"/>
  <c r="HN14" i="12" s="1"/>
  <c r="CF15" i="12"/>
  <c r="FZ14" i="12"/>
  <c r="GQ14" i="12"/>
  <c r="HY14" i="12" s="1"/>
  <c r="GJ14" i="12"/>
  <c r="HR14" i="12" s="1"/>
  <c r="HB14" i="12"/>
  <c r="IJ14" i="12" s="1"/>
  <c r="GO14" i="12"/>
  <c r="HW14" i="12" s="1"/>
  <c r="GU14" i="12"/>
  <c r="IC14" i="12" s="1"/>
  <c r="GN14" i="12"/>
  <c r="HV14" i="12" s="1"/>
  <c r="GT14" i="12"/>
  <c r="IB14" i="12" s="1"/>
  <c r="GB14" i="12"/>
  <c r="HJ14" i="12" s="1"/>
  <c r="GE14" i="12"/>
  <c r="HM14" i="12" s="1"/>
  <c r="GC14" i="12"/>
  <c r="HK14" i="12" s="1"/>
  <c r="GP14" i="12"/>
  <c r="HX14" i="12" s="1"/>
  <c r="GM14" i="12"/>
  <c r="HU14" i="12" s="1"/>
  <c r="GG14" i="12"/>
  <c r="HO14" i="12" s="1"/>
  <c r="HA14" i="12"/>
  <c r="II14" i="12" s="1"/>
  <c r="FY14" i="12"/>
  <c r="GR14" i="12"/>
  <c r="HZ14" i="12" s="1"/>
  <c r="GV14" i="12"/>
  <c r="ID14" i="12" s="1"/>
  <c r="GI14" i="12"/>
  <c r="HQ14" i="12" s="1"/>
  <c r="GD14" i="12"/>
  <c r="HL14" i="12" s="1"/>
  <c r="HC14" i="12"/>
  <c r="IK14" i="12" s="1"/>
  <c r="GX14" i="12"/>
  <c r="IF14" i="12" s="1"/>
  <c r="GY14" i="12"/>
  <c r="IG14" i="12" s="1"/>
  <c r="GL14" i="12"/>
  <c r="HT14" i="12" s="1"/>
  <c r="GS14" i="12"/>
  <c r="IA14" i="12" s="1"/>
  <c r="GZ14" i="12"/>
  <c r="IH14" i="12" s="1"/>
  <c r="GH14" i="12"/>
  <c r="HP14" i="12" s="1"/>
  <c r="AC17" i="12"/>
  <c r="B140" i="19"/>
  <c r="DI21" i="12"/>
  <c r="DJ21" i="12"/>
  <c r="P23" i="12"/>
  <c r="M23" i="12" s="1"/>
  <c r="CO20" i="12"/>
  <c r="DK20" i="12" s="1"/>
  <c r="F23" i="12"/>
  <c r="LW23" i="12" s="1"/>
  <c r="MD23" i="12"/>
  <c r="FM15" i="12"/>
  <c r="FS15" i="12" s="1"/>
  <c r="BM14" i="12"/>
  <c r="BI14" i="12"/>
  <c r="BK14" i="12" s="1"/>
  <c r="BD14" i="12" s="1"/>
  <c r="BF14" i="12" s="1"/>
  <c r="DM19" i="12"/>
  <c r="DL19" i="12"/>
  <c r="B138" i="20"/>
  <c r="DH184" i="12" s="1"/>
  <c r="LZ16" i="12"/>
  <c r="AE20" i="12"/>
  <c r="O22" i="12"/>
  <c r="CY22" i="12" s="1"/>
  <c r="DH22" i="12" s="1"/>
  <c r="H23" i="12"/>
  <c r="DD18" i="12"/>
  <c r="BS21" i="12"/>
  <c r="X21" i="12" s="1"/>
  <c r="W19" i="12" l="1"/>
  <c r="I22" i="12"/>
  <c r="K22" i="12" s="1"/>
  <c r="BB19" i="12"/>
  <c r="Z23" i="12"/>
  <c r="AG23" i="12" s="1"/>
  <c r="AU21" i="12" s="1"/>
  <c r="BU23" i="12"/>
  <c r="BQ23" i="12"/>
  <c r="AE21" i="12"/>
  <c r="BV22" i="12"/>
  <c r="DI22" i="12"/>
  <c r="BP23" i="12"/>
  <c r="MH23" i="12"/>
  <c r="BR23" i="12" s="1"/>
  <c r="FO15" i="12"/>
  <c r="FX14" i="12"/>
  <c r="CO21" i="12"/>
  <c r="DK21" i="12" s="1"/>
  <c r="MD24" i="12"/>
  <c r="P24" i="12"/>
  <c r="M24" i="12" s="1"/>
  <c r="F24" i="12"/>
  <c r="LW24" i="12" s="1"/>
  <c r="DD20" i="12"/>
  <c r="BH14" i="12"/>
  <c r="EK14" i="12"/>
  <c r="BG14" i="12"/>
  <c r="BE14" i="12"/>
  <c r="EL14" i="12"/>
  <c r="LZ17" i="12"/>
  <c r="B139" i="20"/>
  <c r="DH185" i="12" s="1"/>
  <c r="AC18" i="12"/>
  <c r="B141" i="19"/>
  <c r="L25" i="12"/>
  <c r="DJ22" i="12" s="1"/>
  <c r="G26" i="12"/>
  <c r="BA17" i="12"/>
  <c r="BZ19" i="12"/>
  <c r="O23" i="12"/>
  <c r="CY23" i="12" s="1"/>
  <c r="DH23" i="12" s="1"/>
  <c r="BS22" i="12"/>
  <c r="X22" i="12" s="1"/>
  <c r="AD19" i="12"/>
  <c r="V19" i="12"/>
  <c r="W20" i="12"/>
  <c r="DL20" i="12"/>
  <c r="DM20" i="12"/>
  <c r="EN15" i="12"/>
  <c r="CR15" i="12"/>
  <c r="DE15" i="12"/>
  <c r="AY20" i="12"/>
  <c r="BW22" i="12" s="1"/>
  <c r="CA22" i="12" s="1"/>
  <c r="H24" i="12"/>
  <c r="E21" i="12"/>
  <c r="Y21" i="12"/>
  <c r="AF21" i="12" s="1"/>
  <c r="AT19" i="12" s="1"/>
  <c r="D22" i="12" l="1"/>
  <c r="BT22" i="12"/>
  <c r="BB20" i="12"/>
  <c r="EQ14" i="12"/>
  <c r="BU24" i="12"/>
  <c r="Z24" i="12"/>
  <c r="AG24" i="12" s="1"/>
  <c r="AU22" i="12" s="1"/>
  <c r="BQ24" i="12"/>
  <c r="AE22" i="12"/>
  <c r="BZ21" i="12"/>
  <c r="BA19" i="12"/>
  <c r="DI23" i="12"/>
  <c r="DM21" i="12"/>
  <c r="DL21" i="12"/>
  <c r="AD20" i="12"/>
  <c r="V20" i="12"/>
  <c r="W21" i="12"/>
  <c r="I23" i="12"/>
  <c r="H25" i="12"/>
  <c r="B140" i="20"/>
  <c r="DH186" i="12" s="1"/>
  <c r="LZ18" i="12"/>
  <c r="E22" i="12"/>
  <c r="Y22" i="12"/>
  <c r="AF22" i="12" s="1"/>
  <c r="AT20" i="12" s="1"/>
  <c r="BS23" i="12"/>
  <c r="X23" i="12" s="1"/>
  <c r="DD19" i="12"/>
  <c r="L26" i="12"/>
  <c r="DJ23" i="12" s="1"/>
  <c r="G27" i="12"/>
  <c r="FT15" i="12"/>
  <c r="CB15" i="12"/>
  <c r="O24" i="12"/>
  <c r="CY24" i="12" s="1"/>
  <c r="DH24" i="12" s="1"/>
  <c r="B142" i="19"/>
  <c r="AC19" i="12"/>
  <c r="CO22" i="12"/>
  <c r="DK22" i="12" s="1"/>
  <c r="F25" i="12"/>
  <c r="LW25" i="12" s="1"/>
  <c r="MD25" i="12"/>
  <c r="P25" i="12"/>
  <c r="M25" i="12" s="1"/>
  <c r="MH24" i="12"/>
  <c r="BR24" i="12" s="1"/>
  <c r="BP24" i="12"/>
  <c r="AY21" i="12"/>
  <c r="BW23" i="12" s="1"/>
  <c r="CA23" i="12" s="1"/>
  <c r="CI15" i="12" l="1"/>
  <c r="H26" i="12"/>
  <c r="BB21" i="12"/>
  <c r="Z25" i="12"/>
  <c r="AG25" i="12" s="1"/>
  <c r="AU23" i="12" s="1"/>
  <c r="BQ25" i="12"/>
  <c r="BU25" i="12"/>
  <c r="AE23" i="12"/>
  <c r="BV23" i="12"/>
  <c r="K23" i="12"/>
  <c r="BT23" i="12"/>
  <c r="D23" i="12"/>
  <c r="BA20" i="12"/>
  <c r="BZ22" i="12"/>
  <c r="AD21" i="12"/>
  <c r="W22" i="12"/>
  <c r="V21" i="12"/>
  <c r="BS24" i="12"/>
  <c r="X24" i="12" s="1"/>
  <c r="MH25" i="12"/>
  <c r="BR25" i="12" s="1"/>
  <c r="BP25" i="12"/>
  <c r="DL22" i="12"/>
  <c r="DM22" i="12"/>
  <c r="DI24" i="12"/>
  <c r="O26" i="12"/>
  <c r="I26" i="12" s="1"/>
  <c r="B141" i="20"/>
  <c r="DH187" i="12" s="1"/>
  <c r="LZ19" i="12"/>
  <c r="I24" i="12"/>
  <c r="G28" i="12"/>
  <c r="L27" i="12"/>
  <c r="DJ24" i="12" s="1"/>
  <c r="DD21" i="12"/>
  <c r="AY22" i="12"/>
  <c r="BW24" i="12" s="1"/>
  <c r="CA24" i="12" s="1"/>
  <c r="DC15" i="12"/>
  <c r="CQ15" i="12"/>
  <c r="CS15" i="12" s="1"/>
  <c r="CK15" i="12"/>
  <c r="P26" i="12"/>
  <c r="MD26" i="12"/>
  <c r="CO23" i="12"/>
  <c r="DK23" i="12" s="1"/>
  <c r="F26" i="12"/>
  <c r="LW26" i="12" s="1"/>
  <c r="M26" i="12"/>
  <c r="O25" i="12"/>
  <c r="CY25" i="12" s="1"/>
  <c r="DH25" i="12" s="1"/>
  <c r="B143" i="19"/>
  <c r="AC20" i="12"/>
  <c r="CL15" i="12" l="1"/>
  <c r="CM15" i="12"/>
  <c r="DA15" i="12"/>
  <c r="CN15" i="12"/>
  <c r="CP15" i="12" s="1"/>
  <c r="AE24" i="12"/>
  <c r="DL23" i="12"/>
  <c r="DM23" i="12"/>
  <c r="L28" i="12"/>
  <c r="G29" i="12"/>
  <c r="CY26" i="12"/>
  <c r="DH26" i="12" s="1"/>
  <c r="DI25" i="12"/>
  <c r="I25" i="12"/>
  <c r="BP26" i="12"/>
  <c r="MH26" i="12"/>
  <c r="BR26" i="12" s="1"/>
  <c r="H27" i="12"/>
  <c r="AD22" i="12"/>
  <c r="V22" i="12"/>
  <c r="Y23" i="12"/>
  <c r="AF23" i="12" s="1"/>
  <c r="AT21" i="12" s="1"/>
  <c r="E23" i="12"/>
  <c r="B142" i="20"/>
  <c r="DH188" i="12" s="1"/>
  <c r="LZ20" i="12"/>
  <c r="BU26" i="12"/>
  <c r="BQ26" i="12"/>
  <c r="BS26" i="12" s="1"/>
  <c r="Z26" i="12"/>
  <c r="AG26" i="12" s="1"/>
  <c r="AU24" i="12" s="1"/>
  <c r="CT15" i="12"/>
  <c r="BB22" i="12"/>
  <c r="BV24" i="12"/>
  <c r="K24" i="12"/>
  <c r="BT24" i="12"/>
  <c r="D24" i="12"/>
  <c r="B144" i="19"/>
  <c r="AC21" i="12"/>
  <c r="BS25" i="12"/>
  <c r="X25" i="12" s="1"/>
  <c r="CO24" i="12"/>
  <c r="DK24" i="12" s="1"/>
  <c r="P27" i="12"/>
  <c r="M27" i="12" s="1"/>
  <c r="F27" i="12"/>
  <c r="LW27" i="12" s="1"/>
  <c r="MD27" i="12"/>
  <c r="BV26" i="12"/>
  <c r="D26" i="12"/>
  <c r="BT26" i="12"/>
  <c r="K26" i="12"/>
  <c r="DD22" i="12"/>
  <c r="AY23" i="12"/>
  <c r="BW25" i="12" s="1"/>
  <c r="CA25" i="12" s="1"/>
  <c r="ET9" i="12" l="1"/>
  <c r="EU5" i="12"/>
  <c r="ET15" i="12"/>
  <c r="W23" i="12"/>
  <c r="AD23" i="12" s="1"/>
  <c r="BQ27" i="12"/>
  <c r="Z27" i="12"/>
  <c r="AG27" i="12" s="1"/>
  <c r="AU25" i="12" s="1"/>
  <c r="BU27" i="12"/>
  <c r="X26" i="12"/>
  <c r="AE25" i="12"/>
  <c r="MH27" i="12"/>
  <c r="BR27" i="12" s="1"/>
  <c r="BP27" i="12"/>
  <c r="V23" i="12"/>
  <c r="CO25" i="12"/>
  <c r="DK25" i="12" s="1"/>
  <c r="MD28" i="12"/>
  <c r="P28" i="12"/>
  <c r="F28" i="12"/>
  <c r="LW28" i="12" s="1"/>
  <c r="M28" i="12"/>
  <c r="LZ21" i="12"/>
  <c r="B143" i="20"/>
  <c r="DH189" i="12" s="1"/>
  <c r="DI26" i="12"/>
  <c r="Y24" i="12"/>
  <c r="AF24" i="12" s="1"/>
  <c r="AT22" i="12" s="1"/>
  <c r="E24" i="12"/>
  <c r="B145" i="19"/>
  <c r="AC22" i="12"/>
  <c r="BV25" i="12"/>
  <c r="K25" i="12"/>
  <c r="BT25" i="12"/>
  <c r="D25" i="12"/>
  <c r="L29" i="12"/>
  <c r="DJ26" i="12" s="1"/>
  <c r="G30" i="12"/>
  <c r="BB23" i="12"/>
  <c r="E26" i="12"/>
  <c r="Y26" i="12"/>
  <c r="AF26" i="12" s="1"/>
  <c r="AT24" i="12" s="1"/>
  <c r="DM24" i="12"/>
  <c r="DL24" i="12"/>
  <c r="AY24" i="12"/>
  <c r="BW26" i="12" s="1"/>
  <c r="CA26" i="12" s="1"/>
  <c r="BZ23" i="12"/>
  <c r="BA21" i="12"/>
  <c r="O27" i="12"/>
  <c r="CY27" i="12" s="1"/>
  <c r="DH27" i="12" s="1"/>
  <c r="DJ25" i="12"/>
  <c r="H28" i="12"/>
  <c r="DB15" i="12"/>
  <c r="CZ15" i="12"/>
  <c r="AL15" i="12"/>
  <c r="EU15" i="12" s="1"/>
  <c r="O28" i="12" l="1"/>
  <c r="CY28" i="12" s="1"/>
  <c r="DH28" i="12" s="1"/>
  <c r="B144" i="20"/>
  <c r="DH190" i="12" s="1"/>
  <c r="LZ22" i="12"/>
  <c r="BZ24" i="12"/>
  <c r="BA22" i="12"/>
  <c r="BU28" i="12"/>
  <c r="Z28" i="12"/>
  <c r="AG28" i="12" s="1"/>
  <c r="AU26" i="12" s="1"/>
  <c r="BQ28" i="12"/>
  <c r="DL25" i="12"/>
  <c r="DM25" i="12"/>
  <c r="AE26" i="12"/>
  <c r="BB24" i="12"/>
  <c r="BA24" i="12"/>
  <c r="BZ26" i="12"/>
  <c r="H29" i="12"/>
  <c r="EV15" i="12"/>
  <c r="EW15" i="12" s="1"/>
  <c r="AK15" i="12"/>
  <c r="B5" i="20"/>
  <c r="DH51" i="12" s="1"/>
  <c r="B6" i="19"/>
  <c r="I27" i="12"/>
  <c r="DD23" i="12"/>
  <c r="G31" i="12"/>
  <c r="L30" i="12"/>
  <c r="H30" i="12" s="1"/>
  <c r="Y25" i="12"/>
  <c r="AF25" i="12" s="1"/>
  <c r="AT23" i="12" s="1"/>
  <c r="E25" i="12"/>
  <c r="AC23" i="12"/>
  <c r="B146" i="19"/>
  <c r="AY25" i="12"/>
  <c r="BW27" i="12" s="1"/>
  <c r="CA27" i="12" s="1"/>
  <c r="B38" i="19"/>
  <c r="B38" i="20"/>
  <c r="DH84" i="12" s="1"/>
  <c r="DG15" i="12"/>
  <c r="EM15" i="12" s="1"/>
  <c r="DI27" i="12"/>
  <c r="MD29" i="12"/>
  <c r="P29" i="12"/>
  <c r="M29" i="12" s="1"/>
  <c r="F29" i="12"/>
  <c r="LW29" i="12" s="1"/>
  <c r="CO26" i="12"/>
  <c r="DK26" i="12" s="1"/>
  <c r="MH28" i="12"/>
  <c r="BR28" i="12" s="1"/>
  <c r="BP28" i="12"/>
  <c r="W24" i="12"/>
  <c r="BS27" i="12"/>
  <c r="X27" i="12" s="1"/>
  <c r="DJ27" i="12" l="1"/>
  <c r="I28" i="12"/>
  <c r="D28" i="12" s="1"/>
  <c r="BB25" i="12"/>
  <c r="O30" i="12"/>
  <c r="I30" i="12" s="1"/>
  <c r="Z29" i="12"/>
  <c r="AG29" i="12" s="1"/>
  <c r="AU27" i="12" s="1"/>
  <c r="BQ29" i="12"/>
  <c r="BU29" i="12"/>
  <c r="AE27" i="12"/>
  <c r="DL26" i="12"/>
  <c r="DM26" i="12"/>
  <c r="EX16" i="12"/>
  <c r="EY17" i="12" s="1"/>
  <c r="EZ18" i="12" s="1"/>
  <c r="FA15" i="12"/>
  <c r="AI15" i="12" s="1"/>
  <c r="AY26" i="12"/>
  <c r="BW28" i="12" s="1"/>
  <c r="CA28" i="12" s="1"/>
  <c r="DD24" i="12"/>
  <c r="G32" i="12"/>
  <c r="L31" i="12"/>
  <c r="H31" i="12" s="1"/>
  <c r="BA23" i="12"/>
  <c r="BZ25" i="12"/>
  <c r="BV27" i="12"/>
  <c r="K27" i="12"/>
  <c r="D27" i="12"/>
  <c r="BT27" i="12"/>
  <c r="O29" i="12"/>
  <c r="CY29" i="12" s="1"/>
  <c r="DH29" i="12" s="1"/>
  <c r="BV28" i="12"/>
  <c r="AD24" i="12"/>
  <c r="W25" i="12"/>
  <c r="V24" i="12"/>
  <c r="MH29" i="12"/>
  <c r="BR29" i="12" s="1"/>
  <c r="BP29" i="12"/>
  <c r="LZ23" i="12"/>
  <c r="B145" i="20"/>
  <c r="DH191" i="12" s="1"/>
  <c r="MD30" i="12"/>
  <c r="CO27" i="12"/>
  <c r="DK27" i="12" s="1"/>
  <c r="P30" i="12"/>
  <c r="M30" i="12" s="1"/>
  <c r="F30" i="12"/>
  <c r="LW30" i="12" s="1"/>
  <c r="MA15" i="12"/>
  <c r="B170" i="20"/>
  <c r="DH216" i="12" s="1"/>
  <c r="AR15" i="12"/>
  <c r="B171" i="19"/>
  <c r="AP15" i="12"/>
  <c r="DD26" i="12"/>
  <c r="BS28" i="12"/>
  <c r="X28" i="12" s="1"/>
  <c r="DI28" i="12"/>
  <c r="K28" i="12" l="1"/>
  <c r="BT28" i="12"/>
  <c r="DJ28" i="12"/>
  <c r="I29" i="12"/>
  <c r="AE28" i="12"/>
  <c r="Z30" i="12"/>
  <c r="AG30" i="12" s="1"/>
  <c r="AU28" i="12" s="1"/>
  <c r="BQ30" i="12"/>
  <c r="BU30" i="12"/>
  <c r="O31" i="12"/>
  <c r="I31" i="12" s="1"/>
  <c r="BP30" i="12"/>
  <c r="MH30" i="12"/>
  <c r="BR30" i="12" s="1"/>
  <c r="BV29" i="12"/>
  <c r="BT29" i="12"/>
  <c r="K29" i="12"/>
  <c r="D29" i="12"/>
  <c r="BS29" i="12"/>
  <c r="X29" i="12" s="1"/>
  <c r="B72" i="19"/>
  <c r="B71" i="20"/>
  <c r="DH117" i="12" s="1"/>
  <c r="W26" i="12"/>
  <c r="AD25" i="12"/>
  <c r="V25" i="12"/>
  <c r="DD25" i="12"/>
  <c r="MD31" i="12"/>
  <c r="CO28" i="12"/>
  <c r="DK28" i="12" s="1"/>
  <c r="P31" i="12"/>
  <c r="M31" i="12" s="1"/>
  <c r="F31" i="12"/>
  <c r="LW31" i="12" s="1"/>
  <c r="AH15" i="12"/>
  <c r="AY27" i="12"/>
  <c r="BW29" i="12" s="1"/>
  <c r="CA29" i="12" s="1"/>
  <c r="AC24" i="12"/>
  <c r="B147" i="19"/>
  <c r="G33" i="12"/>
  <c r="L32" i="12"/>
  <c r="DJ29" i="12" s="1"/>
  <c r="BB26" i="12"/>
  <c r="BV30" i="12"/>
  <c r="K30" i="12"/>
  <c r="D30" i="12"/>
  <c r="BT30" i="12"/>
  <c r="B104" i="20"/>
  <c r="B105" i="19"/>
  <c r="DM27" i="12"/>
  <c r="DL27" i="12"/>
  <c r="E28" i="12"/>
  <c r="Y28" i="12"/>
  <c r="AF28" i="12" s="1"/>
  <c r="AT26" i="12" s="1"/>
  <c r="DI29" i="12"/>
  <c r="Y27" i="12"/>
  <c r="AF27" i="12" s="1"/>
  <c r="AT25" i="12" s="1"/>
  <c r="E27" i="12"/>
  <c r="CY30" i="12"/>
  <c r="DH30" i="12" s="1"/>
  <c r="H32" i="12" l="1"/>
  <c r="O32" i="12" s="1"/>
  <c r="Z31" i="12"/>
  <c r="AG31" i="12" s="1"/>
  <c r="AU29" i="12" s="1"/>
  <c r="BU31" i="12"/>
  <c r="BQ31" i="12"/>
  <c r="AE29" i="12"/>
  <c r="DI30" i="12"/>
  <c r="BZ28" i="12"/>
  <c r="BA26" i="12"/>
  <c r="F32" i="12"/>
  <c r="LW32" i="12" s="1"/>
  <c r="CO29" i="12"/>
  <c r="DK29" i="12" s="1"/>
  <c r="MD32" i="12"/>
  <c r="P32" i="12"/>
  <c r="M32" i="12" s="1"/>
  <c r="AQ15" i="12"/>
  <c r="AO15" i="12"/>
  <c r="Y29" i="12"/>
  <c r="AF29" i="12" s="1"/>
  <c r="AT27" i="12" s="1"/>
  <c r="E29" i="12"/>
  <c r="BS30" i="12"/>
  <c r="X30" i="12" s="1"/>
  <c r="DH150" i="12"/>
  <c r="B215" i="20"/>
  <c r="E30" i="12"/>
  <c r="Y30" i="12"/>
  <c r="AF30" i="12" s="1"/>
  <c r="AT28" i="12" s="1"/>
  <c r="MH31" i="12"/>
  <c r="BR31" i="12" s="1"/>
  <c r="BP31" i="12"/>
  <c r="B148" i="19"/>
  <c r="AC25" i="12"/>
  <c r="BV31" i="12"/>
  <c r="D31" i="12"/>
  <c r="BT31" i="12"/>
  <c r="K31" i="12"/>
  <c r="AY28" i="12"/>
  <c r="BW30" i="12" s="1"/>
  <c r="CA30" i="12" s="1"/>
  <c r="BA25" i="12"/>
  <c r="BZ27" i="12"/>
  <c r="G34" i="12"/>
  <c r="L33" i="12"/>
  <c r="H33" i="12" s="1"/>
  <c r="B146" i="20"/>
  <c r="DH192" i="12" s="1"/>
  <c r="LZ24" i="12"/>
  <c r="V26" i="12"/>
  <c r="AD26" i="12"/>
  <c r="W27" i="12"/>
  <c r="CY31" i="12"/>
  <c r="DH31" i="12" s="1"/>
  <c r="BB27" i="12"/>
  <c r="DL28" i="12"/>
  <c r="DM28" i="12"/>
  <c r="CC16" i="12" l="1"/>
  <c r="BB28" i="12"/>
  <c r="CY32" i="12"/>
  <c r="DH32" i="12" s="1"/>
  <c r="AE30" i="12"/>
  <c r="BQ32" i="12"/>
  <c r="BU32" i="12"/>
  <c r="Z32" i="12"/>
  <c r="AG32" i="12" s="1"/>
  <c r="AU30" i="12" s="1"/>
  <c r="V27" i="12"/>
  <c r="W28" i="12"/>
  <c r="AD27" i="12"/>
  <c r="CO30" i="12"/>
  <c r="DK30" i="12" s="1"/>
  <c r="MD33" i="12"/>
  <c r="P33" i="12"/>
  <c r="M33" i="12" s="1"/>
  <c r="F33" i="12"/>
  <c r="LW33" i="12" s="1"/>
  <c r="BA28" i="12"/>
  <c r="BZ30" i="12"/>
  <c r="FY15" i="12"/>
  <c r="HG15" i="12" s="1"/>
  <c r="CF16" i="12"/>
  <c r="GS15" i="12"/>
  <c r="IA15" i="12" s="1"/>
  <c r="GH15" i="12"/>
  <c r="HP15" i="12" s="1"/>
  <c r="BC16" i="12"/>
  <c r="HC15" i="12"/>
  <c r="IK15" i="12" s="1"/>
  <c r="GF15" i="12"/>
  <c r="HN15" i="12" s="1"/>
  <c r="GU15" i="12"/>
  <c r="IC15" i="12" s="1"/>
  <c r="GW15" i="12"/>
  <c r="IE15" i="12" s="1"/>
  <c r="GL15" i="12"/>
  <c r="HT15" i="12" s="1"/>
  <c r="GA15" i="12"/>
  <c r="HI15" i="12" s="1"/>
  <c r="GJ15" i="12"/>
  <c r="HR15" i="12" s="1"/>
  <c r="CG16" i="12"/>
  <c r="HB15" i="12"/>
  <c r="IJ15" i="12" s="1"/>
  <c r="GO15" i="12"/>
  <c r="HW15" i="12" s="1"/>
  <c r="HA15" i="12"/>
  <c r="II15" i="12" s="1"/>
  <c r="GM15" i="12"/>
  <c r="HU15" i="12" s="1"/>
  <c r="GT15" i="12"/>
  <c r="IB15" i="12" s="1"/>
  <c r="GG15" i="12"/>
  <c r="HO15" i="12" s="1"/>
  <c r="GR15" i="12"/>
  <c r="HZ15" i="12" s="1"/>
  <c r="GX15" i="12"/>
  <c r="IF15" i="12" s="1"/>
  <c r="GZ15" i="12"/>
  <c r="IH15" i="12" s="1"/>
  <c r="GV15" i="12"/>
  <c r="ID15" i="12" s="1"/>
  <c r="GY15" i="12"/>
  <c r="IG15" i="12" s="1"/>
  <c r="GK15" i="12"/>
  <c r="HS15" i="12" s="1"/>
  <c r="GP15" i="12"/>
  <c r="HX15" i="12" s="1"/>
  <c r="GD15" i="12"/>
  <c r="HL15" i="12" s="1"/>
  <c r="GI15" i="12"/>
  <c r="HQ15" i="12" s="1"/>
  <c r="GN15" i="12"/>
  <c r="HV15" i="12" s="1"/>
  <c r="GC15" i="12"/>
  <c r="HK15" i="12" s="1"/>
  <c r="CH16" i="12"/>
  <c r="GE15" i="12"/>
  <c r="HM15" i="12" s="1"/>
  <c r="GB15" i="12"/>
  <c r="HJ15" i="12" s="1"/>
  <c r="GQ15" i="12"/>
  <c r="HY15" i="12" s="1"/>
  <c r="FZ15" i="12"/>
  <c r="HH15" i="12" s="1"/>
  <c r="DD28" i="12"/>
  <c r="AC26" i="12"/>
  <c r="B149" i="19"/>
  <c r="G35" i="12"/>
  <c r="L34" i="12"/>
  <c r="H34" i="12" s="1"/>
  <c r="E31" i="12"/>
  <c r="Y31" i="12"/>
  <c r="AF31" i="12" s="1"/>
  <c r="AT29" i="12" s="1"/>
  <c r="B147" i="20"/>
  <c r="DH193" i="12" s="1"/>
  <c r="LZ25" i="12"/>
  <c r="DJ30" i="12"/>
  <c r="BS31" i="12"/>
  <c r="X31" i="12" s="1"/>
  <c r="DI31" i="12"/>
  <c r="DJ31" i="12"/>
  <c r="DI32" i="12"/>
  <c r="BZ29" i="12"/>
  <c r="BA27" i="12"/>
  <c r="MH32" i="12"/>
  <c r="BR32" i="12" s="1"/>
  <c r="BP32" i="12"/>
  <c r="O33" i="12"/>
  <c r="DD27" i="12"/>
  <c r="I32" i="12"/>
  <c r="BM15" i="12"/>
  <c r="BI15" i="12"/>
  <c r="BK15" i="12" s="1"/>
  <c r="BD15" i="12" s="1"/>
  <c r="FM16" i="12"/>
  <c r="FS16" i="12" s="1"/>
  <c r="DL29" i="12"/>
  <c r="DM29" i="12"/>
  <c r="AY29" i="12"/>
  <c r="BW31" i="12" s="1"/>
  <c r="CA31" i="12" s="1"/>
  <c r="CY33" i="12" l="1"/>
  <c r="DH33" i="12" s="1"/>
  <c r="DI33" i="12" s="1"/>
  <c r="I33" i="12"/>
  <c r="AE31" i="12"/>
  <c r="F34" i="12"/>
  <c r="LW34" i="12" s="1"/>
  <c r="CO31" i="12"/>
  <c r="DK31" i="12" s="1"/>
  <c r="MD34" i="12"/>
  <c r="P34" i="12"/>
  <c r="M34" i="12" s="1"/>
  <c r="AC27" i="12"/>
  <c r="B150" i="19"/>
  <c r="BV32" i="12"/>
  <c r="K32" i="12"/>
  <c r="BT32" i="12"/>
  <c r="D32" i="12"/>
  <c r="BV33" i="12"/>
  <c r="D33" i="12"/>
  <c r="K33" i="12"/>
  <c r="BT33" i="12"/>
  <c r="G36" i="12"/>
  <c r="L35" i="12"/>
  <c r="H35" i="12" s="1"/>
  <c r="B148" i="20"/>
  <c r="DH194" i="12" s="1"/>
  <c r="LZ26" i="12"/>
  <c r="EN16" i="12"/>
  <c r="CR16" i="12"/>
  <c r="DE16" i="12"/>
  <c r="W29" i="12"/>
  <c r="V28" i="12"/>
  <c r="AD28" i="12"/>
  <c r="BS32" i="12"/>
  <c r="X32" i="12" s="1"/>
  <c r="BB29" i="12"/>
  <c r="BA29" i="12"/>
  <c r="BZ31" i="12"/>
  <c r="O34" i="12"/>
  <c r="FO16" i="12"/>
  <c r="FX15" i="12"/>
  <c r="MH33" i="12"/>
  <c r="BR33" i="12" s="1"/>
  <c r="BP33" i="12"/>
  <c r="EK15" i="12"/>
  <c r="BE15" i="12"/>
  <c r="BH15" i="12"/>
  <c r="BG15" i="12"/>
  <c r="BF15" i="12"/>
  <c r="EL15" i="12"/>
  <c r="DD29" i="12"/>
  <c r="DD30" i="12"/>
  <c r="Z33" i="12"/>
  <c r="AG33" i="12" s="1"/>
  <c r="AU31" i="12" s="1"/>
  <c r="BU33" i="12"/>
  <c r="BQ33" i="12"/>
  <c r="DM30" i="12"/>
  <c r="DL30" i="12"/>
  <c r="AY30" i="12"/>
  <c r="BW32" i="12" s="1"/>
  <c r="CA32" i="12" s="1"/>
  <c r="CY34" i="12" l="1"/>
  <c r="DH34" i="12" s="1"/>
  <c r="BS33" i="12"/>
  <c r="X33" i="12" s="1"/>
  <c r="BB30" i="12"/>
  <c r="EQ15" i="12"/>
  <c r="AE32" i="12"/>
  <c r="BU34" i="12"/>
  <c r="BQ34" i="12"/>
  <c r="Z34" i="12"/>
  <c r="AG34" i="12" s="1"/>
  <c r="AU32" i="12" s="1"/>
  <c r="AY31" i="12"/>
  <c r="BW33" i="12" s="1"/>
  <c r="CA33" i="12" s="1"/>
  <c r="DI34" i="12"/>
  <c r="AD29" i="12"/>
  <c r="V29" i="12"/>
  <c r="W30" i="12"/>
  <c r="G37" i="12"/>
  <c r="L36" i="12"/>
  <c r="H36" i="12" s="1"/>
  <c r="Y33" i="12"/>
  <c r="AF33" i="12" s="1"/>
  <c r="AT31" i="12" s="1"/>
  <c r="E33" i="12"/>
  <c r="LZ27" i="12"/>
  <c r="B149" i="20"/>
  <c r="DH195" i="12" s="1"/>
  <c r="MH34" i="12"/>
  <c r="BR34" i="12" s="1"/>
  <c r="BP34" i="12"/>
  <c r="DD31" i="12"/>
  <c r="O35" i="12"/>
  <c r="I35" i="12" s="1"/>
  <c r="Y32" i="12"/>
  <c r="AF32" i="12" s="1"/>
  <c r="AT30" i="12" s="1"/>
  <c r="E32" i="12"/>
  <c r="DL31" i="12"/>
  <c r="DM31" i="12"/>
  <c r="FT16" i="12"/>
  <c r="AV14" i="12"/>
  <c r="CB16" i="12" s="1"/>
  <c r="B151" i="19"/>
  <c r="AC28" i="12"/>
  <c r="I34" i="12"/>
  <c r="MD35" i="12"/>
  <c r="P35" i="12"/>
  <c r="M35" i="12" s="1"/>
  <c r="F35" i="12"/>
  <c r="LW35" i="12" s="1"/>
  <c r="CO32" i="12"/>
  <c r="DK32" i="12" s="1"/>
  <c r="DJ32" i="12"/>
  <c r="CD16" i="12" l="1"/>
  <c r="BP35" i="12"/>
  <c r="MH35" i="12"/>
  <c r="BR35" i="12" s="1"/>
  <c r="BV34" i="12"/>
  <c r="D34" i="12"/>
  <c r="K34" i="12"/>
  <c r="BT34" i="12"/>
  <c r="CY35" i="12"/>
  <c r="DH35" i="12" s="1"/>
  <c r="I36" i="12"/>
  <c r="O36" i="12"/>
  <c r="BS34" i="12"/>
  <c r="CO33" i="12"/>
  <c r="DK33" i="12" s="1"/>
  <c r="MD36" i="12"/>
  <c r="P36" i="12"/>
  <c r="M36" i="12" s="1"/>
  <c r="F36" i="12"/>
  <c r="LW36" i="12" s="1"/>
  <c r="DJ33" i="12"/>
  <c r="AC29" i="12"/>
  <c r="B152" i="19"/>
  <c r="BB31" i="12"/>
  <c r="Z35" i="12"/>
  <c r="AG35" i="12" s="1"/>
  <c r="AU33" i="12" s="1"/>
  <c r="BQ35" i="12"/>
  <c r="BU35" i="12"/>
  <c r="BA30" i="12"/>
  <c r="BZ32" i="12"/>
  <c r="G38" i="12"/>
  <c r="L37" i="12"/>
  <c r="DL32" i="12"/>
  <c r="DM32" i="12"/>
  <c r="LZ28" i="12"/>
  <c r="B150" i="20"/>
  <c r="DH196" i="12" s="1"/>
  <c r="BV35" i="12"/>
  <c r="BT35" i="12"/>
  <c r="K35" i="12"/>
  <c r="D35" i="12"/>
  <c r="BA31" i="12"/>
  <c r="BZ33" i="12"/>
  <c r="AD30" i="12"/>
  <c r="V30" i="12"/>
  <c r="W31" i="12"/>
  <c r="AY32" i="12"/>
  <c r="BW34" i="12" s="1"/>
  <c r="CA34" i="12" s="1"/>
  <c r="X34" i="12"/>
  <c r="AE33" i="12"/>
  <c r="BS35" i="12" l="1"/>
  <c r="Z36" i="12"/>
  <c r="AG36" i="12" s="1"/>
  <c r="AU34" i="12" s="1"/>
  <c r="BU36" i="12"/>
  <c r="BQ36" i="12"/>
  <c r="MD37" i="12"/>
  <c r="CO34" i="12"/>
  <c r="DK34" i="12" s="1"/>
  <c r="P37" i="12"/>
  <c r="M37" i="12" s="1"/>
  <c r="F37" i="12"/>
  <c r="LW37" i="12" s="1"/>
  <c r="DJ34" i="12"/>
  <c r="AY33" i="12"/>
  <c r="BW35" i="12" s="1"/>
  <c r="CQ16" i="12"/>
  <c r="CS16" i="12" s="1"/>
  <c r="BV36" i="12"/>
  <c r="BT36" i="12"/>
  <c r="K36" i="12"/>
  <c r="D36" i="12"/>
  <c r="H37" i="12"/>
  <c r="MH36" i="12"/>
  <c r="BR36" i="12" s="1"/>
  <c r="BP36" i="12"/>
  <c r="DC16" i="12"/>
  <c r="DI35" i="12"/>
  <c r="AC30" i="12"/>
  <c r="B153" i="19"/>
  <c r="DD33" i="12"/>
  <c r="Y35" i="12"/>
  <c r="AF35" i="12" s="1"/>
  <c r="AT33" i="12" s="1"/>
  <c r="E35" i="12"/>
  <c r="G39" i="12"/>
  <c r="L38" i="12"/>
  <c r="DJ35" i="12" s="1"/>
  <c r="DL33" i="12"/>
  <c r="DM33" i="12"/>
  <c r="X35" i="12"/>
  <c r="AE34" i="12"/>
  <c r="BB32" i="12"/>
  <c r="W32" i="12"/>
  <c r="AD31" i="12"/>
  <c r="V31" i="12"/>
  <c r="DD32" i="12"/>
  <c r="B151" i="20"/>
  <c r="DH197" i="12" s="1"/>
  <c r="LZ29" i="12"/>
  <c r="CI16" i="12"/>
  <c r="CY36" i="12"/>
  <c r="DH36" i="12" s="1"/>
  <c r="Y34" i="12"/>
  <c r="AF34" i="12" s="1"/>
  <c r="AT32" i="12" s="1"/>
  <c r="E34" i="12"/>
  <c r="BZ34" i="12" l="1"/>
  <c r="BA32" i="12"/>
  <c r="DI36" i="12"/>
  <c r="G40" i="12"/>
  <c r="L39" i="12"/>
  <c r="DJ36" i="12" s="1"/>
  <c r="CK16" i="12"/>
  <c r="CT16" i="12"/>
  <c r="CA35" i="12"/>
  <c r="Y36" i="12"/>
  <c r="AF36" i="12" s="1"/>
  <c r="AT34" i="12" s="1"/>
  <c r="E36" i="12"/>
  <c r="BB33" i="12"/>
  <c r="Z37" i="12"/>
  <c r="AG37" i="12" s="1"/>
  <c r="AU35" i="12" s="1"/>
  <c r="BQ37" i="12"/>
  <c r="BU37" i="12"/>
  <c r="BS36" i="12"/>
  <c r="X36" i="12" s="1"/>
  <c r="AC31" i="12"/>
  <c r="B154" i="19"/>
  <c r="AE35" i="12"/>
  <c r="F38" i="12"/>
  <c r="LW38" i="12" s="1"/>
  <c r="MD38" i="12"/>
  <c r="CO35" i="12"/>
  <c r="DK35" i="12" s="1"/>
  <c r="P38" i="12"/>
  <c r="M38" i="12" s="1"/>
  <c r="BZ35" i="12"/>
  <c r="BA33" i="12"/>
  <c r="DL34" i="12"/>
  <c r="DM34" i="12"/>
  <c r="V32" i="12"/>
  <c r="W33" i="12"/>
  <c r="AD32" i="12"/>
  <c r="H38" i="12"/>
  <c r="B152" i="20"/>
  <c r="DH198" i="12" s="1"/>
  <c r="LZ30" i="12"/>
  <c r="O37" i="12"/>
  <c r="CY37" i="12" s="1"/>
  <c r="DH37" i="12" s="1"/>
  <c r="MH37" i="12"/>
  <c r="BR37" i="12" s="1"/>
  <c r="BP37" i="12"/>
  <c r="AY34" i="12"/>
  <c r="BW36" i="12" s="1"/>
  <c r="I37" i="12" l="1"/>
  <c r="BU38" i="12"/>
  <c r="BQ38" i="12"/>
  <c r="Z38" i="12"/>
  <c r="AG38" i="12" s="1"/>
  <c r="AU36" i="12" s="1"/>
  <c r="AC32" i="12"/>
  <c r="B155" i="19"/>
  <c r="DD35" i="12"/>
  <c r="MH38" i="12"/>
  <c r="BR38" i="12" s="1"/>
  <c r="BP38" i="12"/>
  <c r="CL16" i="12"/>
  <c r="EU6" i="12" s="1"/>
  <c r="CM16" i="12"/>
  <c r="FC16" i="12" s="1"/>
  <c r="CN16" i="12"/>
  <c r="CP16" i="12" s="1"/>
  <c r="DD34" i="12"/>
  <c r="BV37" i="12"/>
  <c r="BT37" i="12"/>
  <c r="K37" i="12"/>
  <c r="D37" i="12"/>
  <c r="DI37" i="12"/>
  <c r="AD33" i="12"/>
  <c r="W34" i="12"/>
  <c r="V33" i="12"/>
  <c r="BS37" i="12"/>
  <c r="X37" i="12" s="1"/>
  <c r="BA34" i="12"/>
  <c r="BZ36" i="12"/>
  <c r="F39" i="12"/>
  <c r="LW39" i="12" s="1"/>
  <c r="MD39" i="12"/>
  <c r="CO36" i="12"/>
  <c r="DK36" i="12" s="1"/>
  <c r="P39" i="12"/>
  <c r="M39" i="12" s="1"/>
  <c r="AE36" i="12"/>
  <c r="B153" i="20"/>
  <c r="DH199" i="12" s="1"/>
  <c r="LZ31" i="12"/>
  <c r="AY35" i="12"/>
  <c r="BW37" i="12" s="1"/>
  <c r="CA37" i="12" s="1"/>
  <c r="L40" i="12"/>
  <c r="G41" i="12"/>
  <c r="CA36" i="12"/>
  <c r="BB34" i="12"/>
  <c r="O38" i="12"/>
  <c r="CY38" i="12" s="1"/>
  <c r="DH38" i="12" s="1"/>
  <c r="DM35" i="12"/>
  <c r="DL35" i="12"/>
  <c r="H39" i="12"/>
  <c r="DA16" i="12"/>
  <c r="BB35" i="12" l="1"/>
  <c r="I38" i="12"/>
  <c r="K38" i="12" s="1"/>
  <c r="Z39" i="12"/>
  <c r="AG39" i="12" s="1"/>
  <c r="AU37" i="12" s="1"/>
  <c r="BQ39" i="12"/>
  <c r="BU39" i="12"/>
  <c r="AE37" i="12"/>
  <c r="BV38" i="12"/>
  <c r="BT38" i="12"/>
  <c r="CO37" i="12"/>
  <c r="DK37" i="12" s="1"/>
  <c r="MD40" i="12"/>
  <c r="P40" i="12"/>
  <c r="M40" i="12" s="1"/>
  <c r="F40" i="12"/>
  <c r="DJ37" i="12"/>
  <c r="ET16" i="12"/>
  <c r="AL16" i="12"/>
  <c r="AY36" i="12"/>
  <c r="BW38" i="12" s="1"/>
  <c r="CA38" i="12" s="1"/>
  <c r="DD36" i="12"/>
  <c r="BS38" i="12"/>
  <c r="X38" i="12" s="1"/>
  <c r="CZ16" i="12"/>
  <c r="DB16" i="12"/>
  <c r="V34" i="12"/>
  <c r="W35" i="12"/>
  <c r="AD34" i="12"/>
  <c r="H40" i="12"/>
  <c r="DM36" i="12"/>
  <c r="DL36" i="12"/>
  <c r="O39" i="12"/>
  <c r="CY39" i="12" s="1"/>
  <c r="DH39" i="12" s="1"/>
  <c r="DI38" i="12"/>
  <c r="L41" i="12"/>
  <c r="H41" i="12" s="1"/>
  <c r="G42" i="12"/>
  <c r="BP39" i="12"/>
  <c r="MH39" i="12"/>
  <c r="BR39" i="12" s="1"/>
  <c r="AC33" i="12"/>
  <c r="B156" i="19"/>
  <c r="Y37" i="12"/>
  <c r="AF37" i="12" s="1"/>
  <c r="AT35" i="12" s="1"/>
  <c r="E37" i="12"/>
  <c r="AM16" i="12"/>
  <c r="LZ32" i="12"/>
  <c r="B154" i="20"/>
  <c r="DH200" i="12" s="1"/>
  <c r="D38" i="12" l="1"/>
  <c r="AE38" i="12"/>
  <c r="O41" i="12"/>
  <c r="I41" i="12" s="1"/>
  <c r="G43" i="12"/>
  <c r="L42" i="12"/>
  <c r="DJ39" i="12" s="1"/>
  <c r="B155" i="20"/>
  <c r="DH201" i="12" s="1"/>
  <c r="LZ33" i="12"/>
  <c r="I39" i="12"/>
  <c r="O40" i="12"/>
  <c r="CY40" i="12" s="1"/>
  <c r="DH40" i="12" s="1"/>
  <c r="B39" i="19"/>
  <c r="B39" i="20"/>
  <c r="DH85" i="12" s="1"/>
  <c r="DG16" i="12"/>
  <c r="EM16" i="12" s="1"/>
  <c r="Y38" i="12"/>
  <c r="AF38" i="12" s="1"/>
  <c r="AT36" i="12" s="1"/>
  <c r="E38" i="12"/>
  <c r="BZ37" i="12"/>
  <c r="BA35" i="12"/>
  <c r="CO38" i="12"/>
  <c r="DK38" i="12" s="1"/>
  <c r="P41" i="12"/>
  <c r="M41" i="12" s="1"/>
  <c r="F41" i="12"/>
  <c r="MD41" i="12"/>
  <c r="DI39" i="12"/>
  <c r="DT94" i="12"/>
  <c r="DU94" i="12"/>
  <c r="B157" i="19"/>
  <c r="AC34" i="12"/>
  <c r="B6" i="20"/>
  <c r="DH52" i="12" s="1"/>
  <c r="B7" i="19"/>
  <c r="MH40" i="12"/>
  <c r="BR40" i="12" s="1"/>
  <c r="BP40" i="12"/>
  <c r="FD16" i="12"/>
  <c r="FE16" i="12" s="1"/>
  <c r="FF16" i="12" s="1"/>
  <c r="DJ38" i="12"/>
  <c r="W36" i="12"/>
  <c r="V35" i="12"/>
  <c r="AD35" i="12"/>
  <c r="BB36" i="12"/>
  <c r="DL37" i="12"/>
  <c r="DM37" i="12"/>
  <c r="BS39" i="12"/>
  <c r="X39" i="12" s="1"/>
  <c r="AK16" i="12"/>
  <c r="EU16" i="12"/>
  <c r="EV16" i="12" s="1"/>
  <c r="EW16" i="12" s="1"/>
  <c r="BU40" i="12"/>
  <c r="Z40" i="12"/>
  <c r="AG40" i="12" s="1"/>
  <c r="AU38" i="12" s="1"/>
  <c r="BQ40" i="12"/>
  <c r="AY37" i="12"/>
  <c r="BW39" i="12" s="1"/>
  <c r="CA39" i="12" s="1"/>
  <c r="I40" i="12" l="1"/>
  <c r="AE39" i="12"/>
  <c r="BQ41" i="12"/>
  <c r="Z41" i="12"/>
  <c r="AG41" i="12" s="1"/>
  <c r="AU39" i="12" s="1"/>
  <c r="BU41" i="12"/>
  <c r="BV41" i="12"/>
  <c r="D41" i="12"/>
  <c r="K41" i="12"/>
  <c r="BT41" i="12"/>
  <c r="AY38" i="12"/>
  <c r="BW40" i="12" s="1"/>
  <c r="CA40" i="12" s="1"/>
  <c r="MH41" i="12"/>
  <c r="BR41" i="12" s="1"/>
  <c r="BP41" i="12"/>
  <c r="DM38" i="12"/>
  <c r="DL38" i="12"/>
  <c r="BV39" i="12"/>
  <c r="D39" i="12"/>
  <c r="K39" i="12"/>
  <c r="BT39" i="12"/>
  <c r="B172" i="19"/>
  <c r="B171" i="20"/>
  <c r="DH217" i="12" s="1"/>
  <c r="MA16" i="12"/>
  <c r="AR16" i="12"/>
  <c r="AP16" i="12"/>
  <c r="BA36" i="12"/>
  <c r="BZ38" i="12"/>
  <c r="CO39" i="12"/>
  <c r="MD42" i="12"/>
  <c r="F42" i="12"/>
  <c r="P42" i="12"/>
  <c r="M42" i="12" s="1"/>
  <c r="CY41" i="12"/>
  <c r="DH41" i="12" s="1"/>
  <c r="FA16" i="12"/>
  <c r="AI16" i="12" s="1"/>
  <c r="EX17" i="12"/>
  <c r="EY18" i="12" s="1"/>
  <c r="EZ19" i="12" s="1"/>
  <c r="B156" i="20"/>
  <c r="DH202" i="12" s="1"/>
  <c r="LZ34" i="12"/>
  <c r="BV40" i="12"/>
  <c r="K40" i="12"/>
  <c r="BT40" i="12"/>
  <c r="D40" i="12"/>
  <c r="G44" i="12"/>
  <c r="G45" i="12" s="1"/>
  <c r="L43" i="12"/>
  <c r="H43" i="12" s="1"/>
  <c r="B158" i="19"/>
  <c r="AC35" i="12"/>
  <c r="BB37" i="12"/>
  <c r="BS40" i="12"/>
  <c r="X40" i="12" s="1"/>
  <c r="V36" i="12"/>
  <c r="W37" i="12"/>
  <c r="AD36" i="12"/>
  <c r="FJ16" i="12"/>
  <c r="AJ16" i="12" s="1"/>
  <c r="FG17" i="12"/>
  <c r="FH18" i="12" s="1"/>
  <c r="FI19" i="12" s="1"/>
  <c r="DD37" i="12"/>
  <c r="DI40" i="12"/>
  <c r="H42" i="12"/>
  <c r="DJ40" i="12" l="1"/>
  <c r="L45" i="12"/>
  <c r="H45" i="12"/>
  <c r="O45" i="12" s="1"/>
  <c r="I45" i="12" s="1"/>
  <c r="BU42" i="12"/>
  <c r="BQ42" i="12"/>
  <c r="Z42" i="12"/>
  <c r="AG42" i="12" s="1"/>
  <c r="AU40" i="12" s="1"/>
  <c r="AE40" i="12"/>
  <c r="O43" i="12"/>
  <c r="O42" i="12"/>
  <c r="CY42" i="12" s="1"/>
  <c r="DH42" i="12" s="1"/>
  <c r="B157" i="20"/>
  <c r="DH203" i="12" s="1"/>
  <c r="LZ35" i="12"/>
  <c r="L44" i="12"/>
  <c r="H44" i="12" s="1"/>
  <c r="Y40" i="12"/>
  <c r="AF40" i="12" s="1"/>
  <c r="AT38" i="12" s="1"/>
  <c r="E40" i="12"/>
  <c r="DI41" i="12"/>
  <c r="BP42" i="12"/>
  <c r="MH42" i="12"/>
  <c r="BR42" i="12" s="1"/>
  <c r="E39" i="12"/>
  <c r="Y39" i="12"/>
  <c r="AF39" i="12" s="1"/>
  <c r="AT37" i="12" s="1"/>
  <c r="BB38" i="12"/>
  <c r="Y41" i="12"/>
  <c r="AF41" i="12" s="1"/>
  <c r="AT39" i="12" s="1"/>
  <c r="E41" i="12"/>
  <c r="AY39" i="12"/>
  <c r="BW41" i="12" s="1"/>
  <c r="CA41" i="12" s="1"/>
  <c r="DK39" i="12"/>
  <c r="DT97" i="12"/>
  <c r="DU97" i="12"/>
  <c r="B105" i="20"/>
  <c r="B106" i="19"/>
  <c r="BS41" i="12"/>
  <c r="X41" i="12" s="1"/>
  <c r="B159" i="19"/>
  <c r="AC36" i="12"/>
  <c r="DD38" i="12"/>
  <c r="B73" i="19"/>
  <c r="B72" i="20"/>
  <c r="DH118" i="12" s="1"/>
  <c r="DT96" i="12"/>
  <c r="DU96" i="12"/>
  <c r="AD37" i="12"/>
  <c r="W38" i="12"/>
  <c r="V37" i="12"/>
  <c r="MD43" i="12"/>
  <c r="P43" i="12"/>
  <c r="M43" i="12" s="1"/>
  <c r="CO40" i="12"/>
  <c r="DK40" i="12" s="1"/>
  <c r="F43" i="12"/>
  <c r="AH16" i="12"/>
  <c r="BT45" i="12" l="1"/>
  <c r="BV45" i="12"/>
  <c r="D45" i="12"/>
  <c r="K45" i="12"/>
  <c r="P45" i="12"/>
  <c r="CY45" i="12" s="1"/>
  <c r="F45" i="12"/>
  <c r="CO42" i="12"/>
  <c r="DK42" i="12" s="1"/>
  <c r="DL42" i="12" s="1"/>
  <c r="MD45" i="12"/>
  <c r="BB39" i="12"/>
  <c r="AE41" i="12"/>
  <c r="Z43" i="12"/>
  <c r="AG43" i="12" s="1"/>
  <c r="AU41" i="12" s="1"/>
  <c r="BQ43" i="12"/>
  <c r="BU43" i="12"/>
  <c r="O44" i="12"/>
  <c r="I44" i="12"/>
  <c r="B158" i="20"/>
  <c r="DH204" i="12" s="1"/>
  <c r="LZ36" i="12"/>
  <c r="B216" i="20"/>
  <c r="DH151" i="12"/>
  <c r="BA37" i="12"/>
  <c r="BZ39" i="12"/>
  <c r="DJ41" i="12"/>
  <c r="I42" i="12"/>
  <c r="CO41" i="12"/>
  <c r="DK41" i="12" s="1"/>
  <c r="MD44" i="12"/>
  <c r="F44" i="12"/>
  <c r="P44" i="12"/>
  <c r="M44" i="12" s="1"/>
  <c r="CY43" i="12"/>
  <c r="AY40" i="12"/>
  <c r="BW42" i="12" s="1"/>
  <c r="CA42" i="12" s="1"/>
  <c r="AQ16" i="12"/>
  <c r="AO16" i="12"/>
  <c r="MH43" i="12"/>
  <c r="BR43" i="12" s="1"/>
  <c r="BP43" i="12"/>
  <c r="BZ41" i="12"/>
  <c r="BA39" i="12"/>
  <c r="I43" i="12"/>
  <c r="BS42" i="12"/>
  <c r="X42" i="12" s="1"/>
  <c r="AD38" i="12"/>
  <c r="V38" i="12"/>
  <c r="W39" i="12"/>
  <c r="AC37" i="12"/>
  <c r="B160" i="19"/>
  <c r="DM40" i="12"/>
  <c r="DL40" i="12"/>
  <c r="DM39" i="12"/>
  <c r="DL39" i="12"/>
  <c r="BZ40" i="12"/>
  <c r="BA38" i="12"/>
  <c r="DI42" i="12"/>
  <c r="DJ42" i="12"/>
  <c r="M45" i="12" l="1"/>
  <c r="E45" i="12"/>
  <c r="Y45" i="12"/>
  <c r="AF45" i="12" s="1"/>
  <c r="AT43" i="12" s="1"/>
  <c r="BQ45" i="12"/>
  <c r="BU45" i="12"/>
  <c r="Z45" i="12"/>
  <c r="AG45" i="12" s="1"/>
  <c r="AU43" i="12" s="1"/>
  <c r="BP45" i="12"/>
  <c r="MH45" i="12"/>
  <c r="BR45" i="12" s="1"/>
  <c r="BB40" i="12"/>
  <c r="AE42" i="12"/>
  <c r="BU44" i="12"/>
  <c r="Z44" i="12"/>
  <c r="AG44" i="12" s="1"/>
  <c r="AU42" i="12" s="1"/>
  <c r="BQ44" i="12"/>
  <c r="B159" i="20"/>
  <c r="DH205" i="12" s="1"/>
  <c r="LZ37" i="12"/>
  <c r="B161" i="19"/>
  <c r="AC38" i="12"/>
  <c r="BM16" i="12"/>
  <c r="BI16" i="12"/>
  <c r="BK16" i="12" s="1"/>
  <c r="BD16" i="12" s="1"/>
  <c r="FM17" i="12"/>
  <c r="FS17" i="12" s="1"/>
  <c r="BS43" i="12"/>
  <c r="X43" i="12" s="1"/>
  <c r="DD41" i="12"/>
  <c r="FY16" i="12"/>
  <c r="HG16" i="12" s="1"/>
  <c r="GE16" i="12"/>
  <c r="HM16" i="12" s="1"/>
  <c r="JS16" i="12"/>
  <c r="LA16" i="12" s="1"/>
  <c r="HC16" i="12"/>
  <c r="IK16" i="12" s="1"/>
  <c r="JL16" i="12"/>
  <c r="KT16" i="12" s="1"/>
  <c r="GS16" i="12"/>
  <c r="IA16" i="12" s="1"/>
  <c r="GZ16" i="12"/>
  <c r="IH16" i="12" s="1"/>
  <c r="GH16" i="12"/>
  <c r="HP16" i="12" s="1"/>
  <c r="GO16" i="12"/>
  <c r="HW16" i="12" s="1"/>
  <c r="GJ16" i="12"/>
  <c r="HR16" i="12" s="1"/>
  <c r="GL16" i="12"/>
  <c r="HT16" i="12" s="1"/>
  <c r="GQ16" i="12"/>
  <c r="HY16" i="12" s="1"/>
  <c r="JN16" i="12"/>
  <c r="KV16" i="12" s="1"/>
  <c r="IT16" i="12"/>
  <c r="KB16" i="12" s="1"/>
  <c r="JK16" i="12"/>
  <c r="KS16" i="12" s="1"/>
  <c r="GU16" i="12"/>
  <c r="IC16" i="12" s="1"/>
  <c r="IS16" i="12"/>
  <c r="KA16" i="12" s="1"/>
  <c r="JI16" i="12"/>
  <c r="KQ16" i="12" s="1"/>
  <c r="JJ16" i="12"/>
  <c r="KR16" i="12" s="1"/>
  <c r="GF16" i="12"/>
  <c r="HN16" i="12" s="1"/>
  <c r="JF16" i="12"/>
  <c r="KN16" i="12" s="1"/>
  <c r="GC16" i="12"/>
  <c r="HK16" i="12" s="1"/>
  <c r="JT16" i="12"/>
  <c r="LB16" i="12" s="1"/>
  <c r="GT16" i="12"/>
  <c r="IB16" i="12" s="1"/>
  <c r="JH16" i="12"/>
  <c r="KP16" i="12" s="1"/>
  <c r="BC17" i="12"/>
  <c r="GW16" i="12"/>
  <c r="IE16" i="12" s="1"/>
  <c r="JD16" i="12"/>
  <c r="KL16" i="12" s="1"/>
  <c r="JO16" i="12"/>
  <c r="KW16" i="12" s="1"/>
  <c r="IZ16" i="12"/>
  <c r="KH16" i="12" s="1"/>
  <c r="GV16" i="12"/>
  <c r="ID16" i="12" s="1"/>
  <c r="JA16" i="12"/>
  <c r="KI16" i="12" s="1"/>
  <c r="FZ16" i="12"/>
  <c r="HH16" i="12" s="1"/>
  <c r="IR16" i="12"/>
  <c r="JZ16" i="12" s="1"/>
  <c r="IP16" i="12"/>
  <c r="JQ16" i="12"/>
  <c r="KY16" i="12" s="1"/>
  <c r="IQ16" i="12"/>
  <c r="JY16" i="12" s="1"/>
  <c r="GD16" i="12"/>
  <c r="HL16" i="12" s="1"/>
  <c r="IV16" i="12"/>
  <c r="KD16" i="12" s="1"/>
  <c r="IX16" i="12"/>
  <c r="KF16" i="12" s="1"/>
  <c r="GX16" i="12"/>
  <c r="IF16" i="12" s="1"/>
  <c r="CG17" i="12"/>
  <c r="JE16" i="12"/>
  <c r="KM16" i="12" s="1"/>
  <c r="GM16" i="12"/>
  <c r="HU16" i="12" s="1"/>
  <c r="GR16" i="12"/>
  <c r="HZ16" i="12" s="1"/>
  <c r="CH17" i="12"/>
  <c r="JC16" i="12"/>
  <c r="KK16" i="12" s="1"/>
  <c r="JB16" i="12"/>
  <c r="KJ16" i="12" s="1"/>
  <c r="GG16" i="12"/>
  <c r="HO16" i="12" s="1"/>
  <c r="HA16" i="12"/>
  <c r="II16" i="12" s="1"/>
  <c r="GN16" i="12"/>
  <c r="HV16" i="12" s="1"/>
  <c r="HB16" i="12"/>
  <c r="IJ16" i="12" s="1"/>
  <c r="GI16" i="12"/>
  <c r="HQ16" i="12" s="1"/>
  <c r="GB16" i="12"/>
  <c r="HJ16" i="12" s="1"/>
  <c r="CF17" i="12"/>
  <c r="CC17" i="12"/>
  <c r="JR16" i="12"/>
  <c r="KZ16" i="12" s="1"/>
  <c r="JP16" i="12"/>
  <c r="KX16" i="12" s="1"/>
  <c r="GA16" i="12"/>
  <c r="HI16" i="12" s="1"/>
  <c r="IY16" i="12"/>
  <c r="KG16" i="12" s="1"/>
  <c r="JG16" i="12"/>
  <c r="KO16" i="12" s="1"/>
  <c r="IU16" i="12"/>
  <c r="KC16" i="12" s="1"/>
  <c r="GY16" i="12"/>
  <c r="IG16" i="12" s="1"/>
  <c r="JM16" i="12"/>
  <c r="KU16" i="12" s="1"/>
  <c r="IW16" i="12"/>
  <c r="KE16" i="12" s="1"/>
  <c r="GK16" i="12"/>
  <c r="HS16" i="12" s="1"/>
  <c r="GP16" i="12"/>
  <c r="HX16" i="12" s="1"/>
  <c r="MH44" i="12"/>
  <c r="BR44" i="12" s="1"/>
  <c r="BP44" i="12"/>
  <c r="BV42" i="12"/>
  <c r="K42" i="12"/>
  <c r="D42" i="12"/>
  <c r="BT42" i="12"/>
  <c r="DM42" i="12"/>
  <c r="BV44" i="12"/>
  <c r="D44" i="12"/>
  <c r="BT44" i="12"/>
  <c r="K44" i="12"/>
  <c r="AY41" i="12"/>
  <c r="BW43" i="12" s="1"/>
  <c r="CA43" i="12" s="1"/>
  <c r="DD40" i="12"/>
  <c r="AD39" i="12"/>
  <c r="V39" i="12"/>
  <c r="W40" i="12"/>
  <c r="BV43" i="12"/>
  <c r="BT43" i="12"/>
  <c r="K43" i="12"/>
  <c r="D43" i="12"/>
  <c r="DM41" i="12"/>
  <c r="DL41" i="12"/>
  <c r="CY44" i="12"/>
  <c r="DD39" i="12"/>
  <c r="DT88" i="12"/>
  <c r="DU88" i="12"/>
  <c r="BB41" i="12" l="1"/>
  <c r="AY43" i="12"/>
  <c r="BW45" i="12" s="1"/>
  <c r="CA45" i="12" s="1"/>
  <c r="BS45" i="12"/>
  <c r="BA43" i="12"/>
  <c r="BZ45" i="12"/>
  <c r="AE43" i="12"/>
  <c r="AC39" i="12"/>
  <c r="B162" i="19"/>
  <c r="B160" i="20"/>
  <c r="DH206" i="12" s="1"/>
  <c r="LZ38" i="12"/>
  <c r="AY42" i="12"/>
  <c r="BW44" i="12" s="1"/>
  <c r="CA44" i="12" s="1"/>
  <c r="Y42" i="12"/>
  <c r="AF42" i="12" s="1"/>
  <c r="AT40" i="12" s="1"/>
  <c r="E42" i="12"/>
  <c r="CR17" i="12"/>
  <c r="DE17" i="12"/>
  <c r="EN17" i="12"/>
  <c r="FO17" i="12"/>
  <c r="FX16" i="12"/>
  <c r="AD40" i="12"/>
  <c r="V40" i="12"/>
  <c r="W41" i="12"/>
  <c r="E44" i="12"/>
  <c r="Y44" i="12"/>
  <c r="AF44" i="12" s="1"/>
  <c r="AT42" i="12" s="1"/>
  <c r="JX16" i="12"/>
  <c r="FP17" i="12" s="1"/>
  <c r="AW15" i="12" s="1"/>
  <c r="AZ15" i="12" s="1"/>
  <c r="BX17" i="12" s="1"/>
  <c r="IO16" i="12"/>
  <c r="BH16" i="12"/>
  <c r="EK16" i="12"/>
  <c r="BG16" i="12"/>
  <c r="BE16" i="12"/>
  <c r="BF16" i="12"/>
  <c r="EL16" i="12"/>
  <c r="E43" i="12"/>
  <c r="Y43" i="12"/>
  <c r="AF43" i="12" s="1"/>
  <c r="AT41" i="12" s="1"/>
  <c r="BS44" i="12"/>
  <c r="X44" i="12" s="1"/>
  <c r="BB43" i="12" l="1"/>
  <c r="AE44" i="12"/>
  <c r="X45" i="12"/>
  <c r="EQ16" i="12"/>
  <c r="AD41" i="12"/>
  <c r="V41" i="12"/>
  <c r="W42" i="12"/>
  <c r="BZ43" i="12"/>
  <c r="BA41" i="12"/>
  <c r="AV15" i="12"/>
  <c r="CB17" i="12" s="1"/>
  <c r="FT17" i="12"/>
  <c r="B161" i="20"/>
  <c r="DH207" i="12" s="1"/>
  <c r="LZ39" i="12"/>
  <c r="BZ44" i="12"/>
  <c r="BA42" i="12"/>
  <c r="AC40" i="12"/>
  <c r="B163" i="19"/>
  <c r="BB42" i="12"/>
  <c r="BZ42" i="12"/>
  <c r="BA40" i="12"/>
  <c r="AE45" i="12" l="1"/>
  <c r="CD17" i="12"/>
  <c r="DC17" i="12" s="1"/>
  <c r="W43" i="12"/>
  <c r="AD42" i="12"/>
  <c r="V42" i="12"/>
  <c r="B162" i="20"/>
  <c r="DH208" i="12" s="1"/>
  <c r="DD42" i="12"/>
  <c r="B164" i="19"/>
  <c r="AC41" i="12"/>
  <c r="CI17" i="12" l="1"/>
  <c r="CK17" i="12" s="1"/>
  <c r="CL17" i="12" s="1"/>
  <c r="B163" i="20"/>
  <c r="DH209" i="12" s="1"/>
  <c r="AC42" i="12"/>
  <c r="B165" i="19"/>
  <c r="AD43" i="12"/>
  <c r="V43" i="12"/>
  <c r="W44" i="12"/>
  <c r="W45" i="12" s="1"/>
  <c r="CQ17" i="12"/>
  <c r="CS17" i="12" s="1"/>
  <c r="AD45" i="12" l="1"/>
  <c r="AC45" i="12" s="1"/>
  <c r="V45" i="12"/>
  <c r="CM17" i="12"/>
  <c r="CN17" i="12"/>
  <c r="CP17" i="12" s="1"/>
  <c r="DA17" i="12"/>
  <c r="CZ17" i="12" s="1"/>
  <c r="V44" i="12"/>
  <c r="AD44" i="12"/>
  <c r="B166" i="19"/>
  <c r="AC43" i="12"/>
  <c r="CT17" i="12"/>
  <c r="B164" i="20"/>
  <c r="DH210" i="12" s="1"/>
  <c r="AL17" i="12"/>
  <c r="ET17" i="12"/>
  <c r="DB17" i="12" l="1"/>
  <c r="B40" i="20" s="1"/>
  <c r="DH86" i="12" s="1"/>
  <c r="AM17" i="12"/>
  <c r="FD17" i="12" s="1"/>
  <c r="FC17" i="12"/>
  <c r="AC44" i="12"/>
  <c r="B165" i="20"/>
  <c r="DH211" i="12" s="1"/>
  <c r="DG17" i="12"/>
  <c r="EM17" i="12" s="1"/>
  <c r="EU17" i="12"/>
  <c r="EV17" i="12" s="1"/>
  <c r="EW17" i="12" s="1"/>
  <c r="B8" i="19"/>
  <c r="B7" i="20"/>
  <c r="DH53" i="12" s="1"/>
  <c r="B40" i="19" l="1"/>
  <c r="FE17" i="12"/>
  <c r="FF17" i="12" s="1"/>
  <c r="FG18" i="12" s="1"/>
  <c r="FH19" i="12" s="1"/>
  <c r="FI20" i="12" s="1"/>
  <c r="AK17" i="12"/>
  <c r="MA17" i="12" s="1"/>
  <c r="EX18" i="12"/>
  <c r="EY19" i="12" s="1"/>
  <c r="EZ20" i="12" s="1"/>
  <c r="FA17" i="12"/>
  <c r="AI17" i="12" s="1"/>
  <c r="FJ17" i="12" l="1"/>
  <c r="AJ17" i="12" s="1"/>
  <c r="AH17" i="12" s="1"/>
  <c r="B173" i="19"/>
  <c r="AP17" i="12"/>
  <c r="B107" i="19" s="1"/>
  <c r="AR17" i="12"/>
  <c r="B73" i="20" s="1"/>
  <c r="DH119" i="12" s="1"/>
  <c r="B172" i="20"/>
  <c r="DH218" i="12" s="1"/>
  <c r="B106" i="20" l="1"/>
  <c r="DH152" i="12" s="1"/>
  <c r="B74" i="19"/>
  <c r="AQ17" i="12"/>
  <c r="AO17" i="12"/>
  <c r="B217" i="20" l="1"/>
  <c r="BM17" i="12"/>
  <c r="BI17" i="12"/>
  <c r="BK17" i="12" s="1"/>
  <c r="BD17" i="12" s="1"/>
  <c r="FM18" i="12"/>
  <c r="FS18" i="12" s="1"/>
  <c r="CF18" i="12"/>
  <c r="JT17" i="12"/>
  <c r="LB17" i="12" s="1"/>
  <c r="GV17" i="12"/>
  <c r="ID17" i="12" s="1"/>
  <c r="FZ17" i="12"/>
  <c r="HH17" i="12" s="1"/>
  <c r="IX17" i="12"/>
  <c r="KF17" i="12" s="1"/>
  <c r="GS17" i="12"/>
  <c r="IA17" i="12" s="1"/>
  <c r="GQ17" i="12"/>
  <c r="HY17" i="12" s="1"/>
  <c r="GZ17" i="12"/>
  <c r="IH17" i="12" s="1"/>
  <c r="GY17" i="12"/>
  <c r="IG17" i="12" s="1"/>
  <c r="GD17" i="12"/>
  <c r="HL17" i="12" s="1"/>
  <c r="JM17" i="12"/>
  <c r="KU17" i="12" s="1"/>
  <c r="GO17" i="12"/>
  <c r="HW17" i="12" s="1"/>
  <c r="JI17" i="12"/>
  <c r="KQ17" i="12" s="1"/>
  <c r="JL17" i="12"/>
  <c r="KT17" i="12" s="1"/>
  <c r="JH17" i="12"/>
  <c r="KP17" i="12" s="1"/>
  <c r="HB17" i="12"/>
  <c r="IJ17" i="12" s="1"/>
  <c r="GI17" i="12"/>
  <c r="HQ17" i="12" s="1"/>
  <c r="JF17" i="12"/>
  <c r="KN17" i="12" s="1"/>
  <c r="CC18" i="12"/>
  <c r="HA17" i="12"/>
  <c r="II17" i="12" s="1"/>
  <c r="GE17" i="12"/>
  <c r="HM17" i="12" s="1"/>
  <c r="JD17" i="12"/>
  <c r="KL17" i="12" s="1"/>
  <c r="JR17" i="12"/>
  <c r="KZ17" i="12" s="1"/>
  <c r="JN17" i="12"/>
  <c r="KV17" i="12" s="1"/>
  <c r="JS17" i="12"/>
  <c r="LA17" i="12" s="1"/>
  <c r="JE17" i="12"/>
  <c r="KM17" i="12" s="1"/>
  <c r="GU17" i="12"/>
  <c r="IC17" i="12" s="1"/>
  <c r="GK17" i="12"/>
  <c r="HS17" i="12" s="1"/>
  <c r="GJ17" i="12"/>
  <c r="HR17" i="12" s="1"/>
  <c r="HC17" i="12"/>
  <c r="IK17" i="12" s="1"/>
  <c r="IV17" i="12"/>
  <c r="KD17" i="12" s="1"/>
  <c r="FY17" i="12"/>
  <c r="HG17" i="12" s="1"/>
  <c r="IP17" i="12"/>
  <c r="IR17" i="12"/>
  <c r="JZ17" i="12" s="1"/>
  <c r="JC17" i="12"/>
  <c r="KK17" i="12" s="1"/>
  <c r="GR17" i="12"/>
  <c r="HZ17" i="12" s="1"/>
  <c r="JJ17" i="12"/>
  <c r="KR17" i="12" s="1"/>
  <c r="CG18" i="12"/>
  <c r="IW17" i="12"/>
  <c r="KE17" i="12" s="1"/>
  <c r="GX17" i="12"/>
  <c r="IF17" i="12" s="1"/>
  <c r="JO17" i="12"/>
  <c r="KW17" i="12" s="1"/>
  <c r="GN17" i="12"/>
  <c r="HV17" i="12" s="1"/>
  <c r="IT17" i="12"/>
  <c r="KB17" i="12" s="1"/>
  <c r="IU17" i="12"/>
  <c r="KC17" i="12" s="1"/>
  <c r="GW17" i="12"/>
  <c r="IE17" i="12" s="1"/>
  <c r="GF17" i="12"/>
  <c r="HN17" i="12" s="1"/>
  <c r="IS17" i="12"/>
  <c r="KA17" i="12" s="1"/>
  <c r="JB17" i="12"/>
  <c r="KJ17" i="12" s="1"/>
  <c r="GP17" i="12"/>
  <c r="HX17" i="12" s="1"/>
  <c r="GL17" i="12"/>
  <c r="HT17" i="12" s="1"/>
  <c r="JQ17" i="12"/>
  <c r="KY17" i="12" s="1"/>
  <c r="GT17" i="12"/>
  <c r="IB17" i="12" s="1"/>
  <c r="GA17" i="12"/>
  <c r="HI17" i="12" s="1"/>
  <c r="IY17" i="12"/>
  <c r="KG17" i="12" s="1"/>
  <c r="GM17" i="12"/>
  <c r="HU17" i="12" s="1"/>
  <c r="GC17" i="12"/>
  <c r="HK17" i="12" s="1"/>
  <c r="JK17" i="12"/>
  <c r="KS17" i="12" s="1"/>
  <c r="GB17" i="12"/>
  <c r="HJ17" i="12" s="1"/>
  <c r="BC18" i="12"/>
  <c r="GH17" i="12"/>
  <c r="HP17" i="12" s="1"/>
  <c r="JP17" i="12"/>
  <c r="KX17" i="12" s="1"/>
  <c r="JA17" i="12"/>
  <c r="KI17" i="12" s="1"/>
  <c r="IZ17" i="12"/>
  <c r="KH17" i="12" s="1"/>
  <c r="CH18" i="12"/>
  <c r="IQ17" i="12"/>
  <c r="JY17" i="12" s="1"/>
  <c r="JG17" i="12"/>
  <c r="KO17" i="12" s="1"/>
  <c r="GG17" i="12"/>
  <c r="HO17" i="12" s="1"/>
  <c r="FO18" i="12" l="1"/>
  <c r="FX17" i="12"/>
  <c r="EN18" i="12"/>
  <c r="DE18" i="12"/>
  <c r="CR18" i="12"/>
  <c r="BF17" i="12"/>
  <c r="BG17" i="12"/>
  <c r="EK17" i="12"/>
  <c r="BE17" i="12"/>
  <c r="BH17" i="12"/>
  <c r="EL17" i="12"/>
  <c r="JX17" i="12"/>
  <c r="FP18" i="12" s="1"/>
  <c r="AW16" i="12" s="1"/>
  <c r="AZ16" i="12" s="1"/>
  <c r="BX18" i="12" s="1"/>
  <c r="IO17" i="12"/>
  <c r="EQ17" i="12" l="1"/>
  <c r="FT18" i="12"/>
  <c r="AV16" i="12"/>
  <c r="CB18" i="12" s="1"/>
  <c r="CD18" i="12" l="1"/>
  <c r="CI18" i="12" l="1"/>
  <c r="DC18" i="12"/>
  <c r="CQ18" i="12"/>
  <c r="CS18" i="12" s="1"/>
  <c r="CK18" i="12" l="1"/>
  <c r="CN18" i="12" s="1"/>
  <c r="CT18" i="12"/>
  <c r="CL18" i="12" l="1"/>
  <c r="CM18" i="12"/>
  <c r="CP18" i="12"/>
  <c r="DA18" i="12"/>
  <c r="CZ18" i="12" l="1"/>
  <c r="DB18" i="12"/>
  <c r="AM18" i="12"/>
  <c r="FC18" i="12"/>
  <c r="ET18" i="12"/>
  <c r="AL18" i="12"/>
  <c r="FD18" i="12" l="1"/>
  <c r="FE18" i="12" s="1"/>
  <c r="FF18" i="12" s="1"/>
  <c r="AK18" i="12"/>
  <c r="EU18" i="12"/>
  <c r="EV18" i="12" s="1"/>
  <c r="EW18" i="12" s="1"/>
  <c r="B41" i="20"/>
  <c r="DH87" i="12" s="1"/>
  <c r="B41" i="19"/>
  <c r="DG18" i="12"/>
  <c r="EM18" i="12" s="1"/>
  <c r="B8" i="20"/>
  <c r="DH54" i="12" s="1"/>
  <c r="B9" i="19"/>
  <c r="FA18" i="12" l="1"/>
  <c r="AI18" i="12" s="1"/>
  <c r="EX19" i="12"/>
  <c r="EY20" i="12" s="1"/>
  <c r="EZ21" i="12" s="1"/>
  <c r="FJ18" i="12"/>
  <c r="AJ18" i="12" s="1"/>
  <c r="FG19" i="12"/>
  <c r="FH20" i="12" s="1"/>
  <c r="FI21" i="12" s="1"/>
  <c r="B173" i="20"/>
  <c r="DH219" i="12" s="1"/>
  <c r="AR18" i="12"/>
  <c r="B174" i="19"/>
  <c r="MA18" i="12"/>
  <c r="AP18" i="12"/>
  <c r="B74" i="20" l="1"/>
  <c r="DH120" i="12" s="1"/>
  <c r="B75" i="19"/>
  <c r="B108" i="19"/>
  <c r="B107" i="20"/>
  <c r="AH18" i="12"/>
  <c r="AQ18" i="12" l="1"/>
  <c r="AO18" i="12"/>
  <c r="DH153" i="12"/>
  <c r="B218" i="20"/>
  <c r="FM19" i="12" l="1"/>
  <c r="FS19" i="12" s="1"/>
  <c r="BM18" i="12"/>
  <c r="BI18" i="12"/>
  <c r="BK18" i="12" s="1"/>
  <c r="BD18" i="12" s="1"/>
  <c r="FY18" i="12"/>
  <c r="HG18" i="12" s="1"/>
  <c r="IP18" i="12"/>
  <c r="CF19" i="12"/>
  <c r="GX18" i="12"/>
  <c r="IF18" i="12" s="1"/>
  <c r="JM18" i="12"/>
  <c r="KU18" i="12" s="1"/>
  <c r="GA18" i="12"/>
  <c r="HI18" i="12" s="1"/>
  <c r="HC18" i="12"/>
  <c r="IK18" i="12" s="1"/>
  <c r="GN18" i="12"/>
  <c r="HV18" i="12" s="1"/>
  <c r="IQ18" i="12"/>
  <c r="JY18" i="12" s="1"/>
  <c r="GW18" i="12"/>
  <c r="IE18" i="12" s="1"/>
  <c r="JC18" i="12"/>
  <c r="KK18" i="12" s="1"/>
  <c r="IT18" i="12"/>
  <c r="KB18" i="12" s="1"/>
  <c r="IW18" i="12"/>
  <c r="KE18" i="12" s="1"/>
  <c r="JP18" i="12"/>
  <c r="KX18" i="12" s="1"/>
  <c r="GU18" i="12"/>
  <c r="IC18" i="12" s="1"/>
  <c r="GF18" i="12"/>
  <c r="HN18" i="12" s="1"/>
  <c r="CC19" i="12"/>
  <c r="IV18" i="12"/>
  <c r="KD18" i="12" s="1"/>
  <c r="GD18" i="12"/>
  <c r="HL18" i="12" s="1"/>
  <c r="GJ18" i="12"/>
  <c r="HR18" i="12" s="1"/>
  <c r="IY18" i="12"/>
  <c r="KG18" i="12" s="1"/>
  <c r="GE18" i="12"/>
  <c r="HM18" i="12" s="1"/>
  <c r="JF18" i="12"/>
  <c r="KN18" i="12" s="1"/>
  <c r="IR18" i="12"/>
  <c r="JZ18" i="12" s="1"/>
  <c r="GY18" i="12"/>
  <c r="IG18" i="12" s="1"/>
  <c r="JB18" i="12"/>
  <c r="KJ18" i="12" s="1"/>
  <c r="JR18" i="12"/>
  <c r="KZ18" i="12" s="1"/>
  <c r="GO18" i="12"/>
  <c r="HW18" i="12" s="1"/>
  <c r="JE18" i="12"/>
  <c r="KM18" i="12" s="1"/>
  <c r="JL18" i="12"/>
  <c r="KT18" i="12" s="1"/>
  <c r="BC19" i="12"/>
  <c r="IS18" i="12"/>
  <c r="KA18" i="12" s="1"/>
  <c r="GB18" i="12"/>
  <c r="HJ18" i="12" s="1"/>
  <c r="JT18" i="12"/>
  <c r="LB18" i="12" s="1"/>
  <c r="JO18" i="12"/>
  <c r="KW18" i="12" s="1"/>
  <c r="GK18" i="12"/>
  <c r="HS18" i="12" s="1"/>
  <c r="JI18" i="12"/>
  <c r="KQ18" i="12" s="1"/>
  <c r="CH19" i="12"/>
  <c r="JJ18" i="12"/>
  <c r="KR18" i="12" s="1"/>
  <c r="IU18" i="12"/>
  <c r="KC18" i="12" s="1"/>
  <c r="GI18" i="12"/>
  <c r="HQ18" i="12" s="1"/>
  <c r="GG18" i="12"/>
  <c r="HO18" i="12" s="1"/>
  <c r="GP18" i="12"/>
  <c r="HX18" i="12" s="1"/>
  <c r="GH18" i="12"/>
  <c r="HP18" i="12" s="1"/>
  <c r="GZ18" i="12"/>
  <c r="IH18" i="12" s="1"/>
  <c r="HA18" i="12"/>
  <c r="II18" i="12" s="1"/>
  <c r="GM18" i="12"/>
  <c r="HU18" i="12" s="1"/>
  <c r="HB18" i="12"/>
  <c r="IJ18" i="12" s="1"/>
  <c r="JK18" i="12"/>
  <c r="KS18" i="12" s="1"/>
  <c r="GR18" i="12"/>
  <c r="HZ18" i="12" s="1"/>
  <c r="GS18" i="12"/>
  <c r="IA18" i="12" s="1"/>
  <c r="FZ18" i="12"/>
  <c r="HH18" i="12" s="1"/>
  <c r="GQ18" i="12"/>
  <c r="HY18" i="12" s="1"/>
  <c r="IZ18" i="12"/>
  <c r="KH18" i="12" s="1"/>
  <c r="JQ18" i="12"/>
  <c r="KY18" i="12" s="1"/>
  <c r="IX18" i="12"/>
  <c r="KF18" i="12" s="1"/>
  <c r="GT18" i="12"/>
  <c r="IB18" i="12" s="1"/>
  <c r="CG19" i="12"/>
  <c r="JD18" i="12"/>
  <c r="KL18" i="12" s="1"/>
  <c r="JH18" i="12"/>
  <c r="KP18" i="12" s="1"/>
  <c r="JS18" i="12"/>
  <c r="LA18" i="12" s="1"/>
  <c r="JN18" i="12"/>
  <c r="KV18" i="12" s="1"/>
  <c r="GL18" i="12"/>
  <c r="HT18" i="12" s="1"/>
  <c r="JG18" i="12"/>
  <c r="KO18" i="12" s="1"/>
  <c r="GC18" i="12"/>
  <c r="HK18" i="12" s="1"/>
  <c r="JA18" i="12"/>
  <c r="KI18" i="12" s="1"/>
  <c r="GV18" i="12"/>
  <c r="ID18" i="12" s="1"/>
  <c r="DE19" i="12" l="1"/>
  <c r="CR19" i="12"/>
  <c r="EN19" i="12"/>
  <c r="EK18" i="12"/>
  <c r="BF18" i="12"/>
  <c r="BG18" i="12"/>
  <c r="BE18" i="12"/>
  <c r="BH18" i="12"/>
  <c r="EL18" i="12"/>
  <c r="JX18" i="12"/>
  <c r="FP19" i="12" s="1"/>
  <c r="AW17" i="12" s="1"/>
  <c r="AZ17" i="12" s="1"/>
  <c r="BX19" i="12" s="1"/>
  <c r="IO18" i="12"/>
  <c r="FO19" i="12"/>
  <c r="FX18" i="12"/>
  <c r="EQ18" i="12" l="1"/>
  <c r="FT19" i="12"/>
  <c r="AV17" i="12"/>
  <c r="CB19" i="12" s="1"/>
  <c r="CD19" i="12" l="1"/>
  <c r="CI19" i="12" l="1"/>
  <c r="DC19" i="12"/>
  <c r="CQ19" i="12"/>
  <c r="CS19" i="12" s="1"/>
  <c r="CT19" i="12" s="1"/>
  <c r="CK19" i="12" l="1"/>
  <c r="CL19" i="12" l="1"/>
  <c r="CM19" i="12"/>
  <c r="CN19" i="12"/>
  <c r="CP19" i="12" s="1"/>
  <c r="DA19" i="12"/>
  <c r="DB19" i="12" l="1"/>
  <c r="CZ19" i="12"/>
  <c r="AM19" i="12"/>
  <c r="FC19" i="12"/>
  <c r="ET19" i="12"/>
  <c r="AL19" i="12"/>
  <c r="FD19" i="12" l="1"/>
  <c r="FE19" i="12" s="1"/>
  <c r="FF19" i="12" s="1"/>
  <c r="EU19" i="12"/>
  <c r="EV19" i="12" s="1"/>
  <c r="EW19" i="12" s="1"/>
  <c r="AK19" i="12"/>
  <c r="B10" i="19"/>
  <c r="B9" i="20"/>
  <c r="DH55" i="12" s="1"/>
  <c r="B42" i="19"/>
  <c r="B42" i="20"/>
  <c r="DH88" i="12" s="1"/>
  <c r="DG19" i="12"/>
  <c r="EM19" i="12" s="1"/>
  <c r="B174" i="20" l="1"/>
  <c r="DH220" i="12" s="1"/>
  <c r="MA19" i="12"/>
  <c r="AR19" i="12"/>
  <c r="B175" i="19"/>
  <c r="AP19" i="12"/>
  <c r="FA19" i="12"/>
  <c r="AI19" i="12" s="1"/>
  <c r="EX20" i="12"/>
  <c r="EY21" i="12" s="1"/>
  <c r="EZ22" i="12" s="1"/>
  <c r="FJ19" i="12"/>
  <c r="AJ19" i="12" s="1"/>
  <c r="FG20" i="12"/>
  <c r="FH21" i="12" s="1"/>
  <c r="FI22" i="12" s="1"/>
  <c r="B75" i="20" l="1"/>
  <c r="DH121" i="12" s="1"/>
  <c r="B76" i="19"/>
  <c r="AH19" i="12"/>
  <c r="B108" i="20"/>
  <c r="B109" i="19"/>
  <c r="AQ19" i="12" l="1"/>
  <c r="AO19" i="12"/>
  <c r="B219" i="20"/>
  <c r="DH154" i="12"/>
  <c r="BI19" i="12" l="1"/>
  <c r="BK19" i="12" s="1"/>
  <c r="BD19" i="12" s="1"/>
  <c r="FM20" i="12"/>
  <c r="FS20" i="12" s="1"/>
  <c r="BM19" i="12"/>
  <c r="IP19" i="12"/>
  <c r="CH20" i="12"/>
  <c r="JO19" i="12"/>
  <c r="KW19" i="12" s="1"/>
  <c r="GG19" i="12"/>
  <c r="HO19" i="12" s="1"/>
  <c r="GQ19" i="12"/>
  <c r="HY19" i="12" s="1"/>
  <c r="JR19" i="12"/>
  <c r="KZ19" i="12" s="1"/>
  <c r="GK19" i="12"/>
  <c r="HS19" i="12" s="1"/>
  <c r="JJ19" i="12"/>
  <c r="KR19" i="12" s="1"/>
  <c r="GC19" i="12"/>
  <c r="HK19" i="12" s="1"/>
  <c r="GJ19" i="12"/>
  <c r="HR19" i="12" s="1"/>
  <c r="JL19" i="12"/>
  <c r="KT19" i="12" s="1"/>
  <c r="IX19" i="12"/>
  <c r="KF19" i="12" s="1"/>
  <c r="IZ19" i="12"/>
  <c r="KH19" i="12" s="1"/>
  <c r="IV19" i="12"/>
  <c r="KD19" i="12" s="1"/>
  <c r="GB19" i="12"/>
  <c r="HJ19" i="12" s="1"/>
  <c r="CC20" i="12"/>
  <c r="JB19" i="12"/>
  <c r="KJ19" i="12" s="1"/>
  <c r="FY19" i="12"/>
  <c r="HG19" i="12" s="1"/>
  <c r="CF20" i="12"/>
  <c r="IY19" i="12"/>
  <c r="KG19" i="12" s="1"/>
  <c r="IR19" i="12"/>
  <c r="JZ19" i="12" s="1"/>
  <c r="GE19" i="12"/>
  <c r="HM19" i="12" s="1"/>
  <c r="GV19" i="12"/>
  <c r="ID19" i="12" s="1"/>
  <c r="HB19" i="12"/>
  <c r="IJ19" i="12" s="1"/>
  <c r="JS19" i="12"/>
  <c r="LA19" i="12" s="1"/>
  <c r="GL19" i="12"/>
  <c r="HT19" i="12" s="1"/>
  <c r="JK19" i="12"/>
  <c r="KS19" i="12" s="1"/>
  <c r="GM19" i="12"/>
  <c r="HU19" i="12" s="1"/>
  <c r="IT19" i="12"/>
  <c r="KB19" i="12" s="1"/>
  <c r="GW19" i="12"/>
  <c r="IE19" i="12" s="1"/>
  <c r="GO19" i="12"/>
  <c r="HW19" i="12" s="1"/>
  <c r="JI19" i="12"/>
  <c r="KQ19" i="12" s="1"/>
  <c r="GR19" i="12"/>
  <c r="HZ19" i="12" s="1"/>
  <c r="JM19" i="12"/>
  <c r="KU19" i="12" s="1"/>
  <c r="BC20" i="12"/>
  <c r="GF19" i="12"/>
  <c r="HN19" i="12" s="1"/>
  <c r="JF19" i="12"/>
  <c r="KN19" i="12" s="1"/>
  <c r="JT19" i="12"/>
  <c r="LB19" i="12" s="1"/>
  <c r="JP19" i="12"/>
  <c r="KX19" i="12" s="1"/>
  <c r="GA19" i="12"/>
  <c r="HI19" i="12" s="1"/>
  <c r="GX19" i="12"/>
  <c r="IF19" i="12" s="1"/>
  <c r="FZ19" i="12"/>
  <c r="HH19" i="12" s="1"/>
  <c r="GT19" i="12"/>
  <c r="IB19" i="12" s="1"/>
  <c r="IW19" i="12"/>
  <c r="KE19" i="12" s="1"/>
  <c r="JD19" i="12"/>
  <c r="KL19" i="12" s="1"/>
  <c r="GU19" i="12"/>
  <c r="IC19" i="12" s="1"/>
  <c r="GN19" i="12"/>
  <c r="HV19" i="12" s="1"/>
  <c r="IU19" i="12"/>
  <c r="KC19" i="12" s="1"/>
  <c r="GH19" i="12"/>
  <c r="HP19" i="12" s="1"/>
  <c r="GI19" i="12"/>
  <c r="HQ19" i="12" s="1"/>
  <c r="CG20" i="12"/>
  <c r="HA19" i="12"/>
  <c r="II19" i="12" s="1"/>
  <c r="IQ19" i="12"/>
  <c r="JY19" i="12" s="1"/>
  <c r="JA19" i="12"/>
  <c r="KI19" i="12" s="1"/>
  <c r="JQ19" i="12"/>
  <c r="KY19" i="12" s="1"/>
  <c r="GS19" i="12"/>
  <c r="IA19" i="12" s="1"/>
  <c r="GD19" i="12"/>
  <c r="HL19" i="12" s="1"/>
  <c r="HC19" i="12"/>
  <c r="IK19" i="12" s="1"/>
  <c r="JN19" i="12"/>
  <c r="KV19" i="12" s="1"/>
  <c r="JC19" i="12"/>
  <c r="KK19" i="12" s="1"/>
  <c r="IS19" i="12"/>
  <c r="KA19" i="12" s="1"/>
  <c r="JE19" i="12"/>
  <c r="KM19" i="12" s="1"/>
  <c r="GY19" i="12"/>
  <c r="IG19" i="12" s="1"/>
  <c r="GP19" i="12"/>
  <c r="HX19" i="12" s="1"/>
  <c r="JG19" i="12"/>
  <c r="KO19" i="12" s="1"/>
  <c r="JH19" i="12"/>
  <c r="KP19" i="12" s="1"/>
  <c r="GZ19" i="12"/>
  <c r="IH19" i="12" s="1"/>
  <c r="DE20" i="12" l="1"/>
  <c r="CR20" i="12"/>
  <c r="EN20" i="12"/>
  <c r="JX19" i="12"/>
  <c r="FP20" i="12" s="1"/>
  <c r="AW18" i="12" s="1"/>
  <c r="AZ18" i="12" s="1"/>
  <c r="BX20" i="12" s="1"/>
  <c r="IO19" i="12"/>
  <c r="FO20" i="12"/>
  <c r="FX19" i="12"/>
  <c r="BH19" i="12"/>
  <c r="BE19" i="12"/>
  <c r="EK19" i="12"/>
  <c r="BG19" i="12"/>
  <c r="BF19" i="12"/>
  <c r="EL19" i="12"/>
  <c r="EQ19" i="12" l="1"/>
  <c r="FT20" i="12"/>
  <c r="AV18" i="12"/>
  <c r="CB20" i="12" s="1"/>
  <c r="CD20" i="12" l="1"/>
  <c r="CI20" i="12" l="1"/>
  <c r="CQ20" i="12"/>
  <c r="CS20" i="12" s="1"/>
  <c r="CT20" i="12" s="1"/>
  <c r="DC20" i="12"/>
  <c r="CK20" i="12" l="1"/>
  <c r="CM20" i="12" l="1"/>
  <c r="CL20" i="12"/>
  <c r="CN20" i="12"/>
  <c r="CP20" i="12" s="1"/>
  <c r="DA20" i="12"/>
  <c r="CZ20" i="12" l="1"/>
  <c r="DB20" i="12"/>
  <c r="AL20" i="12"/>
  <c r="ET20" i="12"/>
  <c r="AM20" i="12"/>
  <c r="FC20" i="12"/>
  <c r="B43" i="19" l="1"/>
  <c r="B43" i="20"/>
  <c r="DH89" i="12" s="1"/>
  <c r="DG20" i="12"/>
  <c r="EM20" i="12" s="1"/>
  <c r="AK20" i="12"/>
  <c r="EU20" i="12"/>
  <c r="EV20" i="12" s="1"/>
  <c r="EW20" i="12" s="1"/>
  <c r="FD20" i="12"/>
  <c r="FE20" i="12" s="1"/>
  <c r="FF20" i="12" s="1"/>
  <c r="B11" i="19"/>
  <c r="B10" i="20"/>
  <c r="DH56" i="12" s="1"/>
  <c r="FA20" i="12" l="1"/>
  <c r="AI20" i="12" s="1"/>
  <c r="EX21" i="12"/>
  <c r="EY22" i="12" s="1"/>
  <c r="EZ23" i="12" s="1"/>
  <c r="FJ20" i="12"/>
  <c r="AJ20" i="12" s="1"/>
  <c r="FG21" i="12"/>
  <c r="FH22" i="12" s="1"/>
  <c r="FI23" i="12" s="1"/>
  <c r="B176" i="19"/>
  <c r="B175" i="20"/>
  <c r="DH221" i="12" s="1"/>
  <c r="AR20" i="12"/>
  <c r="MA20" i="12"/>
  <c r="AP20" i="12"/>
  <c r="B110" i="19" l="1"/>
  <c r="B109" i="20"/>
  <c r="B77" i="19"/>
  <c r="B76" i="20"/>
  <c r="DH122" i="12" s="1"/>
  <c r="AH20" i="12"/>
  <c r="B220" i="20" l="1"/>
  <c r="DH155" i="12"/>
  <c r="AQ20" i="12"/>
  <c r="AO20" i="12"/>
  <c r="BN20" i="12" s="1"/>
  <c r="GU20" i="12" l="1"/>
  <c r="IC20" i="12" s="1"/>
  <c r="JD20" i="12"/>
  <c r="KL20" i="12" s="1"/>
  <c r="GN20" i="12"/>
  <c r="HV20" i="12" s="1"/>
  <c r="GT20" i="12"/>
  <c r="IB20" i="12" s="1"/>
  <c r="GO20" i="12"/>
  <c r="HW20" i="12" s="1"/>
  <c r="IV20" i="12"/>
  <c r="KD20" i="12" s="1"/>
  <c r="GC20" i="12"/>
  <c r="HK20" i="12" s="1"/>
  <c r="GX20" i="12"/>
  <c r="IF20" i="12" s="1"/>
  <c r="GI20" i="12"/>
  <c r="HQ20" i="12" s="1"/>
  <c r="JC20" i="12"/>
  <c r="KK20" i="12" s="1"/>
  <c r="JF20" i="12"/>
  <c r="KN20" i="12" s="1"/>
  <c r="IY20" i="12"/>
  <c r="KG20" i="12" s="1"/>
  <c r="JJ20" i="12"/>
  <c r="KR20" i="12" s="1"/>
  <c r="GW20" i="12"/>
  <c r="IE20" i="12" s="1"/>
  <c r="JS20" i="12"/>
  <c r="LA20" i="12" s="1"/>
  <c r="GV20" i="12"/>
  <c r="ID20" i="12" s="1"/>
  <c r="FZ20" i="12"/>
  <c r="HH20" i="12" s="1"/>
  <c r="JA20" i="12"/>
  <c r="KI20" i="12" s="1"/>
  <c r="JL20" i="12"/>
  <c r="KT20" i="12" s="1"/>
  <c r="GL20" i="12"/>
  <c r="HT20" i="12" s="1"/>
  <c r="CH21" i="12"/>
  <c r="JO20" i="12"/>
  <c r="KW20" i="12" s="1"/>
  <c r="GB20" i="12"/>
  <c r="HJ20" i="12" s="1"/>
  <c r="GS20" i="12"/>
  <c r="IA20" i="12" s="1"/>
  <c r="JE20" i="12"/>
  <c r="KM20" i="12" s="1"/>
  <c r="HA20" i="12"/>
  <c r="II20" i="12" s="1"/>
  <c r="GY20" i="12"/>
  <c r="IG20" i="12" s="1"/>
  <c r="IR20" i="12"/>
  <c r="JZ20" i="12" s="1"/>
  <c r="HB20" i="12"/>
  <c r="IJ20" i="12" s="1"/>
  <c r="IS20" i="12"/>
  <c r="KA20" i="12" s="1"/>
  <c r="JK20" i="12"/>
  <c r="KS20" i="12" s="1"/>
  <c r="IU20" i="12"/>
  <c r="KC20" i="12" s="1"/>
  <c r="CC21" i="12"/>
  <c r="CG21" i="12"/>
  <c r="IX20" i="12"/>
  <c r="KF20" i="12" s="1"/>
  <c r="JI20" i="12"/>
  <c r="KQ20" i="12" s="1"/>
  <c r="FY20" i="12"/>
  <c r="HG20" i="12" s="1"/>
  <c r="IP20" i="12"/>
  <c r="CF21" i="12"/>
  <c r="GZ20" i="12"/>
  <c r="IH20" i="12" s="1"/>
  <c r="GG20" i="12"/>
  <c r="HO20" i="12" s="1"/>
  <c r="JN20" i="12"/>
  <c r="KV20" i="12" s="1"/>
  <c r="JB20" i="12"/>
  <c r="KJ20" i="12" s="1"/>
  <c r="GP20" i="12"/>
  <c r="HX20" i="12" s="1"/>
  <c r="GQ20" i="12"/>
  <c r="HY20" i="12" s="1"/>
  <c r="GF20" i="12"/>
  <c r="HN20" i="12" s="1"/>
  <c r="BC21" i="12"/>
  <c r="GH20" i="12"/>
  <c r="HP20" i="12" s="1"/>
  <c r="JM20" i="12"/>
  <c r="KU20" i="12" s="1"/>
  <c r="JH20" i="12"/>
  <c r="KP20" i="12" s="1"/>
  <c r="IT20" i="12"/>
  <c r="KB20" i="12" s="1"/>
  <c r="GM20" i="12"/>
  <c r="HU20" i="12" s="1"/>
  <c r="JR20" i="12"/>
  <c r="KZ20" i="12" s="1"/>
  <c r="HC20" i="12"/>
  <c r="IK20" i="12" s="1"/>
  <c r="GA20" i="12"/>
  <c r="HI20" i="12" s="1"/>
  <c r="GE20" i="12"/>
  <c r="HM20" i="12" s="1"/>
  <c r="JT20" i="12"/>
  <c r="LB20" i="12" s="1"/>
  <c r="JP20" i="12"/>
  <c r="KX20" i="12" s="1"/>
  <c r="GK20" i="12"/>
  <c r="HS20" i="12" s="1"/>
  <c r="JG20" i="12"/>
  <c r="KO20" i="12" s="1"/>
  <c r="JQ20" i="12"/>
  <c r="KY20" i="12" s="1"/>
  <c r="IQ20" i="12"/>
  <c r="JY20" i="12" s="1"/>
  <c r="GJ20" i="12"/>
  <c r="HR20" i="12" s="1"/>
  <c r="GR20" i="12"/>
  <c r="HZ20" i="12" s="1"/>
  <c r="IZ20" i="12"/>
  <c r="KH20" i="12" s="1"/>
  <c r="GD20" i="12"/>
  <c r="HL20" i="12" s="1"/>
  <c r="IW20" i="12"/>
  <c r="KE20" i="12" s="1"/>
  <c r="FM21" i="12"/>
  <c r="FS21" i="12" s="1"/>
  <c r="BI20" i="12"/>
  <c r="BK20" i="12" s="1"/>
  <c r="BD20" i="12" s="1"/>
  <c r="BM20" i="12"/>
  <c r="BH20" i="12" l="1"/>
  <c r="BE20" i="12"/>
  <c r="EK20" i="12"/>
  <c r="BF20" i="12"/>
  <c r="BG20" i="12"/>
  <c r="EL20" i="12"/>
  <c r="JX20" i="12"/>
  <c r="FP21" i="12" s="1"/>
  <c r="AW19" i="12" s="1"/>
  <c r="AZ19" i="12" s="1"/>
  <c r="BX21" i="12" s="1"/>
  <c r="IO20" i="12"/>
  <c r="FO21" i="12"/>
  <c r="FX20" i="12"/>
  <c r="DE21" i="12"/>
  <c r="EN21" i="12"/>
  <c r="CR21" i="12"/>
  <c r="EQ20" i="12" l="1"/>
  <c r="AV19" i="12"/>
  <c r="CB21" i="12" s="1"/>
  <c r="FT21" i="12"/>
  <c r="CD21" i="12" l="1"/>
  <c r="CQ21" i="12" s="1"/>
  <c r="CS21" i="12" s="1"/>
  <c r="CT21" i="12" s="1"/>
  <c r="CI21" i="12" l="1"/>
  <c r="CK21" i="12" s="1"/>
  <c r="CN21" i="12" s="1"/>
  <c r="CP21" i="12" s="1"/>
  <c r="DC21" i="12"/>
  <c r="DA21" i="12" l="1"/>
  <c r="CZ21" i="12" s="1"/>
  <c r="CL21" i="12"/>
  <c r="CM21" i="12"/>
  <c r="DB21" i="12" l="1"/>
  <c r="B44" i="19" s="1"/>
  <c r="AL21" i="12"/>
  <c r="ET21" i="12"/>
  <c r="FC21" i="12"/>
  <c r="AM21" i="12"/>
  <c r="B11" i="20"/>
  <c r="DH57" i="12" s="1"/>
  <c r="B12" i="19"/>
  <c r="DG21" i="12" l="1"/>
  <c r="EM21" i="12" s="1"/>
  <c r="B44" i="20"/>
  <c r="DH90" i="12" s="1"/>
  <c r="FD21" i="12"/>
  <c r="FE21" i="12" s="1"/>
  <c r="FF21" i="12" s="1"/>
  <c r="EU21" i="12"/>
  <c r="EV21" i="12" s="1"/>
  <c r="EW21" i="12" s="1"/>
  <c r="AK21" i="12"/>
  <c r="FA21" i="12" l="1"/>
  <c r="AI21" i="12" s="1"/>
  <c r="EX22" i="12"/>
  <c r="EY23" i="12" s="1"/>
  <c r="EZ24" i="12" s="1"/>
  <c r="FJ21" i="12"/>
  <c r="AJ21" i="12" s="1"/>
  <c r="FG22" i="12"/>
  <c r="FH23" i="12" s="1"/>
  <c r="FI24" i="12" s="1"/>
  <c r="MA21" i="12"/>
  <c r="AR21" i="12"/>
  <c r="B177" i="19"/>
  <c r="B176" i="20"/>
  <c r="DH222" i="12" s="1"/>
  <c r="AP21" i="12"/>
  <c r="B77" i="20" l="1"/>
  <c r="DH123" i="12" s="1"/>
  <c r="B78" i="19"/>
  <c r="B111" i="19"/>
  <c r="B110" i="20"/>
  <c r="AH21" i="12"/>
  <c r="AQ21" i="12" l="1"/>
  <c r="AO21" i="12"/>
  <c r="B221" i="20"/>
  <c r="DH156" i="12"/>
  <c r="BM21" i="12" l="1"/>
  <c r="BI21" i="12"/>
  <c r="BK21" i="12" s="1"/>
  <c r="BD21" i="12" s="1"/>
  <c r="FM22" i="12"/>
  <c r="FS22" i="12" s="1"/>
  <c r="FY21" i="12"/>
  <c r="HG21" i="12" s="1"/>
  <c r="CF22" i="12"/>
  <c r="JA21" i="12"/>
  <c r="KI21" i="12" s="1"/>
  <c r="JB21" i="12"/>
  <c r="KJ21" i="12" s="1"/>
  <c r="JC21" i="12"/>
  <c r="KK21" i="12" s="1"/>
  <c r="JQ21" i="12"/>
  <c r="KY21" i="12" s="1"/>
  <c r="FZ21" i="12"/>
  <c r="HH21" i="12" s="1"/>
  <c r="IS21" i="12"/>
  <c r="KA21" i="12" s="1"/>
  <c r="JM21" i="12"/>
  <c r="KU21" i="12" s="1"/>
  <c r="CG22" i="12"/>
  <c r="JI21" i="12"/>
  <c r="KQ21" i="12" s="1"/>
  <c r="GR21" i="12"/>
  <c r="HZ21" i="12" s="1"/>
  <c r="JD21" i="12"/>
  <c r="KL21" i="12" s="1"/>
  <c r="JE21" i="12"/>
  <c r="KM21" i="12" s="1"/>
  <c r="CH22" i="12"/>
  <c r="JK21" i="12"/>
  <c r="KS21" i="12" s="1"/>
  <c r="JN21" i="12"/>
  <c r="KV21" i="12" s="1"/>
  <c r="IP21" i="12"/>
  <c r="BC22" i="12"/>
  <c r="GL21" i="12"/>
  <c r="HT21" i="12" s="1"/>
  <c r="GV21" i="12"/>
  <c r="ID21" i="12" s="1"/>
  <c r="JR21" i="12"/>
  <c r="KZ21" i="12" s="1"/>
  <c r="JO21" i="12"/>
  <c r="KW21" i="12" s="1"/>
  <c r="IQ21" i="12"/>
  <c r="JY21" i="12" s="1"/>
  <c r="GH21" i="12"/>
  <c r="HP21" i="12" s="1"/>
  <c r="GM21" i="12"/>
  <c r="HU21" i="12" s="1"/>
  <c r="GD21" i="12"/>
  <c r="HL21" i="12" s="1"/>
  <c r="GO21" i="12"/>
  <c r="HW21" i="12" s="1"/>
  <c r="GK21" i="12"/>
  <c r="HS21" i="12" s="1"/>
  <c r="IX21" i="12"/>
  <c r="KF21" i="12" s="1"/>
  <c r="GG21" i="12"/>
  <c r="HO21" i="12" s="1"/>
  <c r="JS21" i="12"/>
  <c r="LA21" i="12" s="1"/>
  <c r="GQ21" i="12"/>
  <c r="HY21" i="12" s="1"/>
  <c r="GA21" i="12"/>
  <c r="HI21" i="12" s="1"/>
  <c r="IU21" i="12"/>
  <c r="KC21" i="12" s="1"/>
  <c r="HB21" i="12"/>
  <c r="IJ21" i="12" s="1"/>
  <c r="IZ21" i="12"/>
  <c r="KH21" i="12" s="1"/>
  <c r="GN21" i="12"/>
  <c r="HV21" i="12" s="1"/>
  <c r="JG21" i="12"/>
  <c r="KO21" i="12" s="1"/>
  <c r="IW21" i="12"/>
  <c r="KE21" i="12" s="1"/>
  <c r="HA21" i="12"/>
  <c r="II21" i="12" s="1"/>
  <c r="GY21" i="12"/>
  <c r="IG21" i="12" s="1"/>
  <c r="GZ21" i="12"/>
  <c r="IH21" i="12" s="1"/>
  <c r="JP21" i="12"/>
  <c r="KX21" i="12" s="1"/>
  <c r="GB21" i="12"/>
  <c r="HJ21" i="12" s="1"/>
  <c r="GE21" i="12"/>
  <c r="HM21" i="12" s="1"/>
  <c r="JH21" i="12"/>
  <c r="KP21" i="12" s="1"/>
  <c r="GJ21" i="12"/>
  <c r="HR21" i="12" s="1"/>
  <c r="JT21" i="12"/>
  <c r="LB21" i="12" s="1"/>
  <c r="GC21" i="12"/>
  <c r="HK21" i="12" s="1"/>
  <c r="JF21" i="12"/>
  <c r="KN21" i="12" s="1"/>
  <c r="IT21" i="12"/>
  <c r="KB21" i="12" s="1"/>
  <c r="IR21" i="12"/>
  <c r="JZ21" i="12" s="1"/>
  <c r="JJ21" i="12"/>
  <c r="KR21" i="12" s="1"/>
  <c r="IY21" i="12"/>
  <c r="KG21" i="12" s="1"/>
  <c r="GU21" i="12"/>
  <c r="IC21" i="12" s="1"/>
  <c r="GI21" i="12"/>
  <c r="HQ21" i="12" s="1"/>
  <c r="GW21" i="12"/>
  <c r="IE21" i="12" s="1"/>
  <c r="GP21" i="12"/>
  <c r="HX21" i="12" s="1"/>
  <c r="IV21" i="12"/>
  <c r="KD21" i="12" s="1"/>
  <c r="CC22" i="12"/>
  <c r="HC21" i="12"/>
  <c r="IK21" i="12" s="1"/>
  <c r="GT21" i="12"/>
  <c r="IB21" i="12" s="1"/>
  <c r="GF21" i="12"/>
  <c r="HN21" i="12" s="1"/>
  <c r="JL21" i="12"/>
  <c r="KT21" i="12" s="1"/>
  <c r="GX21" i="12"/>
  <c r="IF21" i="12" s="1"/>
  <c r="GS21" i="12"/>
  <c r="IA21" i="12" s="1"/>
  <c r="JX21" i="12" l="1"/>
  <c r="FP22" i="12" s="1"/>
  <c r="AW20" i="12" s="1"/>
  <c r="AZ20" i="12" s="1"/>
  <c r="BX22" i="12" s="1"/>
  <c r="IO21" i="12"/>
  <c r="EN22" i="12"/>
  <c r="CR22" i="12"/>
  <c r="DE22" i="12"/>
  <c r="BF21" i="12"/>
  <c r="EK21" i="12"/>
  <c r="BG21" i="12"/>
  <c r="BH21" i="12"/>
  <c r="BE21" i="12"/>
  <c r="EL21" i="12"/>
  <c r="FO22" i="12"/>
  <c r="FX21" i="12"/>
  <c r="EQ21" i="12" l="1"/>
  <c r="FT22" i="12"/>
  <c r="AV20" i="12"/>
  <c r="CB22" i="12" s="1"/>
  <c r="CD22" i="12" l="1"/>
  <c r="CI22" i="12" s="1"/>
  <c r="CK22" i="12" l="1"/>
  <c r="CN22" i="12" s="1"/>
  <c r="CP22" i="12" s="1"/>
  <c r="CQ22" i="12"/>
  <c r="CS22" i="12" s="1"/>
  <c r="CT22" i="12" s="1"/>
  <c r="DC22" i="12"/>
  <c r="DA22" i="12" l="1"/>
  <c r="CZ22" i="12" s="1"/>
  <c r="CL22" i="12"/>
  <c r="CM22" i="12"/>
  <c r="DB22" i="12" l="1"/>
  <c r="B45" i="19" s="1"/>
  <c r="ET22" i="12"/>
  <c r="AL22" i="12"/>
  <c r="B13" i="19"/>
  <c r="B12" i="20"/>
  <c r="DH58" i="12" s="1"/>
  <c r="AM22" i="12"/>
  <c r="FC22" i="12"/>
  <c r="DG22" i="12" l="1"/>
  <c r="EM22" i="12" s="1"/>
  <c r="B45" i="20"/>
  <c r="DH91" i="12" s="1"/>
  <c r="FD22" i="12"/>
  <c r="FE22" i="12" s="1"/>
  <c r="FF22" i="12" s="1"/>
  <c r="EU22" i="12"/>
  <c r="EV22" i="12" s="1"/>
  <c r="EW22" i="12" s="1"/>
  <c r="AK22" i="12"/>
  <c r="FJ22" i="12" l="1"/>
  <c r="AJ22" i="12" s="1"/>
  <c r="FG23" i="12"/>
  <c r="FH24" i="12" s="1"/>
  <c r="FI25" i="12" s="1"/>
  <c r="AR22" i="12"/>
  <c r="MA22" i="12"/>
  <c r="B177" i="20"/>
  <c r="DH223" i="12" s="1"/>
  <c r="B178" i="19"/>
  <c r="AP22" i="12"/>
  <c r="EX23" i="12"/>
  <c r="EY24" i="12" s="1"/>
  <c r="EZ25" i="12" s="1"/>
  <c r="FA22" i="12"/>
  <c r="AI22" i="12" s="1"/>
  <c r="AH22" i="12" l="1"/>
  <c r="B111" i="20"/>
  <c r="B112" i="19"/>
  <c r="B78" i="20"/>
  <c r="DH124" i="12" s="1"/>
  <c r="B79" i="19"/>
  <c r="DH157" i="12" l="1"/>
  <c r="B222" i="20"/>
  <c r="AQ22" i="12"/>
  <c r="AO22" i="12"/>
  <c r="BI22" i="12" l="1"/>
  <c r="BK22" i="12" s="1"/>
  <c r="BD22" i="12" s="1"/>
  <c r="FM23" i="12"/>
  <c r="FS23" i="12" s="1"/>
  <c r="BM22" i="12"/>
  <c r="JL22" i="12"/>
  <c r="KT22" i="12" s="1"/>
  <c r="IZ22" i="12"/>
  <c r="KH22" i="12" s="1"/>
  <c r="GA22" i="12"/>
  <c r="HI22" i="12" s="1"/>
  <c r="GL22" i="12"/>
  <c r="HT22" i="12" s="1"/>
  <c r="GJ22" i="12"/>
  <c r="HR22" i="12" s="1"/>
  <c r="IQ22" i="12"/>
  <c r="JY22" i="12" s="1"/>
  <c r="GN22" i="12"/>
  <c r="HV22" i="12" s="1"/>
  <c r="GR22" i="12"/>
  <c r="HZ22" i="12" s="1"/>
  <c r="JG22" i="12"/>
  <c r="KO22" i="12" s="1"/>
  <c r="IX22" i="12"/>
  <c r="KF22" i="12" s="1"/>
  <c r="GI22" i="12"/>
  <c r="HQ22" i="12" s="1"/>
  <c r="JI22" i="12"/>
  <c r="KQ22" i="12" s="1"/>
  <c r="JS22" i="12"/>
  <c r="LA22" i="12" s="1"/>
  <c r="JD22" i="12"/>
  <c r="KL22" i="12" s="1"/>
  <c r="IU22" i="12"/>
  <c r="KC22" i="12" s="1"/>
  <c r="GP22" i="12"/>
  <c r="HX22" i="12" s="1"/>
  <c r="JH22" i="12"/>
  <c r="KP22" i="12" s="1"/>
  <c r="GF22" i="12"/>
  <c r="HN22" i="12" s="1"/>
  <c r="GX22" i="12"/>
  <c r="IF22" i="12" s="1"/>
  <c r="JN22" i="12"/>
  <c r="KV22" i="12" s="1"/>
  <c r="GB22" i="12"/>
  <c r="HJ22" i="12" s="1"/>
  <c r="GK22" i="12"/>
  <c r="HS22" i="12" s="1"/>
  <c r="FY22" i="12"/>
  <c r="HG22" i="12" s="1"/>
  <c r="IP22" i="12"/>
  <c r="HB22" i="12"/>
  <c r="IJ22" i="12" s="1"/>
  <c r="GG22" i="12"/>
  <c r="HO22" i="12" s="1"/>
  <c r="GO22" i="12"/>
  <c r="HW22" i="12" s="1"/>
  <c r="HC22" i="12"/>
  <c r="IK22" i="12" s="1"/>
  <c r="GZ22" i="12"/>
  <c r="IH22" i="12" s="1"/>
  <c r="JM22" i="12"/>
  <c r="KU22" i="12" s="1"/>
  <c r="JT22" i="12"/>
  <c r="LB22" i="12" s="1"/>
  <c r="JB22" i="12"/>
  <c r="KJ22" i="12" s="1"/>
  <c r="IV22" i="12"/>
  <c r="KD22" i="12" s="1"/>
  <c r="CC23" i="12"/>
  <c r="IR22" i="12"/>
  <c r="JZ22" i="12" s="1"/>
  <c r="JE22" i="12"/>
  <c r="KM22" i="12" s="1"/>
  <c r="GE22" i="12"/>
  <c r="HM22" i="12" s="1"/>
  <c r="GQ22" i="12"/>
  <c r="HY22" i="12" s="1"/>
  <c r="JO22" i="12"/>
  <c r="KW22" i="12" s="1"/>
  <c r="IT22" i="12"/>
  <c r="KB22" i="12" s="1"/>
  <c r="JA22" i="12"/>
  <c r="KI22" i="12" s="1"/>
  <c r="GD22" i="12"/>
  <c r="HL22" i="12" s="1"/>
  <c r="HA22" i="12"/>
  <c r="II22" i="12" s="1"/>
  <c r="JJ22" i="12"/>
  <c r="KR22" i="12" s="1"/>
  <c r="JR22" i="12"/>
  <c r="KZ22" i="12" s="1"/>
  <c r="JC22" i="12"/>
  <c r="KK22" i="12" s="1"/>
  <c r="GV22" i="12"/>
  <c r="ID22" i="12" s="1"/>
  <c r="GW22" i="12"/>
  <c r="IE22" i="12" s="1"/>
  <c r="JP22" i="12"/>
  <c r="KX22" i="12" s="1"/>
  <c r="GT22" i="12"/>
  <c r="IB22" i="12" s="1"/>
  <c r="CH23" i="12"/>
  <c r="GU22" i="12"/>
  <c r="IC22" i="12" s="1"/>
  <c r="GM22" i="12"/>
  <c r="HU22" i="12" s="1"/>
  <c r="GC22" i="12"/>
  <c r="HK22" i="12" s="1"/>
  <c r="JF22" i="12"/>
  <c r="KN22" i="12" s="1"/>
  <c r="IY22" i="12"/>
  <c r="KG22" i="12" s="1"/>
  <c r="GS22" i="12"/>
  <c r="IA22" i="12" s="1"/>
  <c r="CG23" i="12"/>
  <c r="CF23" i="12"/>
  <c r="IS22" i="12"/>
  <c r="KA22" i="12" s="1"/>
  <c r="GY22" i="12"/>
  <c r="IG22" i="12" s="1"/>
  <c r="JK22" i="12"/>
  <c r="KS22" i="12" s="1"/>
  <c r="IW22" i="12"/>
  <c r="KE22" i="12" s="1"/>
  <c r="GH22" i="12"/>
  <c r="HP22" i="12" s="1"/>
  <c r="BC23" i="12"/>
  <c r="FZ22" i="12"/>
  <c r="HH22" i="12" s="1"/>
  <c r="JQ22" i="12"/>
  <c r="KY22" i="12" s="1"/>
  <c r="EN23" i="12" l="1"/>
  <c r="DE23" i="12"/>
  <c r="CR23" i="12"/>
  <c r="FO23" i="12"/>
  <c r="FX22" i="12"/>
  <c r="JX22" i="12"/>
  <c r="FP23" i="12" s="1"/>
  <c r="AW21" i="12" s="1"/>
  <c r="AZ21" i="12" s="1"/>
  <c r="BX23" i="12" s="1"/>
  <c r="IO22" i="12"/>
  <c r="BH22" i="12"/>
  <c r="BE22" i="12"/>
  <c r="EK22" i="12"/>
  <c r="BF22" i="12"/>
  <c r="BG22" i="12"/>
  <c r="EL22" i="12"/>
  <c r="EQ22" i="12" l="1"/>
  <c r="FT23" i="12"/>
  <c r="AV21" i="12"/>
  <c r="CB23" i="12" s="1"/>
  <c r="CD23" i="12" l="1"/>
  <c r="CQ23" i="12" s="1"/>
  <c r="CS23" i="12" s="1"/>
  <c r="CT23" i="12" s="1"/>
  <c r="CI23" i="12" l="1"/>
  <c r="CK23" i="12" s="1"/>
  <c r="DC23" i="12"/>
  <c r="CL23" i="12" l="1"/>
  <c r="CM23" i="12"/>
  <c r="CN23" i="12"/>
  <c r="CP23" i="12" s="1"/>
  <c r="DA23" i="12"/>
  <c r="CZ23" i="12" l="1"/>
  <c r="DB23" i="12"/>
  <c r="AM23" i="12"/>
  <c r="FC23" i="12"/>
  <c r="AL23" i="12"/>
  <c r="ET23" i="12"/>
  <c r="FD23" i="12" l="1"/>
  <c r="FE23" i="12" s="1"/>
  <c r="FF23" i="12" s="1"/>
  <c r="B46" i="20"/>
  <c r="DH92" i="12" s="1"/>
  <c r="B46" i="19"/>
  <c r="DG23" i="12"/>
  <c r="EM23" i="12" s="1"/>
  <c r="AK23" i="12"/>
  <c r="EU23" i="12"/>
  <c r="EV23" i="12" s="1"/>
  <c r="EW23" i="12" s="1"/>
  <c r="B14" i="19"/>
  <c r="B13" i="20"/>
  <c r="DH59" i="12" s="1"/>
  <c r="FA23" i="12" l="1"/>
  <c r="AI23" i="12" s="1"/>
  <c r="EX24" i="12"/>
  <c r="EY25" i="12" s="1"/>
  <c r="EZ26" i="12" s="1"/>
  <c r="FJ23" i="12"/>
  <c r="AJ23" i="12" s="1"/>
  <c r="FG24" i="12"/>
  <c r="FH25" i="12" s="1"/>
  <c r="FI26" i="12" s="1"/>
  <c r="MA23" i="12"/>
  <c r="B178" i="20"/>
  <c r="DH224" i="12" s="1"/>
  <c r="AR23" i="12"/>
  <c r="B179" i="19"/>
  <c r="AP23" i="12"/>
  <c r="B80" i="19" l="1"/>
  <c r="B79" i="20"/>
  <c r="DH125" i="12" s="1"/>
  <c r="B113" i="19"/>
  <c r="B112" i="20"/>
  <c r="AH23" i="12"/>
  <c r="AQ23" i="12" l="1"/>
  <c r="AO23" i="12"/>
  <c r="B223" i="20"/>
  <c r="DH158" i="12"/>
  <c r="BM23" i="12" l="1"/>
  <c r="BI23" i="12"/>
  <c r="BK23" i="12" s="1"/>
  <c r="BD23" i="12" s="1"/>
  <c r="FM24" i="12"/>
  <c r="FS24" i="12" s="1"/>
  <c r="CF24" i="12"/>
  <c r="GB23" i="12"/>
  <c r="HJ23" i="12" s="1"/>
  <c r="JD23" i="12"/>
  <c r="KL23" i="12" s="1"/>
  <c r="IY23" i="12"/>
  <c r="KG23" i="12" s="1"/>
  <c r="GN23" i="12"/>
  <c r="HV23" i="12" s="1"/>
  <c r="GV23" i="12"/>
  <c r="ID23" i="12" s="1"/>
  <c r="JL23" i="12"/>
  <c r="KT23" i="12" s="1"/>
  <c r="JC23" i="12"/>
  <c r="KK23" i="12" s="1"/>
  <c r="GU23" i="12"/>
  <c r="IC23" i="12" s="1"/>
  <c r="JS23" i="12"/>
  <c r="LA23" i="12" s="1"/>
  <c r="GO23" i="12"/>
  <c r="HW23" i="12" s="1"/>
  <c r="GQ23" i="12"/>
  <c r="HY23" i="12" s="1"/>
  <c r="JO23" i="12"/>
  <c r="KW23" i="12" s="1"/>
  <c r="HC23" i="12"/>
  <c r="IK23" i="12" s="1"/>
  <c r="JN23" i="12"/>
  <c r="KV23" i="12" s="1"/>
  <c r="JF23" i="12"/>
  <c r="KN23" i="12" s="1"/>
  <c r="JR23" i="12"/>
  <c r="KZ23" i="12" s="1"/>
  <c r="IX23" i="12"/>
  <c r="KF23" i="12" s="1"/>
  <c r="JT23" i="12"/>
  <c r="LB23" i="12" s="1"/>
  <c r="HA23" i="12"/>
  <c r="II23" i="12" s="1"/>
  <c r="IW23" i="12"/>
  <c r="KE23" i="12" s="1"/>
  <c r="JI23" i="12"/>
  <c r="KQ23" i="12" s="1"/>
  <c r="FY23" i="12"/>
  <c r="HG23" i="12" s="1"/>
  <c r="BC24" i="12"/>
  <c r="HB23" i="12"/>
  <c r="IJ23" i="12" s="1"/>
  <c r="JQ23" i="12"/>
  <c r="KY23" i="12" s="1"/>
  <c r="GH23" i="12"/>
  <c r="HP23" i="12" s="1"/>
  <c r="JA23" i="12"/>
  <c r="KI23" i="12" s="1"/>
  <c r="GE23" i="12"/>
  <c r="HM23" i="12" s="1"/>
  <c r="GF23" i="12"/>
  <c r="HN23" i="12" s="1"/>
  <c r="GR23" i="12"/>
  <c r="HZ23" i="12" s="1"/>
  <c r="JE23" i="12"/>
  <c r="KM23" i="12" s="1"/>
  <c r="IV23" i="12"/>
  <c r="KD23" i="12" s="1"/>
  <c r="IP23" i="12"/>
  <c r="GC23" i="12"/>
  <c r="HK23" i="12" s="1"/>
  <c r="GK23" i="12"/>
  <c r="HS23" i="12" s="1"/>
  <c r="GY23" i="12"/>
  <c r="IG23" i="12" s="1"/>
  <c r="GL23" i="12"/>
  <c r="HT23" i="12" s="1"/>
  <c r="GM23" i="12"/>
  <c r="HU23" i="12" s="1"/>
  <c r="JM23" i="12"/>
  <c r="KU23" i="12" s="1"/>
  <c r="GJ23" i="12"/>
  <c r="HR23" i="12" s="1"/>
  <c r="IQ23" i="12"/>
  <c r="JY23" i="12" s="1"/>
  <c r="GZ23" i="12"/>
  <c r="IH23" i="12" s="1"/>
  <c r="GT23" i="12"/>
  <c r="IB23" i="12" s="1"/>
  <c r="IR23" i="12"/>
  <c r="JZ23" i="12" s="1"/>
  <c r="IS23" i="12"/>
  <c r="KA23" i="12" s="1"/>
  <c r="GD23" i="12"/>
  <c r="HL23" i="12" s="1"/>
  <c r="JG23" i="12"/>
  <c r="KO23" i="12" s="1"/>
  <c r="FZ23" i="12"/>
  <c r="HH23" i="12" s="1"/>
  <c r="GS23" i="12"/>
  <c r="IA23" i="12" s="1"/>
  <c r="IT23" i="12"/>
  <c r="KB23" i="12" s="1"/>
  <c r="JK23" i="12"/>
  <c r="KS23" i="12" s="1"/>
  <c r="IZ23" i="12"/>
  <c r="KH23" i="12" s="1"/>
  <c r="GX23" i="12"/>
  <c r="IF23" i="12" s="1"/>
  <c r="CG24" i="12"/>
  <c r="CH24" i="12"/>
  <c r="JP23" i="12"/>
  <c r="KX23" i="12" s="1"/>
  <c r="GA23" i="12"/>
  <c r="HI23" i="12" s="1"/>
  <c r="GP23" i="12"/>
  <c r="HX23" i="12" s="1"/>
  <c r="GI23" i="12"/>
  <c r="HQ23" i="12" s="1"/>
  <c r="JJ23" i="12"/>
  <c r="KR23" i="12" s="1"/>
  <c r="CC24" i="12"/>
  <c r="GG23" i="12"/>
  <c r="HO23" i="12" s="1"/>
  <c r="GW23" i="12"/>
  <c r="IE23" i="12" s="1"/>
  <c r="JH23" i="12"/>
  <c r="KP23" i="12" s="1"/>
  <c r="JB23" i="12"/>
  <c r="KJ23" i="12" s="1"/>
  <c r="IU23" i="12"/>
  <c r="KC23" i="12" s="1"/>
  <c r="FO24" i="12" l="1"/>
  <c r="FX23" i="12"/>
  <c r="EN24" i="12"/>
  <c r="DE24" i="12"/>
  <c r="CR24" i="12"/>
  <c r="JX23" i="12"/>
  <c r="FP24" i="12" s="1"/>
  <c r="AW22" i="12" s="1"/>
  <c r="AZ22" i="12" s="1"/>
  <c r="BX24" i="12" s="1"/>
  <c r="IO23" i="12"/>
  <c r="BG23" i="12"/>
  <c r="BE23" i="12"/>
  <c r="BF23" i="12"/>
  <c r="BH23" i="12"/>
  <c r="EL23" i="12"/>
  <c r="EK23" i="12"/>
  <c r="EQ23" i="12" l="1"/>
  <c r="AV22" i="12"/>
  <c r="CB24" i="12" s="1"/>
  <c r="FT24" i="12"/>
  <c r="CD24" i="12" l="1"/>
  <c r="CI24" i="12" s="1"/>
  <c r="CQ24" i="12" l="1"/>
  <c r="CS24" i="12" s="1"/>
  <c r="CT24" i="12" s="1"/>
  <c r="DC24" i="12"/>
  <c r="CK24" i="12"/>
  <c r="CL24" i="12" l="1"/>
  <c r="CM24" i="12"/>
  <c r="CN24" i="12"/>
  <c r="CP24" i="12" s="1"/>
  <c r="DA24" i="12"/>
  <c r="FC24" i="12" l="1"/>
  <c r="AM24" i="12"/>
  <c r="DB24" i="12"/>
  <c r="CZ24" i="12"/>
  <c r="ET24" i="12"/>
  <c r="AL24" i="12"/>
  <c r="B14" i="20" l="1"/>
  <c r="DH60" i="12" s="1"/>
  <c r="B15" i="19"/>
  <c r="B47" i="19"/>
  <c r="B47" i="20"/>
  <c r="DH93" i="12" s="1"/>
  <c r="DG24" i="12"/>
  <c r="EM24" i="12" s="1"/>
  <c r="AK24" i="12"/>
  <c r="EU24" i="12"/>
  <c r="EV24" i="12" s="1"/>
  <c r="EW24" i="12" s="1"/>
  <c r="FD24" i="12"/>
  <c r="FE24" i="12" s="1"/>
  <c r="FF24" i="12" s="1"/>
  <c r="FJ24" i="12" l="1"/>
  <c r="AJ24" i="12" s="1"/>
  <c r="FG25" i="12"/>
  <c r="FH26" i="12" s="1"/>
  <c r="FI27" i="12" s="1"/>
  <c r="AR24" i="12"/>
  <c r="MA24" i="12"/>
  <c r="B179" i="20"/>
  <c r="DH225" i="12" s="1"/>
  <c r="B180" i="19"/>
  <c r="AP24" i="12"/>
  <c r="FA24" i="12"/>
  <c r="AI24" i="12" s="1"/>
  <c r="EX25" i="12"/>
  <c r="EY26" i="12" s="1"/>
  <c r="EZ27" i="12" s="1"/>
  <c r="B80" i="20" l="1"/>
  <c r="DH126" i="12" s="1"/>
  <c r="B81" i="19"/>
  <c r="B114" i="19"/>
  <c r="B113" i="20"/>
  <c r="AH24" i="12"/>
  <c r="DH159" i="12" l="1"/>
  <c r="B224" i="20"/>
  <c r="AQ24" i="12"/>
  <c r="AO24" i="12"/>
  <c r="BI24" i="12" l="1"/>
  <c r="BK24" i="12" s="1"/>
  <c r="BD24" i="12" s="1"/>
  <c r="FM25" i="12"/>
  <c r="FS25" i="12" s="1"/>
  <c r="BM24" i="12"/>
  <c r="FY24" i="12"/>
  <c r="HG24" i="12" s="1"/>
  <c r="IP24" i="12"/>
  <c r="CC25" i="12"/>
  <c r="HB24" i="12"/>
  <c r="IJ24" i="12" s="1"/>
  <c r="GY24" i="12"/>
  <c r="IG24" i="12" s="1"/>
  <c r="JO24" i="12"/>
  <c r="KW24" i="12" s="1"/>
  <c r="IS24" i="12"/>
  <c r="KA24" i="12" s="1"/>
  <c r="GL24" i="12"/>
  <c r="HT24" i="12" s="1"/>
  <c r="GE24" i="12"/>
  <c r="HM24" i="12" s="1"/>
  <c r="JH24" i="12"/>
  <c r="KP24" i="12" s="1"/>
  <c r="GS24" i="12"/>
  <c r="IA24" i="12" s="1"/>
  <c r="IX24" i="12"/>
  <c r="KF24" i="12" s="1"/>
  <c r="GR24" i="12"/>
  <c r="HZ24" i="12" s="1"/>
  <c r="IQ24" i="12"/>
  <c r="JY24" i="12" s="1"/>
  <c r="JP24" i="12"/>
  <c r="KX24" i="12" s="1"/>
  <c r="JR24" i="12"/>
  <c r="KZ24" i="12" s="1"/>
  <c r="GT24" i="12"/>
  <c r="IB24" i="12" s="1"/>
  <c r="GG24" i="12"/>
  <c r="HO24" i="12" s="1"/>
  <c r="GJ24" i="12"/>
  <c r="HR24" i="12" s="1"/>
  <c r="BC25" i="12"/>
  <c r="GQ24" i="12"/>
  <c r="HY24" i="12" s="1"/>
  <c r="IY24" i="12"/>
  <c r="KG24" i="12" s="1"/>
  <c r="GO24" i="12"/>
  <c r="HW24" i="12" s="1"/>
  <c r="IR24" i="12"/>
  <c r="JZ24" i="12" s="1"/>
  <c r="GF24" i="12"/>
  <c r="HN24" i="12" s="1"/>
  <c r="JL24" i="12"/>
  <c r="KT24" i="12" s="1"/>
  <c r="JA24" i="12"/>
  <c r="KI24" i="12" s="1"/>
  <c r="GV24" i="12"/>
  <c r="ID24" i="12" s="1"/>
  <c r="GM24" i="12"/>
  <c r="HU24" i="12" s="1"/>
  <c r="JF24" i="12"/>
  <c r="KN24" i="12" s="1"/>
  <c r="GU24" i="12"/>
  <c r="IC24" i="12" s="1"/>
  <c r="IU24" i="12"/>
  <c r="KC24" i="12" s="1"/>
  <c r="JB24" i="12"/>
  <c r="KJ24" i="12" s="1"/>
  <c r="CF25" i="12"/>
  <c r="GI24" i="12"/>
  <c r="HQ24" i="12" s="1"/>
  <c r="JM24" i="12"/>
  <c r="KU24" i="12" s="1"/>
  <c r="JG24" i="12"/>
  <c r="KO24" i="12" s="1"/>
  <c r="GH24" i="12"/>
  <c r="HP24" i="12" s="1"/>
  <c r="FZ24" i="12"/>
  <c r="HH24" i="12" s="1"/>
  <c r="JC24" i="12"/>
  <c r="KK24" i="12" s="1"/>
  <c r="IT24" i="12"/>
  <c r="KB24" i="12" s="1"/>
  <c r="HA24" i="12"/>
  <c r="II24" i="12" s="1"/>
  <c r="GW24" i="12"/>
  <c r="IE24" i="12" s="1"/>
  <c r="JQ24" i="12"/>
  <c r="KY24" i="12" s="1"/>
  <c r="JJ24" i="12"/>
  <c r="KR24" i="12" s="1"/>
  <c r="GA24" i="12"/>
  <c r="HI24" i="12" s="1"/>
  <c r="GD24" i="12"/>
  <c r="HL24" i="12" s="1"/>
  <c r="CG25" i="12"/>
  <c r="GX24" i="12"/>
  <c r="IF24" i="12" s="1"/>
  <c r="JE24" i="12"/>
  <c r="KM24" i="12" s="1"/>
  <c r="GC24" i="12"/>
  <c r="HK24" i="12" s="1"/>
  <c r="IV24" i="12"/>
  <c r="KD24" i="12" s="1"/>
  <c r="JT24" i="12"/>
  <c r="LB24" i="12" s="1"/>
  <c r="JD24" i="12"/>
  <c r="KL24" i="12" s="1"/>
  <c r="GP24" i="12"/>
  <c r="HX24" i="12" s="1"/>
  <c r="CH25" i="12"/>
  <c r="JK24" i="12"/>
  <c r="KS24" i="12" s="1"/>
  <c r="GB24" i="12"/>
  <c r="HJ24" i="12" s="1"/>
  <c r="HC24" i="12"/>
  <c r="IK24" i="12" s="1"/>
  <c r="GZ24" i="12"/>
  <c r="IH24" i="12" s="1"/>
  <c r="JI24" i="12"/>
  <c r="KQ24" i="12" s="1"/>
  <c r="GN24" i="12"/>
  <c r="HV24" i="12" s="1"/>
  <c r="GK24" i="12"/>
  <c r="HS24" i="12" s="1"/>
  <c r="IW24" i="12"/>
  <c r="KE24" i="12" s="1"/>
  <c r="JN24" i="12"/>
  <c r="KV24" i="12" s="1"/>
  <c r="IZ24" i="12"/>
  <c r="KH24" i="12" s="1"/>
  <c r="JS24" i="12"/>
  <c r="LA24" i="12" s="1"/>
  <c r="CR25" i="12" l="1"/>
  <c r="DE25" i="12"/>
  <c r="EN25" i="12"/>
  <c r="JX24" i="12"/>
  <c r="FP25" i="12" s="1"/>
  <c r="AW23" i="12" s="1"/>
  <c r="AZ23" i="12" s="1"/>
  <c r="BX25" i="12" s="1"/>
  <c r="IO24" i="12"/>
  <c r="FO25" i="12"/>
  <c r="FX24" i="12"/>
  <c r="BH24" i="12"/>
  <c r="BG24" i="12"/>
  <c r="BF24" i="12"/>
  <c r="BE24" i="12"/>
  <c r="EL24" i="12"/>
  <c r="AV23" i="12" l="1"/>
  <c r="CB25" i="12" s="1"/>
  <c r="FT25" i="12"/>
  <c r="CD25" i="12" l="1"/>
  <c r="DC25" i="12" l="1"/>
  <c r="CI25" i="12"/>
  <c r="CK25" i="12" s="1"/>
  <c r="CQ25" i="12"/>
  <c r="CS25" i="12" s="1"/>
  <c r="CT25" i="12" s="1"/>
  <c r="CM25" i="12" l="1"/>
  <c r="CL25" i="12"/>
  <c r="CN25" i="12"/>
  <c r="CP25" i="12" s="1"/>
  <c r="DA25" i="12"/>
  <c r="ET25" i="12" l="1"/>
  <c r="AL25" i="12"/>
  <c r="CZ25" i="12"/>
  <c r="DB25" i="12"/>
  <c r="FC25" i="12"/>
  <c r="AM25" i="12"/>
  <c r="FD25" i="12" l="1"/>
  <c r="FE25" i="12" s="1"/>
  <c r="FF25" i="12" s="1"/>
  <c r="EU25" i="12"/>
  <c r="EV25" i="12" s="1"/>
  <c r="EW25" i="12" s="1"/>
  <c r="AK25" i="12"/>
  <c r="B48" i="19"/>
  <c r="B48" i="20"/>
  <c r="DH94" i="12" s="1"/>
  <c r="DG25" i="12"/>
  <c r="EM25" i="12" s="1"/>
  <c r="B16" i="19"/>
  <c r="B15" i="20"/>
  <c r="DH61" i="12" s="1"/>
  <c r="EX26" i="12" l="1"/>
  <c r="EY27" i="12" s="1"/>
  <c r="EZ28" i="12" s="1"/>
  <c r="FA25" i="12"/>
  <c r="AI25" i="12" s="1"/>
  <c r="FG26" i="12"/>
  <c r="FH27" i="12" s="1"/>
  <c r="FI28" i="12" s="1"/>
  <c r="FJ25" i="12"/>
  <c r="AJ25" i="12" s="1"/>
  <c r="AR25" i="12"/>
  <c r="B181" i="19"/>
  <c r="B180" i="20"/>
  <c r="DH226" i="12" s="1"/>
  <c r="MA25" i="12"/>
  <c r="AP25" i="12"/>
  <c r="B114" i="20" l="1"/>
  <c r="B115" i="19"/>
  <c r="B81" i="20"/>
  <c r="DH127" i="12" s="1"/>
  <c r="B82" i="19"/>
  <c r="AH25" i="12"/>
  <c r="AQ25" i="12" l="1"/>
  <c r="AO25" i="12"/>
  <c r="B225" i="20"/>
  <c r="DH160" i="12"/>
  <c r="BI25" i="12" l="1"/>
  <c r="BK25" i="12" s="1"/>
  <c r="BD25" i="12" s="1"/>
  <c r="FM26" i="12"/>
  <c r="FS26" i="12" s="1"/>
  <c r="BM25" i="12"/>
  <c r="IP25" i="12"/>
  <c r="FY25" i="12"/>
  <c r="HG25" i="12" s="1"/>
  <c r="CC26" i="12"/>
  <c r="GY25" i="12"/>
  <c r="IG25" i="12" s="1"/>
  <c r="JH25" i="12"/>
  <c r="KP25" i="12" s="1"/>
  <c r="GL25" i="12"/>
  <c r="HT25" i="12" s="1"/>
  <c r="IR25" i="12"/>
  <c r="JZ25" i="12" s="1"/>
  <c r="GW25" i="12"/>
  <c r="IE25" i="12" s="1"/>
  <c r="GJ25" i="12"/>
  <c r="HR25" i="12" s="1"/>
  <c r="JK25" i="12"/>
  <c r="KS25" i="12" s="1"/>
  <c r="GP25" i="12"/>
  <c r="HX25" i="12" s="1"/>
  <c r="IQ25" i="12"/>
  <c r="JY25" i="12" s="1"/>
  <c r="GB25" i="12"/>
  <c r="HJ25" i="12" s="1"/>
  <c r="CF26" i="12"/>
  <c r="IY25" i="12"/>
  <c r="KG25" i="12" s="1"/>
  <c r="JF25" i="12"/>
  <c r="KN25" i="12" s="1"/>
  <c r="IW25" i="12"/>
  <c r="KE25" i="12" s="1"/>
  <c r="JJ25" i="12"/>
  <c r="KR25" i="12" s="1"/>
  <c r="GV25" i="12"/>
  <c r="ID25" i="12" s="1"/>
  <c r="IX25" i="12"/>
  <c r="KF25" i="12" s="1"/>
  <c r="JS25" i="12"/>
  <c r="LA25" i="12" s="1"/>
  <c r="HA25" i="12"/>
  <c r="II25" i="12" s="1"/>
  <c r="JT25" i="12"/>
  <c r="LB25" i="12" s="1"/>
  <c r="JE25" i="12"/>
  <c r="KM25" i="12" s="1"/>
  <c r="GS25" i="12"/>
  <c r="IA25" i="12" s="1"/>
  <c r="GA25" i="12"/>
  <c r="HI25" i="12" s="1"/>
  <c r="IV25" i="12"/>
  <c r="KD25" i="12" s="1"/>
  <c r="GU25" i="12"/>
  <c r="IC25" i="12" s="1"/>
  <c r="GO25" i="12"/>
  <c r="HW25" i="12" s="1"/>
  <c r="GI25" i="12"/>
  <c r="HQ25" i="12" s="1"/>
  <c r="IS25" i="12"/>
  <c r="KA25" i="12" s="1"/>
  <c r="GQ25" i="12"/>
  <c r="HY25" i="12" s="1"/>
  <c r="JM25" i="12"/>
  <c r="KU25" i="12" s="1"/>
  <c r="GK25" i="12"/>
  <c r="HS25" i="12" s="1"/>
  <c r="GD25" i="12"/>
  <c r="HL25" i="12" s="1"/>
  <c r="HC25" i="12"/>
  <c r="IK25" i="12" s="1"/>
  <c r="GX25" i="12"/>
  <c r="IF25" i="12" s="1"/>
  <c r="CH26" i="12"/>
  <c r="JO25" i="12"/>
  <c r="KW25" i="12" s="1"/>
  <c r="GT25" i="12"/>
  <c r="IB25" i="12" s="1"/>
  <c r="GR25" i="12"/>
  <c r="HZ25" i="12" s="1"/>
  <c r="JD25" i="12"/>
  <c r="KL25" i="12" s="1"/>
  <c r="JG25" i="12"/>
  <c r="KO25" i="12" s="1"/>
  <c r="FZ25" i="12"/>
  <c r="HH25" i="12" s="1"/>
  <c r="JA25" i="12"/>
  <c r="KI25" i="12" s="1"/>
  <c r="JP25" i="12"/>
  <c r="KX25" i="12" s="1"/>
  <c r="GZ25" i="12"/>
  <c r="IH25" i="12" s="1"/>
  <c r="IT25" i="12"/>
  <c r="KB25" i="12" s="1"/>
  <c r="GH25" i="12"/>
  <c r="HP25" i="12" s="1"/>
  <c r="GM25" i="12"/>
  <c r="HU25" i="12" s="1"/>
  <c r="IU25" i="12"/>
  <c r="KC25" i="12" s="1"/>
  <c r="JN25" i="12"/>
  <c r="KV25" i="12" s="1"/>
  <c r="JC25" i="12"/>
  <c r="KK25" i="12" s="1"/>
  <c r="BC26" i="12"/>
  <c r="CG26" i="12"/>
  <c r="JL25" i="12"/>
  <c r="KT25" i="12" s="1"/>
  <c r="JQ25" i="12"/>
  <c r="KY25" i="12" s="1"/>
  <c r="GF25" i="12"/>
  <c r="HN25" i="12" s="1"/>
  <c r="JB25" i="12"/>
  <c r="KJ25" i="12" s="1"/>
  <c r="GE25" i="12"/>
  <c r="HM25" i="12" s="1"/>
  <c r="IZ25" i="12"/>
  <c r="KH25" i="12" s="1"/>
  <c r="GG25" i="12"/>
  <c r="HO25" i="12" s="1"/>
  <c r="GN25" i="12"/>
  <c r="HV25" i="12" s="1"/>
  <c r="JI25" i="12"/>
  <c r="KQ25" i="12" s="1"/>
  <c r="JR25" i="12"/>
  <c r="KZ25" i="12" s="1"/>
  <c r="GC25" i="12"/>
  <c r="HK25" i="12" s="1"/>
  <c r="HB25" i="12"/>
  <c r="IJ25" i="12" s="1"/>
  <c r="JX25" i="12" l="1"/>
  <c r="FP26" i="12" s="1"/>
  <c r="AW24" i="12" s="1"/>
  <c r="AZ24" i="12" s="1"/>
  <c r="BX26" i="12" s="1"/>
  <c r="IO25" i="12"/>
  <c r="EN26" i="12"/>
  <c r="CR26" i="12"/>
  <c r="DE26" i="12"/>
  <c r="FO26" i="12"/>
  <c r="FX25" i="12"/>
  <c r="BG25" i="12"/>
  <c r="BH25" i="12"/>
  <c r="BF25" i="12"/>
  <c r="BE25" i="12"/>
  <c r="EL25" i="12"/>
  <c r="AV24" i="12" l="1"/>
  <c r="CB26" i="12" s="1"/>
  <c r="FT26" i="12"/>
  <c r="CD26" i="12" l="1"/>
  <c r="DC26" i="12" s="1"/>
  <c r="CI26" i="12" l="1"/>
  <c r="CK26" i="12" s="1"/>
  <c r="CL26" i="12" s="1"/>
  <c r="CQ26" i="12"/>
  <c r="CS26" i="12" s="1"/>
  <c r="CT26" i="12" s="1"/>
  <c r="CN26" i="12" l="1"/>
  <c r="CP26" i="12" s="1"/>
  <c r="CM26" i="12"/>
  <c r="DA26" i="12"/>
  <c r="DB26" i="12" s="1"/>
  <c r="ET26" i="12"/>
  <c r="AL26" i="12"/>
  <c r="CZ26" i="12" l="1"/>
  <c r="B16" i="20" s="1"/>
  <c r="DH62" i="12" s="1"/>
  <c r="FC26" i="12"/>
  <c r="AM26" i="12"/>
  <c r="FD26" i="12" s="1"/>
  <c r="EU26" i="12"/>
  <c r="EV26" i="12" s="1"/>
  <c r="EW26" i="12" s="1"/>
  <c r="B49" i="19"/>
  <c r="B49" i="20"/>
  <c r="DH95" i="12" s="1"/>
  <c r="DG26" i="12"/>
  <c r="EM26" i="12" s="1"/>
  <c r="B17" i="19" l="1"/>
  <c r="FE26" i="12"/>
  <c r="FF26" i="12" s="1"/>
  <c r="FG27" i="12" s="1"/>
  <c r="FH28" i="12" s="1"/>
  <c r="FI29" i="12" s="1"/>
  <c r="AK26" i="12"/>
  <c r="B182" i="19" s="1"/>
  <c r="EX27" i="12"/>
  <c r="EY28" i="12" s="1"/>
  <c r="EZ29" i="12" s="1"/>
  <c r="FA26" i="12"/>
  <c r="AI26" i="12" s="1"/>
  <c r="AR26" i="12" l="1"/>
  <c r="B83" i="19" s="1"/>
  <c r="B181" i="20"/>
  <c r="DH227" i="12" s="1"/>
  <c r="FJ26" i="12"/>
  <c r="AJ26" i="12" s="1"/>
  <c r="AH26" i="12" s="1"/>
  <c r="AP26" i="12"/>
  <c r="B116" i="19" s="1"/>
  <c r="MA26" i="12"/>
  <c r="B82" i="20" l="1"/>
  <c r="DH128" i="12" s="1"/>
  <c r="B115" i="20"/>
  <c r="DH161" i="12" s="1"/>
  <c r="AQ26" i="12"/>
  <c r="AO26" i="12"/>
  <c r="B226" i="20" l="1"/>
  <c r="BI26" i="12"/>
  <c r="BK26" i="12" s="1"/>
  <c r="BD26" i="12" s="1"/>
  <c r="FM27" i="12"/>
  <c r="FS27" i="12" s="1"/>
  <c r="BM26" i="12"/>
  <c r="FY26" i="12"/>
  <c r="HG26" i="12" s="1"/>
  <c r="IP26" i="12"/>
  <c r="IV26" i="12"/>
  <c r="KD26" i="12" s="1"/>
  <c r="GU26" i="12"/>
  <c r="IC26" i="12" s="1"/>
  <c r="GI26" i="12"/>
  <c r="HQ26" i="12" s="1"/>
  <c r="GR26" i="12"/>
  <c r="HZ26" i="12" s="1"/>
  <c r="GY26" i="12"/>
  <c r="IG26" i="12" s="1"/>
  <c r="IS26" i="12"/>
  <c r="KA26" i="12" s="1"/>
  <c r="JT26" i="12"/>
  <c r="LB26" i="12" s="1"/>
  <c r="GC26" i="12"/>
  <c r="HK26" i="12" s="1"/>
  <c r="JS26" i="12"/>
  <c r="LA26" i="12" s="1"/>
  <c r="GH26" i="12"/>
  <c r="HP26" i="12" s="1"/>
  <c r="GS26" i="12"/>
  <c r="IA26" i="12" s="1"/>
  <c r="JL26" i="12"/>
  <c r="KT26" i="12" s="1"/>
  <c r="GL26" i="12"/>
  <c r="HT26" i="12" s="1"/>
  <c r="GJ26" i="12"/>
  <c r="HR26" i="12" s="1"/>
  <c r="IR26" i="12"/>
  <c r="JZ26" i="12" s="1"/>
  <c r="GT26" i="12"/>
  <c r="IB26" i="12" s="1"/>
  <c r="IX26" i="12"/>
  <c r="KF26" i="12" s="1"/>
  <c r="CH27" i="12"/>
  <c r="JA26" i="12"/>
  <c r="KI26" i="12" s="1"/>
  <c r="JF26" i="12"/>
  <c r="KN26" i="12" s="1"/>
  <c r="GZ26" i="12"/>
  <c r="IH26" i="12" s="1"/>
  <c r="GO26" i="12"/>
  <c r="HW26" i="12" s="1"/>
  <c r="FZ26" i="12"/>
  <c r="HH26" i="12" s="1"/>
  <c r="IQ26" i="12"/>
  <c r="JY26" i="12" s="1"/>
  <c r="JB26" i="12"/>
  <c r="KJ26" i="12" s="1"/>
  <c r="GA26" i="12"/>
  <c r="HI26" i="12" s="1"/>
  <c r="JI26" i="12"/>
  <c r="KQ26" i="12" s="1"/>
  <c r="CG27" i="12"/>
  <c r="GB26" i="12"/>
  <c r="HJ26" i="12" s="1"/>
  <c r="GW26" i="12"/>
  <c r="IE26" i="12" s="1"/>
  <c r="IU26" i="12"/>
  <c r="KC26" i="12" s="1"/>
  <c r="GP26" i="12"/>
  <c r="HX26" i="12" s="1"/>
  <c r="CF27" i="12"/>
  <c r="GG26" i="12"/>
  <c r="HO26" i="12" s="1"/>
  <c r="GX26" i="12"/>
  <c r="IF26" i="12" s="1"/>
  <c r="JK26" i="12"/>
  <c r="KS26" i="12" s="1"/>
  <c r="JC26" i="12"/>
  <c r="KK26" i="12" s="1"/>
  <c r="GD26" i="12"/>
  <c r="HL26" i="12" s="1"/>
  <c r="BC27" i="12"/>
  <c r="HB26" i="12"/>
  <c r="IJ26" i="12" s="1"/>
  <c r="JM26" i="12"/>
  <c r="KU26" i="12" s="1"/>
  <c r="IW26" i="12"/>
  <c r="KE26" i="12" s="1"/>
  <c r="GM26" i="12"/>
  <c r="HU26" i="12" s="1"/>
  <c r="GE26" i="12"/>
  <c r="HM26" i="12" s="1"/>
  <c r="JE26" i="12"/>
  <c r="KM26" i="12" s="1"/>
  <c r="JH26" i="12"/>
  <c r="KP26" i="12" s="1"/>
  <c r="JP26" i="12"/>
  <c r="KX26" i="12" s="1"/>
  <c r="GF26" i="12"/>
  <c r="HN26" i="12" s="1"/>
  <c r="JG26" i="12"/>
  <c r="KO26" i="12" s="1"/>
  <c r="GK26" i="12"/>
  <c r="HS26" i="12" s="1"/>
  <c r="JQ26" i="12"/>
  <c r="KY26" i="12" s="1"/>
  <c r="IZ26" i="12"/>
  <c r="KH26" i="12" s="1"/>
  <c r="IT26" i="12"/>
  <c r="KB26" i="12" s="1"/>
  <c r="JD26" i="12"/>
  <c r="KL26" i="12" s="1"/>
  <c r="HA26" i="12"/>
  <c r="II26" i="12" s="1"/>
  <c r="IY26" i="12"/>
  <c r="KG26" i="12" s="1"/>
  <c r="GQ26" i="12"/>
  <c r="HY26" i="12" s="1"/>
  <c r="GN26" i="12"/>
  <c r="HV26" i="12" s="1"/>
  <c r="JJ26" i="12"/>
  <c r="KR26" i="12" s="1"/>
  <c r="JO26" i="12"/>
  <c r="KW26" i="12" s="1"/>
  <c r="HC26" i="12"/>
  <c r="IK26" i="12" s="1"/>
  <c r="JR26" i="12"/>
  <c r="KZ26" i="12" s="1"/>
  <c r="JN26" i="12"/>
  <c r="KV26" i="12" s="1"/>
  <c r="GV26" i="12"/>
  <c r="ID26" i="12" s="1"/>
  <c r="CC27" i="12"/>
  <c r="EN27" i="12" l="1"/>
  <c r="DE27" i="12"/>
  <c r="CR27" i="12"/>
  <c r="JX26" i="12"/>
  <c r="FP27" i="12" s="1"/>
  <c r="AW25" i="12" s="1"/>
  <c r="AZ25" i="12" s="1"/>
  <c r="BX27" i="12" s="1"/>
  <c r="IO26" i="12"/>
  <c r="FO27" i="12"/>
  <c r="FX26" i="12"/>
  <c r="BE26" i="12"/>
  <c r="BF26" i="12"/>
  <c r="BG26" i="12"/>
  <c r="BH26" i="12"/>
  <c r="EL26" i="12"/>
  <c r="FT27" i="12" l="1"/>
  <c r="AV25" i="12"/>
  <c r="CB27" i="12" s="1"/>
  <c r="CD27" i="12" l="1"/>
  <c r="CI27" i="12" l="1"/>
  <c r="CK27" i="12" s="1"/>
  <c r="DC27" i="12"/>
  <c r="CQ27" i="12"/>
  <c r="CS27" i="12" s="1"/>
  <c r="CT27" i="12" s="1"/>
  <c r="CL27" i="12" l="1"/>
  <c r="CM27" i="12"/>
  <c r="CN27" i="12"/>
  <c r="CP27" i="12" s="1"/>
  <c r="DA27" i="12"/>
  <c r="CZ27" i="12" l="1"/>
  <c r="DB27" i="12"/>
  <c r="FC27" i="12"/>
  <c r="AM27" i="12"/>
  <c r="ET27" i="12"/>
  <c r="AL27" i="12"/>
  <c r="AK27" i="12" l="1"/>
  <c r="EU27" i="12"/>
  <c r="EV27" i="12" s="1"/>
  <c r="EW27" i="12" s="1"/>
  <c r="FD27" i="12"/>
  <c r="FE27" i="12" s="1"/>
  <c r="FF27" i="12" s="1"/>
  <c r="B50" i="20"/>
  <c r="DH96" i="12" s="1"/>
  <c r="B50" i="19"/>
  <c r="DG27" i="12"/>
  <c r="EM27" i="12" s="1"/>
  <c r="B18" i="19"/>
  <c r="B17" i="20"/>
  <c r="DH63" i="12" s="1"/>
  <c r="B182" i="20" l="1"/>
  <c r="DH228" i="12" s="1"/>
  <c r="B183" i="19"/>
  <c r="AR27" i="12"/>
  <c r="MA27" i="12"/>
  <c r="AP27" i="12"/>
  <c r="FG28" i="12"/>
  <c r="FH29" i="12" s="1"/>
  <c r="FI30" i="12" s="1"/>
  <c r="FJ27" i="12"/>
  <c r="AJ27" i="12" s="1"/>
  <c r="EX28" i="12"/>
  <c r="EY29" i="12" s="1"/>
  <c r="EZ30" i="12" s="1"/>
  <c r="FA27" i="12"/>
  <c r="AI27" i="12" s="1"/>
  <c r="AH27" i="12" l="1"/>
  <c r="B83" i="20"/>
  <c r="DH129" i="12" s="1"/>
  <c r="B84" i="19"/>
  <c r="B116" i="20"/>
  <c r="B117" i="19"/>
  <c r="B227" i="20" l="1"/>
  <c r="DH162" i="12"/>
  <c r="AQ27" i="12"/>
  <c r="AO27" i="12"/>
  <c r="BI27" i="12" l="1"/>
  <c r="BK27" i="12" s="1"/>
  <c r="BD27" i="12" s="1"/>
  <c r="FM28" i="12"/>
  <c r="FS28" i="12" s="1"/>
  <c r="BM27" i="12"/>
  <c r="CH28" i="12"/>
  <c r="GC27" i="12"/>
  <c r="HK27" i="12" s="1"/>
  <c r="GB27" i="12"/>
  <c r="HJ27" i="12" s="1"/>
  <c r="IY27" i="12"/>
  <c r="KG27" i="12" s="1"/>
  <c r="IP27" i="12"/>
  <c r="JO27" i="12"/>
  <c r="KW27" i="12" s="1"/>
  <c r="GQ27" i="12"/>
  <c r="HY27" i="12" s="1"/>
  <c r="JD27" i="12"/>
  <c r="KL27" i="12" s="1"/>
  <c r="GK27" i="12"/>
  <c r="HS27" i="12" s="1"/>
  <c r="HA27" i="12"/>
  <c r="II27" i="12" s="1"/>
  <c r="CG28" i="12"/>
  <c r="JM27" i="12"/>
  <c r="KU27" i="12" s="1"/>
  <c r="GA27" i="12"/>
  <c r="HI27" i="12" s="1"/>
  <c r="GY27" i="12"/>
  <c r="IG27" i="12" s="1"/>
  <c r="IW27" i="12"/>
  <c r="KE27" i="12" s="1"/>
  <c r="IQ27" i="12"/>
  <c r="JY27" i="12" s="1"/>
  <c r="GO27" i="12"/>
  <c r="HW27" i="12" s="1"/>
  <c r="GX27" i="12"/>
  <c r="IF27" i="12" s="1"/>
  <c r="HC27" i="12"/>
  <c r="IK27" i="12" s="1"/>
  <c r="GM27" i="12"/>
  <c r="HU27" i="12" s="1"/>
  <c r="IU27" i="12"/>
  <c r="KC27" i="12" s="1"/>
  <c r="GL27" i="12"/>
  <c r="HT27" i="12" s="1"/>
  <c r="GS27" i="12"/>
  <c r="IA27" i="12" s="1"/>
  <c r="IX27" i="12"/>
  <c r="KF27" i="12" s="1"/>
  <c r="JL27" i="12"/>
  <c r="KT27" i="12" s="1"/>
  <c r="FZ27" i="12"/>
  <c r="HH27" i="12" s="1"/>
  <c r="GV27" i="12"/>
  <c r="ID27" i="12" s="1"/>
  <c r="IS27" i="12"/>
  <c r="KA27" i="12" s="1"/>
  <c r="JC27" i="12"/>
  <c r="KK27" i="12" s="1"/>
  <c r="JA27" i="12"/>
  <c r="KI27" i="12" s="1"/>
  <c r="GE27" i="12"/>
  <c r="HM27" i="12" s="1"/>
  <c r="GU27" i="12"/>
  <c r="IC27" i="12" s="1"/>
  <c r="JJ27" i="12"/>
  <c r="KR27" i="12" s="1"/>
  <c r="GT27" i="12"/>
  <c r="IB27" i="12" s="1"/>
  <c r="IZ27" i="12"/>
  <c r="KH27" i="12" s="1"/>
  <c r="BC28" i="12"/>
  <c r="GH27" i="12"/>
  <c r="HP27" i="12" s="1"/>
  <c r="CC28" i="12"/>
  <c r="FY27" i="12"/>
  <c r="CF28" i="12"/>
  <c r="JG27" i="12"/>
  <c r="KO27" i="12" s="1"/>
  <c r="IT27" i="12"/>
  <c r="KB27" i="12" s="1"/>
  <c r="JB27" i="12"/>
  <c r="KJ27" i="12" s="1"/>
  <c r="GW27" i="12"/>
  <c r="IE27" i="12" s="1"/>
  <c r="JP27" i="12"/>
  <c r="KX27" i="12" s="1"/>
  <c r="GD27" i="12"/>
  <c r="HL27" i="12" s="1"/>
  <c r="JK27" i="12"/>
  <c r="KS27" i="12" s="1"/>
  <c r="JR27" i="12"/>
  <c r="KZ27" i="12" s="1"/>
  <c r="JS27" i="12"/>
  <c r="LA27" i="12" s="1"/>
  <c r="GN27" i="12"/>
  <c r="HV27" i="12" s="1"/>
  <c r="GZ27" i="12"/>
  <c r="IH27" i="12" s="1"/>
  <c r="JF27" i="12"/>
  <c r="KN27" i="12" s="1"/>
  <c r="HB27" i="12"/>
  <c r="IJ27" i="12" s="1"/>
  <c r="IV27" i="12"/>
  <c r="KD27" i="12" s="1"/>
  <c r="GR27" i="12"/>
  <c r="HZ27" i="12" s="1"/>
  <c r="GF27" i="12"/>
  <c r="HN27" i="12" s="1"/>
  <c r="JT27" i="12"/>
  <c r="LB27" i="12" s="1"/>
  <c r="JE27" i="12"/>
  <c r="KM27" i="12" s="1"/>
  <c r="GJ27" i="12"/>
  <c r="HR27" i="12" s="1"/>
  <c r="GI27" i="12"/>
  <c r="HQ27" i="12" s="1"/>
  <c r="JQ27" i="12"/>
  <c r="KY27" i="12" s="1"/>
  <c r="GG27" i="12"/>
  <c r="HO27" i="12" s="1"/>
  <c r="JI27" i="12"/>
  <c r="KQ27" i="12" s="1"/>
  <c r="GP27" i="12"/>
  <c r="HX27" i="12" s="1"/>
  <c r="JN27" i="12"/>
  <c r="KV27" i="12" s="1"/>
  <c r="IR27" i="12"/>
  <c r="JZ27" i="12" s="1"/>
  <c r="JH27" i="12"/>
  <c r="KP27" i="12" s="1"/>
  <c r="DE28" i="12" l="1"/>
  <c r="CR28" i="12"/>
  <c r="EN28" i="12"/>
  <c r="JX27" i="12"/>
  <c r="FP28" i="12" s="1"/>
  <c r="AW26" i="12" s="1"/>
  <c r="AZ26" i="12" s="1"/>
  <c r="BX28" i="12" s="1"/>
  <c r="IO27" i="12"/>
  <c r="HG27" i="12"/>
  <c r="FO28" i="12" s="1"/>
  <c r="FX27" i="12"/>
  <c r="BG27" i="12"/>
  <c r="BF27" i="12"/>
  <c r="BH27" i="12"/>
  <c r="BE27" i="12"/>
  <c r="EL27" i="12"/>
  <c r="AV26" i="12" l="1"/>
  <c r="CB28" i="12" s="1"/>
  <c r="FT28" i="12"/>
  <c r="CD28" i="12" l="1"/>
  <c r="CI28" i="12" l="1"/>
  <c r="CK28" i="12" s="1"/>
  <c r="CQ28" i="12"/>
  <c r="CS28" i="12" s="1"/>
  <c r="CT28" i="12" s="1"/>
  <c r="DC28" i="12"/>
  <c r="CM28" i="12" l="1"/>
  <c r="CL28" i="12"/>
  <c r="CN28" i="12"/>
  <c r="CP28" i="12" s="1"/>
  <c r="DA28" i="12"/>
  <c r="ET28" i="12" l="1"/>
  <c r="AL28" i="12"/>
  <c r="CZ28" i="12"/>
  <c r="DB28" i="12"/>
  <c r="AM28" i="12"/>
  <c r="FC28" i="12"/>
  <c r="B19" i="19" l="1"/>
  <c r="B18" i="20"/>
  <c r="DH64" i="12" s="1"/>
  <c r="AK28" i="12"/>
  <c r="EU28" i="12"/>
  <c r="EV28" i="12" s="1"/>
  <c r="EW28" i="12" s="1"/>
  <c r="B51" i="19"/>
  <c r="B51" i="20"/>
  <c r="DH97" i="12" s="1"/>
  <c r="DG28" i="12"/>
  <c r="EM28" i="12" s="1"/>
  <c r="FD28" i="12"/>
  <c r="FE28" i="12" s="1"/>
  <c r="FF28" i="12" s="1"/>
  <c r="EX29" i="12" l="1"/>
  <c r="EY30" i="12" s="1"/>
  <c r="EZ31" i="12" s="1"/>
  <c r="FA28" i="12"/>
  <c r="AI28" i="12" s="1"/>
  <c r="FJ28" i="12"/>
  <c r="AJ28" i="12" s="1"/>
  <c r="FG29" i="12"/>
  <c r="FH30" i="12" s="1"/>
  <c r="FI31" i="12" s="1"/>
  <c r="B183" i="20"/>
  <c r="DH229" i="12" s="1"/>
  <c r="MA28" i="12"/>
  <c r="AR28" i="12"/>
  <c r="B184" i="19"/>
  <c r="AP28" i="12"/>
  <c r="B84" i="20" l="1"/>
  <c r="DH130" i="12" s="1"/>
  <c r="B85" i="19"/>
  <c r="B118" i="19"/>
  <c r="B117" i="20"/>
  <c r="AH28" i="12"/>
  <c r="AQ28" i="12" l="1"/>
  <c r="AO28" i="12"/>
  <c r="B228" i="20"/>
  <c r="DH163" i="12"/>
  <c r="BM28" i="12" l="1"/>
  <c r="BI28" i="12"/>
  <c r="BK28" i="12" s="1"/>
  <c r="BD28" i="12" s="1"/>
  <c r="FM29" i="12"/>
  <c r="FS29" i="12" s="1"/>
  <c r="CF29" i="12"/>
  <c r="GB28" i="12"/>
  <c r="HJ28" i="12" s="1"/>
  <c r="GZ28" i="12"/>
  <c r="IH28" i="12" s="1"/>
  <c r="IS28" i="12"/>
  <c r="KA28" i="12" s="1"/>
  <c r="JJ28" i="12"/>
  <c r="KR28" i="12" s="1"/>
  <c r="JT28" i="12"/>
  <c r="LB28" i="12" s="1"/>
  <c r="JN28" i="12"/>
  <c r="KV28" i="12" s="1"/>
  <c r="GX28" i="12"/>
  <c r="IF28" i="12" s="1"/>
  <c r="GU28" i="12"/>
  <c r="IC28" i="12" s="1"/>
  <c r="JB28" i="12"/>
  <c r="KJ28" i="12" s="1"/>
  <c r="JK28" i="12"/>
  <c r="KS28" i="12" s="1"/>
  <c r="JM28" i="12"/>
  <c r="KU28" i="12" s="1"/>
  <c r="GQ28" i="12"/>
  <c r="HY28" i="12" s="1"/>
  <c r="GL28" i="12"/>
  <c r="HT28" i="12" s="1"/>
  <c r="GS28" i="12"/>
  <c r="IA28" i="12" s="1"/>
  <c r="HC28" i="12"/>
  <c r="IK28" i="12" s="1"/>
  <c r="GF28" i="12"/>
  <c r="HN28" i="12" s="1"/>
  <c r="GE28" i="12"/>
  <c r="HM28" i="12" s="1"/>
  <c r="JL28" i="12"/>
  <c r="KT28" i="12" s="1"/>
  <c r="IX28" i="12"/>
  <c r="KF28" i="12" s="1"/>
  <c r="IY28" i="12"/>
  <c r="KG28" i="12" s="1"/>
  <c r="JC28" i="12"/>
  <c r="KK28" i="12" s="1"/>
  <c r="GJ28" i="12"/>
  <c r="HR28" i="12" s="1"/>
  <c r="JE28" i="12"/>
  <c r="KM28" i="12" s="1"/>
  <c r="IR28" i="12"/>
  <c r="JZ28" i="12" s="1"/>
  <c r="JP28" i="12"/>
  <c r="KX28" i="12" s="1"/>
  <c r="JO28" i="12"/>
  <c r="KW28" i="12" s="1"/>
  <c r="GO28" i="12"/>
  <c r="HW28" i="12" s="1"/>
  <c r="JS28" i="12"/>
  <c r="LA28" i="12" s="1"/>
  <c r="IV28" i="12"/>
  <c r="KD28" i="12" s="1"/>
  <c r="JH28" i="12"/>
  <c r="KP28" i="12" s="1"/>
  <c r="JI28" i="12"/>
  <c r="KQ28" i="12" s="1"/>
  <c r="CG29" i="12"/>
  <c r="IW28" i="12"/>
  <c r="KE28" i="12" s="1"/>
  <c r="FY28" i="12"/>
  <c r="IP28" i="12"/>
  <c r="GK28" i="12"/>
  <c r="HS28" i="12" s="1"/>
  <c r="CH29" i="12"/>
  <c r="JF28" i="12"/>
  <c r="KN28" i="12" s="1"/>
  <c r="HA28" i="12"/>
  <c r="II28" i="12" s="1"/>
  <c r="GV28" i="12"/>
  <c r="ID28" i="12" s="1"/>
  <c r="GT28" i="12"/>
  <c r="IB28" i="12" s="1"/>
  <c r="IT28" i="12"/>
  <c r="KB28" i="12" s="1"/>
  <c r="GP28" i="12"/>
  <c r="HX28" i="12" s="1"/>
  <c r="IU28" i="12"/>
  <c r="KC28" i="12" s="1"/>
  <c r="GH28" i="12"/>
  <c r="HP28" i="12" s="1"/>
  <c r="IQ28" i="12"/>
  <c r="JY28" i="12" s="1"/>
  <c r="IZ28" i="12"/>
  <c r="KH28" i="12" s="1"/>
  <c r="HB28" i="12"/>
  <c r="IJ28" i="12" s="1"/>
  <c r="CC29" i="12"/>
  <c r="GG28" i="12"/>
  <c r="HO28" i="12" s="1"/>
  <c r="GR28" i="12"/>
  <c r="HZ28" i="12" s="1"/>
  <c r="GW28" i="12"/>
  <c r="IE28" i="12" s="1"/>
  <c r="GC28" i="12"/>
  <c r="HK28" i="12" s="1"/>
  <c r="JR28" i="12"/>
  <c r="KZ28" i="12" s="1"/>
  <c r="GN28" i="12"/>
  <c r="HV28" i="12" s="1"/>
  <c r="JG28" i="12"/>
  <c r="KO28" i="12" s="1"/>
  <c r="JQ28" i="12"/>
  <c r="KY28" i="12" s="1"/>
  <c r="GY28" i="12"/>
  <c r="IG28" i="12" s="1"/>
  <c r="JA28" i="12"/>
  <c r="KI28" i="12" s="1"/>
  <c r="GD28" i="12"/>
  <c r="HL28" i="12" s="1"/>
  <c r="GM28" i="12"/>
  <c r="HU28" i="12" s="1"/>
  <c r="JD28" i="12"/>
  <c r="KL28" i="12" s="1"/>
  <c r="GI28" i="12"/>
  <c r="HQ28" i="12" s="1"/>
  <c r="GA28" i="12"/>
  <c r="HI28" i="12" s="1"/>
  <c r="FZ28" i="12"/>
  <c r="HH28" i="12" s="1"/>
  <c r="BC29" i="12"/>
  <c r="EN29" i="12" l="1"/>
  <c r="CR29" i="12"/>
  <c r="DE29" i="12"/>
  <c r="JX28" i="12"/>
  <c r="FP29" i="12" s="1"/>
  <c r="AW27" i="12" s="1"/>
  <c r="AZ27" i="12" s="1"/>
  <c r="BX29" i="12" s="1"/>
  <c r="IO28" i="12"/>
  <c r="HG28" i="12"/>
  <c r="FO29" i="12" s="1"/>
  <c r="FX28" i="12"/>
  <c r="BF28" i="12"/>
  <c r="BE28" i="12"/>
  <c r="BH28" i="12"/>
  <c r="BG28" i="12"/>
  <c r="EL28" i="12"/>
  <c r="AV27" i="12" l="1"/>
  <c r="CB29" i="12" s="1"/>
  <c r="FT29" i="12"/>
  <c r="CD29" i="12" l="1"/>
  <c r="CI29" i="12" l="1"/>
  <c r="CQ29" i="12"/>
  <c r="CS29" i="12" s="1"/>
  <c r="CT29" i="12" s="1"/>
  <c r="DC29" i="12"/>
  <c r="CK29" i="12" l="1"/>
  <c r="CM29" i="12" l="1"/>
  <c r="CL29" i="12"/>
  <c r="CN29" i="12"/>
  <c r="CP29" i="12" s="1"/>
  <c r="DA29" i="12"/>
  <c r="CZ29" i="12" l="1"/>
  <c r="DB29" i="12"/>
  <c r="ET29" i="12"/>
  <c r="AL29" i="12"/>
  <c r="FC29" i="12"/>
  <c r="AM29" i="12"/>
  <c r="EU29" i="12" l="1"/>
  <c r="EV29" i="12" s="1"/>
  <c r="EW29" i="12" s="1"/>
  <c r="AK29" i="12"/>
  <c r="FD29" i="12"/>
  <c r="FE29" i="12" s="1"/>
  <c r="FF29" i="12" s="1"/>
  <c r="B52" i="19"/>
  <c r="B52" i="20"/>
  <c r="DH98" i="12" s="1"/>
  <c r="DG29" i="12"/>
  <c r="EM29" i="12" s="1"/>
  <c r="B20" i="19"/>
  <c r="B19" i="20"/>
  <c r="DH65" i="12" s="1"/>
  <c r="FG30" i="12" l="1"/>
  <c r="FH31" i="12" s="1"/>
  <c r="FI32" i="12" s="1"/>
  <c r="FJ29" i="12"/>
  <c r="AJ29" i="12" s="1"/>
  <c r="EX30" i="12"/>
  <c r="EY31" i="12" s="1"/>
  <c r="EZ32" i="12" s="1"/>
  <c r="FA29" i="12"/>
  <c r="AI29" i="12" s="1"/>
  <c r="MA29" i="12"/>
  <c r="B185" i="19"/>
  <c r="B184" i="20"/>
  <c r="DH230" i="12" s="1"/>
  <c r="AR29" i="12"/>
  <c r="AP29" i="12"/>
  <c r="AH29" i="12" l="1"/>
  <c r="B86" i="19"/>
  <c r="B85" i="20"/>
  <c r="DH131" i="12" s="1"/>
  <c r="B119" i="19"/>
  <c r="B118" i="20"/>
  <c r="DH164" i="12" l="1"/>
  <c r="B229" i="20"/>
  <c r="AQ29" i="12"/>
  <c r="AO29" i="12"/>
  <c r="BM29" i="12" l="1"/>
  <c r="BI29" i="12"/>
  <c r="BK29" i="12" s="1"/>
  <c r="BD29" i="12" s="1"/>
  <c r="FM30" i="12"/>
  <c r="FS30" i="12" s="1"/>
  <c r="IP29" i="12"/>
  <c r="GI29" i="12"/>
  <c r="HQ29" i="12" s="1"/>
  <c r="JQ29" i="12"/>
  <c r="KY29" i="12" s="1"/>
  <c r="HA29" i="12"/>
  <c r="II29" i="12" s="1"/>
  <c r="GW29" i="12"/>
  <c r="IE29" i="12" s="1"/>
  <c r="JT29" i="12"/>
  <c r="LB29" i="12" s="1"/>
  <c r="GS29" i="12"/>
  <c r="IA29" i="12" s="1"/>
  <c r="GE29" i="12"/>
  <c r="HM29" i="12" s="1"/>
  <c r="GO29" i="12"/>
  <c r="HW29" i="12" s="1"/>
  <c r="GX29" i="12"/>
  <c r="IF29" i="12" s="1"/>
  <c r="IT29" i="12"/>
  <c r="KB29" i="12" s="1"/>
  <c r="GZ29" i="12"/>
  <c r="IH29" i="12" s="1"/>
  <c r="GC29" i="12"/>
  <c r="HK29" i="12" s="1"/>
  <c r="IY29" i="12"/>
  <c r="KG29" i="12" s="1"/>
  <c r="JR29" i="12"/>
  <c r="KZ29" i="12" s="1"/>
  <c r="IQ29" i="12"/>
  <c r="JY29" i="12" s="1"/>
  <c r="JB29" i="12"/>
  <c r="KJ29" i="12" s="1"/>
  <c r="IV29" i="12"/>
  <c r="KD29" i="12" s="1"/>
  <c r="GR29" i="12"/>
  <c r="HZ29" i="12" s="1"/>
  <c r="JO29" i="12"/>
  <c r="KW29" i="12" s="1"/>
  <c r="FZ29" i="12"/>
  <c r="HH29" i="12" s="1"/>
  <c r="JL29" i="12"/>
  <c r="KT29" i="12" s="1"/>
  <c r="FY29" i="12"/>
  <c r="CG30" i="12"/>
  <c r="JF29" i="12"/>
  <c r="KN29" i="12" s="1"/>
  <c r="GK29" i="12"/>
  <c r="HS29" i="12" s="1"/>
  <c r="JP29" i="12"/>
  <c r="KX29" i="12" s="1"/>
  <c r="GG29" i="12"/>
  <c r="HO29" i="12" s="1"/>
  <c r="JM29" i="12"/>
  <c r="KU29" i="12" s="1"/>
  <c r="IR29" i="12"/>
  <c r="JZ29" i="12" s="1"/>
  <c r="JC29" i="12"/>
  <c r="KK29" i="12" s="1"/>
  <c r="IU29" i="12"/>
  <c r="KC29" i="12" s="1"/>
  <c r="IZ29" i="12"/>
  <c r="KH29" i="12" s="1"/>
  <c r="CF30" i="12"/>
  <c r="GQ29" i="12"/>
  <c r="HY29" i="12" s="1"/>
  <c r="IX29" i="12"/>
  <c r="KF29" i="12" s="1"/>
  <c r="JD29" i="12"/>
  <c r="KL29" i="12" s="1"/>
  <c r="JG29" i="12"/>
  <c r="KO29" i="12" s="1"/>
  <c r="CH30" i="12"/>
  <c r="HB29" i="12"/>
  <c r="IJ29" i="12" s="1"/>
  <c r="GV29" i="12"/>
  <c r="ID29" i="12" s="1"/>
  <c r="JA29" i="12"/>
  <c r="KI29" i="12" s="1"/>
  <c r="JK29" i="12"/>
  <c r="KS29" i="12" s="1"/>
  <c r="GT29" i="12"/>
  <c r="IB29" i="12" s="1"/>
  <c r="GY29" i="12"/>
  <c r="IG29" i="12" s="1"/>
  <c r="GF29" i="12"/>
  <c r="HN29" i="12" s="1"/>
  <c r="JE29" i="12"/>
  <c r="KM29" i="12" s="1"/>
  <c r="JH29" i="12"/>
  <c r="KP29" i="12" s="1"/>
  <c r="JI29" i="12"/>
  <c r="KQ29" i="12" s="1"/>
  <c r="JJ29" i="12"/>
  <c r="KR29" i="12" s="1"/>
  <c r="GN29" i="12"/>
  <c r="HV29" i="12" s="1"/>
  <c r="GH29" i="12"/>
  <c r="HP29" i="12" s="1"/>
  <c r="IS29" i="12"/>
  <c r="KA29" i="12" s="1"/>
  <c r="GA29" i="12"/>
  <c r="HI29" i="12" s="1"/>
  <c r="JN29" i="12"/>
  <c r="KV29" i="12" s="1"/>
  <c r="JS29" i="12"/>
  <c r="LA29" i="12" s="1"/>
  <c r="GP29" i="12"/>
  <c r="HX29" i="12" s="1"/>
  <c r="GD29" i="12"/>
  <c r="HL29" i="12" s="1"/>
  <c r="HC29" i="12"/>
  <c r="IK29" i="12" s="1"/>
  <c r="GJ29" i="12"/>
  <c r="HR29" i="12" s="1"/>
  <c r="GB29" i="12"/>
  <c r="HJ29" i="12" s="1"/>
  <c r="GL29" i="12"/>
  <c r="HT29" i="12" s="1"/>
  <c r="IW29" i="12"/>
  <c r="KE29" i="12" s="1"/>
  <c r="BC30" i="12"/>
  <c r="CC30" i="12"/>
  <c r="GU29" i="12"/>
  <c r="IC29" i="12" s="1"/>
  <c r="GM29" i="12"/>
  <c r="HU29" i="12" s="1"/>
  <c r="HG29" i="12" l="1"/>
  <c r="FO30" i="12" s="1"/>
  <c r="FX29" i="12"/>
  <c r="JX29" i="12"/>
  <c r="FP30" i="12" s="1"/>
  <c r="AW28" i="12" s="1"/>
  <c r="AZ28" i="12" s="1"/>
  <c r="BX30" i="12" s="1"/>
  <c r="IO29" i="12"/>
  <c r="EN30" i="12"/>
  <c r="CR30" i="12"/>
  <c r="DE30" i="12"/>
  <c r="BE29" i="12"/>
  <c r="BG29" i="12"/>
  <c r="BH29" i="12"/>
  <c r="BF29" i="12"/>
  <c r="EL29" i="12"/>
  <c r="EK29" i="12"/>
  <c r="EQ29" i="12" l="1"/>
  <c r="FT30" i="12"/>
  <c r="AV28" i="12"/>
  <c r="CB30" i="12" s="1"/>
  <c r="CD30" i="12" l="1"/>
  <c r="CI30" i="12" l="1"/>
  <c r="CQ30" i="12"/>
  <c r="CS30" i="12" s="1"/>
  <c r="CT30" i="12" s="1"/>
  <c r="DC30" i="12"/>
  <c r="CK30" i="12" l="1"/>
  <c r="CM30" i="12" l="1"/>
  <c r="CL30" i="12"/>
  <c r="CN30" i="12"/>
  <c r="CP30" i="12" s="1"/>
  <c r="DA30" i="12"/>
  <c r="DB30" i="12" l="1"/>
  <c r="CZ30" i="12"/>
  <c r="AL30" i="12"/>
  <c r="ET30" i="12"/>
  <c r="FC30" i="12"/>
  <c r="AM30" i="12"/>
  <c r="EU30" i="12" l="1"/>
  <c r="EV30" i="12" s="1"/>
  <c r="EW30" i="12" s="1"/>
  <c r="AK30" i="12"/>
  <c r="FD30" i="12"/>
  <c r="FE30" i="12" s="1"/>
  <c r="FF30" i="12" s="1"/>
  <c r="B20" i="20"/>
  <c r="DH66" i="12" s="1"/>
  <c r="B21" i="19"/>
  <c r="B53" i="19"/>
  <c r="B53" i="20"/>
  <c r="DH99" i="12" s="1"/>
  <c r="DG30" i="12"/>
  <c r="EM30" i="12" s="1"/>
  <c r="FJ30" i="12" l="1"/>
  <c r="AJ30" i="12" s="1"/>
  <c r="FG31" i="12"/>
  <c r="FH32" i="12" s="1"/>
  <c r="FI33" i="12" s="1"/>
  <c r="FA30" i="12"/>
  <c r="AI30" i="12" s="1"/>
  <c r="EX31" i="12"/>
  <c r="EY32" i="12" s="1"/>
  <c r="EZ33" i="12" s="1"/>
  <c r="MA30" i="12"/>
  <c r="B186" i="19"/>
  <c r="AR30" i="12"/>
  <c r="B185" i="20"/>
  <c r="DH231" i="12" s="1"/>
  <c r="AP30" i="12"/>
  <c r="B86" i="20" l="1"/>
  <c r="DH132" i="12" s="1"/>
  <c r="B87" i="19"/>
  <c r="B120" i="19"/>
  <c r="B119" i="20"/>
  <c r="AH30" i="12"/>
  <c r="DH165" i="12" l="1"/>
  <c r="B230" i="20"/>
  <c r="AQ30" i="12"/>
  <c r="AO30" i="12"/>
  <c r="FM31" i="12" l="1"/>
  <c r="FS31" i="12" s="1"/>
  <c r="BI30" i="12"/>
  <c r="BK30" i="12" s="1"/>
  <c r="BD30" i="12" s="1"/>
  <c r="BM30" i="12"/>
  <c r="FY30" i="12"/>
  <c r="IR30" i="12"/>
  <c r="JZ30" i="12" s="1"/>
  <c r="HA30" i="12"/>
  <c r="II30" i="12" s="1"/>
  <c r="GB30" i="12"/>
  <c r="HJ30" i="12" s="1"/>
  <c r="GJ30" i="12"/>
  <c r="HR30" i="12" s="1"/>
  <c r="GF30" i="12"/>
  <c r="HN30" i="12" s="1"/>
  <c r="GA30" i="12"/>
  <c r="HI30" i="12" s="1"/>
  <c r="IV30" i="12"/>
  <c r="KD30" i="12" s="1"/>
  <c r="JP30" i="12"/>
  <c r="KX30" i="12" s="1"/>
  <c r="GO30" i="12"/>
  <c r="HW30" i="12" s="1"/>
  <c r="IY30" i="12"/>
  <c r="KG30" i="12" s="1"/>
  <c r="JM30" i="12"/>
  <c r="KU30" i="12" s="1"/>
  <c r="GW30" i="12"/>
  <c r="IE30" i="12" s="1"/>
  <c r="GD30" i="12"/>
  <c r="HL30" i="12" s="1"/>
  <c r="GN30" i="12"/>
  <c r="HV30" i="12" s="1"/>
  <c r="IZ30" i="12"/>
  <c r="KH30" i="12" s="1"/>
  <c r="HC30" i="12"/>
  <c r="IK30" i="12" s="1"/>
  <c r="IT30" i="12"/>
  <c r="KB30" i="12" s="1"/>
  <c r="JJ30" i="12"/>
  <c r="KR30" i="12" s="1"/>
  <c r="JH30" i="12"/>
  <c r="KP30" i="12" s="1"/>
  <c r="IU30" i="12"/>
  <c r="KC30" i="12" s="1"/>
  <c r="GT30" i="12"/>
  <c r="IB30" i="12" s="1"/>
  <c r="GV30" i="12"/>
  <c r="ID30" i="12" s="1"/>
  <c r="JO30" i="12"/>
  <c r="KW30" i="12" s="1"/>
  <c r="GI30" i="12"/>
  <c r="HQ30" i="12" s="1"/>
  <c r="JA30" i="12"/>
  <c r="KI30" i="12" s="1"/>
  <c r="GK30" i="12"/>
  <c r="HS30" i="12" s="1"/>
  <c r="GH30" i="12"/>
  <c r="HP30" i="12" s="1"/>
  <c r="GQ30" i="12"/>
  <c r="HY30" i="12" s="1"/>
  <c r="JB30" i="12"/>
  <c r="KJ30" i="12" s="1"/>
  <c r="CF31" i="12"/>
  <c r="CH31" i="12"/>
  <c r="GX30" i="12"/>
  <c r="IF30" i="12" s="1"/>
  <c r="IP30" i="12"/>
  <c r="JL30" i="12"/>
  <c r="KT30" i="12" s="1"/>
  <c r="GS30" i="12"/>
  <c r="IA30" i="12" s="1"/>
  <c r="GY30" i="12"/>
  <c r="IG30" i="12" s="1"/>
  <c r="CG31" i="12"/>
  <c r="JG30" i="12"/>
  <c r="KO30" i="12" s="1"/>
  <c r="GC30" i="12"/>
  <c r="HK30" i="12" s="1"/>
  <c r="GE30" i="12"/>
  <c r="HM30" i="12" s="1"/>
  <c r="GL30" i="12"/>
  <c r="HT30" i="12" s="1"/>
  <c r="FZ30" i="12"/>
  <c r="HH30" i="12" s="1"/>
  <c r="JI30" i="12"/>
  <c r="KQ30" i="12" s="1"/>
  <c r="JT30" i="12"/>
  <c r="LB30" i="12" s="1"/>
  <c r="JK30" i="12"/>
  <c r="KS30" i="12" s="1"/>
  <c r="IW30" i="12"/>
  <c r="KE30" i="12" s="1"/>
  <c r="JQ30" i="12"/>
  <c r="KY30" i="12" s="1"/>
  <c r="JD30" i="12"/>
  <c r="KL30" i="12" s="1"/>
  <c r="GP30" i="12"/>
  <c r="HX30" i="12" s="1"/>
  <c r="BC31" i="12"/>
  <c r="IS30" i="12"/>
  <c r="KA30" i="12" s="1"/>
  <c r="JN30" i="12"/>
  <c r="KV30" i="12" s="1"/>
  <c r="GZ30" i="12"/>
  <c r="IH30" i="12" s="1"/>
  <c r="JS30" i="12"/>
  <c r="LA30" i="12" s="1"/>
  <c r="IQ30" i="12"/>
  <c r="JY30" i="12" s="1"/>
  <c r="IX30" i="12"/>
  <c r="KF30" i="12" s="1"/>
  <c r="GM30" i="12"/>
  <c r="HU30" i="12" s="1"/>
  <c r="JC30" i="12"/>
  <c r="KK30" i="12" s="1"/>
  <c r="GG30" i="12"/>
  <c r="HO30" i="12" s="1"/>
  <c r="HB30" i="12"/>
  <c r="IJ30" i="12" s="1"/>
  <c r="GU30" i="12"/>
  <c r="IC30" i="12" s="1"/>
  <c r="JE30" i="12"/>
  <c r="KM30" i="12" s="1"/>
  <c r="JR30" i="12"/>
  <c r="KZ30" i="12" s="1"/>
  <c r="GR30" i="12"/>
  <c r="HZ30" i="12" s="1"/>
  <c r="CC31" i="12"/>
  <c r="JF30" i="12"/>
  <c r="KN30" i="12" s="1"/>
  <c r="EN31" i="12" l="1"/>
  <c r="DE31" i="12"/>
  <c r="CR31" i="12"/>
  <c r="JX30" i="12"/>
  <c r="FP31" i="12" s="1"/>
  <c r="AW29" i="12" s="1"/>
  <c r="AZ29" i="12" s="1"/>
  <c r="BX31" i="12" s="1"/>
  <c r="IO30" i="12"/>
  <c r="BG30" i="12"/>
  <c r="BE30" i="12"/>
  <c r="BH30" i="12"/>
  <c r="BF30" i="12"/>
  <c r="EL30" i="12"/>
  <c r="HG30" i="12"/>
  <c r="FO31" i="12" s="1"/>
  <c r="FX30" i="12"/>
  <c r="FT31" i="12" l="1"/>
  <c r="AV29" i="12"/>
  <c r="CB31" i="12" s="1"/>
  <c r="CD31" i="12" l="1"/>
  <c r="CQ31" i="12" s="1"/>
  <c r="CS31" i="12" s="1"/>
  <c r="CT31" i="12" s="1"/>
  <c r="CI31" i="12" l="1"/>
  <c r="CK31" i="12" s="1"/>
  <c r="DC31" i="12"/>
  <c r="CL31" i="12" l="1"/>
  <c r="CM31" i="12"/>
  <c r="CN31" i="12"/>
  <c r="CP31" i="12" s="1"/>
  <c r="DA31" i="12"/>
  <c r="DB31" i="12" l="1"/>
  <c r="CZ31" i="12"/>
  <c r="FC31" i="12"/>
  <c r="AM31" i="12"/>
  <c r="ET31" i="12"/>
  <c r="AL31" i="12"/>
  <c r="FD31" i="12" l="1"/>
  <c r="FE31" i="12" s="1"/>
  <c r="FF31" i="12" s="1"/>
  <c r="EU31" i="12"/>
  <c r="EV31" i="12" s="1"/>
  <c r="EW31" i="12" s="1"/>
  <c r="AK31" i="12"/>
  <c r="B22" i="19"/>
  <c r="B21" i="20"/>
  <c r="DH67" i="12" s="1"/>
  <c r="B54" i="20"/>
  <c r="DH100" i="12" s="1"/>
  <c r="B54" i="19"/>
  <c r="DG31" i="12"/>
  <c r="EM31" i="12" s="1"/>
  <c r="B186" i="20" l="1"/>
  <c r="DH232" i="12" s="1"/>
  <c r="AR31" i="12"/>
  <c r="B187" i="19"/>
  <c r="MA31" i="12"/>
  <c r="AP31" i="12"/>
  <c r="FA31" i="12"/>
  <c r="AI31" i="12" s="1"/>
  <c r="EX32" i="12"/>
  <c r="EY33" i="12" s="1"/>
  <c r="EZ34" i="12" s="1"/>
  <c r="FG32" i="12"/>
  <c r="FH33" i="12" s="1"/>
  <c r="FI34" i="12" s="1"/>
  <c r="FJ31" i="12"/>
  <c r="AJ31" i="12" s="1"/>
  <c r="AH31" i="12" l="1"/>
  <c r="B87" i="20"/>
  <c r="DH133" i="12" s="1"/>
  <c r="B88" i="19"/>
  <c r="B120" i="20"/>
  <c r="B121" i="19"/>
  <c r="B231" i="20" l="1"/>
  <c r="DH166" i="12"/>
  <c r="AQ31" i="12"/>
  <c r="AO31" i="12"/>
  <c r="BI31" i="12" l="1"/>
  <c r="BK31" i="12" s="1"/>
  <c r="BD31" i="12" s="1"/>
  <c r="FM32" i="12"/>
  <c r="FS32" i="12" s="1"/>
  <c r="BM31" i="12"/>
  <c r="CH32" i="12"/>
  <c r="GS31" i="12"/>
  <c r="IA31" i="12" s="1"/>
  <c r="IY31" i="12"/>
  <c r="KG31" i="12" s="1"/>
  <c r="GG31" i="12"/>
  <c r="HO31" i="12" s="1"/>
  <c r="JJ31" i="12"/>
  <c r="KR31" i="12" s="1"/>
  <c r="JL31" i="12"/>
  <c r="KT31" i="12" s="1"/>
  <c r="JC31" i="12"/>
  <c r="KK31" i="12" s="1"/>
  <c r="GA31" i="12"/>
  <c r="HI31" i="12" s="1"/>
  <c r="GO31" i="12"/>
  <c r="HW31" i="12" s="1"/>
  <c r="IW31" i="12"/>
  <c r="KE31" i="12" s="1"/>
  <c r="JQ31" i="12"/>
  <c r="KY31" i="12" s="1"/>
  <c r="GJ31" i="12"/>
  <c r="HR31" i="12" s="1"/>
  <c r="JD31" i="12"/>
  <c r="KL31" i="12" s="1"/>
  <c r="IT31" i="12"/>
  <c r="KB31" i="12" s="1"/>
  <c r="GE31" i="12"/>
  <c r="HM31" i="12" s="1"/>
  <c r="FY31" i="12"/>
  <c r="IP31" i="12"/>
  <c r="JF31" i="12"/>
  <c r="KN31" i="12" s="1"/>
  <c r="GR31" i="12"/>
  <c r="HZ31" i="12" s="1"/>
  <c r="JH31" i="12"/>
  <c r="KP31" i="12" s="1"/>
  <c r="IQ31" i="12"/>
  <c r="JY31" i="12" s="1"/>
  <c r="GK31" i="12"/>
  <c r="HS31" i="12" s="1"/>
  <c r="JE31" i="12"/>
  <c r="KM31" i="12" s="1"/>
  <c r="GW31" i="12"/>
  <c r="IE31" i="12" s="1"/>
  <c r="GM31" i="12"/>
  <c r="HU31" i="12" s="1"/>
  <c r="GB31" i="12"/>
  <c r="HJ31" i="12" s="1"/>
  <c r="IR31" i="12"/>
  <c r="JZ31" i="12" s="1"/>
  <c r="IZ31" i="12"/>
  <c r="KH31" i="12" s="1"/>
  <c r="JA31" i="12"/>
  <c r="KI31" i="12" s="1"/>
  <c r="JS31" i="12"/>
  <c r="LA31" i="12" s="1"/>
  <c r="GZ31" i="12"/>
  <c r="IH31" i="12" s="1"/>
  <c r="GN31" i="12"/>
  <c r="HV31" i="12" s="1"/>
  <c r="JT31" i="12"/>
  <c r="LB31" i="12" s="1"/>
  <c r="GQ31" i="12"/>
  <c r="HY31" i="12" s="1"/>
  <c r="JN31" i="12"/>
  <c r="KV31" i="12" s="1"/>
  <c r="JG31" i="12"/>
  <c r="KO31" i="12" s="1"/>
  <c r="HC31" i="12"/>
  <c r="IK31" i="12" s="1"/>
  <c r="FZ31" i="12"/>
  <c r="HH31" i="12" s="1"/>
  <c r="GL31" i="12"/>
  <c r="HT31" i="12" s="1"/>
  <c r="GD31" i="12"/>
  <c r="HL31" i="12" s="1"/>
  <c r="CG32" i="12"/>
  <c r="JR31" i="12"/>
  <c r="KZ31" i="12" s="1"/>
  <c r="JO31" i="12"/>
  <c r="KW31" i="12" s="1"/>
  <c r="GV31" i="12"/>
  <c r="ID31" i="12" s="1"/>
  <c r="GH31" i="12"/>
  <c r="HP31" i="12" s="1"/>
  <c r="JP31" i="12"/>
  <c r="KX31" i="12" s="1"/>
  <c r="GI31" i="12"/>
  <c r="HQ31" i="12" s="1"/>
  <c r="GT31" i="12"/>
  <c r="IB31" i="12" s="1"/>
  <c r="JI31" i="12"/>
  <c r="KQ31" i="12" s="1"/>
  <c r="GY31" i="12"/>
  <c r="IG31" i="12" s="1"/>
  <c r="CF32" i="12"/>
  <c r="GF31" i="12"/>
  <c r="HN31" i="12" s="1"/>
  <c r="BC32" i="12"/>
  <c r="IV31" i="12"/>
  <c r="KD31" i="12" s="1"/>
  <c r="HA31" i="12"/>
  <c r="II31" i="12" s="1"/>
  <c r="HB31" i="12"/>
  <c r="IJ31" i="12" s="1"/>
  <c r="IX31" i="12"/>
  <c r="KF31" i="12" s="1"/>
  <c r="JK31" i="12"/>
  <c r="KS31" i="12" s="1"/>
  <c r="JM31" i="12"/>
  <c r="KU31" i="12" s="1"/>
  <c r="JB31" i="12"/>
  <c r="KJ31" i="12" s="1"/>
  <c r="GU31" i="12"/>
  <c r="IC31" i="12" s="1"/>
  <c r="GC31" i="12"/>
  <c r="HK31" i="12" s="1"/>
  <c r="IS31" i="12"/>
  <c r="KA31" i="12" s="1"/>
  <c r="CC32" i="12"/>
  <c r="GX31" i="12"/>
  <c r="IF31" i="12" s="1"/>
  <c r="IU31" i="12"/>
  <c r="KC31" i="12" s="1"/>
  <c r="GP31" i="12"/>
  <c r="HX31" i="12" s="1"/>
  <c r="JX31" i="12" l="1"/>
  <c r="FP32" i="12" s="1"/>
  <c r="AW30" i="12" s="1"/>
  <c r="AZ30" i="12" s="1"/>
  <c r="BX32" i="12" s="1"/>
  <c r="IO31" i="12"/>
  <c r="EN32" i="12"/>
  <c r="DE32" i="12"/>
  <c r="CR32" i="12"/>
  <c r="HG31" i="12"/>
  <c r="FO32" i="12" s="1"/>
  <c r="FX31" i="12"/>
  <c r="BF31" i="12"/>
  <c r="BG31" i="12"/>
  <c r="BE31" i="12"/>
  <c r="BH31" i="12"/>
  <c r="EL31" i="12"/>
  <c r="EK31" i="12"/>
  <c r="EQ31" i="12" l="1"/>
  <c r="FT32" i="12"/>
  <c r="AV30" i="12"/>
  <c r="CB32" i="12" s="1"/>
  <c r="CD32" i="12" l="1"/>
  <c r="CI32" i="12" l="1"/>
  <c r="DC32" i="12"/>
  <c r="CQ32" i="12"/>
  <c r="CS32" i="12" s="1"/>
  <c r="CT32" i="12" s="1"/>
  <c r="CK32" i="12" l="1"/>
  <c r="CL32" i="12" l="1"/>
  <c r="CM32" i="12"/>
  <c r="CN32" i="12"/>
  <c r="CP32" i="12" s="1"/>
  <c r="DA32" i="12"/>
  <c r="CZ32" i="12" l="1"/>
  <c r="DB32" i="12"/>
  <c r="FC32" i="12"/>
  <c r="AM32" i="12"/>
  <c r="AL32" i="12"/>
  <c r="ET32" i="12"/>
  <c r="FD32" i="12" l="1"/>
  <c r="FE32" i="12" s="1"/>
  <c r="FF32" i="12" s="1"/>
  <c r="B55" i="20"/>
  <c r="DH101" i="12" s="1"/>
  <c r="B55" i="19"/>
  <c r="DG32" i="12"/>
  <c r="EM32" i="12" s="1"/>
  <c r="EU32" i="12"/>
  <c r="EV32" i="12" s="1"/>
  <c r="EW32" i="12" s="1"/>
  <c r="AK32" i="12"/>
  <c r="B23" i="19"/>
  <c r="B22" i="20"/>
  <c r="DH68" i="12" s="1"/>
  <c r="FJ32" i="12" l="1"/>
  <c r="AJ32" i="12" s="1"/>
  <c r="FG33" i="12"/>
  <c r="FH34" i="12" s="1"/>
  <c r="FI35" i="12" s="1"/>
  <c r="B187" i="20"/>
  <c r="DH233" i="12" s="1"/>
  <c r="B188" i="19"/>
  <c r="MA32" i="12"/>
  <c r="AR32" i="12"/>
  <c r="AP32" i="12"/>
  <c r="FA32" i="12"/>
  <c r="AI32" i="12" s="1"/>
  <c r="EX33" i="12"/>
  <c r="EY34" i="12" s="1"/>
  <c r="EZ35" i="12" s="1"/>
  <c r="B121" i="20" l="1"/>
  <c r="B122" i="19"/>
  <c r="B88" i="20"/>
  <c r="DH134" i="12" s="1"/>
  <c r="B89" i="19"/>
  <c r="AH32" i="12"/>
  <c r="AQ32" i="12" l="1"/>
  <c r="AO32" i="12"/>
  <c r="B232" i="20"/>
  <c r="DH167" i="12"/>
  <c r="FM33" i="12" l="1"/>
  <c r="FS33" i="12" s="1"/>
  <c r="BI32" i="12"/>
  <c r="BK32" i="12" s="1"/>
  <c r="BD32" i="12" s="1"/>
  <c r="BM32" i="12"/>
  <c r="FY32" i="12"/>
  <c r="JC32" i="12"/>
  <c r="KK32" i="12" s="1"/>
  <c r="CC33" i="12"/>
  <c r="GZ32" i="12"/>
  <c r="IH32" i="12" s="1"/>
  <c r="IT32" i="12"/>
  <c r="KB32" i="12" s="1"/>
  <c r="JA32" i="12"/>
  <c r="KI32" i="12" s="1"/>
  <c r="IP32" i="12"/>
  <c r="HC32" i="12"/>
  <c r="IK32" i="12" s="1"/>
  <c r="FZ32" i="12"/>
  <c r="HH32" i="12" s="1"/>
  <c r="GA32" i="12"/>
  <c r="HI32" i="12" s="1"/>
  <c r="GB32" i="12"/>
  <c r="HJ32" i="12" s="1"/>
  <c r="JF32" i="12"/>
  <c r="KN32" i="12" s="1"/>
  <c r="GS32" i="12"/>
  <c r="IA32" i="12" s="1"/>
  <c r="JL32" i="12"/>
  <c r="KT32" i="12" s="1"/>
  <c r="GY32" i="12"/>
  <c r="IG32" i="12" s="1"/>
  <c r="IZ32" i="12"/>
  <c r="KH32" i="12" s="1"/>
  <c r="HB32" i="12"/>
  <c r="IJ32" i="12" s="1"/>
  <c r="CH33" i="12"/>
  <c r="JQ32" i="12"/>
  <c r="KY32" i="12" s="1"/>
  <c r="IW32" i="12"/>
  <c r="KE32" i="12" s="1"/>
  <c r="GC32" i="12"/>
  <c r="HK32" i="12" s="1"/>
  <c r="JR32" i="12"/>
  <c r="KZ32" i="12" s="1"/>
  <c r="GW32" i="12"/>
  <c r="IE32" i="12" s="1"/>
  <c r="GM32" i="12"/>
  <c r="HU32" i="12" s="1"/>
  <c r="IY32" i="12"/>
  <c r="KG32" i="12" s="1"/>
  <c r="IX32" i="12"/>
  <c r="KF32" i="12" s="1"/>
  <c r="IS32" i="12"/>
  <c r="KA32" i="12" s="1"/>
  <c r="GQ32" i="12"/>
  <c r="HY32" i="12" s="1"/>
  <c r="GL32" i="12"/>
  <c r="HT32" i="12" s="1"/>
  <c r="JM32" i="12"/>
  <c r="KU32" i="12" s="1"/>
  <c r="HA32" i="12"/>
  <c r="II32" i="12" s="1"/>
  <c r="JD32" i="12"/>
  <c r="KL32" i="12" s="1"/>
  <c r="GG32" i="12"/>
  <c r="HO32" i="12" s="1"/>
  <c r="JO32" i="12"/>
  <c r="KW32" i="12" s="1"/>
  <c r="CG33" i="12"/>
  <c r="GK32" i="12"/>
  <c r="HS32" i="12" s="1"/>
  <c r="GR32" i="12"/>
  <c r="HZ32" i="12" s="1"/>
  <c r="JK32" i="12"/>
  <c r="KS32" i="12" s="1"/>
  <c r="GE32" i="12"/>
  <c r="HM32" i="12" s="1"/>
  <c r="CF33" i="12"/>
  <c r="IU32" i="12"/>
  <c r="KC32" i="12" s="1"/>
  <c r="GO32" i="12"/>
  <c r="HW32" i="12" s="1"/>
  <c r="JE32" i="12"/>
  <c r="KM32" i="12" s="1"/>
  <c r="JB32" i="12"/>
  <c r="KJ32" i="12" s="1"/>
  <c r="GH32" i="12"/>
  <c r="HP32" i="12" s="1"/>
  <c r="IQ32" i="12"/>
  <c r="JY32" i="12" s="1"/>
  <c r="JT32" i="12"/>
  <c r="LB32" i="12" s="1"/>
  <c r="JI32" i="12"/>
  <c r="KQ32" i="12" s="1"/>
  <c r="IR32" i="12"/>
  <c r="JZ32" i="12" s="1"/>
  <c r="GI32" i="12"/>
  <c r="HQ32" i="12" s="1"/>
  <c r="BC33" i="12"/>
  <c r="JH32" i="12"/>
  <c r="KP32" i="12" s="1"/>
  <c r="JP32" i="12"/>
  <c r="KX32" i="12" s="1"/>
  <c r="IV32" i="12"/>
  <c r="KD32" i="12" s="1"/>
  <c r="GD32" i="12"/>
  <c r="HL32" i="12" s="1"/>
  <c r="GU32" i="12"/>
  <c r="IC32" i="12" s="1"/>
  <c r="GJ32" i="12"/>
  <c r="HR32" i="12" s="1"/>
  <c r="JG32" i="12"/>
  <c r="KO32" i="12" s="1"/>
  <c r="JN32" i="12"/>
  <c r="KV32" i="12" s="1"/>
  <c r="GP32" i="12"/>
  <c r="HX32" i="12" s="1"/>
  <c r="GV32" i="12"/>
  <c r="ID32" i="12" s="1"/>
  <c r="GN32" i="12"/>
  <c r="HV32" i="12" s="1"/>
  <c r="GX32" i="12"/>
  <c r="IF32" i="12" s="1"/>
  <c r="JS32" i="12"/>
  <c r="LA32" i="12" s="1"/>
  <c r="JJ32" i="12"/>
  <c r="KR32" i="12" s="1"/>
  <c r="GF32" i="12"/>
  <c r="HN32" i="12" s="1"/>
  <c r="GT32" i="12"/>
  <c r="IB32" i="12" s="1"/>
  <c r="EN33" i="12" l="1"/>
  <c r="CR33" i="12"/>
  <c r="DE33" i="12"/>
  <c r="JX32" i="12"/>
  <c r="FP33" i="12" s="1"/>
  <c r="AW31" i="12" s="1"/>
  <c r="AZ31" i="12" s="1"/>
  <c r="BX33" i="12" s="1"/>
  <c r="IO32" i="12"/>
  <c r="BF32" i="12"/>
  <c r="BG32" i="12"/>
  <c r="BE32" i="12"/>
  <c r="BH32" i="12"/>
  <c r="EL32" i="12"/>
  <c r="EK32" i="12"/>
  <c r="HG32" i="12"/>
  <c r="FO33" i="12" s="1"/>
  <c r="FX32" i="12"/>
  <c r="EQ32" i="12" l="1"/>
  <c r="FT33" i="12"/>
  <c r="AV31" i="12"/>
  <c r="CB33" i="12" s="1"/>
  <c r="CD33" i="12" l="1"/>
  <c r="CI33" i="12" s="1"/>
  <c r="DC33" i="12" l="1"/>
  <c r="CQ33" i="12"/>
  <c r="CS33" i="12" s="1"/>
  <c r="CT33" i="12" s="1"/>
  <c r="CK33" i="12"/>
  <c r="CM33" i="12" l="1"/>
  <c r="CL33" i="12"/>
  <c r="CN33" i="12"/>
  <c r="CP33" i="12" s="1"/>
  <c r="DA33" i="12"/>
  <c r="AL33" i="12" l="1"/>
  <c r="ET33" i="12"/>
  <c r="FC33" i="12"/>
  <c r="AM33" i="12"/>
  <c r="DB33" i="12"/>
  <c r="CZ33" i="12"/>
  <c r="FD33" i="12" l="1"/>
  <c r="FE33" i="12" s="1"/>
  <c r="FF33" i="12" s="1"/>
  <c r="B24" i="19"/>
  <c r="B23" i="20"/>
  <c r="DH69" i="12" s="1"/>
  <c r="B56" i="20"/>
  <c r="DH102" i="12" s="1"/>
  <c r="B56" i="19"/>
  <c r="DG33" i="12"/>
  <c r="EM33" i="12" s="1"/>
  <c r="EU33" i="12"/>
  <c r="EV33" i="12" s="1"/>
  <c r="EW33" i="12" s="1"/>
  <c r="AK33" i="12"/>
  <c r="AR33" i="12" l="1"/>
  <c r="B188" i="20"/>
  <c r="DH234" i="12" s="1"/>
  <c r="MA33" i="12"/>
  <c r="B189" i="19"/>
  <c r="AP33" i="12"/>
  <c r="FJ33" i="12"/>
  <c r="AJ33" i="12" s="1"/>
  <c r="FG34" i="12"/>
  <c r="FH35" i="12" s="1"/>
  <c r="FI36" i="12" s="1"/>
  <c r="FA33" i="12"/>
  <c r="AI33" i="12" s="1"/>
  <c r="EX34" i="12"/>
  <c r="EY35" i="12" s="1"/>
  <c r="EZ36" i="12" s="1"/>
  <c r="B122" i="20" l="1"/>
  <c r="B123" i="19"/>
  <c r="B89" i="20"/>
  <c r="DH135" i="12" s="1"/>
  <c r="B90" i="19"/>
  <c r="AH33" i="12"/>
  <c r="DH168" i="12" l="1"/>
  <c r="B233" i="20"/>
  <c r="AQ33" i="12"/>
  <c r="AO33" i="12"/>
  <c r="BI33" i="12" l="1"/>
  <c r="BK33" i="12" s="1"/>
  <c r="BD33" i="12" s="1"/>
  <c r="FM34" i="12"/>
  <c r="FS34" i="12" s="1"/>
  <c r="BM33" i="12"/>
  <c r="CC34" i="12"/>
  <c r="IP33" i="12"/>
  <c r="GL33" i="12"/>
  <c r="HT33" i="12" s="1"/>
  <c r="HA33" i="12"/>
  <c r="II33" i="12" s="1"/>
  <c r="GU33" i="12"/>
  <c r="IC33" i="12" s="1"/>
  <c r="IZ33" i="12"/>
  <c r="KH33" i="12" s="1"/>
  <c r="JQ33" i="12"/>
  <c r="KY33" i="12" s="1"/>
  <c r="GR33" i="12"/>
  <c r="HZ33" i="12" s="1"/>
  <c r="GN33" i="12"/>
  <c r="HV33" i="12" s="1"/>
  <c r="JP33" i="12"/>
  <c r="KX33" i="12" s="1"/>
  <c r="GP33" i="12"/>
  <c r="HX33" i="12" s="1"/>
  <c r="GS33" i="12"/>
  <c r="IA33" i="12" s="1"/>
  <c r="GZ33" i="12"/>
  <c r="IH33" i="12" s="1"/>
  <c r="GK33" i="12"/>
  <c r="HS33" i="12" s="1"/>
  <c r="GW33" i="12"/>
  <c r="IE33" i="12" s="1"/>
  <c r="IW33" i="12"/>
  <c r="KE33" i="12" s="1"/>
  <c r="JL33" i="12"/>
  <c r="KT33" i="12" s="1"/>
  <c r="JE33" i="12"/>
  <c r="KM33" i="12" s="1"/>
  <c r="IX33" i="12"/>
  <c r="KF33" i="12" s="1"/>
  <c r="JB33" i="12"/>
  <c r="KJ33" i="12" s="1"/>
  <c r="GO33" i="12"/>
  <c r="HW33" i="12" s="1"/>
  <c r="GE33" i="12"/>
  <c r="HM33" i="12" s="1"/>
  <c r="JG33" i="12"/>
  <c r="KO33" i="12" s="1"/>
  <c r="GA33" i="12"/>
  <c r="HI33" i="12" s="1"/>
  <c r="GX33" i="12"/>
  <c r="IF33" i="12" s="1"/>
  <c r="IT33" i="12"/>
  <c r="KB33" i="12" s="1"/>
  <c r="IU33" i="12"/>
  <c r="KC33" i="12" s="1"/>
  <c r="JS33" i="12"/>
  <c r="LA33" i="12" s="1"/>
  <c r="JK33" i="12"/>
  <c r="KS33" i="12" s="1"/>
  <c r="JO33" i="12"/>
  <c r="KW33" i="12" s="1"/>
  <c r="IY33" i="12"/>
  <c r="KG33" i="12" s="1"/>
  <c r="JR33" i="12"/>
  <c r="KZ33" i="12" s="1"/>
  <c r="JM33" i="12"/>
  <c r="KU33" i="12" s="1"/>
  <c r="CH34" i="12"/>
  <c r="CG34" i="12"/>
  <c r="FY33" i="12"/>
  <c r="CF34" i="12"/>
  <c r="GQ33" i="12"/>
  <c r="HY33" i="12" s="1"/>
  <c r="GH33" i="12"/>
  <c r="HP33" i="12" s="1"/>
  <c r="JF33" i="12"/>
  <c r="KN33" i="12" s="1"/>
  <c r="GV33" i="12"/>
  <c r="ID33" i="12" s="1"/>
  <c r="GM33" i="12"/>
  <c r="HU33" i="12" s="1"/>
  <c r="BC34" i="12"/>
  <c r="JC33" i="12"/>
  <c r="KK33" i="12" s="1"/>
  <c r="JT33" i="12"/>
  <c r="LB33" i="12" s="1"/>
  <c r="GY33" i="12"/>
  <c r="IG33" i="12" s="1"/>
  <c r="JJ33" i="12"/>
  <c r="KR33" i="12" s="1"/>
  <c r="GC33" i="12"/>
  <c r="HK33" i="12" s="1"/>
  <c r="IQ33" i="12"/>
  <c r="JY33" i="12" s="1"/>
  <c r="JH33" i="12"/>
  <c r="KP33" i="12" s="1"/>
  <c r="GI33" i="12"/>
  <c r="HQ33" i="12" s="1"/>
  <c r="JA33" i="12"/>
  <c r="KI33" i="12" s="1"/>
  <c r="HB33" i="12"/>
  <c r="IJ33" i="12" s="1"/>
  <c r="IV33" i="12"/>
  <c r="KD33" i="12" s="1"/>
  <c r="JD33" i="12"/>
  <c r="KL33" i="12" s="1"/>
  <c r="IR33" i="12"/>
  <c r="JZ33" i="12" s="1"/>
  <c r="FZ33" i="12"/>
  <c r="HH33" i="12" s="1"/>
  <c r="JN33" i="12"/>
  <c r="KV33" i="12" s="1"/>
  <c r="GF33" i="12"/>
  <c r="HN33" i="12" s="1"/>
  <c r="GG33" i="12"/>
  <c r="HO33" i="12" s="1"/>
  <c r="GD33" i="12"/>
  <c r="HL33" i="12" s="1"/>
  <c r="IS33" i="12"/>
  <c r="KA33" i="12" s="1"/>
  <c r="GJ33" i="12"/>
  <c r="HR33" i="12" s="1"/>
  <c r="HC33" i="12"/>
  <c r="IK33" i="12" s="1"/>
  <c r="GB33" i="12"/>
  <c r="HJ33" i="12" s="1"/>
  <c r="GT33" i="12"/>
  <c r="IB33" i="12" s="1"/>
  <c r="JI33" i="12"/>
  <c r="KQ33" i="12" s="1"/>
  <c r="HG33" i="12" l="1"/>
  <c r="FO34" i="12" s="1"/>
  <c r="FX33" i="12"/>
  <c r="CR34" i="12"/>
  <c r="DE34" i="12"/>
  <c r="EN34" i="12"/>
  <c r="JX33" i="12"/>
  <c r="FP34" i="12" s="1"/>
  <c r="AW32" i="12" s="1"/>
  <c r="AZ32" i="12" s="1"/>
  <c r="BX34" i="12" s="1"/>
  <c r="IO33" i="12"/>
  <c r="BG33" i="12"/>
  <c r="BH33" i="12"/>
  <c r="BE33" i="12"/>
  <c r="BF33" i="12"/>
  <c r="EL33" i="12"/>
  <c r="AV32" i="12" l="1"/>
  <c r="CB34" i="12" s="1"/>
  <c r="FT34" i="12"/>
  <c r="CD34" i="12" l="1"/>
  <c r="CI34" i="12" l="1"/>
  <c r="CQ34" i="12"/>
  <c r="CS34" i="12" s="1"/>
  <c r="CT34" i="12" s="1"/>
  <c r="DC34" i="12"/>
  <c r="CK34" i="12" l="1"/>
  <c r="CM34" i="12" l="1"/>
  <c r="CL34" i="12"/>
  <c r="CN34" i="12"/>
  <c r="CP34" i="12" s="1"/>
  <c r="DA34" i="12"/>
  <c r="CZ34" i="12" l="1"/>
  <c r="DB34" i="12"/>
  <c r="ET34" i="12"/>
  <c r="AL34" i="12"/>
  <c r="FC34" i="12"/>
  <c r="AM34" i="12"/>
  <c r="AK34" i="12" l="1"/>
  <c r="EU34" i="12"/>
  <c r="EV34" i="12" s="1"/>
  <c r="EW34" i="12" s="1"/>
  <c r="FD34" i="12"/>
  <c r="FE34" i="12" s="1"/>
  <c r="FF34" i="12" s="1"/>
  <c r="B57" i="19"/>
  <c r="B57" i="20"/>
  <c r="DH103" i="12" s="1"/>
  <c r="DG34" i="12"/>
  <c r="EM34" i="12" s="1"/>
  <c r="B24" i="20"/>
  <c r="DH70" i="12" s="1"/>
  <c r="B25" i="19"/>
  <c r="FJ34" i="12" l="1"/>
  <c r="AJ34" i="12" s="1"/>
  <c r="FG35" i="12"/>
  <c r="FH36" i="12" s="1"/>
  <c r="FI37" i="12" s="1"/>
  <c r="AR34" i="12"/>
  <c r="B189" i="20"/>
  <c r="DH235" i="12" s="1"/>
  <c r="B190" i="19"/>
  <c r="MA34" i="12"/>
  <c r="AP34" i="12"/>
  <c r="EX35" i="12"/>
  <c r="EY36" i="12" s="1"/>
  <c r="EZ37" i="12" s="1"/>
  <c r="FA34" i="12"/>
  <c r="AI34" i="12" s="1"/>
  <c r="B124" i="19" l="1"/>
  <c r="B123" i="20"/>
  <c r="B90" i="20"/>
  <c r="DH136" i="12" s="1"/>
  <c r="B91" i="19"/>
  <c r="AH34" i="12"/>
  <c r="AQ34" i="12" l="1"/>
  <c r="AO34" i="12"/>
  <c r="B234" i="20"/>
  <c r="DH169" i="12"/>
  <c r="FM35" i="12" l="1"/>
  <c r="FS35" i="12" s="1"/>
  <c r="BI34" i="12"/>
  <c r="BK34" i="12" s="1"/>
  <c r="BD34" i="12" s="1"/>
  <c r="BM34" i="12"/>
  <c r="FY34" i="12"/>
  <c r="CF35" i="12"/>
  <c r="GS34" i="12"/>
  <c r="IA34" i="12" s="1"/>
  <c r="JR34" i="12"/>
  <c r="KZ34" i="12" s="1"/>
  <c r="IQ34" i="12"/>
  <c r="JY34" i="12" s="1"/>
  <c r="GG34" i="12"/>
  <c r="HO34" i="12" s="1"/>
  <c r="IR34" i="12"/>
  <c r="JZ34" i="12" s="1"/>
  <c r="JQ34" i="12"/>
  <c r="KY34" i="12" s="1"/>
  <c r="JM34" i="12"/>
  <c r="KU34" i="12" s="1"/>
  <c r="JO34" i="12"/>
  <c r="KW34" i="12" s="1"/>
  <c r="JE34" i="12"/>
  <c r="KM34" i="12" s="1"/>
  <c r="IT34" i="12"/>
  <c r="KB34" i="12" s="1"/>
  <c r="IX34" i="12"/>
  <c r="KF34" i="12" s="1"/>
  <c r="CH35" i="12"/>
  <c r="GE34" i="12"/>
  <c r="HM34" i="12" s="1"/>
  <c r="IW34" i="12"/>
  <c r="KE34" i="12" s="1"/>
  <c r="GW34" i="12"/>
  <c r="IE34" i="12" s="1"/>
  <c r="GV34" i="12"/>
  <c r="ID34" i="12" s="1"/>
  <c r="IS34" i="12"/>
  <c r="KA34" i="12" s="1"/>
  <c r="JJ34" i="12"/>
  <c r="KR34" i="12" s="1"/>
  <c r="GX34" i="12"/>
  <c r="IF34" i="12" s="1"/>
  <c r="GD34" i="12"/>
  <c r="HL34" i="12" s="1"/>
  <c r="JL34" i="12"/>
  <c r="KT34" i="12" s="1"/>
  <c r="GO34" i="12"/>
  <c r="HW34" i="12" s="1"/>
  <c r="JD34" i="12"/>
  <c r="KL34" i="12" s="1"/>
  <c r="GA34" i="12"/>
  <c r="HI34" i="12" s="1"/>
  <c r="GC34" i="12"/>
  <c r="HK34" i="12" s="1"/>
  <c r="JK34" i="12"/>
  <c r="KS34" i="12" s="1"/>
  <c r="BC35" i="12"/>
  <c r="GT34" i="12"/>
  <c r="IB34" i="12" s="1"/>
  <c r="GZ34" i="12"/>
  <c r="IH34" i="12" s="1"/>
  <c r="JF34" i="12"/>
  <c r="KN34" i="12" s="1"/>
  <c r="IU34" i="12"/>
  <c r="KC34" i="12" s="1"/>
  <c r="JG34" i="12"/>
  <c r="KO34" i="12" s="1"/>
  <c r="FZ34" i="12"/>
  <c r="HH34" i="12" s="1"/>
  <c r="JC34" i="12"/>
  <c r="KK34" i="12" s="1"/>
  <c r="GK34" i="12"/>
  <c r="HS34" i="12" s="1"/>
  <c r="GI34" i="12"/>
  <c r="HQ34" i="12" s="1"/>
  <c r="JS34" i="12"/>
  <c r="LA34" i="12" s="1"/>
  <c r="GH34" i="12"/>
  <c r="HP34" i="12" s="1"/>
  <c r="GR34" i="12"/>
  <c r="HZ34" i="12" s="1"/>
  <c r="JN34" i="12"/>
  <c r="KV34" i="12" s="1"/>
  <c r="GM34" i="12"/>
  <c r="HU34" i="12" s="1"/>
  <c r="GF34" i="12"/>
  <c r="HN34" i="12" s="1"/>
  <c r="GY34" i="12"/>
  <c r="IG34" i="12" s="1"/>
  <c r="CC35" i="12"/>
  <c r="JP34" i="12"/>
  <c r="KX34" i="12" s="1"/>
  <c r="HB34" i="12"/>
  <c r="IJ34" i="12" s="1"/>
  <c r="JB34" i="12"/>
  <c r="KJ34" i="12" s="1"/>
  <c r="GJ34" i="12"/>
  <c r="HR34" i="12" s="1"/>
  <c r="GL34" i="12"/>
  <c r="HT34" i="12" s="1"/>
  <c r="GQ34" i="12"/>
  <c r="HY34" i="12" s="1"/>
  <c r="IY34" i="12"/>
  <c r="KG34" i="12" s="1"/>
  <c r="GB34" i="12"/>
  <c r="HJ34" i="12" s="1"/>
  <c r="JT34" i="12"/>
  <c r="LB34" i="12" s="1"/>
  <c r="IP34" i="12"/>
  <c r="CG35" i="12"/>
  <c r="HA34" i="12"/>
  <c r="II34" i="12" s="1"/>
  <c r="JA34" i="12"/>
  <c r="KI34" i="12" s="1"/>
  <c r="JI34" i="12"/>
  <c r="KQ34" i="12" s="1"/>
  <c r="IV34" i="12"/>
  <c r="KD34" i="12" s="1"/>
  <c r="JH34" i="12"/>
  <c r="KP34" i="12" s="1"/>
  <c r="GP34" i="12"/>
  <c r="HX34" i="12" s="1"/>
  <c r="GN34" i="12"/>
  <c r="HV34" i="12" s="1"/>
  <c r="IZ34" i="12"/>
  <c r="KH34" i="12" s="1"/>
  <c r="GU34" i="12"/>
  <c r="IC34" i="12" s="1"/>
  <c r="HC34" i="12"/>
  <c r="IK34" i="12" s="1"/>
  <c r="CR35" i="12" l="1"/>
  <c r="DE35" i="12"/>
  <c r="EN35" i="12"/>
  <c r="BE34" i="12"/>
  <c r="BG34" i="12"/>
  <c r="BF34" i="12"/>
  <c r="BH34" i="12"/>
  <c r="EK34" i="12"/>
  <c r="EL34" i="12"/>
  <c r="JX34" i="12"/>
  <c r="FP35" i="12" s="1"/>
  <c r="AW33" i="12" s="1"/>
  <c r="AZ33" i="12" s="1"/>
  <c r="BX35" i="12" s="1"/>
  <c r="IO34" i="12"/>
  <c r="HG34" i="12"/>
  <c r="FO35" i="12" s="1"/>
  <c r="FX34" i="12"/>
  <c r="EQ34" i="12" l="1"/>
  <c r="AV33" i="12"/>
  <c r="CB35" i="12" s="1"/>
  <c r="FT35" i="12"/>
  <c r="CD35" i="12" l="1"/>
  <c r="CI35" i="12" s="1"/>
  <c r="CQ35" i="12" l="1"/>
  <c r="CS35" i="12" s="1"/>
  <c r="CT35" i="12" s="1"/>
  <c r="DC35" i="12"/>
  <c r="CK35" i="12"/>
  <c r="DA35" i="12" s="1"/>
  <c r="CZ35" i="12" l="1"/>
  <c r="DB35" i="12"/>
  <c r="DG35" i="12" s="1"/>
  <c r="EM35" i="12" s="1"/>
  <c r="CM35" i="12"/>
  <c r="CL35" i="12"/>
  <c r="CN35" i="12"/>
  <c r="CP35" i="12" s="1"/>
  <c r="AL35" i="12" l="1"/>
  <c r="ET35" i="12"/>
  <c r="FC35" i="12"/>
  <c r="AM35" i="12"/>
  <c r="B58" i="19"/>
  <c r="B58" i="20"/>
  <c r="DH104" i="12" s="1"/>
  <c r="B25" i="20"/>
  <c r="DH71" i="12" s="1"/>
  <c r="B26" i="19"/>
  <c r="FD35" i="12" l="1"/>
  <c r="FE35" i="12" s="1"/>
  <c r="FF35" i="12" s="1"/>
  <c r="AK35" i="12"/>
  <c r="EU35" i="12"/>
  <c r="EV35" i="12" s="1"/>
  <c r="EW35" i="12" s="1"/>
  <c r="FG36" i="12" l="1"/>
  <c r="FH37" i="12" s="1"/>
  <c r="FI38" i="12" s="1"/>
  <c r="FJ35" i="12"/>
  <c r="AJ35" i="12" s="1"/>
  <c r="B190" i="20"/>
  <c r="DH236" i="12" s="1"/>
  <c r="MA35" i="12"/>
  <c r="AR35" i="12"/>
  <c r="B191" i="19"/>
  <c r="AP35" i="12"/>
  <c r="EX36" i="12"/>
  <c r="EY37" i="12" s="1"/>
  <c r="EZ38" i="12" s="1"/>
  <c r="FA35" i="12"/>
  <c r="AI35" i="12" s="1"/>
  <c r="B124" i="20" l="1"/>
  <c r="B125" i="19"/>
  <c r="AH35" i="12"/>
  <c r="B91" i="20"/>
  <c r="DH137" i="12" s="1"/>
  <c r="B92" i="19"/>
  <c r="AQ35" i="12" l="1"/>
  <c r="AO35" i="12"/>
  <c r="DH170" i="12"/>
  <c r="B235" i="20"/>
  <c r="BI35" i="12" l="1"/>
  <c r="BK35" i="12" s="1"/>
  <c r="BD35" i="12" s="1"/>
  <c r="FM36" i="12"/>
  <c r="FS36" i="12" s="1"/>
  <c r="BM35" i="12"/>
  <c r="CH36" i="12"/>
  <c r="GA35" i="12"/>
  <c r="HI35" i="12" s="1"/>
  <c r="GQ35" i="12"/>
  <c r="HY35" i="12" s="1"/>
  <c r="IV35" i="12"/>
  <c r="KD35" i="12" s="1"/>
  <c r="GR35" i="12"/>
  <c r="HZ35" i="12" s="1"/>
  <c r="GS35" i="12"/>
  <c r="IA35" i="12" s="1"/>
  <c r="GN35" i="12"/>
  <c r="HV35" i="12" s="1"/>
  <c r="HC35" i="12"/>
  <c r="IK35" i="12" s="1"/>
  <c r="IQ35" i="12"/>
  <c r="JY35" i="12" s="1"/>
  <c r="CC36" i="12"/>
  <c r="HA35" i="12"/>
  <c r="II35" i="12" s="1"/>
  <c r="JQ35" i="12"/>
  <c r="KY35" i="12" s="1"/>
  <c r="JG35" i="12"/>
  <c r="KO35" i="12" s="1"/>
  <c r="JO35" i="12"/>
  <c r="KW35" i="12" s="1"/>
  <c r="IP35" i="12"/>
  <c r="JA35" i="12"/>
  <c r="KI35" i="12" s="1"/>
  <c r="JK35" i="12"/>
  <c r="KS35" i="12" s="1"/>
  <c r="BC36" i="12"/>
  <c r="GM35" i="12"/>
  <c r="HU35" i="12" s="1"/>
  <c r="IZ35" i="12"/>
  <c r="KH35" i="12" s="1"/>
  <c r="GW35" i="12"/>
  <c r="IE35" i="12" s="1"/>
  <c r="GL35" i="12"/>
  <c r="HT35" i="12" s="1"/>
  <c r="JJ35" i="12"/>
  <c r="KR35" i="12" s="1"/>
  <c r="IX35" i="12"/>
  <c r="KF35" i="12" s="1"/>
  <c r="GV35" i="12"/>
  <c r="ID35" i="12" s="1"/>
  <c r="JN35" i="12"/>
  <c r="KV35" i="12" s="1"/>
  <c r="GB35" i="12"/>
  <c r="HJ35" i="12" s="1"/>
  <c r="IS35" i="12"/>
  <c r="KA35" i="12" s="1"/>
  <c r="GY35" i="12"/>
  <c r="IG35" i="12" s="1"/>
  <c r="JC35" i="12"/>
  <c r="KK35" i="12" s="1"/>
  <c r="GI35" i="12"/>
  <c r="HQ35" i="12" s="1"/>
  <c r="GF35" i="12"/>
  <c r="HN35" i="12" s="1"/>
  <c r="GX35" i="12"/>
  <c r="IF35" i="12" s="1"/>
  <c r="GZ35" i="12"/>
  <c r="IH35" i="12" s="1"/>
  <c r="GO35" i="12"/>
  <c r="HW35" i="12" s="1"/>
  <c r="GJ35" i="12"/>
  <c r="HR35" i="12" s="1"/>
  <c r="GG35" i="12"/>
  <c r="HO35" i="12" s="1"/>
  <c r="GD35" i="12"/>
  <c r="HL35" i="12" s="1"/>
  <c r="JE35" i="12"/>
  <c r="KM35" i="12" s="1"/>
  <c r="GP35" i="12"/>
  <c r="HX35" i="12" s="1"/>
  <c r="GC35" i="12"/>
  <c r="HK35" i="12" s="1"/>
  <c r="JR35" i="12"/>
  <c r="KZ35" i="12" s="1"/>
  <c r="GT35" i="12"/>
  <c r="IB35" i="12" s="1"/>
  <c r="JM35" i="12"/>
  <c r="KU35" i="12" s="1"/>
  <c r="IW35" i="12"/>
  <c r="KE35" i="12" s="1"/>
  <c r="IT35" i="12"/>
  <c r="KB35" i="12" s="1"/>
  <c r="CG36" i="12"/>
  <c r="FY35" i="12"/>
  <c r="CF36" i="12"/>
  <c r="GK35" i="12"/>
  <c r="HS35" i="12" s="1"/>
  <c r="JP35" i="12"/>
  <c r="KX35" i="12" s="1"/>
  <c r="IR35" i="12"/>
  <c r="JZ35" i="12" s="1"/>
  <c r="GU35" i="12"/>
  <c r="IC35" i="12" s="1"/>
  <c r="JI35" i="12"/>
  <c r="KQ35" i="12" s="1"/>
  <c r="GH35" i="12"/>
  <c r="HP35" i="12" s="1"/>
  <c r="JT35" i="12"/>
  <c r="LB35" i="12" s="1"/>
  <c r="HB35" i="12"/>
  <c r="IJ35" i="12" s="1"/>
  <c r="IU35" i="12"/>
  <c r="KC35" i="12" s="1"/>
  <c r="JD35" i="12"/>
  <c r="KL35" i="12" s="1"/>
  <c r="FZ35" i="12"/>
  <c r="HH35" i="12" s="1"/>
  <c r="JF35" i="12"/>
  <c r="KN35" i="12" s="1"/>
  <c r="JH35" i="12"/>
  <c r="KP35" i="12" s="1"/>
  <c r="JB35" i="12"/>
  <c r="KJ35" i="12" s="1"/>
  <c r="GE35" i="12"/>
  <c r="HM35" i="12" s="1"/>
  <c r="IY35" i="12"/>
  <c r="KG35" i="12" s="1"/>
  <c r="JL35" i="12"/>
  <c r="KT35" i="12" s="1"/>
  <c r="JS35" i="12"/>
  <c r="LA35" i="12" s="1"/>
  <c r="HG35" i="12" l="1"/>
  <c r="FO36" i="12" s="1"/>
  <c r="FX35" i="12"/>
  <c r="JX35" i="12"/>
  <c r="FP36" i="12" s="1"/>
  <c r="AW34" i="12" s="1"/>
  <c r="AZ34" i="12" s="1"/>
  <c r="BX36" i="12" s="1"/>
  <c r="IO35" i="12"/>
  <c r="DE36" i="12"/>
  <c r="CR36" i="12"/>
  <c r="EN36" i="12"/>
  <c r="BH35" i="12"/>
  <c r="BF35" i="12"/>
  <c r="BE35" i="12"/>
  <c r="BG35" i="12"/>
  <c r="EL35" i="12"/>
  <c r="FT36" i="12" l="1"/>
  <c r="AV34" i="12"/>
  <c r="CB36" i="12" s="1"/>
  <c r="CD36" i="12" l="1"/>
  <c r="CI36" i="12" l="1"/>
  <c r="DC36" i="12"/>
  <c r="CQ36" i="12"/>
  <c r="CS36" i="12" s="1"/>
  <c r="CT36" i="12" s="1"/>
  <c r="CK36" i="12" l="1"/>
  <c r="CL36" i="12" l="1"/>
  <c r="CM36" i="12"/>
  <c r="CN36" i="12"/>
  <c r="CP36" i="12" s="1"/>
  <c r="DA36" i="12"/>
  <c r="CZ36" i="12" l="1"/>
  <c r="DB36" i="12"/>
  <c r="AM36" i="12"/>
  <c r="FC36" i="12"/>
  <c r="AL36" i="12"/>
  <c r="ET36" i="12"/>
  <c r="FD36" i="12" l="1"/>
  <c r="FE36" i="12" s="1"/>
  <c r="FF36" i="12" s="1"/>
  <c r="B59" i="20"/>
  <c r="DH105" i="12" s="1"/>
  <c r="B59" i="19"/>
  <c r="DG36" i="12"/>
  <c r="EM36" i="12" s="1"/>
  <c r="EU36" i="12"/>
  <c r="EV36" i="12" s="1"/>
  <c r="EW36" i="12" s="1"/>
  <c r="AK36" i="12"/>
  <c r="B26" i="20"/>
  <c r="DH72" i="12" s="1"/>
  <c r="B27" i="19"/>
  <c r="FA36" i="12" l="1"/>
  <c r="AI36" i="12" s="1"/>
  <c r="EX37" i="12"/>
  <c r="EY38" i="12" s="1"/>
  <c r="EZ39" i="12" s="1"/>
  <c r="B191" i="20"/>
  <c r="DH237" i="12" s="1"/>
  <c r="AR36" i="12"/>
  <c r="B192" i="19"/>
  <c r="MA36" i="12"/>
  <c r="AP36" i="12"/>
  <c r="FJ36" i="12"/>
  <c r="AJ36" i="12" s="1"/>
  <c r="FG37" i="12"/>
  <c r="FH38" i="12" s="1"/>
  <c r="FI39" i="12" s="1"/>
  <c r="B126" i="19" l="1"/>
  <c r="B125" i="20"/>
  <c r="B92" i="20"/>
  <c r="DH138" i="12" s="1"/>
  <c r="B93" i="19"/>
  <c r="AH36" i="12"/>
  <c r="AQ36" i="12" l="1"/>
  <c r="AO36" i="12"/>
  <c r="B236" i="20"/>
  <c r="DH171" i="12"/>
  <c r="FM37" i="12" l="1"/>
  <c r="FS37" i="12" s="1"/>
  <c r="BM36" i="12"/>
  <c r="BI36" i="12"/>
  <c r="BK36" i="12" s="1"/>
  <c r="BD36" i="12" s="1"/>
  <c r="IW36" i="12"/>
  <c r="KE36" i="12" s="1"/>
  <c r="GK36" i="12"/>
  <c r="HS36" i="12" s="1"/>
  <c r="CH37" i="12"/>
  <c r="GP36" i="12"/>
  <c r="HX36" i="12" s="1"/>
  <c r="CC37" i="12"/>
  <c r="JQ36" i="12"/>
  <c r="KY36" i="12" s="1"/>
  <c r="GC36" i="12"/>
  <c r="HK36" i="12" s="1"/>
  <c r="JE36" i="12"/>
  <c r="KM36" i="12" s="1"/>
  <c r="GL36" i="12"/>
  <c r="HT36" i="12" s="1"/>
  <c r="GQ36" i="12"/>
  <c r="HY36" i="12" s="1"/>
  <c r="IS36" i="12"/>
  <c r="KA36" i="12" s="1"/>
  <c r="JP36" i="12"/>
  <c r="KX36" i="12" s="1"/>
  <c r="JB36" i="12"/>
  <c r="KJ36" i="12" s="1"/>
  <c r="FY36" i="12"/>
  <c r="CF37" i="12"/>
  <c r="IT36" i="12"/>
  <c r="KB36" i="12" s="1"/>
  <c r="JM36" i="12"/>
  <c r="KU36" i="12" s="1"/>
  <c r="GN36" i="12"/>
  <c r="HV36" i="12" s="1"/>
  <c r="IQ36" i="12"/>
  <c r="JY36" i="12" s="1"/>
  <c r="GW36" i="12"/>
  <c r="IE36" i="12" s="1"/>
  <c r="JS36" i="12"/>
  <c r="LA36" i="12" s="1"/>
  <c r="JC36" i="12"/>
  <c r="KK36" i="12" s="1"/>
  <c r="GE36" i="12"/>
  <c r="HM36" i="12" s="1"/>
  <c r="GS36" i="12"/>
  <c r="IA36" i="12" s="1"/>
  <c r="HA36" i="12"/>
  <c r="II36" i="12" s="1"/>
  <c r="IY36" i="12"/>
  <c r="KG36" i="12" s="1"/>
  <c r="GZ36" i="12"/>
  <c r="IH36" i="12" s="1"/>
  <c r="GU36" i="12"/>
  <c r="IC36" i="12" s="1"/>
  <c r="GD36" i="12"/>
  <c r="HL36" i="12" s="1"/>
  <c r="IU36" i="12"/>
  <c r="KC36" i="12" s="1"/>
  <c r="IZ36" i="12"/>
  <c r="KH36" i="12" s="1"/>
  <c r="GX36" i="12"/>
  <c r="IF36" i="12" s="1"/>
  <c r="GA36" i="12"/>
  <c r="HI36" i="12" s="1"/>
  <c r="JG36" i="12"/>
  <c r="KO36" i="12" s="1"/>
  <c r="JI36" i="12"/>
  <c r="KQ36" i="12" s="1"/>
  <c r="JJ36" i="12"/>
  <c r="KR36" i="12" s="1"/>
  <c r="JD36" i="12"/>
  <c r="KL36" i="12" s="1"/>
  <c r="JF36" i="12"/>
  <c r="KN36" i="12" s="1"/>
  <c r="JO36" i="12"/>
  <c r="KW36" i="12" s="1"/>
  <c r="GM36" i="12"/>
  <c r="HU36" i="12" s="1"/>
  <c r="GO36" i="12"/>
  <c r="HW36" i="12" s="1"/>
  <c r="IR36" i="12"/>
  <c r="JZ36" i="12" s="1"/>
  <c r="GB36" i="12"/>
  <c r="HJ36" i="12" s="1"/>
  <c r="JH36" i="12"/>
  <c r="KP36" i="12" s="1"/>
  <c r="GV36" i="12"/>
  <c r="ID36" i="12" s="1"/>
  <c r="GI36" i="12"/>
  <c r="HQ36" i="12" s="1"/>
  <c r="IP36" i="12"/>
  <c r="BC37" i="12"/>
  <c r="IX36" i="12"/>
  <c r="KF36" i="12" s="1"/>
  <c r="JR36" i="12"/>
  <c r="KZ36" i="12" s="1"/>
  <c r="IV36" i="12"/>
  <c r="KD36" i="12" s="1"/>
  <c r="JA36" i="12"/>
  <c r="KI36" i="12" s="1"/>
  <c r="GG36" i="12"/>
  <c r="HO36" i="12" s="1"/>
  <c r="GH36" i="12"/>
  <c r="HP36" i="12" s="1"/>
  <c r="GR36" i="12"/>
  <c r="HZ36" i="12" s="1"/>
  <c r="JT36" i="12"/>
  <c r="LB36" i="12" s="1"/>
  <c r="FZ36" i="12"/>
  <c r="HH36" i="12" s="1"/>
  <c r="JN36" i="12"/>
  <c r="KV36" i="12" s="1"/>
  <c r="JK36" i="12"/>
  <c r="KS36" i="12" s="1"/>
  <c r="JL36" i="12"/>
  <c r="KT36" i="12" s="1"/>
  <c r="CG37" i="12"/>
  <c r="HB36" i="12"/>
  <c r="IJ36" i="12" s="1"/>
  <c r="GF36" i="12"/>
  <c r="HN36" i="12" s="1"/>
  <c r="GT36" i="12"/>
  <c r="IB36" i="12" s="1"/>
  <c r="GY36" i="12"/>
  <c r="IG36" i="12" s="1"/>
  <c r="HC36" i="12"/>
  <c r="IK36" i="12" s="1"/>
  <c r="GJ36" i="12"/>
  <c r="HR36" i="12" s="1"/>
  <c r="JX36" i="12" l="1"/>
  <c r="FP37" i="12" s="1"/>
  <c r="AW35" i="12" s="1"/>
  <c r="AZ35" i="12" s="1"/>
  <c r="BX37" i="12" s="1"/>
  <c r="IO36" i="12"/>
  <c r="CR37" i="12"/>
  <c r="DE37" i="12"/>
  <c r="EN37" i="12"/>
  <c r="BF36" i="12"/>
  <c r="BE36" i="12"/>
  <c r="BH36" i="12"/>
  <c r="BG36" i="12"/>
  <c r="EL36" i="12"/>
  <c r="HG36" i="12"/>
  <c r="FO37" i="12" s="1"/>
  <c r="FX36" i="12"/>
  <c r="AV35" i="12" l="1"/>
  <c r="CB37" i="12" s="1"/>
  <c r="FT37" i="12"/>
  <c r="CD37" i="12" l="1"/>
  <c r="CI37" i="12" l="1"/>
  <c r="CK37" i="12" s="1"/>
  <c r="DA37" i="12" s="1"/>
  <c r="CQ37" i="12"/>
  <c r="CS37" i="12" s="1"/>
  <c r="CT37" i="12" s="1"/>
  <c r="DC37" i="12"/>
  <c r="CZ37" i="12" l="1"/>
  <c r="DB37" i="12"/>
  <c r="DG37" i="12" s="1"/>
  <c r="EM37" i="12" s="1"/>
  <c r="CL37" i="12"/>
  <c r="CM37" i="12"/>
  <c r="CN37" i="12"/>
  <c r="CP37" i="12" s="1"/>
  <c r="ET37" i="12" l="1"/>
  <c r="AL37" i="12"/>
  <c r="B60" i="19"/>
  <c r="B60" i="20"/>
  <c r="DH106" i="12" s="1"/>
  <c r="AM37" i="12"/>
  <c r="FC37" i="12"/>
  <c r="B28" i="19"/>
  <c r="B27" i="20"/>
  <c r="DH73" i="12" s="1"/>
  <c r="EU37" i="12" l="1"/>
  <c r="EV37" i="12" s="1"/>
  <c r="EW37" i="12" s="1"/>
  <c r="AK37" i="12"/>
  <c r="FD37" i="12"/>
  <c r="FE37" i="12" s="1"/>
  <c r="FF37" i="12" s="1"/>
  <c r="FJ37" i="12" l="1"/>
  <c r="AJ37" i="12" s="1"/>
  <c r="FG38" i="12"/>
  <c r="FH39" i="12" s="1"/>
  <c r="FI40" i="12" s="1"/>
  <c r="EX38" i="12"/>
  <c r="EY39" i="12" s="1"/>
  <c r="EZ40" i="12" s="1"/>
  <c r="FA37" i="12"/>
  <c r="AI37" i="12" s="1"/>
  <c r="B193" i="19"/>
  <c r="MA37" i="12"/>
  <c r="B192" i="20"/>
  <c r="DH238" i="12" s="1"/>
  <c r="AR37" i="12"/>
  <c r="AP37" i="12"/>
  <c r="AH37" i="12" l="1"/>
  <c r="B127" i="19"/>
  <c r="B126" i="20"/>
  <c r="B94" i="19"/>
  <c r="B93" i="20"/>
  <c r="DH139" i="12" s="1"/>
  <c r="DH172" i="12" l="1"/>
  <c r="B237" i="20"/>
  <c r="AQ37" i="12"/>
  <c r="AO37" i="12"/>
  <c r="BI37" i="12" l="1"/>
  <c r="BK37" i="12" s="1"/>
  <c r="BD37" i="12" s="1"/>
  <c r="BM37" i="12"/>
  <c r="FM38" i="12"/>
  <c r="FS38" i="12" s="1"/>
  <c r="CF38" i="12"/>
  <c r="CH38" i="12"/>
  <c r="IP37" i="12"/>
  <c r="CG38" i="12"/>
  <c r="IQ37" i="12"/>
  <c r="JY37" i="12" s="1"/>
  <c r="GR37" i="12"/>
  <c r="HZ37" i="12" s="1"/>
  <c r="JJ37" i="12"/>
  <c r="KR37" i="12" s="1"/>
  <c r="GV37" i="12"/>
  <c r="ID37" i="12" s="1"/>
  <c r="GG37" i="12"/>
  <c r="HO37" i="12" s="1"/>
  <c r="GY37" i="12"/>
  <c r="IG37" i="12" s="1"/>
  <c r="GO37" i="12"/>
  <c r="HW37" i="12" s="1"/>
  <c r="HA37" i="12"/>
  <c r="II37" i="12" s="1"/>
  <c r="JE37" i="12"/>
  <c r="KM37" i="12" s="1"/>
  <c r="JA37" i="12"/>
  <c r="KI37" i="12" s="1"/>
  <c r="JB37" i="12"/>
  <c r="KJ37" i="12" s="1"/>
  <c r="GF37" i="12"/>
  <c r="HN37" i="12" s="1"/>
  <c r="JG37" i="12"/>
  <c r="KO37" i="12" s="1"/>
  <c r="JM37" i="12"/>
  <c r="KU37" i="12" s="1"/>
  <c r="GN37" i="12"/>
  <c r="HV37" i="12" s="1"/>
  <c r="GW37" i="12"/>
  <c r="IE37" i="12" s="1"/>
  <c r="GD37" i="12"/>
  <c r="HL37" i="12" s="1"/>
  <c r="JD37" i="12"/>
  <c r="KL37" i="12" s="1"/>
  <c r="IV37" i="12"/>
  <c r="KD37" i="12" s="1"/>
  <c r="JS37" i="12"/>
  <c r="LA37" i="12" s="1"/>
  <c r="HC37" i="12"/>
  <c r="IK37" i="12" s="1"/>
  <c r="IX37" i="12"/>
  <c r="KF37" i="12" s="1"/>
  <c r="GQ37" i="12"/>
  <c r="HY37" i="12" s="1"/>
  <c r="GX37" i="12"/>
  <c r="IF37" i="12" s="1"/>
  <c r="JI37" i="12"/>
  <c r="KQ37" i="12" s="1"/>
  <c r="CC38" i="12"/>
  <c r="JO37" i="12"/>
  <c r="KW37" i="12" s="1"/>
  <c r="GA37" i="12"/>
  <c r="HI37" i="12" s="1"/>
  <c r="JP37" i="12"/>
  <c r="KX37" i="12" s="1"/>
  <c r="IR37" i="12"/>
  <c r="JZ37" i="12" s="1"/>
  <c r="FY37" i="12"/>
  <c r="FZ37" i="12"/>
  <c r="HH37" i="12" s="1"/>
  <c r="IT37" i="12"/>
  <c r="KB37" i="12" s="1"/>
  <c r="IW37" i="12"/>
  <c r="KE37" i="12" s="1"/>
  <c r="GM37" i="12"/>
  <c r="HU37" i="12" s="1"/>
  <c r="GH37" i="12"/>
  <c r="HP37" i="12" s="1"/>
  <c r="JF37" i="12"/>
  <c r="KN37" i="12" s="1"/>
  <c r="GT37" i="12"/>
  <c r="IB37" i="12" s="1"/>
  <c r="IU37" i="12"/>
  <c r="KC37" i="12" s="1"/>
  <c r="JQ37" i="12"/>
  <c r="KY37" i="12" s="1"/>
  <c r="BC38" i="12"/>
  <c r="JR37" i="12"/>
  <c r="KZ37" i="12" s="1"/>
  <c r="JC37" i="12"/>
  <c r="KK37" i="12" s="1"/>
  <c r="JK37" i="12"/>
  <c r="KS37" i="12" s="1"/>
  <c r="IZ37" i="12"/>
  <c r="KH37" i="12" s="1"/>
  <c r="GS37" i="12"/>
  <c r="IA37" i="12" s="1"/>
  <c r="GK37" i="12"/>
  <c r="HS37" i="12" s="1"/>
  <c r="IY37" i="12"/>
  <c r="KG37" i="12" s="1"/>
  <c r="HB37" i="12"/>
  <c r="IJ37" i="12" s="1"/>
  <c r="JN37" i="12"/>
  <c r="KV37" i="12" s="1"/>
  <c r="JH37" i="12"/>
  <c r="KP37" i="12" s="1"/>
  <c r="GU37" i="12"/>
  <c r="IC37" i="12" s="1"/>
  <c r="GB37" i="12"/>
  <c r="HJ37" i="12" s="1"/>
  <c r="GZ37" i="12"/>
  <c r="IH37" i="12" s="1"/>
  <c r="GJ37" i="12"/>
  <c r="HR37" i="12" s="1"/>
  <c r="GE37" i="12"/>
  <c r="HM37" i="12" s="1"/>
  <c r="IS37" i="12"/>
  <c r="KA37" i="12" s="1"/>
  <c r="GP37" i="12"/>
  <c r="HX37" i="12" s="1"/>
  <c r="GC37" i="12"/>
  <c r="HK37" i="12" s="1"/>
  <c r="JL37" i="12"/>
  <c r="KT37" i="12" s="1"/>
  <c r="GI37" i="12"/>
  <c r="HQ37" i="12" s="1"/>
  <c r="GL37" i="12"/>
  <c r="HT37" i="12" s="1"/>
  <c r="JT37" i="12"/>
  <c r="LB37" i="12" s="1"/>
  <c r="HG37" i="12" l="1"/>
  <c r="FO38" i="12" s="1"/>
  <c r="FX37" i="12"/>
  <c r="JX37" i="12"/>
  <c r="FP38" i="12" s="1"/>
  <c r="AW36" i="12" s="1"/>
  <c r="AZ36" i="12" s="1"/>
  <c r="BX38" i="12" s="1"/>
  <c r="IO37" i="12"/>
  <c r="CR38" i="12"/>
  <c r="EN38" i="12"/>
  <c r="DE38" i="12"/>
  <c r="BE37" i="12"/>
  <c r="BH37" i="12"/>
  <c r="BF37" i="12"/>
  <c r="BG37" i="12"/>
  <c r="EL37" i="12"/>
  <c r="AV36" i="12" l="1"/>
  <c r="CB38" i="12" s="1"/>
  <c r="FT38" i="12"/>
  <c r="CD38" i="12" l="1"/>
  <c r="CI38" i="12" l="1"/>
  <c r="CQ38" i="12"/>
  <c r="CS38" i="12" s="1"/>
  <c r="CT38" i="12" s="1"/>
  <c r="DC38" i="12"/>
  <c r="CK38" i="12" l="1"/>
  <c r="CM38" i="12" l="1"/>
  <c r="CL38" i="12"/>
  <c r="CN38" i="12"/>
  <c r="CP38" i="12" s="1"/>
  <c r="DA38" i="12"/>
  <c r="DB38" i="12" l="1"/>
  <c r="CZ38" i="12"/>
  <c r="ET38" i="12"/>
  <c r="AL38" i="12"/>
  <c r="FC38" i="12"/>
  <c r="AM38" i="12"/>
  <c r="AK38" i="12" l="1"/>
  <c r="EU38" i="12"/>
  <c r="EV38" i="12" s="1"/>
  <c r="EW38" i="12" s="1"/>
  <c r="FD38" i="12"/>
  <c r="FE38" i="12" s="1"/>
  <c r="FF38" i="12" s="1"/>
  <c r="B28" i="20"/>
  <c r="DH74" i="12" s="1"/>
  <c r="B29" i="19"/>
  <c r="B61" i="20"/>
  <c r="DH107" i="12" s="1"/>
  <c r="B61" i="19"/>
  <c r="DG38" i="12"/>
  <c r="EM38" i="12" s="1"/>
  <c r="EX39" i="12" l="1"/>
  <c r="EY40" i="12" s="1"/>
  <c r="EZ41" i="12" s="1"/>
  <c r="FA38" i="12"/>
  <c r="AI38" i="12" s="1"/>
  <c r="MA38" i="12"/>
  <c r="AR38" i="12"/>
  <c r="B193" i="20"/>
  <c r="DH239" i="12" s="1"/>
  <c r="B194" i="19"/>
  <c r="AP38" i="12"/>
  <c r="FG39" i="12"/>
  <c r="FH40" i="12" s="1"/>
  <c r="FI41" i="12" s="1"/>
  <c r="FJ38" i="12"/>
  <c r="AJ38" i="12" s="1"/>
  <c r="B128" i="19" l="1"/>
  <c r="B127" i="20"/>
  <c r="AH38" i="12"/>
  <c r="B95" i="19"/>
  <c r="B94" i="20"/>
  <c r="DH140" i="12" s="1"/>
  <c r="AQ38" i="12" l="1"/>
  <c r="AO38" i="12"/>
  <c r="B238" i="20"/>
  <c r="DH173" i="12"/>
  <c r="FM39" i="12" l="1"/>
  <c r="FS39" i="12" s="1"/>
  <c r="BI38" i="12"/>
  <c r="BK38" i="12" s="1"/>
  <c r="BD38" i="12" s="1"/>
  <c r="BM38" i="12"/>
  <c r="FY38" i="12"/>
  <c r="IP38" i="12"/>
  <c r="HC38" i="12"/>
  <c r="IK38" i="12" s="1"/>
  <c r="GW38" i="12"/>
  <c r="IE38" i="12" s="1"/>
  <c r="GK38" i="12"/>
  <c r="HS38" i="12" s="1"/>
  <c r="IS38" i="12"/>
  <c r="KA38" i="12" s="1"/>
  <c r="HA38" i="12"/>
  <c r="II38" i="12" s="1"/>
  <c r="JQ38" i="12"/>
  <c r="KY38" i="12" s="1"/>
  <c r="JL38" i="12"/>
  <c r="KT38" i="12" s="1"/>
  <c r="JP38" i="12"/>
  <c r="KX38" i="12" s="1"/>
  <c r="GH38" i="12"/>
  <c r="HP38" i="12" s="1"/>
  <c r="JD38" i="12"/>
  <c r="KL38" i="12" s="1"/>
  <c r="GU38" i="12"/>
  <c r="IC38" i="12" s="1"/>
  <c r="IV38" i="12"/>
  <c r="KD38" i="12" s="1"/>
  <c r="IZ38" i="12"/>
  <c r="KH38" i="12" s="1"/>
  <c r="FZ38" i="12"/>
  <c r="HH38" i="12" s="1"/>
  <c r="JC38" i="12"/>
  <c r="KK38" i="12" s="1"/>
  <c r="GM38" i="12"/>
  <c r="HU38" i="12" s="1"/>
  <c r="IX38" i="12"/>
  <c r="KF38" i="12" s="1"/>
  <c r="CH39" i="12"/>
  <c r="GP38" i="12"/>
  <c r="HX38" i="12" s="1"/>
  <c r="JJ38" i="12"/>
  <c r="KR38" i="12" s="1"/>
  <c r="GN38" i="12"/>
  <c r="HV38" i="12" s="1"/>
  <c r="GT38" i="12"/>
  <c r="IB38" i="12" s="1"/>
  <c r="GI38" i="12"/>
  <c r="HQ38" i="12" s="1"/>
  <c r="GC38" i="12"/>
  <c r="HK38" i="12" s="1"/>
  <c r="HB38" i="12"/>
  <c r="IJ38" i="12" s="1"/>
  <c r="JN38" i="12"/>
  <c r="KV38" i="12" s="1"/>
  <c r="IT38" i="12"/>
  <c r="KB38" i="12" s="1"/>
  <c r="JE38" i="12"/>
  <c r="KM38" i="12" s="1"/>
  <c r="CF39" i="12"/>
  <c r="IY38" i="12"/>
  <c r="KG38" i="12" s="1"/>
  <c r="JK38" i="12"/>
  <c r="KS38" i="12" s="1"/>
  <c r="GQ38" i="12"/>
  <c r="HY38" i="12" s="1"/>
  <c r="CG39" i="12"/>
  <c r="IU38" i="12"/>
  <c r="KC38" i="12" s="1"/>
  <c r="JA38" i="12"/>
  <c r="KI38" i="12" s="1"/>
  <c r="CC39" i="12"/>
  <c r="GS38" i="12"/>
  <c r="IA38" i="12" s="1"/>
  <c r="BC39" i="12"/>
  <c r="JT38" i="12"/>
  <c r="LB38" i="12" s="1"/>
  <c r="GB38" i="12"/>
  <c r="HJ38" i="12" s="1"/>
  <c r="GV38" i="12"/>
  <c r="ID38" i="12" s="1"/>
  <c r="GZ38" i="12"/>
  <c r="IH38" i="12" s="1"/>
  <c r="GL38" i="12"/>
  <c r="HT38" i="12" s="1"/>
  <c r="GR38" i="12"/>
  <c r="HZ38" i="12" s="1"/>
  <c r="GY38" i="12"/>
  <c r="IG38" i="12" s="1"/>
  <c r="GD38" i="12"/>
  <c r="HL38" i="12" s="1"/>
  <c r="JB38" i="12"/>
  <c r="KJ38" i="12" s="1"/>
  <c r="GF38" i="12"/>
  <c r="HN38" i="12" s="1"/>
  <c r="IW38" i="12"/>
  <c r="KE38" i="12" s="1"/>
  <c r="GA38" i="12"/>
  <c r="HI38" i="12" s="1"/>
  <c r="JM38" i="12"/>
  <c r="KU38" i="12" s="1"/>
  <c r="JO38" i="12"/>
  <c r="KW38" i="12" s="1"/>
  <c r="JG38" i="12"/>
  <c r="KO38" i="12" s="1"/>
  <c r="GJ38" i="12"/>
  <c r="HR38" i="12" s="1"/>
  <c r="GG38" i="12"/>
  <c r="HO38" i="12" s="1"/>
  <c r="JI38" i="12"/>
  <c r="KQ38" i="12" s="1"/>
  <c r="JH38" i="12"/>
  <c r="KP38" i="12" s="1"/>
  <c r="GO38" i="12"/>
  <c r="HW38" i="12" s="1"/>
  <c r="JS38" i="12"/>
  <c r="LA38" i="12" s="1"/>
  <c r="IQ38" i="12"/>
  <c r="JY38" i="12" s="1"/>
  <c r="JR38" i="12"/>
  <c r="KZ38" i="12" s="1"/>
  <c r="IR38" i="12"/>
  <c r="JZ38" i="12" s="1"/>
  <c r="GE38" i="12"/>
  <c r="HM38" i="12" s="1"/>
  <c r="GX38" i="12"/>
  <c r="IF38" i="12" s="1"/>
  <c r="JF38" i="12"/>
  <c r="KN38" i="12" s="1"/>
  <c r="EN39" i="12" l="1"/>
  <c r="CR39" i="12"/>
  <c r="DE39" i="12"/>
  <c r="DU90" i="12"/>
  <c r="EK25" i="12" s="1"/>
  <c r="EQ25" i="12" s="1"/>
  <c r="DT90" i="12"/>
  <c r="JX38" i="12"/>
  <c r="FP39" i="12" s="1"/>
  <c r="AW37" i="12" s="1"/>
  <c r="AZ37" i="12" s="1"/>
  <c r="BX39" i="12" s="1"/>
  <c r="IO38" i="12"/>
  <c r="BF38" i="12"/>
  <c r="BH38" i="12"/>
  <c r="BG38" i="12"/>
  <c r="BE38" i="12"/>
  <c r="EL38" i="12"/>
  <c r="HG38" i="12"/>
  <c r="FO39" i="12" s="1"/>
  <c r="FX38" i="12"/>
  <c r="AV37" i="12" l="1"/>
  <c r="CB39" i="12" s="1"/>
  <c r="FT39" i="12"/>
  <c r="CD39" i="12" l="1"/>
  <c r="CI39" i="12" s="1"/>
  <c r="DU89" i="12" l="1"/>
  <c r="EK24" i="12" s="1"/>
  <c r="EQ24" i="12" s="1"/>
  <c r="DT89" i="12"/>
  <c r="CQ39" i="12"/>
  <c r="CS39" i="12" s="1"/>
  <c r="CT39" i="12" s="1"/>
  <c r="DC39" i="12"/>
  <c r="CK39" i="12"/>
  <c r="DA39" i="12" s="1"/>
  <c r="DB39" i="12" l="1"/>
  <c r="DG39" i="12" s="1"/>
  <c r="EM39" i="12" s="1"/>
  <c r="CZ39" i="12"/>
  <c r="CM39" i="12"/>
  <c r="CL39" i="12"/>
  <c r="DT91" i="12"/>
  <c r="DU91" i="12"/>
  <c r="CN39" i="12"/>
  <c r="CP39" i="12" s="1"/>
  <c r="ET39" i="12" l="1"/>
  <c r="AL39" i="12"/>
  <c r="FC39" i="12"/>
  <c r="AM39" i="12"/>
  <c r="EK26" i="12"/>
  <c r="EQ26" i="12" s="1"/>
  <c r="B30" i="19"/>
  <c r="B29" i="20"/>
  <c r="DH75" i="12" s="1"/>
  <c r="B62" i="19"/>
  <c r="B62" i="20"/>
  <c r="DH108" i="12" s="1"/>
  <c r="FD39" i="12" l="1"/>
  <c r="FE39" i="12" s="1"/>
  <c r="FF39" i="12" s="1"/>
  <c r="AK39" i="12"/>
  <c r="EU39" i="12"/>
  <c r="EV39" i="12" s="1"/>
  <c r="EW39" i="12" s="1"/>
  <c r="FA39" i="12" l="1"/>
  <c r="AI39" i="12" s="1"/>
  <c r="EX40" i="12"/>
  <c r="EY41" i="12" s="1"/>
  <c r="EZ42" i="12" s="1"/>
  <c r="FJ39" i="12"/>
  <c r="AJ39" i="12" s="1"/>
  <c r="FG40" i="12"/>
  <c r="FH41" i="12" s="1"/>
  <c r="FI42" i="12" s="1"/>
  <c r="MA39" i="12"/>
  <c r="B195" i="19"/>
  <c r="AR39" i="12"/>
  <c r="B194" i="20"/>
  <c r="DH240" i="12" s="1"/>
  <c r="DT92" i="12"/>
  <c r="DT93" i="12" s="1"/>
  <c r="DT95" i="12" s="1"/>
  <c r="DT98" i="12" s="1"/>
  <c r="AP39" i="12"/>
  <c r="DU92" i="12"/>
  <c r="EK27" i="12" l="1"/>
  <c r="EQ27" i="12" s="1"/>
  <c r="DU93" i="12"/>
  <c r="B95" i="20"/>
  <c r="DH141" i="12" s="1"/>
  <c r="B96" i="19"/>
  <c r="B128" i="20"/>
  <c r="B129" i="19"/>
  <c r="AH39" i="12"/>
  <c r="B239" i="20" l="1"/>
  <c r="DH174" i="12"/>
  <c r="AQ39" i="12"/>
  <c r="AO39" i="12"/>
  <c r="EK28" i="12"/>
  <c r="EQ28" i="12" s="1"/>
  <c r="DU95" i="12"/>
  <c r="BI39" i="12" l="1"/>
  <c r="BK39" i="12" s="1"/>
  <c r="BD39" i="12" s="1"/>
  <c r="FM40" i="12"/>
  <c r="FS40" i="12" s="1"/>
  <c r="BM39" i="12"/>
  <c r="CG40" i="12"/>
  <c r="GC39" i="12"/>
  <c r="HK39" i="12" s="1"/>
  <c r="IS39" i="12"/>
  <c r="KA39" i="12" s="1"/>
  <c r="FZ39" i="12"/>
  <c r="HH39" i="12" s="1"/>
  <c r="JP39" i="12"/>
  <c r="KX39" i="12" s="1"/>
  <c r="GH39" i="12"/>
  <c r="HP39" i="12" s="1"/>
  <c r="JQ39" i="12"/>
  <c r="KY39" i="12" s="1"/>
  <c r="JH39" i="12"/>
  <c r="KP39" i="12" s="1"/>
  <c r="JB39" i="12"/>
  <c r="KJ39" i="12" s="1"/>
  <c r="GT39" i="12"/>
  <c r="IB39" i="12" s="1"/>
  <c r="JR39" i="12"/>
  <c r="KZ39" i="12" s="1"/>
  <c r="GM39" i="12"/>
  <c r="HU39" i="12" s="1"/>
  <c r="GG39" i="12"/>
  <c r="HO39" i="12" s="1"/>
  <c r="JJ39" i="12"/>
  <c r="KR39" i="12" s="1"/>
  <c r="IR39" i="12"/>
  <c r="JZ39" i="12" s="1"/>
  <c r="IW39" i="12"/>
  <c r="KE39" i="12" s="1"/>
  <c r="JO39" i="12"/>
  <c r="KW39" i="12" s="1"/>
  <c r="GB39" i="12"/>
  <c r="HJ39" i="12" s="1"/>
  <c r="GY39" i="12"/>
  <c r="IG39" i="12" s="1"/>
  <c r="JF39" i="12"/>
  <c r="KN39" i="12" s="1"/>
  <c r="JD39" i="12"/>
  <c r="KL39" i="12" s="1"/>
  <c r="BC40" i="12"/>
  <c r="HC39" i="12"/>
  <c r="IK39" i="12" s="1"/>
  <c r="GZ39" i="12"/>
  <c r="IH39" i="12" s="1"/>
  <c r="GW39" i="12"/>
  <c r="IE39" i="12" s="1"/>
  <c r="GE39" i="12"/>
  <c r="HM39" i="12" s="1"/>
  <c r="GD39" i="12"/>
  <c r="HL39" i="12" s="1"/>
  <c r="IU39" i="12"/>
  <c r="KC39" i="12" s="1"/>
  <c r="FY39" i="12"/>
  <c r="IP39" i="12"/>
  <c r="GQ39" i="12"/>
  <c r="HY39" i="12" s="1"/>
  <c r="IZ39" i="12"/>
  <c r="KH39" i="12" s="1"/>
  <c r="JG39" i="12"/>
  <c r="KO39" i="12" s="1"/>
  <c r="CH40" i="12"/>
  <c r="CC40" i="12"/>
  <c r="JT39" i="12"/>
  <c r="LB39" i="12" s="1"/>
  <c r="JL39" i="12"/>
  <c r="KT39" i="12" s="1"/>
  <c r="GS39" i="12"/>
  <c r="IA39" i="12" s="1"/>
  <c r="GL39" i="12"/>
  <c r="HT39" i="12" s="1"/>
  <c r="JA39" i="12"/>
  <c r="KI39" i="12" s="1"/>
  <c r="JE39" i="12"/>
  <c r="KM39" i="12" s="1"/>
  <c r="GJ39" i="12"/>
  <c r="HR39" i="12" s="1"/>
  <c r="GN39" i="12"/>
  <c r="HV39" i="12" s="1"/>
  <c r="GR39" i="12"/>
  <c r="HZ39" i="12" s="1"/>
  <c r="IV39" i="12"/>
  <c r="KD39" i="12" s="1"/>
  <c r="JI39" i="12"/>
  <c r="KQ39" i="12" s="1"/>
  <c r="IY39" i="12"/>
  <c r="KG39" i="12" s="1"/>
  <c r="JC39" i="12"/>
  <c r="KK39" i="12" s="1"/>
  <c r="HA39" i="12"/>
  <c r="II39" i="12" s="1"/>
  <c r="IQ39" i="12"/>
  <c r="JY39" i="12" s="1"/>
  <c r="GP39" i="12"/>
  <c r="HX39" i="12" s="1"/>
  <c r="GA39" i="12"/>
  <c r="HI39" i="12" s="1"/>
  <c r="GI39" i="12"/>
  <c r="HQ39" i="12" s="1"/>
  <c r="HB39" i="12"/>
  <c r="IJ39" i="12" s="1"/>
  <c r="IX39" i="12"/>
  <c r="KF39" i="12" s="1"/>
  <c r="GV39" i="12"/>
  <c r="ID39" i="12" s="1"/>
  <c r="IT39" i="12"/>
  <c r="KB39" i="12" s="1"/>
  <c r="GK39" i="12"/>
  <c r="HS39" i="12" s="1"/>
  <c r="GU39" i="12"/>
  <c r="IC39" i="12" s="1"/>
  <c r="JN39" i="12"/>
  <c r="KV39" i="12" s="1"/>
  <c r="CF40" i="12"/>
  <c r="GO39" i="12"/>
  <c r="HW39" i="12" s="1"/>
  <c r="GX39" i="12"/>
  <c r="IF39" i="12" s="1"/>
  <c r="JM39" i="12"/>
  <c r="KU39" i="12" s="1"/>
  <c r="GF39" i="12"/>
  <c r="HN39" i="12" s="1"/>
  <c r="JK39" i="12"/>
  <c r="KS39" i="12" s="1"/>
  <c r="JS39" i="12"/>
  <c r="LA39" i="12" s="1"/>
  <c r="DU98" i="12"/>
  <c r="EK33" i="12" s="1"/>
  <c r="EQ33" i="12" s="1"/>
  <c r="EK30" i="12"/>
  <c r="EQ30" i="12" s="1"/>
  <c r="CR40" i="12" l="1"/>
  <c r="EN40" i="12"/>
  <c r="DE40" i="12"/>
  <c r="JX39" i="12"/>
  <c r="FP40" i="12" s="1"/>
  <c r="AW38" i="12" s="1"/>
  <c r="AZ38" i="12" s="1"/>
  <c r="BX40" i="12" s="1"/>
  <c r="IO39" i="12"/>
  <c r="HG39" i="12"/>
  <c r="FO40" i="12" s="1"/>
  <c r="FX39" i="12"/>
  <c r="BG39" i="12"/>
  <c r="BE39" i="12"/>
  <c r="BH39" i="12"/>
  <c r="BF39" i="12"/>
  <c r="EL39" i="12"/>
  <c r="FT40" i="12" l="1"/>
  <c r="AV38" i="12"/>
  <c r="CB40" i="12" s="1"/>
  <c r="CD40" i="12" l="1"/>
  <c r="CI40" i="12" s="1"/>
  <c r="CQ40" i="12" l="1"/>
  <c r="CS40" i="12" s="1"/>
  <c r="CT40" i="12" s="1"/>
  <c r="DC40" i="12"/>
  <c r="CK40" i="12"/>
  <c r="CL40" i="12" l="1"/>
  <c r="CM40" i="12"/>
  <c r="DA40" i="12"/>
  <c r="CN40" i="12"/>
  <c r="CP40" i="12" s="1"/>
  <c r="DB40" i="12" l="1"/>
  <c r="CZ40" i="12"/>
  <c r="AM40" i="12"/>
  <c r="FC40" i="12"/>
  <c r="AL40" i="12"/>
  <c r="ET40" i="12"/>
  <c r="FD40" i="12" l="1"/>
  <c r="FE40" i="12" s="1"/>
  <c r="FF40" i="12" s="1"/>
  <c r="B31" i="19"/>
  <c r="B30" i="20"/>
  <c r="DH76" i="12" s="1"/>
  <c r="AK40" i="12"/>
  <c r="EU40" i="12"/>
  <c r="EV40" i="12" s="1"/>
  <c r="EW40" i="12" s="1"/>
  <c r="B63" i="20"/>
  <c r="DH109" i="12" s="1"/>
  <c r="B63" i="19"/>
  <c r="DG40" i="12"/>
  <c r="EM40" i="12" s="1"/>
  <c r="EX41" i="12" l="1"/>
  <c r="EY42" i="12" s="1"/>
  <c r="EZ43" i="12" s="1"/>
  <c r="FA40" i="12"/>
  <c r="AI40" i="12" s="1"/>
  <c r="B195" i="20"/>
  <c r="DH241" i="12" s="1"/>
  <c r="AR40" i="12"/>
  <c r="B196" i="19"/>
  <c r="AP40" i="12"/>
  <c r="FG41" i="12"/>
  <c r="FH42" i="12" s="1"/>
  <c r="FI43" i="12" s="1"/>
  <c r="FJ40" i="12"/>
  <c r="AJ40" i="12" s="1"/>
  <c r="B129" i="20" l="1"/>
  <c r="B130" i="19"/>
  <c r="AH40" i="12"/>
  <c r="B97" i="19"/>
  <c r="B96" i="20"/>
  <c r="DH142" i="12" s="1"/>
  <c r="AQ40" i="12" l="1"/>
  <c r="AO40" i="12"/>
  <c r="DH175" i="12"/>
  <c r="B240" i="20"/>
  <c r="FM41" i="12" l="1"/>
  <c r="FS41" i="12" s="1"/>
  <c r="BM40" i="12"/>
  <c r="BI40" i="12"/>
  <c r="BK40" i="12" s="1"/>
  <c r="BD40" i="12" s="1"/>
  <c r="CH41" i="12"/>
  <c r="FZ40" i="12"/>
  <c r="HH40" i="12" s="1"/>
  <c r="JN40" i="12"/>
  <c r="KV40" i="12" s="1"/>
  <c r="GS40" i="12"/>
  <c r="IA40" i="12" s="1"/>
  <c r="IU40" i="12"/>
  <c r="KC40" i="12" s="1"/>
  <c r="GK40" i="12"/>
  <c r="HS40" i="12" s="1"/>
  <c r="GB40" i="12"/>
  <c r="HJ40" i="12" s="1"/>
  <c r="HB40" i="12"/>
  <c r="IJ40" i="12" s="1"/>
  <c r="CC41" i="12"/>
  <c r="GF40" i="12"/>
  <c r="HN40" i="12" s="1"/>
  <c r="GL40" i="12"/>
  <c r="HT40" i="12" s="1"/>
  <c r="IW40" i="12"/>
  <c r="KE40" i="12" s="1"/>
  <c r="IQ40" i="12"/>
  <c r="JY40" i="12" s="1"/>
  <c r="HC40" i="12"/>
  <c r="IK40" i="12" s="1"/>
  <c r="GR40" i="12"/>
  <c r="HZ40" i="12" s="1"/>
  <c r="IS40" i="12"/>
  <c r="KA40" i="12" s="1"/>
  <c r="IX40" i="12"/>
  <c r="KF40" i="12" s="1"/>
  <c r="JC40" i="12"/>
  <c r="KK40" i="12" s="1"/>
  <c r="BC41" i="12"/>
  <c r="IR40" i="12"/>
  <c r="JZ40" i="12" s="1"/>
  <c r="GQ40" i="12"/>
  <c r="HY40" i="12" s="1"/>
  <c r="JI40" i="12"/>
  <c r="KQ40" i="12" s="1"/>
  <c r="GP40" i="12"/>
  <c r="HX40" i="12" s="1"/>
  <c r="GH40" i="12"/>
  <c r="HP40" i="12" s="1"/>
  <c r="GD40" i="12"/>
  <c r="HL40" i="12" s="1"/>
  <c r="IZ40" i="12"/>
  <c r="KH40" i="12" s="1"/>
  <c r="GV40" i="12"/>
  <c r="ID40" i="12" s="1"/>
  <c r="GG40" i="12"/>
  <c r="HO40" i="12" s="1"/>
  <c r="GY40" i="12"/>
  <c r="IG40" i="12" s="1"/>
  <c r="JL40" i="12"/>
  <c r="KT40" i="12" s="1"/>
  <c r="JT40" i="12"/>
  <c r="LB40" i="12" s="1"/>
  <c r="GX40" i="12"/>
  <c r="IF40" i="12" s="1"/>
  <c r="GZ40" i="12"/>
  <c r="IH40" i="12" s="1"/>
  <c r="JH40" i="12"/>
  <c r="KP40" i="12" s="1"/>
  <c r="IV40" i="12"/>
  <c r="KD40" i="12" s="1"/>
  <c r="IY40" i="12"/>
  <c r="KG40" i="12" s="1"/>
  <c r="JB40" i="12"/>
  <c r="KJ40" i="12" s="1"/>
  <c r="JD40" i="12"/>
  <c r="KL40" i="12" s="1"/>
  <c r="GC40" i="12"/>
  <c r="HK40" i="12" s="1"/>
  <c r="GN40" i="12"/>
  <c r="HV40" i="12" s="1"/>
  <c r="JQ40" i="12"/>
  <c r="KY40" i="12" s="1"/>
  <c r="JR40" i="12"/>
  <c r="KZ40" i="12" s="1"/>
  <c r="FY40" i="12"/>
  <c r="IP40" i="12"/>
  <c r="CF41" i="12"/>
  <c r="JS40" i="12"/>
  <c r="LA40" i="12" s="1"/>
  <c r="JJ40" i="12"/>
  <c r="KR40" i="12" s="1"/>
  <c r="GM40" i="12"/>
  <c r="HU40" i="12" s="1"/>
  <c r="IT40" i="12"/>
  <c r="KB40" i="12" s="1"/>
  <c r="JO40" i="12"/>
  <c r="KW40" i="12" s="1"/>
  <c r="GW40" i="12"/>
  <c r="IE40" i="12" s="1"/>
  <c r="GO40" i="12"/>
  <c r="HW40" i="12" s="1"/>
  <c r="GU40" i="12"/>
  <c r="IC40" i="12" s="1"/>
  <c r="JP40" i="12"/>
  <c r="KX40" i="12" s="1"/>
  <c r="JG40" i="12"/>
  <c r="KO40" i="12" s="1"/>
  <c r="JF40" i="12"/>
  <c r="KN40" i="12" s="1"/>
  <c r="JA40" i="12"/>
  <c r="KI40" i="12" s="1"/>
  <c r="GA40" i="12"/>
  <c r="HI40" i="12" s="1"/>
  <c r="JM40" i="12"/>
  <c r="KU40" i="12" s="1"/>
  <c r="JK40" i="12"/>
  <c r="KS40" i="12" s="1"/>
  <c r="CG41" i="12"/>
  <c r="GI40" i="12"/>
  <c r="HQ40" i="12" s="1"/>
  <c r="JE40" i="12"/>
  <c r="KM40" i="12" s="1"/>
  <c r="GT40" i="12"/>
  <c r="IB40" i="12" s="1"/>
  <c r="GE40" i="12"/>
  <c r="HM40" i="12" s="1"/>
  <c r="HA40" i="12"/>
  <c r="II40" i="12" s="1"/>
  <c r="GJ40" i="12"/>
  <c r="HR40" i="12" s="1"/>
  <c r="JX40" i="12" l="1"/>
  <c r="FP41" i="12" s="1"/>
  <c r="AW39" i="12" s="1"/>
  <c r="AZ39" i="12" s="1"/>
  <c r="BX41" i="12" s="1"/>
  <c r="IO40" i="12"/>
  <c r="HG40" i="12"/>
  <c r="FO41" i="12" s="1"/>
  <c r="FX40" i="12"/>
  <c r="BE40" i="12"/>
  <c r="BF40" i="12"/>
  <c r="BG40" i="12"/>
  <c r="BH40" i="12"/>
  <c r="EL40" i="12"/>
  <c r="DE41" i="12"/>
  <c r="EN41" i="12"/>
  <c r="CR41" i="12"/>
  <c r="FT41" i="12" l="1"/>
  <c r="AV39" i="12"/>
  <c r="CB41" i="12" s="1"/>
  <c r="CD41" i="12" l="1"/>
  <c r="CI41" i="12" l="1"/>
  <c r="DC41" i="12"/>
  <c r="CQ41" i="12"/>
  <c r="CS41" i="12" s="1"/>
  <c r="CT41" i="12" s="1"/>
  <c r="CK41" i="12" l="1"/>
  <c r="CM41" i="12" l="1"/>
  <c r="CL41" i="12"/>
  <c r="CN41" i="12"/>
  <c r="CP41" i="12" s="1"/>
  <c r="DA41" i="12"/>
  <c r="CZ41" i="12" l="1"/>
  <c r="DB41" i="12"/>
  <c r="ET41" i="12"/>
  <c r="AL41" i="12"/>
  <c r="FC41" i="12"/>
  <c r="AM41" i="12"/>
  <c r="EU41" i="12" l="1"/>
  <c r="EV41" i="12" s="1"/>
  <c r="EW41" i="12" s="1"/>
  <c r="AK41" i="12"/>
  <c r="FD41" i="12"/>
  <c r="FE41" i="12" s="1"/>
  <c r="FF41" i="12" s="1"/>
  <c r="B64" i="20"/>
  <c r="DH110" i="12" s="1"/>
  <c r="B64" i="19"/>
  <c r="DG41" i="12"/>
  <c r="EM41" i="12" s="1"/>
  <c r="B31" i="20"/>
  <c r="DH77" i="12" s="1"/>
  <c r="B32" i="19"/>
  <c r="FJ41" i="12" l="1"/>
  <c r="AJ41" i="12" s="1"/>
  <c r="FG42" i="12"/>
  <c r="FH43" i="12" s="1"/>
  <c r="FI44" i="12" s="1"/>
  <c r="AR41" i="12"/>
  <c r="B197" i="19"/>
  <c r="B196" i="20"/>
  <c r="DH242" i="12" s="1"/>
  <c r="AP41" i="12"/>
  <c r="FA41" i="12"/>
  <c r="AI41" i="12" s="1"/>
  <c r="EX42" i="12"/>
  <c r="EY43" i="12" s="1"/>
  <c r="EZ44" i="12" s="1"/>
  <c r="AH41" i="12" l="1"/>
  <c r="B97" i="20"/>
  <c r="DH143" i="12" s="1"/>
  <c r="B98" i="19"/>
  <c r="B130" i="20"/>
  <c r="B131" i="19"/>
  <c r="B241" i="20" l="1"/>
  <c r="DH176" i="12"/>
  <c r="AQ41" i="12"/>
  <c r="AO41" i="12"/>
  <c r="BI41" i="12" l="1"/>
  <c r="BK41" i="12" s="1"/>
  <c r="BD41" i="12" s="1"/>
  <c r="FM42" i="12"/>
  <c r="FS42" i="12" s="1"/>
  <c r="BM41" i="12"/>
  <c r="FY41" i="12"/>
  <c r="IP41" i="12"/>
  <c r="IY41" i="12"/>
  <c r="KG41" i="12" s="1"/>
  <c r="JK41" i="12"/>
  <c r="KS41" i="12" s="1"/>
  <c r="GU41" i="12"/>
  <c r="IC41" i="12" s="1"/>
  <c r="JI41" i="12"/>
  <c r="KQ41" i="12" s="1"/>
  <c r="GC41" i="12"/>
  <c r="HK41" i="12" s="1"/>
  <c r="GH41" i="12"/>
  <c r="HP41" i="12" s="1"/>
  <c r="GR41" i="12"/>
  <c r="HZ41" i="12" s="1"/>
  <c r="IZ41" i="12"/>
  <c r="KH41" i="12" s="1"/>
  <c r="GI41" i="12"/>
  <c r="HQ41" i="12" s="1"/>
  <c r="GJ41" i="12"/>
  <c r="HR41" i="12" s="1"/>
  <c r="GM41" i="12"/>
  <c r="HU41" i="12" s="1"/>
  <c r="JF41" i="12"/>
  <c r="KN41" i="12" s="1"/>
  <c r="JO41" i="12"/>
  <c r="KW41" i="12" s="1"/>
  <c r="JA41" i="12"/>
  <c r="KI41" i="12" s="1"/>
  <c r="JJ41" i="12"/>
  <c r="KR41" i="12" s="1"/>
  <c r="JE41" i="12"/>
  <c r="KM41" i="12" s="1"/>
  <c r="CF42" i="12"/>
  <c r="JC41" i="12"/>
  <c r="KK41" i="12" s="1"/>
  <c r="JP41" i="12"/>
  <c r="KX41" i="12" s="1"/>
  <c r="GB41" i="12"/>
  <c r="HJ41" i="12" s="1"/>
  <c r="IT41" i="12"/>
  <c r="KB41" i="12" s="1"/>
  <c r="GO41" i="12"/>
  <c r="HW41" i="12" s="1"/>
  <c r="GS41" i="12"/>
  <c r="IA41" i="12" s="1"/>
  <c r="HA41" i="12"/>
  <c r="II41" i="12" s="1"/>
  <c r="HC41" i="12"/>
  <c r="IK41" i="12" s="1"/>
  <c r="GF41" i="12"/>
  <c r="HN41" i="12" s="1"/>
  <c r="JT41" i="12"/>
  <c r="LB41" i="12" s="1"/>
  <c r="JS41" i="12"/>
  <c r="LA41" i="12" s="1"/>
  <c r="FZ41" i="12"/>
  <c r="HH41" i="12" s="1"/>
  <c r="HB41" i="12"/>
  <c r="IJ41" i="12" s="1"/>
  <c r="GL41" i="12"/>
  <c r="HT41" i="12" s="1"/>
  <c r="IW41" i="12"/>
  <c r="KE41" i="12" s="1"/>
  <c r="JD41" i="12"/>
  <c r="KL41" i="12" s="1"/>
  <c r="GE41" i="12"/>
  <c r="HM41" i="12" s="1"/>
  <c r="GT41" i="12"/>
  <c r="IB41" i="12" s="1"/>
  <c r="JM41" i="12"/>
  <c r="KU41" i="12" s="1"/>
  <c r="CH42" i="12"/>
  <c r="GN41" i="12"/>
  <c r="HV41" i="12" s="1"/>
  <c r="IU41" i="12"/>
  <c r="KC41" i="12" s="1"/>
  <c r="JL41" i="12"/>
  <c r="KT41" i="12" s="1"/>
  <c r="GX41" i="12"/>
  <c r="IF41" i="12" s="1"/>
  <c r="JN41" i="12"/>
  <c r="KV41" i="12" s="1"/>
  <c r="GZ41" i="12"/>
  <c r="IH41" i="12" s="1"/>
  <c r="GD41" i="12"/>
  <c r="HL41" i="12" s="1"/>
  <c r="CG42" i="12"/>
  <c r="IX41" i="12"/>
  <c r="KF41" i="12" s="1"/>
  <c r="IS41" i="12"/>
  <c r="KA41" i="12" s="1"/>
  <c r="GG41" i="12"/>
  <c r="HO41" i="12" s="1"/>
  <c r="GP41" i="12"/>
  <c r="HX41" i="12" s="1"/>
  <c r="IR41" i="12"/>
  <c r="JZ41" i="12" s="1"/>
  <c r="JB41" i="12"/>
  <c r="KJ41" i="12" s="1"/>
  <c r="CC42" i="12"/>
  <c r="JG41" i="12"/>
  <c r="KO41" i="12" s="1"/>
  <c r="IV41" i="12"/>
  <c r="KD41" i="12" s="1"/>
  <c r="IQ41" i="12"/>
  <c r="JY41" i="12" s="1"/>
  <c r="JR41" i="12"/>
  <c r="KZ41" i="12" s="1"/>
  <c r="GY41" i="12"/>
  <c r="IG41" i="12" s="1"/>
  <c r="GK41" i="12"/>
  <c r="HS41" i="12" s="1"/>
  <c r="GW41" i="12"/>
  <c r="IE41" i="12" s="1"/>
  <c r="JH41" i="12"/>
  <c r="KP41" i="12" s="1"/>
  <c r="GQ41" i="12"/>
  <c r="HY41" i="12" s="1"/>
  <c r="BC42" i="12"/>
  <c r="JQ41" i="12"/>
  <c r="KY41" i="12" s="1"/>
  <c r="GV41" i="12"/>
  <c r="ID41" i="12" s="1"/>
  <c r="GA41" i="12"/>
  <c r="HI41" i="12" s="1"/>
  <c r="DE42" i="12" l="1"/>
  <c r="EN42" i="12"/>
  <c r="CR42" i="12"/>
  <c r="JX41" i="12"/>
  <c r="FP42" i="12" s="1"/>
  <c r="AW40" i="12" s="1"/>
  <c r="AZ40" i="12" s="1"/>
  <c r="BX42" i="12" s="1"/>
  <c r="IO41" i="12"/>
  <c r="HG41" i="12"/>
  <c r="FO42" i="12" s="1"/>
  <c r="FX41" i="12"/>
  <c r="BF41" i="12"/>
  <c r="BG41" i="12"/>
  <c r="BE41" i="12"/>
  <c r="BH41" i="12"/>
  <c r="EL41" i="12"/>
  <c r="AV40" i="12" l="1"/>
  <c r="CB42" i="12" s="1"/>
  <c r="FT42" i="12"/>
  <c r="CD42" i="12" l="1"/>
  <c r="CI42" i="12" s="1"/>
  <c r="CQ42" i="12" l="1"/>
  <c r="CS42" i="12" s="1"/>
  <c r="CT42" i="12" s="1"/>
  <c r="DC42" i="12"/>
  <c r="CK42" i="12"/>
  <c r="CM42" i="12" l="1"/>
  <c r="CL42" i="12"/>
  <c r="DA42" i="12"/>
  <c r="CN42" i="12"/>
  <c r="CZ42" i="12" l="1"/>
  <c r="DB42" i="12"/>
  <c r="AL42" i="12"/>
  <c r="ET42" i="12"/>
  <c r="AM42" i="12"/>
  <c r="FC42" i="12"/>
  <c r="AK42" i="12" l="1"/>
  <c r="EU42" i="12"/>
  <c r="EV42" i="12" s="1"/>
  <c r="EW42" i="12" s="1"/>
  <c r="B65" i="19"/>
  <c r="B65" i="20"/>
  <c r="DH111" i="12" s="1"/>
  <c r="DG42" i="12"/>
  <c r="EM42" i="12" s="1"/>
  <c r="FD42" i="12"/>
  <c r="FE42" i="12" s="1"/>
  <c r="FF42" i="12" s="1"/>
  <c r="B32" i="20"/>
  <c r="DH78" i="12" s="1"/>
  <c r="B33" i="19"/>
  <c r="B197" i="20" l="1"/>
  <c r="DH243" i="12" s="1"/>
  <c r="AR42" i="12"/>
  <c r="B198" i="19"/>
  <c r="AP42" i="12"/>
  <c r="FJ42" i="12"/>
  <c r="AJ42" i="12" s="1"/>
  <c r="FG43" i="12"/>
  <c r="FH44" i="12" s="1"/>
  <c r="FI45" i="12" s="1"/>
  <c r="FA42" i="12"/>
  <c r="AI42" i="12" s="1"/>
  <c r="EX43" i="12"/>
  <c r="EY44" i="12" s="1"/>
  <c r="EZ45" i="12" s="1"/>
  <c r="AH42" i="12" l="1"/>
  <c r="B98" i="20"/>
  <c r="DH144" i="12" s="1"/>
  <c r="B99" i="19"/>
  <c r="B132" i="19"/>
  <c r="B131" i="20"/>
  <c r="B242" i="20" l="1"/>
  <c r="DH177" i="12"/>
  <c r="AQ42" i="12"/>
  <c r="BC43" i="12" s="1"/>
  <c r="AO42" i="12"/>
  <c r="BM42" i="12" l="1"/>
  <c r="BI42" i="12"/>
  <c r="BK42" i="12" s="1"/>
  <c r="BD42" i="12" s="1"/>
  <c r="FM43" i="12"/>
  <c r="FS43" i="12" s="1"/>
  <c r="CF43" i="12"/>
  <c r="CC43" i="12"/>
  <c r="GW42" i="12"/>
  <c r="IE42" i="12" s="1"/>
  <c r="GD42" i="12"/>
  <c r="HL42" i="12" s="1"/>
  <c r="IS42" i="12"/>
  <c r="KA42" i="12" s="1"/>
  <c r="IU42" i="12"/>
  <c r="KC42" i="12" s="1"/>
  <c r="GH42" i="12"/>
  <c r="HP42" i="12" s="1"/>
  <c r="JS42" i="12"/>
  <c r="LA42" i="12" s="1"/>
  <c r="GJ42" i="12"/>
  <c r="HR42" i="12" s="1"/>
  <c r="GF42" i="12"/>
  <c r="HN42" i="12" s="1"/>
  <c r="GU42" i="12"/>
  <c r="IC42" i="12" s="1"/>
  <c r="IQ42" i="12"/>
  <c r="JY42" i="12" s="1"/>
  <c r="GX42" i="12"/>
  <c r="IF42" i="12" s="1"/>
  <c r="JH42" i="12"/>
  <c r="KP42" i="12" s="1"/>
  <c r="IY42" i="12"/>
  <c r="KG42" i="12" s="1"/>
  <c r="JK42" i="12"/>
  <c r="KS42" i="12" s="1"/>
  <c r="HB42" i="12"/>
  <c r="IJ42" i="12" s="1"/>
  <c r="JG42" i="12"/>
  <c r="KO42" i="12" s="1"/>
  <c r="GT42" i="12"/>
  <c r="IB42" i="12" s="1"/>
  <c r="JD42" i="12"/>
  <c r="KL42" i="12" s="1"/>
  <c r="JB42" i="12"/>
  <c r="KJ42" i="12" s="1"/>
  <c r="GL42" i="12"/>
  <c r="HT42" i="12" s="1"/>
  <c r="JJ42" i="12"/>
  <c r="KR42" i="12" s="1"/>
  <c r="GR42" i="12"/>
  <c r="HZ42" i="12" s="1"/>
  <c r="GN42" i="12"/>
  <c r="HV42" i="12" s="1"/>
  <c r="JO42" i="12"/>
  <c r="KW42" i="12" s="1"/>
  <c r="GI42" i="12"/>
  <c r="HQ42" i="12" s="1"/>
  <c r="GG42" i="12"/>
  <c r="HO42" i="12" s="1"/>
  <c r="JA42" i="12"/>
  <c r="KI42" i="12" s="1"/>
  <c r="JE42" i="12"/>
  <c r="KM42" i="12" s="1"/>
  <c r="GY42" i="12"/>
  <c r="IG42" i="12" s="1"/>
  <c r="IP42" i="12"/>
  <c r="GV42" i="12"/>
  <c r="ID42" i="12" s="1"/>
  <c r="JC42" i="12"/>
  <c r="KK42" i="12" s="1"/>
  <c r="JF42" i="12"/>
  <c r="KN42" i="12" s="1"/>
  <c r="GO42" i="12"/>
  <c r="HW42" i="12" s="1"/>
  <c r="IZ42" i="12"/>
  <c r="KH42" i="12" s="1"/>
  <c r="IV42" i="12"/>
  <c r="KD42" i="12" s="1"/>
  <c r="GZ42" i="12"/>
  <c r="IH42" i="12" s="1"/>
  <c r="IW42" i="12"/>
  <c r="KE42" i="12" s="1"/>
  <c r="GB42" i="12"/>
  <c r="HJ42" i="12" s="1"/>
  <c r="JR42" i="12"/>
  <c r="KZ42" i="12" s="1"/>
  <c r="GP42" i="12"/>
  <c r="HX42" i="12" s="1"/>
  <c r="HA42" i="12"/>
  <c r="II42" i="12" s="1"/>
  <c r="GA42" i="12"/>
  <c r="HI42" i="12" s="1"/>
  <c r="JI42" i="12"/>
  <c r="KQ42" i="12" s="1"/>
  <c r="GQ42" i="12"/>
  <c r="HY42" i="12" s="1"/>
  <c r="FY42" i="12"/>
  <c r="JQ42" i="12"/>
  <c r="KY42" i="12" s="1"/>
  <c r="JN42" i="12"/>
  <c r="KV42" i="12" s="1"/>
  <c r="GK42" i="12"/>
  <c r="HS42" i="12" s="1"/>
  <c r="CG43" i="12"/>
  <c r="IT42" i="12"/>
  <c r="KB42" i="12" s="1"/>
  <c r="IR42" i="12"/>
  <c r="JZ42" i="12" s="1"/>
  <c r="GS42" i="12"/>
  <c r="IA42" i="12" s="1"/>
  <c r="GE42" i="12"/>
  <c r="HM42" i="12" s="1"/>
  <c r="GC42" i="12"/>
  <c r="HK42" i="12" s="1"/>
  <c r="GM42" i="12"/>
  <c r="HU42" i="12" s="1"/>
  <c r="JT42" i="12"/>
  <c r="LB42" i="12" s="1"/>
  <c r="IX42" i="12"/>
  <c r="KF42" i="12" s="1"/>
  <c r="JM42" i="12"/>
  <c r="KU42" i="12" s="1"/>
  <c r="HC42" i="12"/>
  <c r="IK42" i="12" s="1"/>
  <c r="FZ42" i="12"/>
  <c r="HH42" i="12" s="1"/>
  <c r="JP42" i="12"/>
  <c r="KX42" i="12" s="1"/>
  <c r="JL42" i="12"/>
  <c r="KT42" i="12" s="1"/>
  <c r="CH43" i="12"/>
  <c r="BE42" i="12" l="1"/>
  <c r="BF42" i="12"/>
  <c r="BH42" i="12"/>
  <c r="BG42" i="12"/>
  <c r="EL42" i="12"/>
  <c r="HG42" i="12"/>
  <c r="FO43" i="12" s="1"/>
  <c r="FX42" i="12"/>
  <c r="JX42" i="12"/>
  <c r="FP43" i="12" s="1"/>
  <c r="AW41" i="12" s="1"/>
  <c r="AZ41" i="12" s="1"/>
  <c r="BX43" i="12" s="1"/>
  <c r="IO42" i="12"/>
  <c r="CR43" i="12"/>
  <c r="AV41" i="12" l="1"/>
  <c r="CB43" i="12" s="1"/>
  <c r="FT43" i="12"/>
  <c r="CD43" i="12" l="1"/>
  <c r="CI43" i="12" s="1"/>
  <c r="CQ43" i="12" l="1"/>
  <c r="CS43" i="12" s="1"/>
  <c r="CT43" i="12" s="1"/>
  <c r="CK43" i="12"/>
  <c r="CL43" i="12" l="1"/>
  <c r="CM43" i="12"/>
  <c r="CN43" i="12"/>
  <c r="DA43" i="12"/>
  <c r="CZ43" i="12" l="1"/>
  <c r="DB43" i="12"/>
  <c r="FC43" i="12"/>
  <c r="AM43" i="12"/>
  <c r="AL43" i="12"/>
  <c r="ET43" i="12"/>
  <c r="FD43" i="12" l="1"/>
  <c r="FE43" i="12" s="1"/>
  <c r="FF43" i="12" s="1"/>
  <c r="B66" i="20"/>
  <c r="DH112" i="12" s="1"/>
  <c r="B66" i="19"/>
  <c r="DP51" i="12"/>
  <c r="EU43" i="12"/>
  <c r="EV43" i="12" s="1"/>
  <c r="EW43" i="12" s="1"/>
  <c r="AK43" i="12"/>
  <c r="B33" i="20"/>
  <c r="DH79" i="12" s="1"/>
  <c r="B34" i="19"/>
  <c r="B198" i="20" l="1"/>
  <c r="DH244" i="12" s="1"/>
  <c r="AR43" i="12"/>
  <c r="B199" i="19"/>
  <c r="AP43" i="12"/>
  <c r="FJ43" i="12"/>
  <c r="AJ43" i="12" s="1"/>
  <c r="FG44" i="12"/>
  <c r="FH45" i="12" s="1"/>
  <c r="B201" i="19"/>
  <c r="B201" i="20"/>
  <c r="DH247" i="12" s="1"/>
  <c r="FA43" i="12"/>
  <c r="AI43" i="12" s="1"/>
  <c r="EX44" i="12"/>
  <c r="EY45" i="12" s="1"/>
  <c r="AH43" i="12" l="1"/>
  <c r="B100" i="19"/>
  <c r="B99" i="20"/>
  <c r="DH145" i="12" s="1"/>
  <c r="B132" i="20"/>
  <c r="DP52" i="12"/>
  <c r="B133" i="19"/>
  <c r="B202" i="19" l="1"/>
  <c r="B202" i="20"/>
  <c r="DH248" i="12" s="1"/>
  <c r="DP53" i="12"/>
  <c r="B243" i="20"/>
  <c r="DH178" i="12"/>
  <c r="AQ43" i="12"/>
  <c r="AO43" i="12"/>
  <c r="FM44" i="12" l="1"/>
  <c r="FS44" i="12" s="1"/>
  <c r="BM43" i="12"/>
  <c r="BI43" i="12"/>
  <c r="BK43" i="12" s="1"/>
  <c r="BD43" i="12" s="1"/>
  <c r="B203" i="19"/>
  <c r="B203" i="20"/>
  <c r="DH249" i="12" s="1"/>
  <c r="GV43" i="12"/>
  <c r="ID43" i="12" s="1"/>
  <c r="GF43" i="12"/>
  <c r="HN43" i="12" s="1"/>
  <c r="GA43" i="12"/>
  <c r="HI43" i="12" s="1"/>
  <c r="FZ43" i="12"/>
  <c r="HH43" i="12" s="1"/>
  <c r="JK43" i="12"/>
  <c r="KS43" i="12" s="1"/>
  <c r="GY43" i="12"/>
  <c r="IG43" i="12" s="1"/>
  <c r="GB43" i="12"/>
  <c r="HJ43" i="12" s="1"/>
  <c r="IQ43" i="12"/>
  <c r="JY43" i="12" s="1"/>
  <c r="JN43" i="12"/>
  <c r="KV43" i="12" s="1"/>
  <c r="GZ43" i="12"/>
  <c r="IH43" i="12" s="1"/>
  <c r="GD43" i="12"/>
  <c r="HL43" i="12" s="1"/>
  <c r="JF43" i="12"/>
  <c r="KN43" i="12" s="1"/>
  <c r="GT43" i="12"/>
  <c r="IB43" i="12" s="1"/>
  <c r="JH43" i="12"/>
  <c r="KP43" i="12" s="1"/>
  <c r="JO43" i="12"/>
  <c r="KW43" i="12" s="1"/>
  <c r="GN43" i="12"/>
  <c r="HV43" i="12" s="1"/>
  <c r="GQ43" i="12"/>
  <c r="HY43" i="12" s="1"/>
  <c r="JD43" i="12"/>
  <c r="KL43" i="12" s="1"/>
  <c r="IR43" i="12"/>
  <c r="JZ43" i="12" s="1"/>
  <c r="JC43" i="12"/>
  <c r="KK43" i="12" s="1"/>
  <c r="JQ43" i="12"/>
  <c r="KY43" i="12" s="1"/>
  <c r="CF44" i="12"/>
  <c r="JE43" i="12"/>
  <c r="KM43" i="12" s="1"/>
  <c r="GI43" i="12"/>
  <c r="HQ43" i="12" s="1"/>
  <c r="CG44" i="12"/>
  <c r="GO43" i="12"/>
  <c r="HW43" i="12" s="1"/>
  <c r="GX43" i="12"/>
  <c r="IF43" i="12" s="1"/>
  <c r="GE43" i="12"/>
  <c r="HM43" i="12" s="1"/>
  <c r="GL43" i="12"/>
  <c r="HT43" i="12" s="1"/>
  <c r="JG43" i="12"/>
  <c r="KO43" i="12" s="1"/>
  <c r="JM43" i="12"/>
  <c r="KU43" i="12" s="1"/>
  <c r="GM43" i="12"/>
  <c r="HU43" i="12" s="1"/>
  <c r="GU43" i="12"/>
  <c r="IC43" i="12" s="1"/>
  <c r="GP43" i="12"/>
  <c r="HX43" i="12" s="1"/>
  <c r="IX43" i="12"/>
  <c r="KF43" i="12" s="1"/>
  <c r="JT43" i="12"/>
  <c r="LB43" i="12" s="1"/>
  <c r="IU43" i="12"/>
  <c r="KC43" i="12" s="1"/>
  <c r="GG43" i="12"/>
  <c r="HO43" i="12" s="1"/>
  <c r="JI43" i="12"/>
  <c r="KQ43" i="12" s="1"/>
  <c r="JR43" i="12"/>
  <c r="KZ43" i="12" s="1"/>
  <c r="GS43" i="12"/>
  <c r="IA43" i="12" s="1"/>
  <c r="IY43" i="12"/>
  <c r="KG43" i="12" s="1"/>
  <c r="JJ43" i="12"/>
  <c r="KR43" i="12" s="1"/>
  <c r="IV43" i="12"/>
  <c r="KD43" i="12" s="1"/>
  <c r="IT43" i="12"/>
  <c r="KB43" i="12" s="1"/>
  <c r="HB43" i="12"/>
  <c r="IJ43" i="12" s="1"/>
  <c r="HC43" i="12"/>
  <c r="IK43" i="12" s="1"/>
  <c r="IZ43" i="12"/>
  <c r="KH43" i="12" s="1"/>
  <c r="GR43" i="12"/>
  <c r="HZ43" i="12" s="1"/>
  <c r="JS43" i="12"/>
  <c r="LA43" i="12" s="1"/>
  <c r="GW43" i="12"/>
  <c r="IE43" i="12" s="1"/>
  <c r="CH44" i="12"/>
  <c r="GK43" i="12"/>
  <c r="HS43" i="12" s="1"/>
  <c r="FY43" i="12"/>
  <c r="IP43" i="12"/>
  <c r="CC44" i="12"/>
  <c r="HA43" i="12"/>
  <c r="II43" i="12" s="1"/>
  <c r="GH43" i="12"/>
  <c r="HP43" i="12" s="1"/>
  <c r="JP43" i="12"/>
  <c r="KX43" i="12" s="1"/>
  <c r="IS43" i="12"/>
  <c r="KA43" i="12" s="1"/>
  <c r="JL43" i="12"/>
  <c r="KT43" i="12" s="1"/>
  <c r="JA43" i="12"/>
  <c r="KI43" i="12" s="1"/>
  <c r="GC43" i="12"/>
  <c r="HK43" i="12" s="1"/>
  <c r="IW43" i="12"/>
  <c r="KE43" i="12" s="1"/>
  <c r="GJ43" i="12"/>
  <c r="HR43" i="12" s="1"/>
  <c r="JB43" i="12"/>
  <c r="KJ43" i="12" s="1"/>
  <c r="BF43" i="12" l="1"/>
  <c r="BG43" i="12"/>
  <c r="BH43" i="12"/>
  <c r="BE43" i="12"/>
  <c r="CH46" i="12"/>
  <c r="JX43" i="12"/>
  <c r="FP44" i="12" s="1"/>
  <c r="AW42" i="12" s="1"/>
  <c r="AZ42" i="12" s="1"/>
  <c r="BX44" i="12" s="1"/>
  <c r="IO43" i="12"/>
  <c r="HG43" i="12"/>
  <c r="FO44" i="12" s="1"/>
  <c r="FX43" i="12"/>
  <c r="CR44" i="12"/>
  <c r="AV42" i="12" l="1"/>
  <c r="CB44" i="12" s="1"/>
  <c r="FT44" i="12"/>
  <c r="CD44" i="12" l="1"/>
  <c r="CI44" i="12" s="1"/>
  <c r="CC46" i="12"/>
  <c r="CJ46" i="12" s="1"/>
  <c r="CQ44" i="12" l="1"/>
  <c r="CS44" i="12" s="1"/>
  <c r="CT44" i="12" s="1"/>
  <c r="CK44" i="12"/>
  <c r="CM44" i="12" l="1"/>
  <c r="CL44" i="12"/>
  <c r="CN44" i="12"/>
  <c r="DA44" i="12"/>
  <c r="CZ44" i="12" l="1"/>
  <c r="DB44" i="12"/>
  <c r="B67" i="19" s="1"/>
  <c r="AL44" i="12"/>
  <c r="ET44" i="12"/>
  <c r="FC44" i="12"/>
  <c r="AM44" i="12"/>
  <c r="AK44" i="12" l="1"/>
  <c r="EU44" i="12"/>
  <c r="EV44" i="12" s="1"/>
  <c r="EW44" i="12" s="1"/>
  <c r="FD44" i="12"/>
  <c r="FE44" i="12" s="1"/>
  <c r="FF44" i="12" s="1"/>
  <c r="FJ44" i="12" l="1"/>
  <c r="AJ44" i="12" s="1"/>
  <c r="FG45" i="12"/>
  <c r="FA44" i="12"/>
  <c r="AI44" i="12" s="1"/>
  <c r="EX45" i="12"/>
  <c r="AR44" i="12"/>
  <c r="AP44" i="12"/>
  <c r="AH44" i="12" l="1"/>
  <c r="AQ44" i="12" s="1"/>
  <c r="AO44" i="12" l="1"/>
  <c r="FM45" i="12" s="1"/>
  <c r="FS45" i="12" s="1"/>
  <c r="CC45" i="12"/>
  <c r="CH45" i="12"/>
  <c r="CF45" i="12"/>
  <c r="CG45" i="12"/>
  <c r="FY44" i="12"/>
  <c r="IV44" i="12"/>
  <c r="KD44" i="12" s="1"/>
  <c r="GT44" i="12"/>
  <c r="IB44" i="12" s="1"/>
  <c r="GH44" i="12"/>
  <c r="HP44" i="12" s="1"/>
  <c r="GV44" i="12"/>
  <c r="ID44" i="12" s="1"/>
  <c r="IZ44" i="12"/>
  <c r="KH44" i="12" s="1"/>
  <c r="GM44" i="12"/>
  <c r="HU44" i="12" s="1"/>
  <c r="GW44" i="12"/>
  <c r="IE44" i="12" s="1"/>
  <c r="JM44" i="12"/>
  <c r="KU44" i="12" s="1"/>
  <c r="JN44" i="12"/>
  <c r="KV44" i="12" s="1"/>
  <c r="IQ44" i="12"/>
  <c r="JY44" i="12" s="1"/>
  <c r="JD44" i="12"/>
  <c r="KL44" i="12" s="1"/>
  <c r="GN44" i="12"/>
  <c r="HV44" i="12" s="1"/>
  <c r="GZ44" i="12"/>
  <c r="IH44" i="12" s="1"/>
  <c r="GQ44" i="12"/>
  <c r="HY44" i="12" s="1"/>
  <c r="GA44" i="12"/>
  <c r="HI44" i="12" s="1"/>
  <c r="IU44" i="12"/>
  <c r="KC44" i="12" s="1"/>
  <c r="HC44" i="12"/>
  <c r="IK44" i="12" s="1"/>
  <c r="HA44" i="12"/>
  <c r="II44" i="12" s="1"/>
  <c r="GY44" i="12"/>
  <c r="IG44" i="12" s="1"/>
  <c r="HB44" i="12"/>
  <c r="IJ44" i="12" s="1"/>
  <c r="GF44" i="12"/>
  <c r="HN44" i="12" s="1"/>
  <c r="JE44" i="12"/>
  <c r="KM44" i="12" s="1"/>
  <c r="GK44" i="12"/>
  <c r="HS44" i="12" s="1"/>
  <c r="IT44" i="12"/>
  <c r="KB44" i="12" s="1"/>
  <c r="GO44" i="12"/>
  <c r="HW44" i="12" s="1"/>
  <c r="GI44" i="12"/>
  <c r="HQ44" i="12" s="1"/>
  <c r="IS44" i="12"/>
  <c r="KA44" i="12" s="1"/>
  <c r="IR44" i="12"/>
  <c r="JZ44" i="12" s="1"/>
  <c r="GB44" i="12"/>
  <c r="HJ44" i="12" s="1"/>
  <c r="FZ44" i="12"/>
  <c r="HH44" i="12" s="1"/>
  <c r="GC44" i="12"/>
  <c r="HK44" i="12" s="1"/>
  <c r="JS44" i="12"/>
  <c r="LA44" i="12" s="1"/>
  <c r="JJ44" i="12"/>
  <c r="KR44" i="12" s="1"/>
  <c r="GD44" i="12"/>
  <c r="HL44" i="12" s="1"/>
  <c r="JP44" i="12"/>
  <c r="KX44" i="12" s="1"/>
  <c r="JA44" i="12"/>
  <c r="KI44" i="12" s="1"/>
  <c r="GE44" i="12"/>
  <c r="HM44" i="12" s="1"/>
  <c r="GR44" i="12"/>
  <c r="HZ44" i="12" s="1"/>
  <c r="JH44" i="12"/>
  <c r="KP44" i="12" s="1"/>
  <c r="JC44" i="12"/>
  <c r="KK44" i="12" s="1"/>
  <c r="JK44" i="12"/>
  <c r="KS44" i="12" s="1"/>
  <c r="JO44" i="12"/>
  <c r="KW44" i="12" s="1"/>
  <c r="GJ44" i="12"/>
  <c r="HR44" i="12" s="1"/>
  <c r="GS44" i="12"/>
  <c r="IA44" i="12" s="1"/>
  <c r="GL44" i="12"/>
  <c r="HT44" i="12" s="1"/>
  <c r="IX44" i="12"/>
  <c r="KF44" i="12" s="1"/>
  <c r="GU44" i="12"/>
  <c r="IC44" i="12" s="1"/>
  <c r="GP44" i="12"/>
  <c r="HX44" i="12" s="1"/>
  <c r="IW44" i="12"/>
  <c r="KE44" i="12" s="1"/>
  <c r="JQ44" i="12"/>
  <c r="KY44" i="12" s="1"/>
  <c r="JL44" i="12"/>
  <c r="KT44" i="12" s="1"/>
  <c r="JF44" i="12"/>
  <c r="KN44" i="12" s="1"/>
  <c r="IY44" i="12"/>
  <c r="KG44" i="12" s="1"/>
  <c r="JG44" i="12"/>
  <c r="KO44" i="12" s="1"/>
  <c r="JB44" i="12"/>
  <c r="KJ44" i="12" s="1"/>
  <c r="GG44" i="12"/>
  <c r="HO44" i="12" s="1"/>
  <c r="GX44" i="12"/>
  <c r="IF44" i="12" s="1"/>
  <c r="JI44" i="12"/>
  <c r="KQ44" i="12" s="1"/>
  <c r="JT44" i="12"/>
  <c r="LB44" i="12" s="1"/>
  <c r="IP44" i="12"/>
  <c r="JR44" i="12"/>
  <c r="KZ44" i="12" s="1"/>
  <c r="CR45" i="12" l="1"/>
  <c r="JX44" i="12"/>
  <c r="FP45" i="12" s="1"/>
  <c r="AW43" i="12" s="1"/>
  <c r="AZ43" i="12" s="1"/>
  <c r="BX45" i="12" s="1"/>
  <c r="IO44" i="12"/>
  <c r="HG44" i="12"/>
  <c r="FO45" i="12" s="1"/>
  <c r="FX44" i="12"/>
  <c r="FT45" i="12" l="1"/>
  <c r="AV43" i="12"/>
  <c r="CB45" i="12" s="1"/>
  <c r="CD45" i="12" l="1"/>
  <c r="CI45" i="12" s="1"/>
  <c r="CQ45" i="12" l="1"/>
  <c r="CS45" i="12" s="1"/>
  <c r="CT45" i="12" s="1"/>
  <c r="CK45" i="12"/>
  <c r="DA45" i="12" l="1"/>
  <c r="CM45" i="12"/>
  <c r="CL45" i="12"/>
  <c r="CN45" i="12"/>
  <c r="AL45" i="12" l="1"/>
  <c r="ET45" i="12"/>
  <c r="FC45" i="12"/>
  <c r="AM45" i="12"/>
  <c r="FD45" i="12" s="1"/>
  <c r="CZ45" i="12"/>
  <c r="DB45" i="12"/>
  <c r="FE45" i="12" l="1"/>
  <c r="FF45" i="12" s="1"/>
  <c r="FJ45" i="12" s="1"/>
  <c r="AJ45" i="12" s="1"/>
  <c r="AK45" i="12"/>
  <c r="EU45" i="12"/>
  <c r="EV45" i="12" s="1"/>
  <c r="EW45" i="12" s="1"/>
  <c r="FA45" i="12" s="1"/>
  <c r="AI45" i="12" s="1"/>
  <c r="AH45" i="12" l="1"/>
  <c r="AR45" i="12"/>
  <c r="AP45" i="12"/>
  <c r="AO45" i="12" l="1"/>
  <c r="AQ45" i="12"/>
  <c r="GA45" i="12" l="1"/>
  <c r="HI45" i="12" s="1"/>
  <c r="GQ45" i="12"/>
  <c r="HY45" i="12" s="1"/>
  <c r="IQ45" i="12"/>
  <c r="JY45" i="12" s="1"/>
  <c r="JG45" i="12"/>
  <c r="KO45" i="12" s="1"/>
  <c r="GB45" i="12"/>
  <c r="HJ45" i="12" s="1"/>
  <c r="GR45" i="12"/>
  <c r="HZ45" i="12" s="1"/>
  <c r="IV45" i="12"/>
  <c r="KD45" i="12" s="1"/>
  <c r="JL45" i="12"/>
  <c r="KT45" i="12" s="1"/>
  <c r="GD45" i="12"/>
  <c r="HL45" i="12" s="1"/>
  <c r="GT45" i="12"/>
  <c r="IB45" i="12" s="1"/>
  <c r="IX45" i="12"/>
  <c r="KF45" i="12" s="1"/>
  <c r="FY45" i="12"/>
  <c r="GO45" i="12"/>
  <c r="HW45" i="12" s="1"/>
  <c r="IS45" i="12"/>
  <c r="KA45" i="12" s="1"/>
  <c r="JI45" i="12"/>
  <c r="KQ45" i="12" s="1"/>
  <c r="JB45" i="12"/>
  <c r="KJ45" i="12" s="1"/>
  <c r="GY45" i="12"/>
  <c r="IG45" i="12" s="1"/>
  <c r="JO45" i="12"/>
  <c r="KW45" i="12" s="1"/>
  <c r="GZ45" i="12"/>
  <c r="IH45" i="12" s="1"/>
  <c r="JD45" i="12"/>
  <c r="KL45" i="12" s="1"/>
  <c r="IP45" i="12"/>
  <c r="GG45" i="12"/>
  <c r="HO45" i="12" s="1"/>
  <c r="JA45" i="12"/>
  <c r="KI45" i="12" s="1"/>
  <c r="GM45" i="12"/>
  <c r="HU45" i="12" s="1"/>
  <c r="JC45" i="12"/>
  <c r="KK45" i="12" s="1"/>
  <c r="GN45" i="12"/>
  <c r="HV45" i="12" s="1"/>
  <c r="JH45" i="12"/>
  <c r="KP45" i="12" s="1"/>
  <c r="GP45" i="12"/>
  <c r="HX45" i="12" s="1"/>
  <c r="JN45" i="12"/>
  <c r="KV45" i="12" s="1"/>
  <c r="HA45" i="12"/>
  <c r="II45" i="12" s="1"/>
  <c r="GX45" i="12"/>
  <c r="IF45" i="12" s="1"/>
  <c r="GE45" i="12"/>
  <c r="HM45" i="12" s="1"/>
  <c r="GU45" i="12"/>
  <c r="IC45" i="12" s="1"/>
  <c r="IU45" i="12"/>
  <c r="KC45" i="12" s="1"/>
  <c r="JK45" i="12"/>
  <c r="KS45" i="12" s="1"/>
  <c r="GF45" i="12"/>
  <c r="HN45" i="12" s="1"/>
  <c r="GV45" i="12"/>
  <c r="ID45" i="12" s="1"/>
  <c r="IZ45" i="12"/>
  <c r="KH45" i="12" s="1"/>
  <c r="JP45" i="12"/>
  <c r="KX45" i="12" s="1"/>
  <c r="GH45" i="12"/>
  <c r="HP45" i="12" s="1"/>
  <c r="HB45" i="12"/>
  <c r="IJ45" i="12" s="1"/>
  <c r="JF45" i="12"/>
  <c r="KN45" i="12" s="1"/>
  <c r="GC45" i="12"/>
  <c r="HK45" i="12" s="1"/>
  <c r="GS45" i="12"/>
  <c r="IA45" i="12" s="1"/>
  <c r="IW45" i="12"/>
  <c r="KE45" i="12" s="1"/>
  <c r="JM45" i="12"/>
  <c r="KU45" i="12" s="1"/>
  <c r="JR45" i="12"/>
  <c r="KZ45" i="12" s="1"/>
  <c r="GI45" i="12"/>
  <c r="HQ45" i="12" s="1"/>
  <c r="IY45" i="12"/>
  <c r="KG45" i="12" s="1"/>
  <c r="GJ45" i="12"/>
  <c r="HR45" i="12" s="1"/>
  <c r="JT45" i="12"/>
  <c r="LB45" i="12" s="1"/>
  <c r="GL45" i="12"/>
  <c r="HT45" i="12" s="1"/>
  <c r="JJ45" i="12"/>
  <c r="KR45" i="12" s="1"/>
  <c r="GW45" i="12"/>
  <c r="IE45" i="12" s="1"/>
  <c r="JQ45" i="12"/>
  <c r="KY45" i="12" s="1"/>
  <c r="HC45" i="12"/>
  <c r="IK45" i="12" s="1"/>
  <c r="JS45" i="12"/>
  <c r="LA45" i="12" s="1"/>
  <c r="IR45" i="12"/>
  <c r="JZ45" i="12" s="1"/>
  <c r="FZ45" i="12"/>
  <c r="HH45" i="12" s="1"/>
  <c r="IT45" i="12"/>
  <c r="KB45" i="12" s="1"/>
  <c r="GK45" i="12"/>
  <c r="HS45" i="12" s="1"/>
  <c r="JE45" i="12"/>
  <c r="KM45" i="12" s="1"/>
  <c r="HG45" i="12" l="1"/>
  <c r="FX45" i="12"/>
  <c r="JX45" i="12"/>
  <c r="IO45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tc={FCCC154C-2E25-9D45-9E8B-29BB86CABD43}</author>
  </authors>
  <commentList>
    <comment ref="DU35" authorId="0" shapeId="0" xr:uid="{FCCC154C-2E25-9D45-9E8B-29BB86CABD43}">
      <text>
        <t>[Threaded comment]
Your version of Excel allows you to read this threaded comment; however, any edits to it will get removed if the file is opened in a newer version of Excel. Learn more: https://go.microsoft.com/fwlink/?linkid=870924
Comment:
    Normal cost cells are placeholders for now. Better values will be input later based on the NC model.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tc={E6AC27FF-4627-9844-9396-462486CA8CDC}</author>
    <author>tc={5B64C353-543E-CF4C-BC2A-D63B1E9E5BCE}</author>
    <author>tc={2B427318-A57F-1845-BE9D-BB90B7484EC8}</author>
    <author>tc={F5A42CC4-529D-EE4C-A689-BE142501C983}</author>
    <author>tc={C37B5AE0-3122-EA46-A0E4-6015632791A1}</author>
    <author>tc={46B52FAF-0A59-C04E-9A20-5E3D8F07E442}</author>
  </authors>
  <commentList>
    <comment ref="Z2" authorId="0" shapeId="0" xr:uid="{E6AC27FF-4627-9844-9396-462486CA8CD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Plus imposing a statutory contribution floor </t>
      </text>
    </comment>
    <comment ref="AA2" authorId="1" shapeId="0" xr:uid="{5B64C353-543E-CF4C-BC2A-D63B1E9E5BC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Plus imposing a statutory contribution floor </t>
      </text>
    </comment>
    <comment ref="AF2" authorId="2" shapeId="0" xr:uid="{2B427318-A57F-1845-BE9D-BB90B7484EC8}">
      <text>
        <t>[Threaded comment]
Your version of Excel allows you to read this threaded comment; however, any edits to it will get removed if the file is opened in a newer version of Excel. Learn more: https://go.microsoft.com/fwlink/?linkid=870924
Comment:
    Plus imposing a statutory contribution floor</t>
      </text>
    </comment>
    <comment ref="AG2" authorId="3" shapeId="0" xr:uid="{F5A42CC4-529D-EE4C-A689-BE142501C98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Plus imposing a statutory contribution floor </t>
      </text>
    </comment>
    <comment ref="AL2" authorId="4" shapeId="0" xr:uid="{C37B5AE0-3122-EA46-A0E4-6015632791A1}">
      <text>
        <t>[Threaded comment]
Your version of Excel allows you to read this threaded comment; however, any edits to it will get removed if the file is opened in a newer version of Excel. Learn more: https://go.microsoft.com/fwlink/?linkid=870924
Comment:
    Plus imposing a statutory contribution floor</t>
      </text>
    </comment>
    <comment ref="AQ2" authorId="5" shapeId="0" xr:uid="{46B52FAF-0A59-C04E-9A20-5E3D8F07E442}">
      <text>
        <t>[Threaded comment]
Your version of Excel allows you to read this threaded comment; however, any edits to it will get removed if the file is opened in a newer version of Excel. Learn more: https://go.microsoft.com/fwlink/?linkid=870924
Comment:
    Plus imposing a statutory contribution floor</t>
      </text>
    </comment>
  </commentList>
</comments>
</file>

<file path=xl/sharedStrings.xml><?xml version="1.0" encoding="utf-8"?>
<sst xmlns="http://schemas.openxmlformats.org/spreadsheetml/2006/main" count="899" uniqueCount="363">
  <si>
    <t>Payroll</t>
  </si>
  <si>
    <t>AVA</t>
  </si>
  <si>
    <t>MVA</t>
  </si>
  <si>
    <t>UAL</t>
  </si>
  <si>
    <t>Accrued</t>
  </si>
  <si>
    <t>Funded</t>
  </si>
  <si>
    <t xml:space="preserve">Total </t>
  </si>
  <si>
    <t>Add'l Contrib</t>
  </si>
  <si>
    <t>Total</t>
  </si>
  <si>
    <t>Periods</t>
  </si>
  <si>
    <t>Amortization</t>
  </si>
  <si>
    <t>Date</t>
  </si>
  <si>
    <t>Liability</t>
  </si>
  <si>
    <t>ROA</t>
  </si>
  <si>
    <t>Contribution</t>
  </si>
  <si>
    <t>Inflow</t>
  </si>
  <si>
    <t>Infl Adj</t>
  </si>
  <si>
    <t>Remaining</t>
  </si>
  <si>
    <t>Factor</t>
  </si>
  <si>
    <t>Discount rate</t>
  </si>
  <si>
    <t>Employer normal cost</t>
  </si>
  <si>
    <t>Subtotal</t>
  </si>
  <si>
    <t>Employee Contributions</t>
  </si>
  <si>
    <t>Solvency</t>
  </si>
  <si>
    <t>&lt;- Not used</t>
  </si>
  <si>
    <t>&lt;- 1/2 year</t>
  </si>
  <si>
    <t>Cash Flows by Source (middle of year)</t>
  </si>
  <si>
    <t>Amo</t>
  </si>
  <si>
    <t>Policy</t>
  </si>
  <si>
    <t>Funding Policy</t>
  </si>
  <si>
    <t>Assumptions</t>
  </si>
  <si>
    <t>Assets, Liabilities, Normal Costs</t>
  </si>
  <si>
    <t>Ratio - AVA</t>
  </si>
  <si>
    <t>Ratio - MVA</t>
  </si>
  <si>
    <t>Open</t>
  </si>
  <si>
    <t>Closed</t>
  </si>
  <si>
    <t>Total DB</t>
  </si>
  <si>
    <t>DB</t>
  </si>
  <si>
    <t>DC Plan</t>
  </si>
  <si>
    <t>Plan for New Hires</t>
  </si>
  <si>
    <t>DC Contribution (as % of Pay)</t>
  </si>
  <si>
    <t>Ratio for DC Vesting</t>
  </si>
  <si>
    <t>Costs</t>
  </si>
  <si>
    <t>DC Employer</t>
  </si>
  <si>
    <t>Employer DC contribution</t>
  </si>
  <si>
    <t>Total employer DB + DC</t>
  </si>
  <si>
    <t>Hybrid</t>
  </si>
  <si>
    <t>Payroll-%</t>
  </si>
  <si>
    <t>Admin</t>
  </si>
  <si>
    <t>Baseline</t>
  </si>
  <si>
    <t>Current DB</t>
  </si>
  <si>
    <t>Employee Cont</t>
  </si>
  <si>
    <t>Yes</t>
  </si>
  <si>
    <t>No</t>
  </si>
  <si>
    <t>% of Pay</t>
  </si>
  <si>
    <t>DC Forfeitures</t>
  </si>
  <si>
    <t>Contribute DC Forfeitures into DB Plan</t>
  </si>
  <si>
    <t>Fixed Data points
(values in blue)</t>
  </si>
  <si>
    <t>AVA FR</t>
  </si>
  <si>
    <t>BP</t>
  </si>
  <si>
    <t>New Hire</t>
  </si>
  <si>
    <t>COLA</t>
  </si>
  <si>
    <t>DC</t>
  </si>
  <si>
    <t>UAL-AVA</t>
  </si>
  <si>
    <t>Existing Ees</t>
  </si>
  <si>
    <t>New Hires</t>
  </si>
  <si>
    <t>Employer NC</t>
  </si>
  <si>
    <t>Employer</t>
  </si>
  <si>
    <t>Forfeitures</t>
  </si>
  <si>
    <t>Plan Design</t>
  </si>
  <si>
    <t>Refunds</t>
  </si>
  <si>
    <t>Period</t>
  </si>
  <si>
    <t>Fresh Start</t>
  </si>
  <si>
    <t>Layered Bases</t>
  </si>
  <si>
    <t>Employer Amo</t>
  </si>
  <si>
    <t>Timing of BP (from EOY)</t>
  </si>
  <si>
    <t>Excess</t>
  </si>
  <si>
    <t>New hire</t>
  </si>
  <si>
    <t>All plan</t>
  </si>
  <si>
    <t>Reset Bases to Zero Funding Threshold</t>
  </si>
  <si>
    <t>Solvency Contribution</t>
  </si>
  <si>
    <t>(Gains)/Loss</t>
  </si>
  <si>
    <t>EOY Liability</t>
  </si>
  <si>
    <t>EOY Asset</t>
  </si>
  <si>
    <t>Liability interest rate sensitivity</t>
  </si>
  <si>
    <t>Normal cost interest rate sensitivity - Current DB Plan</t>
  </si>
  <si>
    <t>Normal cost interest rate sensitivity - New Entrants</t>
  </si>
  <si>
    <t>Multiplier</t>
  </si>
  <si>
    <t>Multiplier for New Hire Plan</t>
  </si>
  <si>
    <t>COLA for New Hire Plan</t>
  </si>
  <si>
    <t>NC%</t>
  </si>
  <si>
    <t>Tier II</t>
  </si>
  <si>
    <t>Tier III</t>
  </si>
  <si>
    <t>Tier IV</t>
  </si>
  <si>
    <t>Old Tier</t>
  </si>
  <si>
    <t>New Tier</t>
  </si>
  <si>
    <t>Projected</t>
  </si>
  <si>
    <t>Projected Payroll Ratio</t>
  </si>
  <si>
    <t>Tier II Gross Normal Cost (pre-7/1/2012 hires)</t>
  </si>
  <si>
    <t>Tier III Gross Normal Cost (post-7/1/2012 hires)</t>
  </si>
  <si>
    <t>MOY NC</t>
  </si>
  <si>
    <t>Exp Rtn</t>
  </si>
  <si>
    <t>on CF</t>
  </si>
  <si>
    <t>/(Shortfall)</t>
  </si>
  <si>
    <t>Pymnt</t>
  </si>
  <si>
    <t>Years</t>
  </si>
  <si>
    <t>Reh Ret</t>
  </si>
  <si>
    <t>RehRet</t>
  </si>
  <si>
    <t>EE</t>
  </si>
  <si>
    <t>Contribution Rate Development</t>
  </si>
  <si>
    <t>Cont-Post</t>
  </si>
  <si>
    <t>Threshold for contribution floor</t>
  </si>
  <si>
    <t>Tier II, III</t>
  </si>
  <si>
    <t xml:space="preserve">Change in </t>
  </si>
  <si>
    <t>Terminal underfunding (MVA Basis) at FYE 2046</t>
  </si>
  <si>
    <t>Fiscal Yr Ending</t>
  </si>
  <si>
    <t>NPL</t>
  </si>
  <si>
    <t>TPL</t>
  </si>
  <si>
    <t>Report date</t>
  </si>
  <si>
    <t>page 32</t>
  </si>
  <si>
    <t>Years of Service</t>
  </si>
  <si>
    <t>Normal Costs</t>
  </si>
  <si>
    <t>Y</t>
  </si>
  <si>
    <t>X</t>
  </si>
  <si>
    <t>DOH</t>
  </si>
  <si>
    <t>Post-7/1/2012</t>
  </si>
  <si>
    <t>Pre-7/1/2012</t>
  </si>
  <si>
    <t>Class II</t>
  </si>
  <si>
    <t>Class III</t>
  </si>
  <si>
    <t>Count</t>
  </si>
  <si>
    <t>Value</t>
  </si>
  <si>
    <t>Avg Sal</t>
  </si>
  <si>
    <t>Percent</t>
  </si>
  <si>
    <t>page 33</t>
  </si>
  <si>
    <t>Solve for two variables</t>
  </si>
  <si>
    <t>make about 0%</t>
  </si>
  <si>
    <t>&lt;-- Less credibility since under 1 yos info is a bit skewed</t>
  </si>
  <si>
    <t>0%/0$</t>
  </si>
  <si>
    <t>0.5%/$250</t>
  </si>
  <si>
    <t>1.0%/$500</t>
  </si>
  <si>
    <t>1.5%/$750</t>
  </si>
  <si>
    <t>2.0%/$1,000</t>
  </si>
  <si>
    <t>Min of percent / dollars</t>
  </si>
  <si>
    <t>COLA Efficacy</t>
  </si>
  <si>
    <t>2.5%/$1,250</t>
  </si>
  <si>
    <t xml:space="preserve">Implied </t>
  </si>
  <si>
    <t>Funding Period</t>
  </si>
  <si>
    <t>page 31</t>
  </si>
  <si>
    <t>Duration</t>
  </si>
  <si>
    <t>Convexity</t>
  </si>
  <si>
    <t>NC Duration 7.50%:</t>
  </si>
  <si>
    <t>Maximum employee contribution rate</t>
  </si>
  <si>
    <t>Actual Rtn</t>
  </si>
  <si>
    <t>on MVA</t>
  </si>
  <si>
    <t>Current</t>
  </si>
  <si>
    <t>Year</t>
  </si>
  <si>
    <t>Year - 1</t>
  </si>
  <si>
    <t>Year - 2</t>
  </si>
  <si>
    <t>Year - 3</t>
  </si>
  <si>
    <t>Deferral</t>
  </si>
  <si>
    <t>Minimum Amortization Period Override (FY 2018)</t>
  </si>
  <si>
    <t>Minimum Amortization Period Override (FY 2028)</t>
  </si>
  <si>
    <t>ER</t>
  </si>
  <si>
    <t xml:space="preserve">Maximum </t>
  </si>
  <si>
    <t>Cont - Pre</t>
  </si>
  <si>
    <t>Funding Period - Pre</t>
  </si>
  <si>
    <t>Implied</t>
  </si>
  <si>
    <t>Funding Per - Post</t>
  </si>
  <si>
    <t>Contributions for Rehired Retirees</t>
  </si>
  <si>
    <t>Projected UAL at 6/30/18 (AVA)</t>
  </si>
  <si>
    <t>Present Value of Contributions as of July 1, 2017 $millions (FY2017-2046)</t>
  </si>
  <si>
    <t>Statutory</t>
  </si>
  <si>
    <t xml:space="preserve">Maximum annual adjustment to contributions </t>
  </si>
  <si>
    <t>Payroll (FYE of the "Date - 1")</t>
  </si>
  <si>
    <t>If DC Plan - ERC on Total or DB Payroll?</t>
  </si>
  <si>
    <t>ORP</t>
  </si>
  <si>
    <t>TERI</t>
  </si>
  <si>
    <t>South Carolina Retirement System (SCRS) $ millions</t>
  </si>
  <si>
    <t>Delete later</t>
  </si>
  <si>
    <t>Need to fix</t>
  </si>
  <si>
    <t>Fixed</t>
  </si>
  <si>
    <t>Of Interest</t>
  </si>
  <si>
    <t>South Carolina Retirement System (SCRS)
Inflation Adjusted Contributions by Fiscal Year</t>
  </si>
  <si>
    <t>ORP Offset</t>
  </si>
  <si>
    <t>&lt;-- looks wrong, will use 1</t>
  </si>
  <si>
    <t>COLA Increase</t>
  </si>
  <si>
    <t>New Benefit Payment Percent</t>
  </si>
  <si>
    <t>Benefit Payment Turnover</t>
  </si>
  <si>
    <t>Annual Slowdown</t>
  </si>
  <si>
    <t>Additional Slowdown</t>
  </si>
  <si>
    <t>Year of Additional Slowdown</t>
  </si>
  <si>
    <t>7.50% &lt; 2017, 7.25% for 2017 and beyond</t>
  </si>
  <si>
    <t xml:space="preserve">AAL </t>
  </si>
  <si>
    <t>MOY NC (NHs)</t>
  </si>
  <si>
    <t>Reg</t>
  </si>
  <si>
    <t>FY 2017</t>
  </si>
  <si>
    <t>Other Groups</t>
  </si>
  <si>
    <t>Addt'l</t>
  </si>
  <si>
    <t>n.a.</t>
  </si>
  <si>
    <t>=Z</t>
  </si>
  <si>
    <t>Inf Adj</t>
  </si>
  <si>
    <t>Gr NC+Adm</t>
  </si>
  <si>
    <t>Administrative Expense</t>
  </si>
  <si>
    <t>Benefit Payment Trend</t>
  </si>
  <si>
    <t>MOY NC (Cur EE)</t>
  </si>
  <si>
    <t>Regular Contr Holiday Funded Ratio Threshold (100% or more)</t>
  </si>
  <si>
    <t>Plan</t>
  </si>
  <si>
    <t>New Hire Plan</t>
  </si>
  <si>
    <t>Choice</t>
  </si>
  <si>
    <t>% Electing DC</t>
  </si>
  <si>
    <t>Payroll Growth Rate (through 2023)</t>
  </si>
  <si>
    <t>Payroll Growth Rate (2024+)</t>
  </si>
  <si>
    <t>=BJ</t>
  </si>
  <si>
    <t>T2,T3,T4</t>
  </si>
  <si>
    <t>Employer Amo.</t>
  </si>
  <si>
    <t>Employer ORP</t>
  </si>
  <si>
    <t>CHECK</t>
  </si>
  <si>
    <t>ER Amo. Payments</t>
  </si>
  <si>
    <t>ER NC</t>
  </si>
  <si>
    <t>ER DC</t>
  </si>
  <si>
    <t>ER ORP (DB)</t>
  </si>
  <si>
    <t>Baselin</t>
  </si>
  <si>
    <t>Baseline (Live)</t>
  </si>
  <si>
    <t>(Statutory)</t>
  </si>
  <si>
    <t xml:space="preserve"> (ADEC)</t>
  </si>
  <si>
    <t>(Live)</t>
  </si>
  <si>
    <t>Returns1</t>
  </si>
  <si>
    <t>Returns2</t>
  </si>
  <si>
    <t>Returns3</t>
  </si>
  <si>
    <t>One Year</t>
  </si>
  <si>
    <t>Phase-Out</t>
  </si>
  <si>
    <t>Duration - 7.25%</t>
  </si>
  <si>
    <t>Crisis</t>
  </si>
  <si>
    <t>AAL Current</t>
  </si>
  <si>
    <t>AAL New</t>
  </si>
  <si>
    <t>Base DR</t>
  </si>
  <si>
    <t>Current Hires</t>
  </si>
  <si>
    <t>New DR</t>
  </si>
  <si>
    <t>AAL</t>
  </si>
  <si>
    <t>Employee Amo</t>
  </si>
  <si>
    <t>Employee NC</t>
  </si>
  <si>
    <t>Tier IV Gross Normal Cost (post-7/1/2021 hires)</t>
  </si>
  <si>
    <t>All-plan BP</t>
  </si>
  <si>
    <t>BP-%</t>
  </si>
  <si>
    <t>BP $</t>
  </si>
  <si>
    <t>ORP - Current</t>
  </si>
  <si>
    <t>All New Hires</t>
  </si>
  <si>
    <t>ORP (New Hires)</t>
  </si>
  <si>
    <t>DB (New Hires)</t>
  </si>
  <si>
    <t>DC % (Legacy Hires)</t>
  </si>
  <si>
    <t>DC % (New Hires)</t>
  </si>
  <si>
    <t>DB (Legacy Hires - exc Reh)</t>
  </si>
  <si>
    <t>Total Payroll (inclusive - exc Reh)</t>
  </si>
  <si>
    <t>All Current Hires</t>
  </si>
  <si>
    <t>Original Discount Rate (Current Hires)</t>
  </si>
  <si>
    <t>Original Discount Rate (New Hires)</t>
  </si>
  <si>
    <t>Refunds-%</t>
  </si>
  <si>
    <t>Refunds $</t>
  </si>
  <si>
    <t>All-plan Refunds</t>
  </si>
  <si>
    <t>FNP</t>
  </si>
  <si>
    <t>UAL-MVA</t>
  </si>
  <si>
    <t>Current hires</t>
  </si>
  <si>
    <t>Normal Cost</t>
  </si>
  <si>
    <t>Amo Rate - ADC</t>
  </si>
  <si>
    <t>UAAL Layers - Current Hires</t>
  </si>
  <si>
    <t>Amortization Payments - Current Hires</t>
  </si>
  <si>
    <t>UAAL Layers - New Hires</t>
  </si>
  <si>
    <t>Amortization Payments - New Hires</t>
  </si>
  <si>
    <t>Amo period (Current Hires)</t>
  </si>
  <si>
    <t>Amo period (New Hires)</t>
  </si>
  <si>
    <t>Amo Payments</t>
  </si>
  <si>
    <t>EE NC</t>
  </si>
  <si>
    <t>EE Amo Rate</t>
  </si>
  <si>
    <t>Cost sharing - Current Hires (Amo)</t>
  </si>
  <si>
    <t>Cost sharing - Current Hires (NC)</t>
  </si>
  <si>
    <t>ER Amo</t>
  </si>
  <si>
    <t>Statutory - ORP</t>
  </si>
  <si>
    <t>Statutory - Rehire</t>
  </si>
  <si>
    <t>Statutory - New Hires DB</t>
  </si>
  <si>
    <t>Statutory - Current Hires DB</t>
  </si>
  <si>
    <t>ORP - New Hires</t>
  </si>
  <si>
    <t>Assumption</t>
  </si>
  <si>
    <t>Model</t>
  </si>
  <si>
    <t>Recurring Crisis</t>
  </si>
  <si>
    <t>Volatility</t>
  </si>
  <si>
    <t>Actual return on assets (FY 2021 and beyond)</t>
  </si>
  <si>
    <t>Deterministic Scenario</t>
  </si>
  <si>
    <t>Val Year</t>
  </si>
  <si>
    <t>SCRS CAFR FYE 2020</t>
  </si>
  <si>
    <t>Annuity</t>
  </si>
  <si>
    <t>Blended DR</t>
  </si>
  <si>
    <t>Total, 2021$</t>
  </si>
  <si>
    <t>Cont Rate</t>
  </si>
  <si>
    <t>Assumed Inflation (for 2021 real dollar cont)</t>
  </si>
  <si>
    <t>Total ER Cont (inf adj)</t>
  </si>
  <si>
    <t>Ending UAL - 2050 (inf adj)</t>
  </si>
  <si>
    <t>All-in ER Cost</t>
  </si>
  <si>
    <t>LIVE</t>
  </si>
  <si>
    <t>ER Contribution Rates</t>
  </si>
  <si>
    <t>ER Contribution $ (inf adj)</t>
  </si>
  <si>
    <t>Funded Ratio (MVA)</t>
  </si>
  <si>
    <t>Unfunded Liability (MVA) - inf adj</t>
  </si>
  <si>
    <t>AAL (inf adj)</t>
  </si>
  <si>
    <t>MVA (adj)</t>
  </si>
  <si>
    <t>Total ER Cont (2021-2050)</t>
  </si>
  <si>
    <t>Ending UAL (MVA - 2050)</t>
  </si>
  <si>
    <t>All-in ER Cost (2021-2050)</t>
  </si>
  <si>
    <t>7.25% Constant Return</t>
  </si>
  <si>
    <t>Status Quo</t>
  </si>
  <si>
    <t>Two Recessions with 6% in between</t>
  </si>
  <si>
    <t>Trigger ADEC funding for Statutory Rate after Full Funding</t>
  </si>
  <si>
    <t>Otherwise --&gt; ADEC</t>
  </si>
  <si>
    <t>If Statutory AND No Trigger---&gt; Statutory Rate</t>
  </si>
  <si>
    <t>If Statutory AND Yes Trigger AND FR &lt; 100% --&gt; Statutory Rate</t>
  </si>
  <si>
    <t>OR</t>
  </si>
  <si>
    <t>Reform Parameters:</t>
  </si>
  <si>
    <t>- New hires default to DC (assuming 75% to DC and 25% to DB)</t>
  </si>
  <si>
    <t xml:space="preserve">- Funding policy switched to ADC </t>
  </si>
  <si>
    <t>- Amo period for current hire DB: 20 years; Amo period for new hire DB: 10 years</t>
  </si>
  <si>
    <t>Amortization Base Increase Rate (Current Hires)</t>
  </si>
  <si>
    <t>Amortization Base Increase Rate (New Hires)</t>
  </si>
  <si>
    <t>- Level dolalr amortization for new hire UAL</t>
  </si>
  <si>
    <t>- 50-50 Cost sharing for new hires (NC + Amo)</t>
  </si>
  <si>
    <t>- Reduce the DR to 6% for new hires</t>
  </si>
  <si>
    <t>Status Quo + Switch to ADC at Full Funding</t>
  </si>
  <si>
    <t>Fresh Start or Layered Bases (New Hires)</t>
  </si>
  <si>
    <t xml:space="preserve">Fresh Start or Layered Bases (Current Hires) </t>
  </si>
  <si>
    <t>ADC - New Hires</t>
  </si>
  <si>
    <t>Statutory - New Hires</t>
  </si>
  <si>
    <t>DC Default</t>
  </si>
  <si>
    <t>ORP Offset using DB NC</t>
  </si>
  <si>
    <t>Reform + Better Funding</t>
  </si>
  <si>
    <t>Reform + Switch to ADC at Full Funding</t>
  </si>
  <si>
    <t>One-time Cash Infusion</t>
  </si>
  <si>
    <t>- Raise the DC contribution rate to 7%</t>
  </si>
  <si>
    <t>SB176</t>
  </si>
  <si>
    <t>FY 2021 Investment Return</t>
  </si>
  <si>
    <t>7% Constant Return</t>
  </si>
  <si>
    <t>Two Recessions with 6% in Between</t>
  </si>
  <si>
    <t>SB176 + $100M Cash Infusion</t>
  </si>
  <si>
    <t>SB176 + $500M Cash Infusion</t>
  </si>
  <si>
    <t>SB176 + $1B Cash Infusion</t>
  </si>
  <si>
    <t>SB176 + ADEC for Legacy Debt</t>
  </si>
  <si>
    <t>SB176 + ADEC for Legacy Debt + $100M Cash Infusion</t>
  </si>
  <si>
    <t>SB176 + ADEC for Legacy Debt + $500M Cash Infusion</t>
  </si>
  <si>
    <t>SB176 + ADEC for Legacy Debt + $1B Cash Infusion</t>
  </si>
  <si>
    <t>Status Quo + ADEC after 100% FR</t>
  </si>
  <si>
    <t>Status Quo + ADEC after 100% FR +  $100M Cash Infusion</t>
  </si>
  <si>
    <t>Status Quo + ADEC after 100% FR + $500M Cash Infusion</t>
  </si>
  <si>
    <t>Status Quo + ADEC after 100% FR + $1B Cash Infusion</t>
  </si>
  <si>
    <t>Status Quo + ADEC after 100% FR + $100M Cash Infusion</t>
  </si>
  <si>
    <t>Reform w/t Cost Increasing</t>
  </si>
  <si>
    <t>Reform w/t Cost Increasing + $100M Cash Infusion</t>
  </si>
  <si>
    <t>Reform w/t Cost Increasing + $500M Cash Infusion</t>
  </si>
  <si>
    <t>Reform w/t Cost Increasing + $1B Cash Infusion</t>
  </si>
  <si>
    <t>Statutory Floor Cont</t>
  </si>
  <si>
    <t>Impose a statutory floor on ER Cont until full funding</t>
  </si>
  <si>
    <t>SB176 + ADC for legacy debt + statutory floor</t>
  </si>
  <si>
    <t>Reform w/t cost increasing + statutory floor</t>
  </si>
  <si>
    <t>Status Quo + ADEC after 100% FR + 6% DR</t>
  </si>
  <si>
    <t>SB176 + ADEC for Legacy Debt + 6% DR</t>
  </si>
  <si>
    <t>Discount rate - Valuation year 2022+ (Current Hires)</t>
  </si>
  <si>
    <t>Discount rate - Valuation year 2022+ (New Hires)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</si>
</sst>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* #,##0.0000_);_(* \(#,##0.0000\);_(* &quot;-&quot;??_);_(@_)"/>
    <numFmt numFmtId="167" formatCode="#,##0.0_);\(#,##0.0\)"/>
    <numFmt numFmtId="168" formatCode="_(* #,##0.000_);_(* \(#,##0.000\);_(* &quot;-&quot;??_);_(@_)"/>
    <numFmt numFmtId="169" formatCode="_(* #,##0.0_);_(* \(#,##0.0\);_(* &quot;-&quot;??_);_(@_)"/>
    <numFmt numFmtId="170" formatCode="#,##0.000000_);\(#,##0.000000\)"/>
    <numFmt numFmtId="171" formatCode="_(* #,##0.00000_);_(* \(#,##0.00000\);_(* &quot;-&quot;??_);_(@_)"/>
    <numFmt numFmtId="172" formatCode="_(* #,##0.0000_);_(* \(#,##0.0000\);_(* &quot;-&quot;????_);_(@_)"/>
    <numFmt numFmtId="173" formatCode="_-* #,##0_-;\-* #,##0_-;_-* &quot;-&quot;??_-;_-@_-"/>
    <numFmt numFmtId="174" formatCode="0.00000000"/>
    <numFmt numFmtId="175" formatCode="_(* #,##0.000000_);_(* \(#,##0.000000\);_(* &quot;-&quot;??_);_(@_)"/>
    <numFmt numFmtId="176" formatCode="0.000"/>
    <numFmt numFmtId="177" formatCode="0.00000000000000000%"/>
    <numFmt numFmtId="178" formatCode="0.000000000000000%"/>
    <numFmt numFmtId="179" formatCode="0.000%"/>
    <numFmt numFmtId="180" formatCode="0.00000000000000%"/>
    <numFmt numFmtId="181" formatCode="0.0000%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u/>
      <sz val="10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u/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7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u/>
      <sz val="7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2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rgb="FFFF0000"/>
      </top>
      <bottom style="dotted">
        <color rgb="FFFF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451">
    <xf numFmtId="0" fontId="0" fillId="0" borderId="0" xfId="0"/>
    <xf numFmtId="0" fontId="0" fillId="0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4" fontId="5" fillId="0" borderId="0" xfId="0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2" fillId="0" borderId="0" xfId="1" applyNumberFormat="1" applyFont="1" applyFill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0" fontId="3" fillId="0" borderId="0" xfId="0" applyFont="1" applyFill="1" applyBorder="1"/>
    <xf numFmtId="37" fontId="5" fillId="0" borderId="0" xfId="0" applyNumberFormat="1" applyFont="1" applyFill="1" applyAlignment="1">
      <alignment horizontal="center"/>
    </xf>
    <xf numFmtId="14" fontId="5" fillId="0" borderId="0" xfId="0" applyNumberFormat="1" applyFont="1" applyFill="1" applyBorder="1"/>
    <xf numFmtId="37" fontId="5" fillId="0" borderId="0" xfId="0" applyNumberFormat="1" applyFont="1" applyFill="1" applyBorder="1" applyAlignment="1">
      <alignment horizontal="left"/>
    </xf>
    <xf numFmtId="0" fontId="8" fillId="0" borderId="0" xfId="0" applyFont="1" applyFill="1" applyBorder="1"/>
    <xf numFmtId="43" fontId="0" fillId="0" borderId="0" xfId="1" applyFont="1" applyFill="1"/>
    <xf numFmtId="0" fontId="6" fillId="0" borderId="0" xfId="0" applyFont="1" applyFill="1"/>
    <xf numFmtId="0" fontId="0" fillId="0" borderId="0" xfId="0" applyBorder="1"/>
    <xf numFmtId="37" fontId="7" fillId="0" borderId="0" xfId="0" applyNumberFormat="1" applyFont="1" applyFill="1" applyBorder="1" applyAlignment="1">
      <alignment horizontal="left"/>
    </xf>
    <xf numFmtId="0" fontId="10" fillId="0" borderId="0" xfId="0" applyFont="1" applyFill="1" applyBorder="1"/>
    <xf numFmtId="0" fontId="5" fillId="0" borderId="0" xfId="0" applyFont="1" applyFill="1"/>
    <xf numFmtId="164" fontId="3" fillId="0" borderId="0" xfId="1" applyNumberFormat="1" applyFont="1" applyFill="1" applyBorder="1"/>
    <xf numFmtId="14" fontId="0" fillId="0" borderId="0" xfId="0" applyNumberFormat="1" applyFill="1" applyBorder="1"/>
    <xf numFmtId="0" fontId="5" fillId="0" borderId="0" xfId="0" applyFont="1" applyFill="1" applyBorder="1"/>
    <xf numFmtId="0" fontId="0" fillId="0" borderId="0" xfId="0" applyFill="1" applyAlignment="1">
      <alignment horizontal="center"/>
    </xf>
    <xf numFmtId="0" fontId="6" fillId="0" borderId="0" xfId="0" applyFont="1" applyFill="1" applyBorder="1" applyAlignment="1">
      <alignment horizontal="center"/>
    </xf>
    <xf numFmtId="43" fontId="5" fillId="0" borderId="0" xfId="1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0" fillId="0" borderId="0" xfId="0" applyFill="1" applyBorder="1" applyAlignment="1"/>
    <xf numFmtId="14" fontId="11" fillId="0" borderId="0" xfId="0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0" applyFont="1" applyFill="1"/>
    <xf numFmtId="164" fontId="11" fillId="0" borderId="0" xfId="1" applyNumberFormat="1" applyFont="1" applyFill="1" applyAlignment="1">
      <alignment horizontal="center"/>
    </xf>
    <xf numFmtId="0" fontId="13" fillId="0" borderId="0" xfId="0" applyFont="1"/>
    <xf numFmtId="167" fontId="14" fillId="0" borderId="0" xfId="0" applyNumberFormat="1" applyFont="1" applyFill="1" applyAlignment="1">
      <alignment horizontal="center"/>
    </xf>
    <xf numFmtId="167" fontId="11" fillId="0" borderId="0" xfId="0" applyNumberFormat="1" applyFont="1" applyFill="1" applyAlignment="1">
      <alignment horizontal="center"/>
    </xf>
    <xf numFmtId="167" fontId="11" fillId="0" borderId="0" xfId="0" applyNumberFormat="1" applyFont="1" applyFill="1" applyAlignment="1">
      <alignment horizontal="left"/>
    </xf>
    <xf numFmtId="0" fontId="13" fillId="0" borderId="0" xfId="0" applyFont="1" applyFill="1" applyBorder="1"/>
    <xf numFmtId="0" fontId="17" fillId="0" borderId="0" xfId="0" applyFont="1" applyFill="1"/>
    <xf numFmtId="164" fontId="17" fillId="0" borderId="0" xfId="1" applyNumberFormat="1" applyFont="1" applyFill="1" applyAlignment="1">
      <alignment horizontal="center"/>
    </xf>
    <xf numFmtId="164" fontId="0" fillId="0" borderId="0" xfId="1" applyNumberFormat="1" applyFont="1" applyFill="1"/>
    <xf numFmtId="0" fontId="0" fillId="0" borderId="0" xfId="0"/>
    <xf numFmtId="0" fontId="0" fillId="0" borderId="0" xfId="0" applyFill="1"/>
    <xf numFmtId="37" fontId="5" fillId="0" borderId="0" xfId="0" applyNumberFormat="1" applyFont="1" applyFill="1" applyBorder="1" applyAlignment="1">
      <alignment horizontal="center"/>
    </xf>
    <xf numFmtId="164" fontId="5" fillId="0" borderId="0" xfId="1" applyNumberFormat="1" applyFont="1" applyFill="1" applyAlignment="1">
      <alignment horizontal="center"/>
    </xf>
    <xf numFmtId="0" fontId="0" fillId="0" borderId="0" xfId="0" applyFill="1" applyBorder="1"/>
    <xf numFmtId="37" fontId="2" fillId="0" borderId="0" xfId="0" applyNumberFormat="1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166" fontId="13" fillId="0" borderId="14" xfId="1" applyNumberFormat="1" applyFont="1" applyFill="1" applyBorder="1"/>
    <xf numFmtId="166" fontId="13" fillId="0" borderId="1" xfId="1" applyNumberFormat="1" applyFont="1" applyFill="1" applyBorder="1"/>
    <xf numFmtId="169" fontId="11" fillId="0" borderId="0" xfId="1" applyNumberFormat="1" applyFont="1" applyFill="1" applyAlignment="1">
      <alignment horizontal="center"/>
    </xf>
    <xf numFmtId="164" fontId="23" fillId="0" borderId="0" xfId="1" applyNumberFormat="1" applyFont="1" applyFill="1" applyBorder="1" applyAlignment="1">
      <alignment horizontal="center"/>
    </xf>
    <xf numFmtId="0" fontId="13" fillId="0" borderId="14" xfId="0" applyFont="1" applyFill="1" applyBorder="1"/>
    <xf numFmtId="0" fontId="13" fillId="0" borderId="11" xfId="0" applyFont="1" applyFill="1" applyBorder="1"/>
    <xf numFmtId="0" fontId="13" fillId="0" borderId="6" xfId="0" applyFont="1" applyFill="1" applyBorder="1"/>
    <xf numFmtId="167" fontId="11" fillId="0" borderId="14" xfId="0" applyNumberFormat="1" applyFont="1" applyFill="1" applyBorder="1" applyAlignment="1">
      <alignment horizontal="left"/>
    </xf>
    <xf numFmtId="0" fontId="0" fillId="0" borderId="0" xfId="0" applyFont="1" applyFill="1" applyBorder="1"/>
    <xf numFmtId="166" fontId="11" fillId="0" borderId="0" xfId="1" applyNumberFormat="1" applyFont="1" applyFill="1" applyBorder="1" applyAlignment="1">
      <alignment horizontal="center"/>
    </xf>
    <xf numFmtId="170" fontId="5" fillId="0" borderId="0" xfId="0" applyNumberFormat="1" applyFont="1" applyFill="1" applyBorder="1" applyAlignment="1">
      <alignment horizontal="center"/>
    </xf>
    <xf numFmtId="164" fontId="14" fillId="0" borderId="0" xfId="1" applyNumberFormat="1" applyFont="1" applyFill="1" applyBorder="1" applyAlignment="1">
      <alignment horizontal="center"/>
    </xf>
    <xf numFmtId="0" fontId="15" fillId="0" borderId="0" xfId="0" applyFont="1" applyFill="1" applyBorder="1"/>
    <xf numFmtId="166" fontId="13" fillId="0" borderId="0" xfId="1" applyNumberFormat="1" applyFont="1" applyFill="1"/>
    <xf numFmtId="0" fontId="13" fillId="0" borderId="0" xfId="0" quotePrefix="1" applyFont="1" applyFill="1"/>
    <xf numFmtId="166" fontId="13" fillId="0" borderId="8" xfId="1" applyNumberFormat="1" applyFont="1" applyFill="1" applyBorder="1"/>
    <xf numFmtId="166" fontId="13" fillId="0" borderId="10" xfId="1" applyNumberFormat="1" applyFont="1" applyFill="1" applyBorder="1"/>
    <xf numFmtId="168" fontId="11" fillId="0" borderId="0" xfId="1" applyNumberFormat="1" applyFont="1" applyFill="1" applyBorder="1" applyAlignment="1">
      <alignment horizontal="center"/>
    </xf>
    <xf numFmtId="168" fontId="6" fillId="0" borderId="11" xfId="1" applyNumberFormat="1" applyFont="1" applyFill="1" applyBorder="1" applyAlignment="1">
      <alignment horizontal="center"/>
    </xf>
    <xf numFmtId="0" fontId="13" fillId="0" borderId="9" xfId="0" applyFont="1" applyFill="1" applyBorder="1"/>
    <xf numFmtId="0" fontId="6" fillId="0" borderId="15" xfId="0" applyFont="1" applyFill="1" applyBorder="1" applyAlignment="1">
      <alignment horizontal="center"/>
    </xf>
    <xf numFmtId="165" fontId="11" fillId="0" borderId="0" xfId="0" applyNumberFormat="1" applyFont="1" applyFill="1" applyBorder="1" applyAlignment="1">
      <alignment horizontal="center"/>
    </xf>
    <xf numFmtId="164" fontId="16" fillId="0" borderId="0" xfId="1" applyNumberFormat="1" applyFont="1" applyFill="1" applyBorder="1" applyAlignment="1">
      <alignment horizontal="center"/>
    </xf>
    <xf numFmtId="164" fontId="16" fillId="0" borderId="0" xfId="1" applyNumberFormat="1" applyFont="1" applyFill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167" fontId="25" fillId="0" borderId="2" xfId="0" applyNumberFormat="1" applyFont="1" applyFill="1" applyBorder="1" applyAlignment="1">
      <alignment horizontal="left"/>
    </xf>
    <xf numFmtId="0" fontId="15" fillId="0" borderId="0" xfId="0" applyFont="1" applyFill="1" applyBorder="1" applyAlignment="1">
      <alignment horizontal="center" wrapText="1"/>
    </xf>
    <xf numFmtId="0" fontId="24" fillId="0" borderId="2" xfId="0" applyFont="1" applyFill="1" applyBorder="1"/>
    <xf numFmtId="0" fontId="13" fillId="0" borderId="3" xfId="0" applyFont="1" applyFill="1" applyBorder="1"/>
    <xf numFmtId="0" fontId="24" fillId="0" borderId="8" xfId="0" applyFont="1" applyFill="1" applyBorder="1"/>
    <xf numFmtId="0" fontId="18" fillId="0" borderId="3" xfId="0" applyFont="1" applyFill="1" applyBorder="1" applyAlignment="1"/>
    <xf numFmtId="0" fontId="18" fillId="0" borderId="4" xfId="0" applyFont="1" applyFill="1" applyBorder="1" applyAlignment="1"/>
    <xf numFmtId="167" fontId="20" fillId="0" borderId="14" xfId="0" applyNumberFormat="1" applyFont="1" applyFill="1" applyBorder="1" applyAlignment="1">
      <alignment horizontal="left" indent="1"/>
    </xf>
    <xf numFmtId="10" fontId="18" fillId="0" borderId="0" xfId="0" applyNumberFormat="1" applyFont="1" applyFill="1" applyBorder="1"/>
    <xf numFmtId="10" fontId="18" fillId="0" borderId="1" xfId="0" applyNumberFormat="1" applyFont="1" applyFill="1" applyBorder="1"/>
    <xf numFmtId="167" fontId="11" fillId="0" borderId="14" xfId="0" applyNumberFormat="1" applyFont="1" applyFill="1" applyBorder="1" applyAlignment="1">
      <alignment horizontal="left" indent="1"/>
    </xf>
    <xf numFmtId="167" fontId="11" fillId="0" borderId="11" xfId="0" applyNumberFormat="1" applyFont="1" applyFill="1" applyBorder="1" applyAlignment="1">
      <alignment horizontal="left" indent="1"/>
    </xf>
    <xf numFmtId="167" fontId="11" fillId="0" borderId="2" xfId="0" applyNumberFormat="1" applyFont="1" applyFill="1" applyBorder="1" applyAlignment="1">
      <alignment horizontal="left" indent="1"/>
    </xf>
    <xf numFmtId="168" fontId="0" fillId="0" borderId="0" xfId="0" applyNumberFormat="1" applyFill="1" applyBorder="1"/>
    <xf numFmtId="168" fontId="0" fillId="0" borderId="0" xfId="0" applyNumberFormat="1" applyFill="1"/>
    <xf numFmtId="166" fontId="5" fillId="0" borderId="0" xfId="1" applyNumberFormat="1" applyFont="1" applyFill="1" applyBorder="1" applyAlignment="1">
      <alignment horizontal="center"/>
    </xf>
    <xf numFmtId="169" fontId="11" fillId="0" borderId="0" xfId="1" applyNumberFormat="1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37" fontId="13" fillId="0" borderId="6" xfId="0" applyNumberFormat="1" applyFont="1" applyFill="1" applyBorder="1" applyAlignment="1"/>
    <xf numFmtId="164" fontId="11" fillId="0" borderId="14" xfId="1" applyNumberFormat="1" applyFont="1" applyFill="1" applyBorder="1" applyAlignment="1">
      <alignment horizontal="center"/>
    </xf>
    <xf numFmtId="164" fontId="11" fillId="0" borderId="11" xfId="1" applyNumberFormat="1" applyFont="1" applyFill="1" applyBorder="1" applyAlignment="1">
      <alignment horizontal="center"/>
    </xf>
    <xf numFmtId="9" fontId="11" fillId="0" borderId="0" xfId="2" applyFont="1" applyFill="1" applyBorder="1" applyAlignment="1">
      <alignment horizontal="center"/>
    </xf>
    <xf numFmtId="164" fontId="16" fillId="0" borderId="0" xfId="1" applyNumberFormat="1" applyFont="1" applyFill="1" applyBorder="1" applyAlignment="1">
      <alignment horizontal="right" indent="1"/>
    </xf>
    <xf numFmtId="164" fontId="13" fillId="0" borderId="0" xfId="1" applyNumberFormat="1" applyFont="1" applyFill="1" applyBorder="1"/>
    <xf numFmtId="168" fontId="6" fillId="0" borderId="6" xfId="1" applyNumberFormat="1" applyFont="1" applyFill="1" applyBorder="1" applyAlignment="1">
      <alignment horizontal="center"/>
    </xf>
    <xf numFmtId="0" fontId="13" fillId="0" borderId="0" xfId="0" quotePrefix="1" applyFont="1" applyFill="1" applyBorder="1"/>
    <xf numFmtId="169" fontId="23" fillId="0" borderId="0" xfId="1" applyNumberFormat="1" applyFont="1" applyFill="1" applyBorder="1" applyAlignment="1">
      <alignment horizontal="center"/>
    </xf>
    <xf numFmtId="10" fontId="13" fillId="0" borderId="0" xfId="2" applyNumberFormat="1" applyFont="1" applyFill="1"/>
    <xf numFmtId="9" fontId="13" fillId="0" borderId="0" xfId="2" applyFont="1" applyFill="1" applyBorder="1"/>
    <xf numFmtId="9" fontId="13" fillId="0" borderId="6" xfId="2" applyFont="1" applyFill="1" applyBorder="1"/>
    <xf numFmtId="164" fontId="11" fillId="0" borderId="15" xfId="1" applyNumberFormat="1" applyFont="1" applyFill="1" applyBorder="1" applyAlignment="1">
      <alignment horizontal="center"/>
    </xf>
    <xf numFmtId="0" fontId="0" fillId="0" borderId="6" xfId="0" applyFill="1" applyBorder="1"/>
    <xf numFmtId="164" fontId="11" fillId="0" borderId="6" xfId="1" applyNumberFormat="1" applyFont="1" applyFill="1" applyBorder="1" applyAlignment="1">
      <alignment horizontal="center"/>
    </xf>
    <xf numFmtId="169" fontId="16" fillId="0" borderId="9" xfId="1" applyNumberFormat="1" applyFont="1" applyFill="1" applyBorder="1" applyAlignment="1">
      <alignment horizontal="center"/>
    </xf>
    <xf numFmtId="164" fontId="11" fillId="0" borderId="1" xfId="1" applyNumberFormat="1" applyFont="1" applyFill="1" applyBorder="1" applyAlignment="1">
      <alignment horizontal="center"/>
    </xf>
    <xf numFmtId="164" fontId="11" fillId="0" borderId="7" xfId="1" applyNumberFormat="1" applyFont="1" applyFill="1" applyBorder="1" applyAlignment="1">
      <alignment horizontal="center"/>
    </xf>
    <xf numFmtId="168" fontId="11" fillId="0" borderId="5" xfId="1" applyNumberFormat="1" applyFont="1" applyFill="1" applyBorder="1" applyAlignment="1">
      <alignment horizontal="center"/>
    </xf>
    <xf numFmtId="10" fontId="0" fillId="0" borderId="0" xfId="2" applyNumberFormat="1" applyFont="1" applyFill="1"/>
    <xf numFmtId="10" fontId="11" fillId="0" borderId="0" xfId="2" applyNumberFormat="1" applyFont="1" applyFill="1" applyBorder="1" applyAlignment="1">
      <alignment horizontal="center"/>
    </xf>
    <xf numFmtId="171" fontId="0" fillId="0" borderId="0" xfId="0" applyNumberFormat="1" applyFill="1"/>
    <xf numFmtId="0" fontId="8" fillId="0" borderId="13" xfId="0" applyFont="1" applyFill="1" applyBorder="1" applyAlignment="1">
      <alignment horizontal="center" wrapText="1"/>
    </xf>
    <xf numFmtId="43" fontId="0" fillId="0" borderId="0" xfId="0" applyNumberFormat="1" applyFill="1" applyBorder="1" applyAlignment="1">
      <alignment horizontal="center"/>
    </xf>
    <xf numFmtId="164" fontId="11" fillId="0" borderId="10" xfId="1" applyNumberFormat="1" applyFont="1" applyFill="1" applyBorder="1" applyAlignment="1">
      <alignment horizontal="center"/>
    </xf>
    <xf numFmtId="0" fontId="9" fillId="0" borderId="6" xfId="0" applyFont="1" applyFill="1" applyBorder="1" applyAlignment="1">
      <alignment horizontal="left" wrapText="1"/>
    </xf>
    <xf numFmtId="166" fontId="13" fillId="0" borderId="2" xfId="1" applyNumberFormat="1" applyFont="1" applyFill="1" applyBorder="1"/>
    <xf numFmtId="166" fontId="13" fillId="0" borderId="13" xfId="1" applyNumberFormat="1" applyFont="1" applyFill="1" applyBorder="1"/>
    <xf numFmtId="172" fontId="13" fillId="0" borderId="0" xfId="0" applyNumberFormat="1" applyFont="1" applyFill="1"/>
    <xf numFmtId="0" fontId="6" fillId="0" borderId="8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0" xfId="0" applyFont="1" applyFill="1" applyBorder="1" applyAlignment="1"/>
    <xf numFmtId="43" fontId="8" fillId="0" borderId="0" xfId="1" applyNumberFormat="1" applyFont="1" applyFill="1" applyBorder="1" applyAlignment="1">
      <alignment horizontal="center"/>
    </xf>
    <xf numFmtId="43" fontId="6" fillId="0" borderId="0" xfId="0" applyNumberFormat="1" applyFont="1" applyFill="1"/>
    <xf numFmtId="168" fontId="13" fillId="0" borderId="0" xfId="1" applyNumberFormat="1" applyFont="1" applyFill="1" applyBorder="1" applyAlignment="1">
      <alignment horizontal="center"/>
    </xf>
    <xf numFmtId="174" fontId="5" fillId="0" borderId="0" xfId="0" applyNumberFormat="1" applyFont="1" applyFill="1" applyBorder="1" applyAlignment="1">
      <alignment horizontal="center"/>
    </xf>
    <xf numFmtId="10" fontId="13" fillId="0" borderId="0" xfId="2" applyNumberFormat="1" applyFont="1" applyFill="1" applyBorder="1"/>
    <xf numFmtId="9" fontId="13" fillId="0" borderId="0" xfId="2" applyFont="1" applyFill="1"/>
    <xf numFmtId="165" fontId="13" fillId="0" borderId="0" xfId="2" applyNumberFormat="1" applyFont="1" applyFill="1"/>
    <xf numFmtId="0" fontId="6" fillId="0" borderId="8" xfId="0" applyFont="1" applyFill="1" applyBorder="1" applyAlignment="1">
      <alignment horizontal="center"/>
    </xf>
    <xf numFmtId="10" fontId="12" fillId="0" borderId="0" xfId="2" applyNumberFormat="1" applyFont="1" applyFill="1" applyBorder="1"/>
    <xf numFmtId="167" fontId="9" fillId="0" borderId="0" xfId="0" applyNumberFormat="1" applyFont="1" applyFill="1" applyAlignment="1">
      <alignment horizontal="center" vertical="center" wrapText="1"/>
    </xf>
    <xf numFmtId="168" fontId="6" fillId="0" borderId="0" xfId="1" applyNumberFormat="1" applyFont="1" applyFill="1" applyBorder="1" applyAlignment="1">
      <alignment horizontal="center"/>
    </xf>
    <xf numFmtId="168" fontId="6" fillId="0" borderId="14" xfId="1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wrapText="1"/>
    </xf>
    <xf numFmtId="168" fontId="11" fillId="0" borderId="0" xfId="1" applyNumberFormat="1" applyFont="1" applyFill="1" applyAlignment="1">
      <alignment horizontal="center"/>
    </xf>
    <xf numFmtId="0" fontId="0" fillId="0" borderId="0" xfId="0" quotePrefix="1" applyFill="1" applyAlignment="1">
      <alignment horizontal="center"/>
    </xf>
    <xf numFmtId="43" fontId="0" fillId="0" borderId="0" xfId="1" applyFont="1"/>
    <xf numFmtId="43" fontId="0" fillId="0" borderId="0" xfId="0" applyNumberFormat="1"/>
    <xf numFmtId="166" fontId="0" fillId="0" borderId="0" xfId="1" applyNumberFormat="1" applyFont="1"/>
    <xf numFmtId="10" fontId="0" fillId="0" borderId="0" xfId="0" applyNumberFormat="1"/>
    <xf numFmtId="171" fontId="0" fillId="0" borderId="0" xfId="0" applyNumberFormat="1"/>
    <xf numFmtId="10" fontId="16" fillId="0" borderId="0" xfId="2" applyNumberFormat="1" applyFont="1" applyFill="1"/>
    <xf numFmtId="164" fontId="13" fillId="0" borderId="0" xfId="1" applyNumberFormat="1" applyFont="1" applyFill="1" applyBorder="1" applyAlignment="1">
      <alignment horizontal="center"/>
    </xf>
    <xf numFmtId="165" fontId="11" fillId="0" borderId="1" xfId="0" applyNumberFormat="1" applyFont="1" applyFill="1" applyBorder="1" applyAlignment="1">
      <alignment horizontal="center"/>
    </xf>
    <xf numFmtId="164" fontId="13" fillId="0" borderId="7" xfId="1" applyNumberFormat="1" applyFont="1" applyFill="1" applyBorder="1"/>
    <xf numFmtId="164" fontId="13" fillId="0" borderId="6" xfId="1" applyNumberFormat="1" applyFont="1" applyFill="1" applyBorder="1"/>
    <xf numFmtId="0" fontId="13" fillId="0" borderId="1" xfId="0" applyFont="1" applyFill="1" applyBorder="1"/>
    <xf numFmtId="173" fontId="11" fillId="0" borderId="0" xfId="1" applyNumberFormat="1" applyFont="1" applyFill="1" applyBorder="1" applyAlignment="1">
      <alignment horizontal="center"/>
    </xf>
    <xf numFmtId="164" fontId="16" fillId="0" borderId="15" xfId="1" applyNumberFormat="1" applyFont="1" applyFill="1" applyBorder="1" applyAlignment="1">
      <alignment horizontal="center"/>
    </xf>
    <xf numFmtId="164" fontId="13" fillId="0" borderId="0" xfId="1" applyNumberFormat="1" applyFont="1" applyFill="1"/>
    <xf numFmtId="10" fontId="15" fillId="0" borderId="0" xfId="2" applyNumberFormat="1" applyFont="1" applyFill="1" applyBorder="1"/>
    <xf numFmtId="164" fontId="13" fillId="0" borderId="0" xfId="1" applyNumberFormat="1" applyFont="1" applyFill="1" applyBorder="1" applyAlignment="1"/>
    <xf numFmtId="164" fontId="13" fillId="0" borderId="1" xfId="1" applyNumberFormat="1" applyFont="1" applyFill="1" applyBorder="1" applyAlignment="1"/>
    <xf numFmtId="164" fontId="18" fillId="0" borderId="0" xfId="1" applyNumberFormat="1" applyFont="1" applyFill="1" applyBorder="1" applyAlignment="1"/>
    <xf numFmtId="164" fontId="18" fillId="0" borderId="1" xfId="1" applyNumberFormat="1" applyFont="1" applyFill="1" applyBorder="1" applyAlignment="1"/>
    <xf numFmtId="164" fontId="13" fillId="0" borderId="6" xfId="1" applyNumberFormat="1" applyFont="1" applyFill="1" applyBorder="1" applyAlignment="1"/>
    <xf numFmtId="164" fontId="13" fillId="0" borderId="4" xfId="1" applyNumberFormat="1" applyFont="1" applyFill="1" applyBorder="1"/>
    <xf numFmtId="167" fontId="11" fillId="0" borderId="11" xfId="0" applyNumberFormat="1" applyFont="1" applyFill="1" applyBorder="1" applyAlignment="1">
      <alignment horizontal="left"/>
    </xf>
    <xf numFmtId="10" fontId="0" fillId="0" borderId="0" xfId="0" applyNumberFormat="1" applyFill="1"/>
    <xf numFmtId="165" fontId="13" fillId="0" borderId="0" xfId="0" applyNumberFormat="1" applyFont="1" applyFill="1"/>
    <xf numFmtId="0" fontId="0" fillId="0" borderId="14" xfId="0" applyFill="1" applyBorder="1"/>
    <xf numFmtId="43" fontId="9" fillId="0" borderId="3" xfId="4" applyFont="1" applyFill="1" applyBorder="1" applyAlignment="1">
      <alignment horizontal="left" wrapText="1"/>
    </xf>
    <xf numFmtId="175" fontId="5" fillId="0" borderId="0" xfId="1" applyNumberFormat="1" applyFont="1" applyFill="1" applyBorder="1" applyAlignment="1">
      <alignment horizontal="center"/>
    </xf>
    <xf numFmtId="164" fontId="0" fillId="0" borderId="0" xfId="1" applyNumberFormat="1" applyFont="1"/>
    <xf numFmtId="164" fontId="16" fillId="0" borderId="14" xfId="1" applyNumberFormat="1" applyFont="1" applyFill="1" applyBorder="1" applyAlignment="1">
      <alignment horizontal="center"/>
    </xf>
    <xf numFmtId="173" fontId="16" fillId="0" borderId="0" xfId="1" applyNumberFormat="1" applyFont="1" applyFill="1" applyBorder="1" applyAlignment="1">
      <alignment horizontal="center"/>
    </xf>
    <xf numFmtId="164" fontId="0" fillId="0" borderId="0" xfId="0" applyNumberFormat="1" applyFont="1" applyFill="1"/>
    <xf numFmtId="169" fontId="11" fillId="0" borderId="9" xfId="1" applyNumberFormat="1" applyFont="1" applyFill="1" applyBorder="1" applyAlignment="1">
      <alignment horizontal="center"/>
    </xf>
    <xf numFmtId="164" fontId="11" fillId="0" borderId="9" xfId="1" applyNumberFormat="1" applyFont="1" applyFill="1" applyBorder="1" applyAlignment="1">
      <alignment horizontal="center"/>
    </xf>
    <xf numFmtId="164" fontId="12" fillId="0" borderId="14" xfId="1" applyNumberFormat="1" applyFont="1" applyFill="1" applyBorder="1" applyAlignment="1">
      <alignment horizontal="center"/>
    </xf>
    <xf numFmtId="9" fontId="12" fillId="0" borderId="1" xfId="2" applyFont="1" applyFill="1" applyBorder="1"/>
    <xf numFmtId="173" fontId="13" fillId="0" borderId="0" xfId="1" applyNumberFormat="1" applyFont="1" applyFill="1" applyBorder="1"/>
    <xf numFmtId="176" fontId="13" fillId="0" borderId="0" xfId="0" applyNumberFormat="1" applyFont="1" applyFill="1"/>
    <xf numFmtId="10" fontId="16" fillId="0" borderId="0" xfId="2" applyNumberFormat="1" applyFont="1" applyFill="1" applyBorder="1"/>
    <xf numFmtId="165" fontId="0" fillId="0" borderId="0" xfId="2" applyNumberFormat="1" applyFont="1"/>
    <xf numFmtId="43" fontId="0" fillId="0" borderId="0" xfId="0" applyNumberFormat="1" applyFont="1" applyFill="1" applyBorder="1"/>
    <xf numFmtId="14" fontId="0" fillId="0" borderId="0" xfId="0" applyNumberFormat="1"/>
    <xf numFmtId="10" fontId="2" fillId="0" borderId="0" xfId="2" applyNumberFormat="1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77" fontId="0" fillId="0" borderId="0" xfId="0" applyNumberFormat="1"/>
    <xf numFmtId="0" fontId="0" fillId="0" borderId="0" xfId="0" quotePrefix="1"/>
    <xf numFmtId="10" fontId="7" fillId="0" borderId="0" xfId="2" applyNumberFormat="1" applyFont="1" applyFill="1"/>
    <xf numFmtId="10" fontId="0" fillId="0" borderId="0" xfId="2" applyNumberFormat="1" applyFont="1"/>
    <xf numFmtId="10" fontId="2" fillId="0" borderId="0" xfId="0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0" fontId="15" fillId="0" borderId="3" xfId="0" applyFont="1" applyFill="1" applyBorder="1" applyAlignment="1">
      <alignment horizontal="center" wrapText="1"/>
    </xf>
    <xf numFmtId="10" fontId="13" fillId="0" borderId="0" xfId="0" applyNumberFormat="1" applyFont="1" applyFill="1"/>
    <xf numFmtId="168" fontId="6" fillId="0" borderId="1" xfId="1" applyNumberFormat="1" applyFont="1" applyFill="1" applyBorder="1" applyAlignment="1">
      <alignment horizontal="center"/>
    </xf>
    <xf numFmtId="168" fontId="10" fillId="0" borderId="1" xfId="1" quotePrefix="1" applyNumberFormat="1" applyFont="1" applyFill="1" applyBorder="1" applyAlignment="1">
      <alignment horizontal="center"/>
    </xf>
    <xf numFmtId="166" fontId="11" fillId="0" borderId="0" xfId="1" applyNumberFormat="1" applyFont="1" applyFill="1" applyAlignment="1">
      <alignment horizontal="center"/>
    </xf>
    <xf numFmtId="0" fontId="28" fillId="0" borderId="0" xfId="0" applyFont="1" applyFill="1" applyBorder="1" applyAlignment="1">
      <alignment horizontal="right"/>
    </xf>
    <xf numFmtId="168" fontId="10" fillId="0" borderId="14" xfId="1" quotePrefix="1" applyNumberFormat="1" applyFont="1" applyFill="1" applyBorder="1" applyAlignment="1">
      <alignment horizontal="center"/>
    </xf>
    <xf numFmtId="175" fontId="0" fillId="0" borderId="6" xfId="1" applyNumberFormat="1" applyFont="1" applyBorder="1"/>
    <xf numFmtId="175" fontId="0" fillId="0" borderId="7" xfId="1" applyNumberFormat="1" applyFont="1" applyBorder="1"/>
    <xf numFmtId="175" fontId="0" fillId="0" borderId="0" xfId="1" applyNumberFormat="1" applyFont="1"/>
    <xf numFmtId="175" fontId="0" fillId="0" borderId="9" xfId="1" applyNumberFormat="1" applyFont="1" applyBorder="1"/>
    <xf numFmtId="175" fontId="0" fillId="0" borderId="10" xfId="1" applyNumberFormat="1" applyFont="1" applyBorder="1"/>
    <xf numFmtId="175" fontId="0" fillId="0" borderId="11" xfId="1" applyNumberFormat="1" applyFont="1" applyBorder="1"/>
    <xf numFmtId="178" fontId="0" fillId="0" borderId="0" xfId="2" applyNumberFormat="1" applyFont="1"/>
    <xf numFmtId="179" fontId="2" fillId="0" borderId="0" xfId="2" applyNumberFormat="1" applyFont="1" applyFill="1" applyBorder="1" applyAlignment="1">
      <alignment horizontal="center"/>
    </xf>
    <xf numFmtId="10" fontId="0" fillId="0" borderId="0" xfId="2" applyNumberFormat="1" applyFont="1" applyFill="1" applyBorder="1"/>
    <xf numFmtId="0" fontId="18" fillId="0" borderId="0" xfId="0" applyFont="1" applyFill="1" applyBorder="1" applyAlignment="1">
      <alignment horizontal="center"/>
    </xf>
    <xf numFmtId="43" fontId="13" fillId="0" borderId="0" xfId="1" applyFont="1" applyFill="1" applyBorder="1"/>
    <xf numFmtId="0" fontId="13" fillId="0" borderId="0" xfId="0" applyFont="1" applyFill="1" applyBorder="1" applyAlignment="1"/>
    <xf numFmtId="180" fontId="0" fillId="0" borderId="0" xfId="0" applyNumberFormat="1"/>
    <xf numFmtId="165" fontId="11" fillId="3" borderId="16" xfId="0" applyNumberFormat="1" applyFont="1" applyFill="1" applyBorder="1" applyAlignment="1">
      <alignment horizontal="center"/>
    </xf>
    <xf numFmtId="0" fontId="29" fillId="0" borderId="9" xfId="0" applyFont="1" applyFill="1" applyBorder="1" applyAlignment="1">
      <alignment horizontal="center"/>
    </xf>
    <xf numFmtId="0" fontId="29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164" fontId="13" fillId="0" borderId="1" xfId="1" applyNumberFormat="1" applyFont="1" applyFill="1" applyBorder="1"/>
    <xf numFmtId="0" fontId="29" fillId="0" borderId="10" xfId="0" applyFont="1" applyFill="1" applyBorder="1" applyAlignment="1">
      <alignment horizontal="center"/>
    </xf>
    <xf numFmtId="0" fontId="29" fillId="0" borderId="1" xfId="0" applyFont="1" applyFill="1" applyBorder="1" applyAlignment="1">
      <alignment horizontal="center"/>
    </xf>
    <xf numFmtId="10" fontId="0" fillId="0" borderId="1" xfId="2" applyNumberFormat="1" applyFont="1" applyFill="1" applyBorder="1"/>
    <xf numFmtId="164" fontId="16" fillId="0" borderId="1" xfId="1" applyNumberFormat="1" applyFont="1" applyFill="1" applyBorder="1" applyAlignment="1">
      <alignment horizontal="center"/>
    </xf>
    <xf numFmtId="164" fontId="11" fillId="4" borderId="0" xfId="1" applyNumberFormat="1" applyFont="1" applyFill="1" applyBorder="1" applyAlignment="1">
      <alignment horizontal="center"/>
    </xf>
    <xf numFmtId="9" fontId="7" fillId="4" borderId="0" xfId="0" applyNumberFormat="1" applyFont="1" applyFill="1"/>
    <xf numFmtId="43" fontId="5" fillId="5" borderId="0" xfId="1" applyFont="1" applyFill="1" applyBorder="1" applyAlignment="1">
      <alignment horizontal="center"/>
    </xf>
    <xf numFmtId="43" fontId="5" fillId="3" borderId="0" xfId="1" applyFont="1" applyFill="1" applyBorder="1" applyAlignment="1">
      <alignment horizontal="center"/>
    </xf>
    <xf numFmtId="43" fontId="5" fillId="6" borderId="0" xfId="1" applyFont="1" applyFill="1" applyBorder="1" applyAlignment="1">
      <alignment horizontal="center"/>
    </xf>
    <xf numFmtId="43" fontId="5" fillId="4" borderId="0" xfId="1" applyFont="1" applyFill="1" applyBorder="1" applyAlignment="1">
      <alignment horizontal="center"/>
    </xf>
    <xf numFmtId="10" fontId="13" fillId="6" borderId="0" xfId="2" applyNumberFormat="1" applyFont="1" applyFill="1"/>
    <xf numFmtId="10" fontId="16" fillId="6" borderId="0" xfId="2" applyNumberFormat="1" applyFont="1" applyFill="1"/>
    <xf numFmtId="0" fontId="13" fillId="0" borderId="4" xfId="0" applyFont="1" applyFill="1" applyBorder="1"/>
    <xf numFmtId="164" fontId="2" fillId="0" borderId="0" xfId="1" applyNumberFormat="1" applyFont="1"/>
    <xf numFmtId="43" fontId="2" fillId="0" borderId="0" xfId="1" applyNumberFormat="1" applyFont="1"/>
    <xf numFmtId="43" fontId="9" fillId="0" borderId="9" xfId="4" applyFont="1" applyFill="1" applyBorder="1" applyAlignment="1">
      <alignment horizontal="left" wrapText="1"/>
    </xf>
    <xf numFmtId="43" fontId="9" fillId="0" borderId="10" xfId="4" applyFont="1" applyFill="1" applyBorder="1" applyAlignment="1">
      <alignment horizontal="left" wrapText="1"/>
    </xf>
    <xf numFmtId="164" fontId="2" fillId="6" borderId="0" xfId="1" applyNumberFormat="1" applyFont="1" applyFill="1"/>
    <xf numFmtId="166" fontId="16" fillId="0" borderId="0" xfId="1" applyNumberFormat="1" applyFont="1" applyFill="1" applyBorder="1" applyAlignment="1">
      <alignment horizontal="center"/>
    </xf>
    <xf numFmtId="179" fontId="6" fillId="0" borderId="0" xfId="2" applyNumberFormat="1" applyFont="1" applyFill="1" applyBorder="1" applyAlignment="1">
      <alignment horizontal="center"/>
    </xf>
    <xf numFmtId="179" fontId="16" fillId="0" borderId="0" xfId="2" applyNumberFormat="1" applyFont="1" applyFill="1" applyBorder="1" applyAlignment="1">
      <alignment horizontal="center"/>
    </xf>
    <xf numFmtId="164" fontId="16" fillId="0" borderId="0" xfId="1" quotePrefix="1" applyNumberFormat="1" applyFont="1" applyFill="1" applyBorder="1" applyAlignment="1">
      <alignment horizontal="center"/>
    </xf>
    <xf numFmtId="43" fontId="11" fillId="0" borderId="0" xfId="1" applyFont="1" applyFill="1" applyBorder="1" applyAlignment="1">
      <alignment horizontal="center"/>
    </xf>
    <xf numFmtId="10" fontId="11" fillId="0" borderId="0" xfId="2" applyNumberFormat="1" applyFont="1" applyFill="1" applyAlignment="1"/>
    <xf numFmtId="10" fontId="12" fillId="0" borderId="0" xfId="2" applyNumberFormat="1" applyFont="1" applyFill="1" applyAlignment="1"/>
    <xf numFmtId="10" fontId="12" fillId="0" borderId="1" xfId="2" applyNumberFormat="1" applyFont="1" applyFill="1" applyBorder="1" applyAlignment="1"/>
    <xf numFmtId="10" fontId="11" fillId="0" borderId="1" xfId="0" applyNumberFormat="1" applyFont="1" applyFill="1" applyBorder="1"/>
    <xf numFmtId="43" fontId="11" fillId="0" borderId="1" xfId="1" applyFont="1" applyFill="1" applyBorder="1"/>
    <xf numFmtId="43" fontId="11" fillId="0" borderId="1" xfId="1" applyNumberFormat="1" applyFont="1" applyFill="1" applyBorder="1"/>
    <xf numFmtId="169" fontId="11" fillId="0" borderId="1" xfId="1" applyNumberFormat="1" applyFont="1" applyFill="1" applyBorder="1"/>
    <xf numFmtId="43" fontId="13" fillId="0" borderId="1" xfId="1" applyFont="1" applyFill="1" applyBorder="1"/>
    <xf numFmtId="10" fontId="11" fillId="0" borderId="7" xfId="0" applyNumberFormat="1" applyFont="1" applyFill="1" applyBorder="1"/>
    <xf numFmtId="9" fontId="12" fillId="0" borderId="0" xfId="2" applyFont="1" applyFill="1" applyBorder="1" applyAlignment="1">
      <alignment horizontal="center"/>
    </xf>
    <xf numFmtId="164" fontId="12" fillId="0" borderId="0" xfId="1" applyNumberFormat="1" applyFont="1" applyFill="1" applyBorder="1" applyAlignment="1">
      <alignment horizontal="center"/>
    </xf>
    <xf numFmtId="9" fontId="12" fillId="0" borderId="1" xfId="0" applyNumberFormat="1" applyFont="1" applyFill="1" applyBorder="1"/>
    <xf numFmtId="9" fontId="11" fillId="0" borderId="0" xfId="2" applyNumberFormat="1" applyFont="1" applyFill="1" applyBorder="1" applyAlignment="1">
      <alignment horizontal="center"/>
    </xf>
    <xf numFmtId="10" fontId="16" fillId="0" borderId="0" xfId="2" applyNumberFormat="1" applyFont="1" applyFill="1" applyBorder="1" applyAlignment="1">
      <alignment horizontal="center"/>
    </xf>
    <xf numFmtId="10" fontId="16" fillId="0" borderId="0" xfId="0" applyNumberFormat="1" applyFont="1" applyFill="1" applyBorder="1" applyAlignment="1">
      <alignment horizontal="center"/>
    </xf>
    <xf numFmtId="10" fontId="16" fillId="0" borderId="14" xfId="0" applyNumberFormat="1" applyFont="1" applyFill="1" applyBorder="1" applyAlignment="1">
      <alignment horizontal="center"/>
    </xf>
    <xf numFmtId="164" fontId="16" fillId="0" borderId="0" xfId="1" applyNumberFormat="1" applyFont="1" applyFill="1" applyBorder="1" applyAlignment="1">
      <alignment horizontal="right"/>
    </xf>
    <xf numFmtId="10" fontId="12" fillId="0" borderId="1" xfId="0" applyNumberFormat="1" applyFont="1" applyFill="1" applyBorder="1"/>
    <xf numFmtId="9" fontId="11" fillId="0" borderId="1" xfId="0" applyNumberFormat="1" applyFont="1" applyFill="1" applyBorder="1"/>
    <xf numFmtId="9" fontId="11" fillId="0" borderId="7" xfId="0" applyNumberFormat="1" applyFont="1" applyFill="1" applyBorder="1"/>
    <xf numFmtId="0" fontId="12" fillId="0" borderId="1" xfId="0" applyFont="1" applyFill="1" applyBorder="1"/>
    <xf numFmtId="10" fontId="12" fillId="0" borderId="1" xfId="2" applyNumberFormat="1" applyFont="1" applyFill="1" applyBorder="1" applyAlignment="1">
      <alignment horizontal="right"/>
    </xf>
    <xf numFmtId="10" fontId="12" fillId="0" borderId="1" xfId="2" applyNumberFormat="1" applyFont="1" applyFill="1" applyBorder="1"/>
    <xf numFmtId="0" fontId="13" fillId="0" borderId="10" xfId="0" applyFont="1" applyFill="1" applyBorder="1"/>
    <xf numFmtId="43" fontId="0" fillId="0" borderId="0" xfId="0" applyNumberFormat="1" applyFill="1"/>
    <xf numFmtId="164" fontId="19" fillId="0" borderId="0" xfId="1" applyNumberFormat="1" applyFont="1" applyFill="1" applyBorder="1" applyAlignment="1">
      <alignment horizontal="center"/>
    </xf>
    <xf numFmtId="10" fontId="0" fillId="0" borderId="0" xfId="0" applyNumberFormat="1" applyFill="1" applyBorder="1"/>
    <xf numFmtId="1" fontId="0" fillId="0" borderId="0" xfId="0" applyNumberFormat="1" applyFill="1" applyBorder="1"/>
    <xf numFmtId="8" fontId="0" fillId="0" borderId="0" xfId="0" applyNumberFormat="1" applyFill="1"/>
    <xf numFmtId="43" fontId="10" fillId="0" borderId="0" xfId="1" applyFont="1" applyFill="1" applyBorder="1"/>
    <xf numFmtId="43" fontId="0" fillId="0" borderId="0" xfId="1" applyFont="1" applyFill="1" applyBorder="1"/>
    <xf numFmtId="0" fontId="18" fillId="0" borderId="9" xfId="0" applyFont="1" applyFill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1" fontId="0" fillId="0" borderId="6" xfId="1" applyNumberFormat="1" applyFont="1" applyFill="1" applyBorder="1"/>
    <xf numFmtId="0" fontId="13" fillId="0" borderId="14" xfId="0" applyFont="1" applyBorder="1"/>
    <xf numFmtId="0" fontId="13" fillId="0" borderId="0" xfId="0" applyFont="1" applyBorder="1"/>
    <xf numFmtId="9" fontId="11" fillId="0" borderId="1" xfId="2" applyNumberFormat="1" applyFont="1" applyFill="1" applyBorder="1" applyAlignment="1"/>
    <xf numFmtId="0" fontId="12" fillId="0" borderId="7" xfId="0" applyFont="1" applyFill="1" applyBorder="1" applyAlignment="1">
      <alignment horizontal="right"/>
    </xf>
    <xf numFmtId="0" fontId="12" fillId="7" borderId="1" xfId="0" applyFont="1" applyFill="1" applyBorder="1" applyAlignment="1">
      <alignment horizontal="right"/>
    </xf>
    <xf numFmtId="10" fontId="12" fillId="7" borderId="1" xfId="2" applyNumberFormat="1" applyFont="1" applyFill="1" applyBorder="1" applyAlignment="1">
      <alignment horizontal="right"/>
    </xf>
    <xf numFmtId="164" fontId="11" fillId="0" borderId="17" xfId="1" applyNumberFormat="1" applyFont="1" applyFill="1" applyBorder="1" applyAlignment="1">
      <alignment horizontal="center"/>
    </xf>
    <xf numFmtId="10" fontId="11" fillId="8" borderId="14" xfId="0" applyNumberFormat="1" applyFont="1" applyFill="1" applyBorder="1" applyAlignment="1">
      <alignment horizontal="center"/>
    </xf>
    <xf numFmtId="10" fontId="11" fillId="8" borderId="0" xfId="2" applyNumberFormat="1" applyFont="1" applyFill="1" applyBorder="1" applyAlignment="1">
      <alignment horizontal="center"/>
    </xf>
    <xf numFmtId="10" fontId="12" fillId="8" borderId="1" xfId="2" applyNumberFormat="1" applyFont="1" applyFill="1" applyBorder="1" applyAlignment="1"/>
    <xf numFmtId="10" fontId="0" fillId="8" borderId="0" xfId="2" applyNumberFormat="1" applyFont="1" applyFill="1" applyBorder="1"/>
    <xf numFmtId="167" fontId="11" fillId="8" borderId="14" xfId="0" applyNumberFormat="1" applyFont="1" applyFill="1" applyBorder="1" applyAlignment="1">
      <alignment horizontal="left"/>
    </xf>
    <xf numFmtId="0" fontId="0" fillId="8" borderId="0" xfId="0" applyFill="1" applyBorder="1"/>
    <xf numFmtId="173" fontId="13" fillId="8" borderId="0" xfId="1" applyNumberFormat="1" applyFont="1" applyFill="1" applyBorder="1" applyAlignment="1">
      <alignment horizontal="center"/>
    </xf>
    <xf numFmtId="164" fontId="11" fillId="8" borderId="0" xfId="1" applyNumberFormat="1" applyFont="1" applyFill="1" applyBorder="1" applyAlignment="1">
      <alignment horizontal="center"/>
    </xf>
    <xf numFmtId="164" fontId="11" fillId="0" borderId="13" xfId="1" applyNumberFormat="1" applyFont="1" applyFill="1" applyBorder="1" applyAlignment="1">
      <alignment horizontal="center"/>
    </xf>
    <xf numFmtId="164" fontId="12" fillId="8" borderId="14" xfId="1" applyNumberFormat="1" applyFont="1" applyFill="1" applyBorder="1" applyAlignment="1">
      <alignment horizontal="center"/>
    </xf>
    <xf numFmtId="164" fontId="12" fillId="8" borderId="11" xfId="1" applyNumberFormat="1" applyFont="1" applyFill="1" applyBorder="1" applyAlignment="1">
      <alignment horizontal="center"/>
    </xf>
    <xf numFmtId="9" fontId="12" fillId="8" borderId="1" xfId="2" applyFont="1" applyFill="1" applyBorder="1"/>
    <xf numFmtId="9" fontId="12" fillId="8" borderId="1" xfId="2" applyNumberFormat="1" applyFont="1" applyFill="1" applyBorder="1"/>
    <xf numFmtId="10" fontId="11" fillId="7" borderId="0" xfId="2" applyNumberFormat="1" applyFont="1" applyFill="1" applyBorder="1" applyAlignment="1">
      <alignment horizontal="center"/>
    </xf>
    <xf numFmtId="164" fontId="11" fillId="7" borderId="0" xfId="1" applyNumberFormat="1" applyFont="1" applyFill="1" applyBorder="1" applyAlignment="1">
      <alignment horizontal="center"/>
    </xf>
    <xf numFmtId="0" fontId="11" fillId="7" borderId="14" xfId="0" applyFont="1" applyFill="1" applyBorder="1" applyAlignment="1">
      <alignment horizontal="center"/>
    </xf>
    <xf numFmtId="10" fontId="16" fillId="7" borderId="0" xfId="2" applyNumberFormat="1" applyFont="1" applyFill="1" applyBorder="1"/>
    <xf numFmtId="10" fontId="13" fillId="7" borderId="1" xfId="0" applyNumberFormat="1" applyFont="1" applyFill="1" applyBorder="1"/>
    <xf numFmtId="169" fontId="11" fillId="7" borderId="0" xfId="1" applyNumberFormat="1" applyFont="1" applyFill="1" applyBorder="1" applyAlignment="1">
      <alignment horizontal="center"/>
    </xf>
    <xf numFmtId="43" fontId="11" fillId="0" borderId="0" xfId="1" applyNumberFormat="1" applyFont="1" applyFill="1" applyBorder="1" applyAlignment="1">
      <alignment horizontal="center"/>
    </xf>
    <xf numFmtId="0" fontId="15" fillId="9" borderId="0" xfId="0" applyFont="1" applyFill="1" applyAlignment="1">
      <alignment horizontal="center" wrapText="1"/>
    </xf>
    <xf numFmtId="0" fontId="6" fillId="9" borderId="9" xfId="0" applyFont="1" applyFill="1" applyBorder="1" applyAlignment="1">
      <alignment horizontal="center"/>
    </xf>
    <xf numFmtId="0" fontId="31" fillId="9" borderId="9" xfId="0" applyFont="1" applyFill="1" applyBorder="1" applyAlignment="1">
      <alignment horizontal="center"/>
    </xf>
    <xf numFmtId="0" fontId="6" fillId="9" borderId="0" xfId="0" applyFont="1" applyFill="1" applyAlignment="1">
      <alignment horizontal="center"/>
    </xf>
    <xf numFmtId="164" fontId="13" fillId="9" borderId="0" xfId="1" applyNumberFormat="1" applyFont="1" applyFill="1"/>
    <xf numFmtId="0" fontId="0" fillId="9" borderId="0" xfId="0" applyFill="1"/>
    <xf numFmtId="9" fontId="13" fillId="0" borderId="1" xfId="2" applyFont="1" applyFill="1" applyBorder="1"/>
    <xf numFmtId="9" fontId="13" fillId="0" borderId="7" xfId="2" applyFont="1" applyFill="1" applyBorder="1"/>
    <xf numFmtId="0" fontId="0" fillId="10" borderId="8" xfId="0" applyFill="1" applyBorder="1"/>
    <xf numFmtId="0" fontId="0" fillId="10" borderId="9" xfId="0" applyFill="1" applyBorder="1"/>
    <xf numFmtId="0" fontId="0" fillId="10" borderId="10" xfId="0" applyFill="1" applyBorder="1"/>
    <xf numFmtId="0" fontId="0" fillId="10" borderId="14" xfId="0" applyFill="1" applyBorder="1"/>
    <xf numFmtId="0" fontId="0" fillId="10" borderId="0" xfId="0" applyFill="1"/>
    <xf numFmtId="0" fontId="0" fillId="10" borderId="1" xfId="0" applyFill="1" applyBorder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32" fillId="4" borderId="0" xfId="0" applyFont="1" applyFill="1"/>
    <xf numFmtId="0" fontId="13" fillId="10" borderId="14" xfId="0" applyFont="1" applyFill="1" applyBorder="1"/>
    <xf numFmtId="0" fontId="13" fillId="10" borderId="0" xfId="0" applyFont="1" applyFill="1"/>
    <xf numFmtId="0" fontId="13" fillId="10" borderId="1" xfId="0" applyFont="1" applyFill="1" applyBorder="1"/>
    <xf numFmtId="164" fontId="11" fillId="0" borderId="0" xfId="1" applyNumberFormat="1" applyFont="1" applyAlignment="1">
      <alignment horizontal="center"/>
    </xf>
    <xf numFmtId="0" fontId="13" fillId="4" borderId="0" xfId="0" applyFont="1" applyFill="1"/>
    <xf numFmtId="0" fontId="15" fillId="10" borderId="14" xfId="0" applyFont="1" applyFill="1" applyBorder="1"/>
    <xf numFmtId="0" fontId="15" fillId="10" borderId="0" xfId="0" applyFont="1" applyFill="1"/>
    <xf numFmtId="0" fontId="15" fillId="10" borderId="1" xfId="0" applyFont="1" applyFill="1" applyBorder="1"/>
    <xf numFmtId="164" fontId="14" fillId="0" borderId="0" xfId="1" applyNumberFormat="1" applyFont="1" applyAlignment="1">
      <alignment horizontal="center"/>
    </xf>
    <xf numFmtId="0" fontId="15" fillId="0" borderId="0" xfId="0" applyFont="1"/>
    <xf numFmtId="0" fontId="15" fillId="4" borderId="0" xfId="0" applyFont="1" applyFill="1"/>
    <xf numFmtId="168" fontId="11" fillId="0" borderId="0" xfId="1" applyNumberFormat="1" applyFont="1" applyAlignment="1">
      <alignment horizontal="center"/>
    </xf>
    <xf numFmtId="10" fontId="13" fillId="0" borderId="0" xfId="0" applyNumberFormat="1" applyFont="1"/>
    <xf numFmtId="10" fontId="13" fillId="4" borderId="0" xfId="0" applyNumberFormat="1" applyFont="1" applyFill="1"/>
    <xf numFmtId="0" fontId="13" fillId="0" borderId="3" xfId="0" applyFont="1" applyBorder="1"/>
    <xf numFmtId="0" fontId="17" fillId="10" borderId="14" xfId="0" applyFont="1" applyFill="1" applyBorder="1"/>
    <xf numFmtId="0" fontId="17" fillId="10" borderId="0" xfId="0" applyFont="1" applyFill="1"/>
    <xf numFmtId="0" fontId="17" fillId="10" borderId="1" xfId="0" applyFont="1" applyFill="1" applyBorder="1"/>
    <xf numFmtId="164" fontId="17" fillId="0" borderId="0" xfId="1" applyNumberFormat="1" applyFont="1" applyAlignment="1">
      <alignment horizontal="center"/>
    </xf>
    <xf numFmtId="164" fontId="5" fillId="0" borderId="0" xfId="1" applyNumberFormat="1" applyFont="1" applyAlignment="1">
      <alignment horizontal="center"/>
    </xf>
    <xf numFmtId="37" fontId="5" fillId="0" borderId="0" xfId="0" applyNumberFormat="1" applyFont="1" applyAlignment="1">
      <alignment horizontal="center"/>
    </xf>
    <xf numFmtId="0" fontId="13" fillId="0" borderId="0" xfId="0" quotePrefix="1" applyFont="1"/>
    <xf numFmtId="164" fontId="16" fillId="0" borderId="0" xfId="1" applyNumberFormat="1" applyFont="1" applyAlignment="1">
      <alignment horizontal="center"/>
    </xf>
    <xf numFmtId="3" fontId="0" fillId="0" borderId="0" xfId="0" applyNumberFormat="1"/>
    <xf numFmtId="0" fontId="0" fillId="4" borderId="0" xfId="0" applyFill="1"/>
    <xf numFmtId="0" fontId="0" fillId="4" borderId="0" xfId="0" applyFill="1" applyAlignment="1">
      <alignment horizontal="center"/>
    </xf>
    <xf numFmtId="3" fontId="11" fillId="0" borderId="0" xfId="0" applyNumberFormat="1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11" fillId="7" borderId="0" xfId="0" applyFont="1" applyFill="1" applyBorder="1" applyAlignment="1">
      <alignment horizontal="center"/>
    </xf>
    <xf numFmtId="164" fontId="16" fillId="0" borderId="0" xfId="0" applyNumberFormat="1" applyFont="1" applyBorder="1" applyAlignment="1">
      <alignment horizontal="center"/>
    </xf>
    <xf numFmtId="173" fontId="16" fillId="8" borderId="0" xfId="1" applyNumberFormat="1" applyFont="1" applyFill="1" applyBorder="1" applyAlignment="1">
      <alignment horizontal="center"/>
    </xf>
    <xf numFmtId="164" fontId="12" fillId="0" borderId="0" xfId="1" applyNumberFormat="1" applyFont="1" applyBorder="1" applyAlignment="1">
      <alignment horizontal="center"/>
    </xf>
    <xf numFmtId="164" fontId="12" fillId="8" borderId="0" xfId="1" applyNumberFormat="1" applyFont="1" applyFill="1" applyBorder="1" applyAlignment="1">
      <alignment horizontal="center"/>
    </xf>
    <xf numFmtId="164" fontId="16" fillId="0" borderId="0" xfId="1" applyNumberFormat="1" applyFont="1" applyBorder="1" applyAlignment="1">
      <alignment horizontal="center"/>
    </xf>
    <xf numFmtId="10" fontId="16" fillId="8" borderId="0" xfId="0" applyNumberFormat="1" applyFont="1" applyFill="1" applyBorder="1" applyAlignment="1">
      <alignment horizontal="center"/>
    </xf>
    <xf numFmtId="164" fontId="16" fillId="4" borderId="0" xfId="1" applyNumberFormat="1" applyFont="1" applyFill="1" applyBorder="1" applyAlignment="1">
      <alignment horizontal="center"/>
    </xf>
    <xf numFmtId="173" fontId="16" fillId="0" borderId="0" xfId="1" applyNumberFormat="1" applyFont="1" applyBorder="1" applyAlignment="1">
      <alignment horizontal="center"/>
    </xf>
    <xf numFmtId="164" fontId="13" fillId="9" borderId="0" xfId="1" applyNumberFormat="1" applyFont="1" applyFill="1" applyBorder="1"/>
    <xf numFmtId="9" fontId="12" fillId="8" borderId="0" xfId="2" applyFont="1" applyFill="1" applyBorder="1"/>
    <xf numFmtId="167" fontId="11" fillId="0" borderId="0" xfId="0" applyNumberFormat="1" applyFont="1" applyFill="1" applyBorder="1" applyAlignment="1">
      <alignment horizontal="center"/>
    </xf>
    <xf numFmtId="0" fontId="13" fillId="10" borderId="0" xfId="0" applyFont="1" applyFill="1" applyBorder="1"/>
    <xf numFmtId="164" fontId="11" fillId="0" borderId="0" xfId="1" applyNumberFormat="1" applyFont="1" applyBorder="1" applyAlignment="1">
      <alignment horizontal="center"/>
    </xf>
    <xf numFmtId="10" fontId="13" fillId="0" borderId="0" xfId="0" applyNumberFormat="1" applyFont="1" applyBorder="1"/>
    <xf numFmtId="10" fontId="13" fillId="4" borderId="0" xfId="0" applyNumberFormat="1" applyFont="1" applyFill="1" applyBorder="1"/>
    <xf numFmtId="166" fontId="13" fillId="0" borderId="0" xfId="1" applyNumberFormat="1" applyFont="1" applyFill="1" applyBorder="1"/>
    <xf numFmtId="43" fontId="6" fillId="0" borderId="0" xfId="0" applyNumberFormat="1" applyFont="1" applyFill="1" applyBorder="1"/>
    <xf numFmtId="166" fontId="13" fillId="0" borderId="0" xfId="0" applyNumberFormat="1" applyFont="1" applyFill="1" applyBorder="1"/>
    <xf numFmtId="14" fontId="11" fillId="4" borderId="0" xfId="0" applyNumberFormat="1" applyFont="1" applyFill="1" applyBorder="1" applyAlignment="1">
      <alignment horizontal="center"/>
    </xf>
    <xf numFmtId="164" fontId="16" fillId="4" borderId="14" xfId="1" applyNumberFormat="1" applyFont="1" applyFill="1" applyBorder="1" applyAlignment="1">
      <alignment horizontal="center"/>
    </xf>
    <xf numFmtId="164" fontId="16" fillId="7" borderId="0" xfId="1" applyNumberFormat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173" fontId="0" fillId="0" borderId="0" xfId="0" applyNumberFormat="1" applyFill="1"/>
    <xf numFmtId="0" fontId="15" fillId="2" borderId="0" xfId="0" applyFont="1" applyFill="1" applyBorder="1" applyAlignment="1">
      <alignment horizontal="center" wrapText="1"/>
    </xf>
    <xf numFmtId="179" fontId="11" fillId="0" borderId="0" xfId="2" applyNumberFormat="1" applyFont="1" applyFill="1" applyBorder="1" applyAlignment="1">
      <alignment horizontal="center"/>
    </xf>
    <xf numFmtId="164" fontId="16" fillId="0" borderId="0" xfId="0" applyNumberFormat="1" applyFont="1" applyFill="1"/>
    <xf numFmtId="10" fontId="0" fillId="7" borderId="1" xfId="2" applyNumberFormat="1" applyFont="1" applyFill="1" applyBorder="1"/>
    <xf numFmtId="1" fontId="0" fillId="7" borderId="1" xfId="0" applyNumberFormat="1" applyFill="1" applyBorder="1"/>
    <xf numFmtId="10" fontId="0" fillId="7" borderId="1" xfId="0" applyNumberFormat="1" applyFill="1" applyBorder="1"/>
    <xf numFmtId="1" fontId="0" fillId="7" borderId="7" xfId="1" applyNumberFormat="1" applyFont="1" applyFill="1" applyBorder="1"/>
    <xf numFmtId="10" fontId="0" fillId="11" borderId="0" xfId="2" applyNumberFormat="1" applyFont="1" applyFill="1" applyBorder="1"/>
    <xf numFmtId="1" fontId="0" fillId="11" borderId="0" xfId="0" applyNumberFormat="1" applyFill="1" applyBorder="1"/>
    <xf numFmtId="10" fontId="0" fillId="11" borderId="0" xfId="0" applyNumberFormat="1" applyFill="1" applyBorder="1"/>
    <xf numFmtId="1" fontId="0" fillId="11" borderId="6" xfId="1" applyNumberFormat="1" applyFont="1" applyFill="1" applyBorder="1"/>
    <xf numFmtId="9" fontId="13" fillId="0" borderId="1" xfId="0" applyNumberFormat="1" applyFont="1" applyBorder="1"/>
    <xf numFmtId="164" fontId="5" fillId="0" borderId="0" xfId="0" applyNumberFormat="1" applyFont="1" applyFill="1" applyBorder="1"/>
    <xf numFmtId="164" fontId="0" fillId="0" borderId="0" xfId="0" applyNumberFormat="1" applyFill="1"/>
    <xf numFmtId="43" fontId="13" fillId="0" borderId="0" xfId="0" applyNumberFormat="1" applyFont="1" applyFill="1"/>
    <xf numFmtId="167" fontId="33" fillId="0" borderId="8" xfId="0" applyNumberFormat="1" applyFont="1" applyBorder="1" applyAlignment="1">
      <alignment horizontal="left"/>
    </xf>
    <xf numFmtId="0" fontId="34" fillId="0" borderId="14" xfId="0" applyFont="1" applyBorder="1"/>
    <xf numFmtId="10" fontId="11" fillId="8" borderId="0" xfId="0" applyNumberFormat="1" applyFont="1" applyFill="1" applyBorder="1" applyAlignment="1">
      <alignment horizontal="center"/>
    </xf>
    <xf numFmtId="10" fontId="16" fillId="8" borderId="14" xfId="0" applyNumberFormat="1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1" fillId="0" borderId="0" xfId="1" applyNumberFormat="1" applyFont="1" applyFill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15" fillId="2" borderId="2" xfId="0" applyFont="1" applyFill="1" applyBorder="1" applyAlignment="1">
      <alignment wrapText="1"/>
    </xf>
    <xf numFmtId="0" fontId="15" fillId="2" borderId="3" xfId="0" applyFont="1" applyFill="1" applyBorder="1" applyAlignment="1">
      <alignment wrapText="1"/>
    </xf>
    <xf numFmtId="0" fontId="15" fillId="2" borderId="4" xfId="0" applyFont="1" applyFill="1" applyBorder="1" applyAlignment="1">
      <alignment wrapText="1"/>
    </xf>
    <xf numFmtId="0" fontId="7" fillId="7" borderId="1" xfId="0" applyFont="1" applyFill="1" applyBorder="1" applyAlignment="1">
      <alignment horizontal="right"/>
    </xf>
    <xf numFmtId="0" fontId="7" fillId="7" borderId="10" xfId="0" applyFont="1" applyFill="1" applyBorder="1" applyAlignment="1">
      <alignment horizontal="right"/>
    </xf>
    <xf numFmtId="10" fontId="13" fillId="8" borderId="0" xfId="0" applyNumberFormat="1" applyFont="1" applyFill="1"/>
    <xf numFmtId="0" fontId="6" fillId="0" borderId="8" xfId="0" applyFont="1" applyFill="1" applyBorder="1" applyAlignment="1">
      <alignment horizontal="center"/>
    </xf>
    <xf numFmtId="3" fontId="16" fillId="0" borderId="0" xfId="0" applyNumberFormat="1" applyFont="1" applyFill="1" applyBorder="1"/>
    <xf numFmtId="166" fontId="15" fillId="0" borderId="0" xfId="0" applyNumberFormat="1" applyFont="1"/>
    <xf numFmtId="0" fontId="35" fillId="0" borderId="0" xfId="0" applyFont="1"/>
    <xf numFmtId="165" fontId="0" fillId="0" borderId="0" xfId="0" applyNumberFormat="1"/>
    <xf numFmtId="9" fontId="0" fillId="0" borderId="0" xfId="0" applyNumberFormat="1"/>
    <xf numFmtId="10" fontId="11" fillId="2" borderId="0" xfId="0" quotePrefix="1" applyNumberFormat="1" applyFont="1" applyFill="1" applyBorder="1" applyAlignment="1">
      <alignment horizontal="center"/>
    </xf>
    <xf numFmtId="164" fontId="13" fillId="4" borderId="1" xfId="1" applyNumberFormat="1" applyFont="1" applyFill="1" applyBorder="1"/>
    <xf numFmtId="37" fontId="5" fillId="0" borderId="0" xfId="0" applyNumberFormat="1" applyFont="1"/>
    <xf numFmtId="0" fontId="0" fillId="0" borderId="0" xfId="0" applyAlignment="1"/>
    <xf numFmtId="175" fontId="11" fillId="0" borderId="0" xfId="1" applyNumberFormat="1" applyFont="1" applyFill="1" applyBorder="1" applyAlignment="1">
      <alignment horizontal="center"/>
    </xf>
    <xf numFmtId="0" fontId="3" fillId="0" borderId="0" xfId="0" applyFont="1"/>
    <xf numFmtId="164" fontId="0" fillId="4" borderId="0" xfId="0" applyNumberFormat="1" applyFill="1"/>
    <xf numFmtId="164" fontId="5" fillId="4" borderId="0" xfId="1" applyNumberFormat="1" applyFont="1" applyFill="1" applyBorder="1" applyAlignment="1">
      <alignment horizontal="center"/>
    </xf>
    <xf numFmtId="164" fontId="11" fillId="4" borderId="0" xfId="2" applyNumberFormat="1" applyFont="1" applyFill="1" applyBorder="1" applyAlignment="1">
      <alignment horizontal="center"/>
    </xf>
    <xf numFmtId="164" fontId="0" fillId="4" borderId="0" xfId="0" applyNumberFormat="1" applyFont="1" applyFill="1"/>
    <xf numFmtId="164" fontId="0" fillId="7" borderId="0" xfId="0" applyNumberFormat="1" applyFill="1"/>
    <xf numFmtId="164" fontId="5" fillId="4" borderId="0" xfId="0" applyNumberFormat="1" applyFont="1" applyFill="1"/>
    <xf numFmtId="164" fontId="5" fillId="0" borderId="0" xfId="0" applyNumberFormat="1" applyFont="1" applyFill="1"/>
    <xf numFmtId="0" fontId="7" fillId="7" borderId="1" xfId="0" applyFont="1" applyFill="1" applyBorder="1"/>
    <xf numFmtId="10" fontId="13" fillId="0" borderId="1" xfId="0" applyNumberFormat="1" applyFont="1" applyFill="1" applyBorder="1"/>
    <xf numFmtId="9" fontId="0" fillId="0" borderId="0" xfId="2" applyFont="1" applyFill="1"/>
    <xf numFmtId="164" fontId="0" fillId="0" borderId="0" xfId="0" quotePrefix="1" applyNumberFormat="1"/>
    <xf numFmtId="165" fontId="0" fillId="0" borderId="0" xfId="2" applyNumberFormat="1" applyFont="1" applyFill="1"/>
    <xf numFmtId="164" fontId="11" fillId="7" borderId="0" xfId="1" quotePrefix="1" applyNumberFormat="1" applyFont="1" applyFill="1" applyBorder="1" applyAlignment="1">
      <alignment horizontal="center"/>
    </xf>
    <xf numFmtId="164" fontId="0" fillId="12" borderId="0" xfId="0" applyNumberFormat="1" applyFill="1"/>
    <xf numFmtId="164" fontId="0" fillId="4" borderId="0" xfId="1" applyNumberFormat="1" applyFont="1" applyFill="1"/>
    <xf numFmtId="9" fontId="11" fillId="7" borderId="0" xfId="2" applyFont="1" applyFill="1" applyBorder="1" applyAlignment="1">
      <alignment horizontal="center"/>
    </xf>
    <xf numFmtId="181" fontId="11" fillId="7" borderId="0" xfId="2" applyNumberFormat="1" applyFont="1" applyFill="1" applyBorder="1" applyAlignment="1">
      <alignment horizontal="center"/>
    </xf>
    <xf numFmtId="43" fontId="27" fillId="0" borderId="2" xfId="4" applyFont="1" applyFill="1" applyBorder="1" applyAlignment="1">
      <alignment horizontal="left" wrapText="1"/>
    </xf>
    <xf numFmtId="43" fontId="27" fillId="0" borderId="3" xfId="4" applyFont="1" applyFill="1" applyBorder="1" applyAlignment="1">
      <alignment horizontal="left" wrapText="1"/>
    </xf>
    <xf numFmtId="167" fontId="26" fillId="0" borderId="0" xfId="0" applyNumberFormat="1" applyFont="1" applyFill="1" applyAlignment="1">
      <alignment horizontal="center" vertical="center" wrapText="1"/>
    </xf>
    <xf numFmtId="0" fontId="15" fillId="2" borderId="8" xfId="0" applyFont="1" applyFill="1" applyBorder="1" applyAlignment="1">
      <alignment horizontal="center" wrapText="1"/>
    </xf>
    <xf numFmtId="0" fontId="15" fillId="2" borderId="9" xfId="0" applyFont="1" applyFill="1" applyBorder="1" applyAlignment="1">
      <alignment horizontal="center"/>
    </xf>
    <xf numFmtId="0" fontId="15" fillId="2" borderId="10" xfId="0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 wrapText="1"/>
    </xf>
    <xf numFmtId="0" fontId="15" fillId="2" borderId="4" xfId="0" applyFont="1" applyFill="1" applyBorder="1" applyAlignment="1">
      <alignment horizontal="center" wrapText="1"/>
    </xf>
    <xf numFmtId="0" fontId="15" fillId="2" borderId="2" xfId="0" applyFont="1" applyFill="1" applyBorder="1" applyAlignment="1">
      <alignment horizontal="center" wrapText="1"/>
    </xf>
    <xf numFmtId="0" fontId="30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2" fontId="0" fillId="0" borderId="0" xfId="0" applyNumberFormat="1" applyFill="1"/>
    <xf numFmtId="179" fontId="11" fillId="0" borderId="0" xfId="2" applyNumberFormat="1" applyFont="1" applyFill="1" applyAlignment="1">
      <alignment horizontal="center"/>
    </xf>
  </cellXfs>
  <cellStyles count="434">
    <cellStyle name="Comma" xfId="1" builtinId="3"/>
    <cellStyle name="Comma 2" xfId="4" xr:uid="{00000000-0005-0000-0000-000001000000}"/>
    <cellStyle name="Comma 3" xfId="271" xr:uid="{00000000-0005-0000-0000-000002000000}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Normal" xfId="0" builtinId="0"/>
    <cellStyle name="Normal 2" xfId="3" xr:uid="{00000000-0005-0000-0000-0000B0010000}"/>
    <cellStyle name="Percent" xfId="2" builtinId="5"/>
  </cellStyles>
  <dxfs count="0"/>
  <tableStyles count="0" defaultTableStyle="TableStyleMedium2" defaultPivotStyle="PivotStyleLight16"/>
  <colors>
    <mruColors>
      <color rgb="FFD3D3D3"/>
      <color rgb="FF496FB9"/>
      <color rgb="FFF76D2C"/>
      <color rgb="FF4371C4"/>
      <color rgb="FFFBC00F"/>
      <color rgb="FFFF6D2C"/>
      <color rgb="FF46B0EB"/>
      <color rgb="FF496FB8"/>
      <color rgb="FF0000FF"/>
      <color rgb="FF2159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582674277381101"/>
          <c:y val="9.0776978769381095E-2"/>
          <c:w val="0.79540831453715299"/>
          <c:h val="0.69091824488481701"/>
        </c:manualLayout>
      </c:layout>
      <c:barChart>
        <c:barDir val="col"/>
        <c:grouping val="stacked"/>
        <c:varyColors val="0"/>
        <c:ser>
          <c:idx val="1"/>
          <c:order val="0"/>
          <c:tx>
            <c:v>Employer</c:v>
          </c:tx>
          <c:spPr>
            <a:solidFill>
              <a:srgbClr val="215968"/>
            </a:solidFill>
          </c:spPr>
          <c:invertIfNegative val="0"/>
          <c:cat>
            <c:numRef>
              <c:f>SCRS!$A$8:$A$40</c:f>
              <c:numCache>
                <c:formatCode>General</c:formatCode>
                <c:ptCount val="33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  <c:pt idx="14">
                  <c:v>2031</c:v>
                </c:pt>
                <c:pt idx="15">
                  <c:v>2032</c:v>
                </c:pt>
                <c:pt idx="16">
                  <c:v>2033</c:v>
                </c:pt>
                <c:pt idx="17">
                  <c:v>2034</c:v>
                </c:pt>
                <c:pt idx="18">
                  <c:v>2035</c:v>
                </c:pt>
                <c:pt idx="19">
                  <c:v>2036</c:v>
                </c:pt>
                <c:pt idx="20">
                  <c:v>2037</c:v>
                </c:pt>
                <c:pt idx="21">
                  <c:v>2038</c:v>
                </c:pt>
                <c:pt idx="22">
                  <c:v>2039</c:v>
                </c:pt>
                <c:pt idx="23">
                  <c:v>2040</c:v>
                </c:pt>
                <c:pt idx="24">
                  <c:v>2041</c:v>
                </c:pt>
                <c:pt idx="25">
                  <c:v>2042</c:v>
                </c:pt>
                <c:pt idx="26">
                  <c:v>2043</c:v>
                </c:pt>
                <c:pt idx="27">
                  <c:v>2044</c:v>
                </c:pt>
                <c:pt idx="28">
                  <c:v>2045</c:v>
                </c:pt>
                <c:pt idx="29">
                  <c:v>2046</c:v>
                </c:pt>
                <c:pt idx="30">
                  <c:v>2047</c:v>
                </c:pt>
                <c:pt idx="31">
                  <c:v>2048</c:v>
                </c:pt>
                <c:pt idx="32">
                  <c:v>2049</c:v>
                </c:pt>
              </c:numCache>
            </c:numRef>
          </c:cat>
          <c:val>
            <c:numRef>
              <c:f>SCRS!$DB$10:$DB$42</c:f>
              <c:numCache>
                <c:formatCode>_(* #,##0_);_(* \(#,##0\);_(* "-"??_);_(@_)</c:formatCode>
                <c:ptCount val="33"/>
                <c:pt idx="0">
                  <c:v>1238.2675999999999</c:v>
                </c:pt>
                <c:pt idx="1">
                  <c:v>1479.07185</c:v>
                </c:pt>
                <c:pt idx="2">
                  <c:v>1617.3672999999997</c:v>
                </c:pt>
                <c:pt idx="3">
                  <c:v>1820.9454500000002</c:v>
                </c:pt>
                <c:pt idx="4">
                  <c:v>1849.4589499999997</c:v>
                </c:pt>
                <c:pt idx="5">
                  <c:v>240.86808828869457</c:v>
                </c:pt>
                <c:pt idx="6">
                  <c:v>2150.8520640628694</c:v>
                </c:pt>
                <c:pt idx="7">
                  <c:v>2085.508101750273</c:v>
                </c:pt>
                <c:pt idx="8">
                  <c:v>2035.451559347194</c:v>
                </c:pt>
                <c:pt idx="9">
                  <c:v>1983.8322434603597</c:v>
                </c:pt>
                <c:pt idx="10">
                  <c:v>1903.1980021789595</c:v>
                </c:pt>
                <c:pt idx="11">
                  <c:v>1909.6127321295205</c:v>
                </c:pt>
                <c:pt idx="12">
                  <c:v>1914.8828205688858</c:v>
                </c:pt>
                <c:pt idx="13">
                  <c:v>1920.1594493252321</c:v>
                </c:pt>
                <c:pt idx="14">
                  <c:v>1925.4434253437219</c:v>
                </c:pt>
                <c:pt idx="15">
                  <c:v>1930.73532120347</c:v>
                </c:pt>
                <c:pt idx="16">
                  <c:v>1936.035663319645</c:v>
                </c:pt>
                <c:pt idx="17">
                  <c:v>1941.3452007303495</c:v>
                </c:pt>
                <c:pt idx="18">
                  <c:v>1946.6638838530419</c:v>
                </c:pt>
                <c:pt idx="19">
                  <c:v>1951.9916932104024</c:v>
                </c:pt>
                <c:pt idx="20">
                  <c:v>1957.3286313661338</c:v>
                </c:pt>
                <c:pt idx="21">
                  <c:v>1962.6746492972338</c:v>
                </c:pt>
                <c:pt idx="22">
                  <c:v>1968.0297280067291</c:v>
                </c:pt>
                <c:pt idx="23">
                  <c:v>1973.3938445482256</c:v>
                </c:pt>
                <c:pt idx="24">
                  <c:v>1978.7669756228563</c:v>
                </c:pt>
                <c:pt idx="25">
                  <c:v>1984.1491024460911</c:v>
                </c:pt>
                <c:pt idx="26">
                  <c:v>297.78008604262942</c:v>
                </c:pt>
                <c:pt idx="27">
                  <c:v>200.35910370115488</c:v>
                </c:pt>
                <c:pt idx="28">
                  <c:v>197.92621440503527</c:v>
                </c:pt>
                <c:pt idx="29">
                  <c:v>195.45016268480543</c:v>
                </c:pt>
                <c:pt idx="30">
                  <c:v>192.92778505525339</c:v>
                </c:pt>
                <c:pt idx="31">
                  <c:v>190.36038378054707</c:v>
                </c:pt>
                <c:pt idx="32">
                  <c:v>187.74936069843596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BE-451A-828C-5B4E6CD36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4860280"/>
        <c:axId val="364861848"/>
      </c:barChart>
      <c:lineChart>
        <c:grouping val="standard"/>
        <c:varyColors val="0"/>
        <c:ser>
          <c:idx val="0"/>
          <c:order val="1"/>
          <c:tx>
            <c:v>Baseline</c:v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val>
            <c:numRef>
              <c:f>SCRS!$DO$10:$DO$42</c:f>
              <c:numCache>
                <c:formatCode>_(* #,##0_);_(* \(#,##0\);_(* "-"??_);_(@_)</c:formatCode>
                <c:ptCount val="33"/>
                <c:pt idx="0">
                  <c:v>1238.2675999999999</c:v>
                </c:pt>
                <c:pt idx="1">
                  <c:v>1479.07185</c:v>
                </c:pt>
                <c:pt idx="2">
                  <c:v>1617.3672999999997</c:v>
                </c:pt>
                <c:pt idx="3">
                  <c:v>1820.9454500000002</c:v>
                </c:pt>
                <c:pt idx="4">
                  <c:v>1846.4809637440005</c:v>
                </c:pt>
                <c:pt idx="5">
                  <c:v>1979.5637049665727</c:v>
                </c:pt>
                <c:pt idx="6">
                  <c:v>2114.499416450481</c:v>
                </c:pt>
                <c:pt idx="7">
                  <c:v>2251.3081210575583</c:v>
                </c:pt>
                <c:pt idx="8">
                  <c:v>2267.8213835592028</c:v>
                </c:pt>
                <c:pt idx="9">
                  <c:v>2284.4557702356756</c:v>
                </c:pt>
                <c:pt idx="10">
                  <c:v>2301.2121695283586</c:v>
                </c:pt>
                <c:pt idx="11">
                  <c:v>2318.0914763953147</c:v>
                </c:pt>
                <c:pt idx="12">
                  <c:v>2335.0945923590948</c:v>
                </c:pt>
                <c:pt idx="13">
                  <c:v>2352.2224255548836</c:v>
                </c:pt>
                <c:pt idx="14">
                  <c:v>2369.4758907790019</c:v>
                </c:pt>
                <c:pt idx="15">
                  <c:v>2386.8559095377732</c:v>
                </c:pt>
                <c:pt idx="16">
                  <c:v>2404.3634100967297</c:v>
                </c:pt>
                <c:pt idx="17">
                  <c:v>2421.9993275302022</c:v>
                </c:pt>
                <c:pt idx="18">
                  <c:v>2439.7646037712552</c:v>
                </c:pt>
                <c:pt idx="19">
                  <c:v>2457.6601876619975</c:v>
                </c:pt>
                <c:pt idx="20">
                  <c:v>2475.6870350042618</c:v>
                </c:pt>
                <c:pt idx="21">
                  <c:v>2359.4794001725763</c:v>
                </c:pt>
                <c:pt idx="22">
                  <c:v>2241.4338117227753</c:v>
                </c:pt>
                <c:pt idx="23">
                  <c:v>2121.5295591768886</c:v>
                </c:pt>
                <c:pt idx="24">
                  <c:v>1999.7457271207566</c:v>
                </c:pt>
                <c:pt idx="25">
                  <c:v>1876.0611933118964</c:v>
                </c:pt>
                <c:pt idx="26">
                  <c:v>1750.454626770621</c:v>
                </c:pt>
                <c:pt idx="27">
                  <c:v>1622.9044858543002</c:v>
                </c:pt>
                <c:pt idx="28">
                  <c:v>1493.3890163145875</c:v>
                </c:pt>
                <c:pt idx="29">
                  <c:v>1361.8862493374897</c:v>
                </c:pt>
                <c:pt idx="30">
                  <c:v>1228.3739995661203</c:v>
                </c:pt>
                <c:pt idx="31">
                  <c:v>1092.8298631059879</c:v>
                </c:pt>
                <c:pt idx="32">
                  <c:v>955.2312155126765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BE-451A-828C-5B4E6CD36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4860280"/>
        <c:axId val="364861848"/>
      </c:lineChart>
      <c:lineChart>
        <c:grouping val="standard"/>
        <c:varyColors val="0"/>
        <c:ser>
          <c:idx val="2"/>
          <c:order val="2"/>
          <c:tx>
            <c:v>FR-Baseline-AVA</c:v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val>
            <c:numRef>
              <c:f>SCRS!$DP$10:$DP$42</c:f>
              <c:numCache>
                <c:formatCode>0%</c:formatCode>
                <c:ptCount val="33"/>
                <c:pt idx="0">
                  <c:v>0.56313643126653434</c:v>
                </c:pt>
                <c:pt idx="1">
                  <c:v>0.55047484904875732</c:v>
                </c:pt>
                <c:pt idx="2">
                  <c:v>0.54410097368084065</c:v>
                </c:pt>
                <c:pt idx="3">
                  <c:v>0.54113120037755524</c:v>
                </c:pt>
                <c:pt idx="4">
                  <c:v>0.54457480979519213</c:v>
                </c:pt>
                <c:pt idx="5">
                  <c:v>0.54749477334367014</c:v>
                </c:pt>
                <c:pt idx="6">
                  <c:v>0.55333232965782631</c:v>
                </c:pt>
                <c:pt idx="7">
                  <c:v>0.56418490765484375</c:v>
                </c:pt>
                <c:pt idx="8">
                  <c:v>0.58448884230369069</c:v>
                </c:pt>
                <c:pt idx="9">
                  <c:v>0.60582205265646216</c:v>
                </c:pt>
                <c:pt idx="10">
                  <c:v>0.62824917064618702</c:v>
                </c:pt>
                <c:pt idx="11">
                  <c:v>0.65183943336430827</c:v>
                </c:pt>
                <c:pt idx="12">
                  <c:v>0.67666709084471877</c:v>
                </c:pt>
                <c:pt idx="13">
                  <c:v>0.70281160621792638</c:v>
                </c:pt>
                <c:pt idx="14">
                  <c:v>0.7303605718563011</c:v>
                </c:pt>
                <c:pt idx="15">
                  <c:v>0.75940363948486811</c:v>
                </c:pt>
                <c:pt idx="16">
                  <c:v>0.79004184282941103</c:v>
                </c:pt>
                <c:pt idx="17">
                  <c:v>0.82238140439621144</c:v>
                </c:pt>
                <c:pt idx="18">
                  <c:v>0.85653499666288024</c:v>
                </c:pt>
                <c:pt idx="19">
                  <c:v>0.89262829385980502</c:v>
                </c:pt>
                <c:pt idx="20">
                  <c:v>0.93079459547675103</c:v>
                </c:pt>
                <c:pt idx="21">
                  <c:v>0.96762603333434072</c:v>
                </c:pt>
                <c:pt idx="22">
                  <c:v>1.0030467195087411</c:v>
                </c:pt>
                <c:pt idx="23">
                  <c:v>1.0369726566062747</c:v>
                </c:pt>
                <c:pt idx="24">
                  <c:v>1.0692749331691298</c:v>
                </c:pt>
                <c:pt idx="25">
                  <c:v>1.0997493659807147</c:v>
                </c:pt>
                <c:pt idx="26">
                  <c:v>1.1281178214136816</c:v>
                </c:pt>
                <c:pt idx="27">
                  <c:v>1.1540468668447155</c:v>
                </c:pt>
                <c:pt idx="28">
                  <c:v>1.1771650646767426</c:v>
                </c:pt>
                <c:pt idx="29">
                  <c:v>1.1970783782637879</c:v>
                </c:pt>
                <c:pt idx="30">
                  <c:v>1.2134137491985475</c:v>
                </c:pt>
                <c:pt idx="31">
                  <c:v>1.2258397172599245</c:v>
                </c:pt>
                <c:pt idx="32">
                  <c:v>1.2340997452547366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BE-451A-828C-5B4E6CD36089}"/>
            </c:ext>
          </c:extLst>
        </c:ser>
        <c:ser>
          <c:idx val="3"/>
          <c:order val="3"/>
          <c:tx>
            <c:v>FR-AVA</c:v>
          </c:tx>
          <c:spPr>
            <a:ln>
              <a:solidFill>
                <a:schemeClr val="accent6"/>
              </a:solidFill>
              <a:prstDash val="sysDash"/>
            </a:ln>
          </c:spPr>
          <c:marker>
            <c:symbol val="none"/>
          </c:marker>
          <c:val>
            <c:numRef>
              <c:f>SCRS!$AQ$10:$AQ$42</c:f>
              <c:numCache>
                <c:formatCode>0.0%</c:formatCode>
                <c:ptCount val="33"/>
                <c:pt idx="0">
                  <c:v>0.56313643126653434</c:v>
                </c:pt>
                <c:pt idx="1">
                  <c:v>0.55047484904875732</c:v>
                </c:pt>
                <c:pt idx="2">
                  <c:v>0.54410097368084065</c:v>
                </c:pt>
                <c:pt idx="3">
                  <c:v>0.54113120037755524</c:v>
                </c:pt>
                <c:pt idx="4">
                  <c:v>0.55177695114158254</c:v>
                </c:pt>
                <c:pt idx="5">
                  <c:v>0.5497145719124924</c:v>
                </c:pt>
                <c:pt idx="6">
                  <c:v>0.57979895734203302</c:v>
                </c:pt>
                <c:pt idx="7">
                  <c:v>0.60993323031437352</c:v>
                </c:pt>
                <c:pt idx="8">
                  <c:v>0.64689738595275514</c:v>
                </c:pt>
                <c:pt idx="9">
                  <c:v>0.66367744237475901</c:v>
                </c:pt>
                <c:pt idx="10">
                  <c:v>0.67975317409329206</c:v>
                </c:pt>
                <c:pt idx="11">
                  <c:v>0.6964439456395245</c:v>
                </c:pt>
                <c:pt idx="12">
                  <c:v>0.71377101156864353</c:v>
                </c:pt>
                <c:pt idx="13">
                  <c:v>0.73177899164317173</c:v>
                </c:pt>
                <c:pt idx="14">
                  <c:v>0.75051771042153881</c:v>
                </c:pt>
                <c:pt idx="15">
                  <c:v>0.77003682808320606</c:v>
                </c:pt>
                <c:pt idx="16">
                  <c:v>0.79039394668224583</c:v>
                </c:pt>
                <c:pt idx="17">
                  <c:v>0.81164897108246858</c:v>
                </c:pt>
                <c:pt idx="18">
                  <c:v>0.83386462322382027</c:v>
                </c:pt>
                <c:pt idx="19">
                  <c:v>0.85711271984133441</c:v>
                </c:pt>
                <c:pt idx="20">
                  <c:v>0.88146872522040454</c:v>
                </c:pt>
                <c:pt idx="21">
                  <c:v>0.90701438820292457</c:v>
                </c:pt>
                <c:pt idx="22">
                  <c:v>0.93383842631308656</c:v>
                </c:pt>
                <c:pt idx="23">
                  <c:v>0.96203729941905913</c:v>
                </c:pt>
                <c:pt idx="24">
                  <c:v>0.99172059617173269</c:v>
                </c:pt>
                <c:pt idx="25">
                  <c:v>1.0229426828770876</c:v>
                </c:pt>
                <c:pt idx="26">
                  <c:v>1.0247737634122949</c:v>
                </c:pt>
                <c:pt idx="27">
                  <c:v>1.0248522226273662</c:v>
                </c:pt>
                <c:pt idx="28">
                  <c:v>1.0248217126311452</c:v>
                </c:pt>
                <c:pt idx="29">
                  <c:v>1.0246664861657151</c:v>
                </c:pt>
                <c:pt idx="30">
                  <c:v>1.0243746117660195</c:v>
                </c:pt>
                <c:pt idx="31">
                  <c:v>1.0239346023998508</c:v>
                </c:pt>
                <c:pt idx="32">
                  <c:v>1.0233429217987877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BE-451A-828C-5B4E6CD36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4859104"/>
        <c:axId val="364856752"/>
      </c:lineChart>
      <c:catAx>
        <c:axId val="364860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4861848"/>
        <c:crosses val="autoZero"/>
        <c:auto val="1"/>
        <c:lblAlgn val="ctr"/>
        <c:lblOffset val="100"/>
        <c:tickLblSkip val="5"/>
        <c:noMultiLvlLbl val="0"/>
      </c:catAx>
      <c:valAx>
        <c:axId val="364861848"/>
        <c:scaling>
          <c:orientation val="minMax"/>
          <c:max val="25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$ Millions (inflation adjusted)</a:t>
                </a:r>
              </a:p>
            </c:rich>
          </c:tx>
          <c:layout>
            <c:manualLayout>
              <c:xMode val="edge"/>
              <c:yMode val="edge"/>
              <c:x val="3.2922267817051998E-3"/>
              <c:y val="0.18558118809186899"/>
            </c:manualLayout>
          </c:layout>
          <c:overlay val="0"/>
        </c:title>
        <c:numFmt formatCode="#,##0_);\(#,##0\)" sourceLinked="0"/>
        <c:majorTickMark val="out"/>
        <c:minorTickMark val="none"/>
        <c:tickLblPos val="nextTo"/>
        <c:crossAx val="364860280"/>
        <c:crosses val="autoZero"/>
        <c:crossBetween val="between"/>
      </c:valAx>
      <c:valAx>
        <c:axId val="364856752"/>
        <c:scaling>
          <c:orientation val="minMax"/>
          <c:max val="1.3"/>
          <c:min val="0"/>
        </c:scaling>
        <c:delete val="0"/>
        <c:axPos val="r"/>
        <c:numFmt formatCode="0%" sourceLinked="1"/>
        <c:majorTickMark val="out"/>
        <c:minorTickMark val="none"/>
        <c:tickLblPos val="nextTo"/>
        <c:crossAx val="364859104"/>
        <c:crosses val="max"/>
        <c:crossBetween val="between"/>
      </c:valAx>
      <c:catAx>
        <c:axId val="364859104"/>
        <c:scaling>
          <c:orientation val="minMax"/>
        </c:scaling>
        <c:delete val="1"/>
        <c:axPos val="b"/>
        <c:majorTickMark val="out"/>
        <c:minorTickMark val="none"/>
        <c:tickLblPos val="nextTo"/>
        <c:crossAx val="364856752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4.9999890187844703E-2"/>
          <c:y val="0.91072746516251202"/>
          <c:w val="0.75087309272518077"/>
          <c:h val="8.9272545071003934E-2"/>
        </c:manualLayout>
      </c:layout>
      <c:overlay val="0"/>
      <c:spPr>
        <a:solidFill>
          <a:schemeClr val="bg1"/>
        </a:solidFill>
        <a:ln>
          <a:noFill/>
        </a:ln>
      </c:spPr>
      <c:txPr>
        <a:bodyPr/>
        <a:lstStyle/>
        <a:p>
          <a:pPr>
            <a:defRPr sz="700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000000000001199" l="0.70000000000000095" r="0.70000000000000095" t="0.75000000000001199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371828521434799E-2"/>
          <c:y val="1.2484394506866401E-2"/>
          <c:w val="0.87559407504617504"/>
          <c:h val="0.80516265158964284"/>
        </c:manualLayout>
      </c:layout>
      <c:barChart>
        <c:barDir val="col"/>
        <c:grouping val="stacked"/>
        <c:varyColors val="0"/>
        <c:ser>
          <c:idx val="5"/>
          <c:order val="0"/>
          <c:tx>
            <c:v>Employer DB Normal Cost</c:v>
          </c:tx>
          <c:spPr>
            <a:solidFill>
              <a:srgbClr val="0070C0"/>
            </a:solidFill>
            <a:ln>
              <a:noFill/>
            </a:ln>
          </c:spPr>
          <c:invertIfNegative val="0"/>
          <c:cat>
            <c:numRef>
              <c:f>SCRS!$A$10:$A$39</c:f>
              <c:numCache>
                <c:formatCode>General</c:formatCode>
                <c:ptCount val="30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</c:numCache>
            </c:numRef>
          </c:cat>
          <c:val>
            <c:numRef>
              <c:f>SCRS!$EL$10:$EL$39</c:f>
              <c:numCache>
                <c:formatCode>0.00%</c:formatCode>
                <c:ptCount val="30"/>
                <c:pt idx="0">
                  <c:v>1.7200000000000007E-2</c:v>
                </c:pt>
                <c:pt idx="1">
                  <c:v>1.6600000000000004E-2</c:v>
                </c:pt>
                <c:pt idx="2">
                  <c:v>1.6399999999999998E-2</c:v>
                </c:pt>
                <c:pt idx="3">
                  <c:v>1.6300000000000009E-2</c:v>
                </c:pt>
                <c:pt idx="4">
                  <c:v>1.9500000000000003E-2</c:v>
                </c:pt>
                <c:pt idx="5">
                  <c:v>1.9500000000000003E-2</c:v>
                </c:pt>
                <c:pt idx="6">
                  <c:v>1.9500000000000017E-2</c:v>
                </c:pt>
                <c:pt idx="7">
                  <c:v>1.949999999999999E-2</c:v>
                </c:pt>
                <c:pt idx="8">
                  <c:v>1.9500000000000003E-2</c:v>
                </c:pt>
                <c:pt idx="9">
                  <c:v>1.9500000000000017E-2</c:v>
                </c:pt>
                <c:pt idx="10">
                  <c:v>1.9500000000000017E-2</c:v>
                </c:pt>
                <c:pt idx="11">
                  <c:v>1.9500000000000003E-2</c:v>
                </c:pt>
                <c:pt idx="12">
                  <c:v>1.9500000000000003E-2</c:v>
                </c:pt>
                <c:pt idx="13">
                  <c:v>1.9500000000000003E-2</c:v>
                </c:pt>
                <c:pt idx="14">
                  <c:v>1.9500000000000003E-2</c:v>
                </c:pt>
                <c:pt idx="15">
                  <c:v>1.9500000000000017E-2</c:v>
                </c:pt>
                <c:pt idx="16">
                  <c:v>1.9500000000000017E-2</c:v>
                </c:pt>
                <c:pt idx="17">
                  <c:v>1.9500000000000003E-2</c:v>
                </c:pt>
                <c:pt idx="18">
                  <c:v>1.9500000000000017E-2</c:v>
                </c:pt>
                <c:pt idx="19">
                  <c:v>1.9500000000000017E-2</c:v>
                </c:pt>
                <c:pt idx="20">
                  <c:v>1.9500000000000003E-2</c:v>
                </c:pt>
                <c:pt idx="21">
                  <c:v>1.9500000000000003E-2</c:v>
                </c:pt>
                <c:pt idx="22">
                  <c:v>1.9500000000000003E-2</c:v>
                </c:pt>
                <c:pt idx="23">
                  <c:v>1.9500000000000003E-2</c:v>
                </c:pt>
                <c:pt idx="24">
                  <c:v>1.9500000000000017E-2</c:v>
                </c:pt>
                <c:pt idx="25">
                  <c:v>1.9500000000000003E-2</c:v>
                </c:pt>
                <c:pt idx="26">
                  <c:v>1.9500000000000017E-2</c:v>
                </c:pt>
                <c:pt idx="27">
                  <c:v>1.9500000000000003E-2</c:v>
                </c:pt>
                <c:pt idx="28">
                  <c:v>1.9500000000000003E-2</c:v>
                </c:pt>
                <c:pt idx="29">
                  <c:v>1.9500000000000003E-2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83-2C4E-AA14-09248E12B7D2}"/>
            </c:ext>
          </c:extLst>
        </c:ser>
        <c:ser>
          <c:idx val="1"/>
          <c:order val="1"/>
          <c:tx>
            <c:v>Unfunded Liability Amortization Payment</c:v>
          </c:tx>
          <c:spPr>
            <a:solidFill>
              <a:srgbClr val="00B0F0"/>
            </a:solidFill>
          </c:spPr>
          <c:invertIfNegative val="0"/>
          <c:cat>
            <c:numRef>
              <c:f>SCRS!$A$10:$A$39</c:f>
              <c:numCache>
                <c:formatCode>General</c:formatCode>
                <c:ptCount val="30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</c:numCache>
            </c:numRef>
          </c:cat>
          <c:val>
            <c:numRef>
              <c:f>SCRS!$EK$10:$EK$39</c:f>
              <c:numCache>
                <c:formatCode>0.00%</c:formatCode>
                <c:ptCount val="30"/>
                <c:pt idx="0">
                  <c:v>0.11839999999999999</c:v>
                </c:pt>
                <c:pt idx="1">
                  <c:v>0.129</c:v>
                </c:pt>
                <c:pt idx="2">
                  <c:v>0.13920000000000002</c:v>
                </c:pt>
                <c:pt idx="3">
                  <c:v>0.14930000000000002</c:v>
                </c:pt>
                <c:pt idx="4">
                  <c:v>0.15610000000000002</c:v>
                </c:pt>
                <c:pt idx="5">
                  <c:v>0.16610000000000003</c:v>
                </c:pt>
                <c:pt idx="6">
                  <c:v>0.16610000000000003</c:v>
                </c:pt>
                <c:pt idx="7">
                  <c:v>0.16610000000000005</c:v>
                </c:pt>
                <c:pt idx="8">
                  <c:v>0.16610000000000003</c:v>
                </c:pt>
                <c:pt idx="9">
                  <c:v>0.16610000000000003</c:v>
                </c:pt>
                <c:pt idx="10">
                  <c:v>0.16610000000000003</c:v>
                </c:pt>
                <c:pt idx="11">
                  <c:v>0.16610000000000003</c:v>
                </c:pt>
                <c:pt idx="12">
                  <c:v>0.16610000000000003</c:v>
                </c:pt>
                <c:pt idx="13">
                  <c:v>0.16610000000000003</c:v>
                </c:pt>
                <c:pt idx="14">
                  <c:v>0.16610000000000003</c:v>
                </c:pt>
                <c:pt idx="15">
                  <c:v>0.16610000000000003</c:v>
                </c:pt>
                <c:pt idx="16">
                  <c:v>0.16610000000000003</c:v>
                </c:pt>
                <c:pt idx="17">
                  <c:v>0.16610000000000003</c:v>
                </c:pt>
                <c:pt idx="18">
                  <c:v>0.16610000000000003</c:v>
                </c:pt>
                <c:pt idx="19">
                  <c:v>0.16610000000000003</c:v>
                </c:pt>
                <c:pt idx="20">
                  <c:v>0.15610000000000002</c:v>
                </c:pt>
                <c:pt idx="21">
                  <c:v>0.14610000000000001</c:v>
                </c:pt>
                <c:pt idx="22">
                  <c:v>0.1361</c:v>
                </c:pt>
                <c:pt idx="23">
                  <c:v>0.12609999999999999</c:v>
                </c:pt>
                <c:pt idx="24">
                  <c:v>0.11609999999999998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83-2C4E-AA14-09248E12B7D2}"/>
            </c:ext>
          </c:extLst>
        </c:ser>
        <c:ser>
          <c:idx val="2"/>
          <c:order val="3"/>
          <c:tx>
            <c:v>Employer ORP Remittance</c:v>
          </c:tx>
          <c:spPr>
            <a:solidFill>
              <a:schemeClr val="accent4">
                <a:lumMod val="60000"/>
                <a:lumOff val="40000"/>
              </a:schemeClr>
            </a:solidFill>
          </c:spPr>
          <c:invertIfNegative val="0"/>
          <c:cat>
            <c:numRef>
              <c:f>SCRS!$A$10:$A$39</c:f>
              <c:numCache>
                <c:formatCode>General</c:formatCode>
                <c:ptCount val="30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</c:numCache>
            </c:numRef>
          </c:cat>
          <c:val>
            <c:numRef>
              <c:f>SCRS!$EN$10:$EN$39</c:f>
              <c:numCache>
                <c:formatCode>0.00%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83-2C4E-AA14-09248E12B7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5871200"/>
        <c:axId val="795873680"/>
      </c:barChart>
      <c:lineChart>
        <c:grouping val="standard"/>
        <c:varyColors val="0"/>
        <c:ser>
          <c:idx val="0"/>
          <c:order val="2"/>
          <c:tx>
            <c:v>Baseline Employer Contribution (Statutory)</c:v>
          </c:tx>
          <c:spPr>
            <a:ln w="25400">
              <a:solidFill>
                <a:srgbClr val="FFC000"/>
              </a:solidFill>
            </a:ln>
          </c:spPr>
          <c:marker>
            <c:symbol val="none"/>
          </c:marker>
          <c:cat>
            <c:numRef>
              <c:f>SCRS!$A$10:$A$39</c:f>
              <c:numCache>
                <c:formatCode>General</c:formatCode>
                <c:ptCount val="30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</c:numCache>
            </c:numRef>
          </c:cat>
          <c:val>
            <c:numRef>
              <c:f>SCRS!$EO$10:$EO$39</c:f>
              <c:numCache>
                <c:formatCode>0.00%</c:formatCode>
                <c:ptCount val="30"/>
                <c:pt idx="0">
                  <c:v>0.14560000000000001</c:v>
                </c:pt>
                <c:pt idx="1">
                  <c:v>0.15560000000000002</c:v>
                </c:pt>
                <c:pt idx="2">
                  <c:v>0.16560000000000002</c:v>
                </c:pt>
                <c:pt idx="3">
                  <c:v>0.17560000000000003</c:v>
                </c:pt>
                <c:pt idx="4">
                  <c:v>0.18560000000000004</c:v>
                </c:pt>
                <c:pt idx="5">
                  <c:v>0.18560000000000004</c:v>
                </c:pt>
                <c:pt idx="6">
                  <c:v>0.18560000000000004</c:v>
                </c:pt>
                <c:pt idx="7">
                  <c:v>0.18560000000000004</c:v>
                </c:pt>
                <c:pt idx="8">
                  <c:v>0.18560000000000004</c:v>
                </c:pt>
                <c:pt idx="9">
                  <c:v>0.18560000000000004</c:v>
                </c:pt>
                <c:pt idx="10">
                  <c:v>0.18560000000000004</c:v>
                </c:pt>
                <c:pt idx="11">
                  <c:v>0.18560000000000004</c:v>
                </c:pt>
                <c:pt idx="12">
                  <c:v>0.18560000000000004</c:v>
                </c:pt>
                <c:pt idx="13">
                  <c:v>0.18560000000000004</c:v>
                </c:pt>
                <c:pt idx="14">
                  <c:v>0.18560000000000004</c:v>
                </c:pt>
                <c:pt idx="15">
                  <c:v>0.18560000000000004</c:v>
                </c:pt>
                <c:pt idx="16">
                  <c:v>0.18560000000000004</c:v>
                </c:pt>
                <c:pt idx="17">
                  <c:v>0.18560000000000004</c:v>
                </c:pt>
                <c:pt idx="18">
                  <c:v>0.18560000000000004</c:v>
                </c:pt>
                <c:pt idx="19">
                  <c:v>0.17560000000000003</c:v>
                </c:pt>
                <c:pt idx="20">
                  <c:v>0.16560000000000002</c:v>
                </c:pt>
                <c:pt idx="21">
                  <c:v>0.15560000000000002</c:v>
                </c:pt>
                <c:pt idx="22">
                  <c:v>0.14560000000000001</c:v>
                </c:pt>
                <c:pt idx="23">
                  <c:v>0.1356</c:v>
                </c:pt>
                <c:pt idx="24">
                  <c:v>0.12559999999999999</c:v>
                </c:pt>
                <c:pt idx="25">
                  <c:v>0.11560000000000001</c:v>
                </c:pt>
                <c:pt idx="26">
                  <c:v>0.1056</c:v>
                </c:pt>
                <c:pt idx="27">
                  <c:v>9.5600000000000004E-2</c:v>
                </c:pt>
                <c:pt idx="28">
                  <c:v>8.5600000000000009E-2</c:v>
                </c:pt>
                <c:pt idx="29">
                  <c:v>7.5600000000000014E-2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83-2C4E-AA14-09248E12B7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5871200"/>
        <c:axId val="795873680"/>
      </c:lineChart>
      <c:catAx>
        <c:axId val="795871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 cmpd="sng">
            <a:solidFill>
              <a:schemeClr val="tx1"/>
            </a:solidFill>
          </a:ln>
        </c:spPr>
        <c:txPr>
          <a:bodyPr/>
          <a:lstStyle/>
          <a:p>
            <a:pPr>
              <a:defRPr sz="1400">
                <a:solidFill>
                  <a:schemeClr val="tx1"/>
                </a:solidFill>
                <a:latin typeface="+mn-lt"/>
                <a:ea typeface="Calibri" charset="0"/>
                <a:cs typeface="Calibri" charset="0"/>
              </a:defRPr>
            </a:pPr>
            <a:endParaRPr lang="en-US"/>
          </a:p>
        </c:txPr>
        <c:crossAx val="795873680"/>
        <c:crosses val="autoZero"/>
        <c:auto val="1"/>
        <c:lblAlgn val="ctr"/>
        <c:lblOffset val="100"/>
        <c:tickLblSkip val="3"/>
        <c:noMultiLvlLbl val="0"/>
      </c:catAx>
      <c:valAx>
        <c:axId val="795873680"/>
        <c:scaling>
          <c:orientation val="minMax"/>
          <c:max val="0.35000000000000003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400" b="1" baseline="0"/>
                  <a:t>Employer Contribution </a:t>
                </a:r>
                <a:r>
                  <a:rPr lang="en-US" sz="1400" b="1"/>
                  <a:t>(</a:t>
                </a:r>
                <a:r>
                  <a:rPr lang="en-US" sz="1400" b="1" i="0" u="none" strike="noStrike" baseline="0">
                    <a:effectLst/>
                  </a:rPr>
                  <a:t>% of Payroll</a:t>
                </a:r>
                <a:r>
                  <a:rPr lang="en-US" sz="1400" b="1"/>
                  <a:t>)</a:t>
                </a:r>
              </a:p>
            </c:rich>
          </c:tx>
          <c:layout>
            <c:manualLayout>
              <c:xMode val="edge"/>
              <c:yMode val="edge"/>
              <c:x val="7.2506561679789997E-4"/>
              <c:y val="0.18163120920157899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spPr>
          <a:ln w="3175" cmpd="sng">
            <a:solidFill>
              <a:schemeClr val="tx1"/>
            </a:solidFill>
          </a:ln>
        </c:spPr>
        <c:txPr>
          <a:bodyPr lIns="0">
            <a:noAutofit/>
          </a:bodyPr>
          <a:lstStyle/>
          <a:p>
            <a:pPr>
              <a:defRPr sz="1400" kern="12100" spc="-100" baseline="0">
                <a:latin typeface="Calibri" charset="0"/>
                <a:ea typeface="Calibri" charset="0"/>
                <a:cs typeface="Calibri" charset="0"/>
              </a:defRPr>
            </a:pPr>
            <a:endParaRPr lang="en-US"/>
          </a:p>
        </c:txPr>
        <c:crossAx val="795871200"/>
        <c:crosses val="autoZero"/>
        <c:crossBetween val="between"/>
        <c:majorUnit val="5.000000000000001E-2"/>
      </c:valAx>
    </c:plotArea>
    <c:legend>
      <c:legendPos val="b"/>
      <c:layout>
        <c:manualLayout>
          <c:xMode val="edge"/>
          <c:yMode val="edge"/>
          <c:x val="0.14351851851851852"/>
          <c:y val="0.91090728449688629"/>
          <c:w val="0.78285749003596761"/>
          <c:h val="8.9092715503113734E-2"/>
        </c:manualLayout>
      </c:layout>
      <c:overlay val="0"/>
      <c:spPr>
        <a:solidFill>
          <a:schemeClr val="bg1"/>
        </a:solidFill>
        <a:ln>
          <a:noFill/>
        </a:ln>
      </c:spPr>
      <c:txPr>
        <a:bodyPr lIns="2">
          <a:spAutoFit/>
        </a:bodyPr>
        <a:lstStyle/>
        <a:p>
          <a:pPr>
            <a:defRPr sz="1300" b="0" strike="noStrike" spc="0"/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>
      <a:noFill/>
    </a:ln>
  </c:spPr>
  <c:printSettings>
    <c:headerFooter/>
    <c:pageMargins b="0.75000000000001199" l="0.70000000000000095" r="0.70000000000000095" t="0.75000000000001199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371828521434799E-2"/>
          <c:y val="1.2484394506866401E-2"/>
          <c:w val="0.87559407504617504"/>
          <c:h val="0.80516265158964284"/>
        </c:manualLayout>
      </c:layout>
      <c:barChart>
        <c:barDir val="col"/>
        <c:grouping val="stacked"/>
        <c:varyColors val="0"/>
        <c:ser>
          <c:idx val="5"/>
          <c:order val="0"/>
          <c:tx>
            <c:v>Employer DB Normal Cost</c:v>
          </c:tx>
          <c:spPr>
            <a:solidFill>
              <a:srgbClr val="0070C0"/>
            </a:solidFill>
            <a:ln>
              <a:noFill/>
            </a:ln>
          </c:spPr>
          <c:invertIfNegative val="0"/>
          <c:cat>
            <c:numRef>
              <c:f>SCRS!$A$10:$A$40</c:f>
              <c:numCache>
                <c:formatCode>General</c:formatCode>
                <c:ptCount val="31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</c:numCache>
            </c:numRef>
          </c:cat>
          <c:val>
            <c:numRef>
              <c:f>SCRS!$EL$10:$EL$40</c:f>
              <c:numCache>
                <c:formatCode>0.00%</c:formatCode>
                <c:ptCount val="31"/>
                <c:pt idx="0">
                  <c:v>1.7200000000000007E-2</c:v>
                </c:pt>
                <c:pt idx="1">
                  <c:v>1.6600000000000004E-2</c:v>
                </c:pt>
                <c:pt idx="2">
                  <c:v>1.6399999999999998E-2</c:v>
                </c:pt>
                <c:pt idx="3">
                  <c:v>1.6300000000000009E-2</c:v>
                </c:pt>
                <c:pt idx="4">
                  <c:v>1.9500000000000003E-2</c:v>
                </c:pt>
                <c:pt idx="5">
                  <c:v>1.9500000000000003E-2</c:v>
                </c:pt>
                <c:pt idx="6">
                  <c:v>1.9500000000000017E-2</c:v>
                </c:pt>
                <c:pt idx="7">
                  <c:v>1.949999999999999E-2</c:v>
                </c:pt>
                <c:pt idx="8">
                  <c:v>1.9500000000000003E-2</c:v>
                </c:pt>
                <c:pt idx="9">
                  <c:v>1.9500000000000017E-2</c:v>
                </c:pt>
                <c:pt idx="10">
                  <c:v>1.9500000000000017E-2</c:v>
                </c:pt>
                <c:pt idx="11">
                  <c:v>1.9500000000000003E-2</c:v>
                </c:pt>
                <c:pt idx="12">
                  <c:v>1.9500000000000003E-2</c:v>
                </c:pt>
                <c:pt idx="13">
                  <c:v>1.9500000000000003E-2</c:v>
                </c:pt>
                <c:pt idx="14">
                  <c:v>1.9500000000000003E-2</c:v>
                </c:pt>
                <c:pt idx="15">
                  <c:v>1.9500000000000017E-2</c:v>
                </c:pt>
                <c:pt idx="16">
                  <c:v>1.9500000000000017E-2</c:v>
                </c:pt>
                <c:pt idx="17">
                  <c:v>1.9500000000000003E-2</c:v>
                </c:pt>
                <c:pt idx="18">
                  <c:v>1.9500000000000017E-2</c:v>
                </c:pt>
                <c:pt idx="19">
                  <c:v>1.9500000000000017E-2</c:v>
                </c:pt>
                <c:pt idx="20">
                  <c:v>1.9500000000000003E-2</c:v>
                </c:pt>
                <c:pt idx="21">
                  <c:v>1.9500000000000003E-2</c:v>
                </c:pt>
                <c:pt idx="22">
                  <c:v>1.9500000000000003E-2</c:v>
                </c:pt>
                <c:pt idx="23">
                  <c:v>1.9500000000000003E-2</c:v>
                </c:pt>
                <c:pt idx="24">
                  <c:v>1.9500000000000017E-2</c:v>
                </c:pt>
                <c:pt idx="25">
                  <c:v>1.9500000000000003E-2</c:v>
                </c:pt>
                <c:pt idx="26">
                  <c:v>1.9500000000000017E-2</c:v>
                </c:pt>
                <c:pt idx="27">
                  <c:v>1.9500000000000003E-2</c:v>
                </c:pt>
                <c:pt idx="28">
                  <c:v>1.9500000000000003E-2</c:v>
                </c:pt>
                <c:pt idx="29">
                  <c:v>1.9500000000000003E-2</c:v>
                </c:pt>
                <c:pt idx="30">
                  <c:v>1.9500000000000003E-2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7C-9C49-855F-D8CCB9BC4C0C}"/>
            </c:ext>
          </c:extLst>
        </c:ser>
        <c:ser>
          <c:idx val="1"/>
          <c:order val="1"/>
          <c:tx>
            <c:v>Unfunded Liability Amortization Payment</c:v>
          </c:tx>
          <c:spPr>
            <a:solidFill>
              <a:srgbClr val="00B0F0"/>
            </a:solidFill>
          </c:spPr>
          <c:invertIfNegative val="0"/>
          <c:cat>
            <c:numRef>
              <c:f>SCRS!$A$10:$A$40</c:f>
              <c:numCache>
                <c:formatCode>General</c:formatCode>
                <c:ptCount val="31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</c:numCache>
            </c:numRef>
          </c:cat>
          <c:val>
            <c:numRef>
              <c:f>SCRS!$EK$10:$EK$40</c:f>
              <c:numCache>
                <c:formatCode>0.00%</c:formatCode>
                <c:ptCount val="31"/>
                <c:pt idx="0">
                  <c:v>0.11839999999999999</c:v>
                </c:pt>
                <c:pt idx="1">
                  <c:v>0.129</c:v>
                </c:pt>
                <c:pt idx="2">
                  <c:v>0.13920000000000002</c:v>
                </c:pt>
                <c:pt idx="3">
                  <c:v>0.14930000000000002</c:v>
                </c:pt>
                <c:pt idx="4">
                  <c:v>0.15610000000000002</c:v>
                </c:pt>
                <c:pt idx="5">
                  <c:v>0.16610000000000003</c:v>
                </c:pt>
                <c:pt idx="6">
                  <c:v>0.16610000000000003</c:v>
                </c:pt>
                <c:pt idx="7">
                  <c:v>0.16610000000000005</c:v>
                </c:pt>
                <c:pt idx="8">
                  <c:v>0.16610000000000003</c:v>
                </c:pt>
                <c:pt idx="9">
                  <c:v>0.16610000000000003</c:v>
                </c:pt>
                <c:pt idx="10">
                  <c:v>0.16610000000000003</c:v>
                </c:pt>
                <c:pt idx="11">
                  <c:v>0.16610000000000003</c:v>
                </c:pt>
                <c:pt idx="12">
                  <c:v>0.16610000000000003</c:v>
                </c:pt>
                <c:pt idx="13">
                  <c:v>0.16610000000000003</c:v>
                </c:pt>
                <c:pt idx="14">
                  <c:v>0.16610000000000003</c:v>
                </c:pt>
                <c:pt idx="15">
                  <c:v>0.16610000000000003</c:v>
                </c:pt>
                <c:pt idx="16">
                  <c:v>0.16610000000000003</c:v>
                </c:pt>
                <c:pt idx="17">
                  <c:v>0.16610000000000003</c:v>
                </c:pt>
                <c:pt idx="18">
                  <c:v>0.16610000000000003</c:v>
                </c:pt>
                <c:pt idx="19">
                  <c:v>0.16610000000000003</c:v>
                </c:pt>
                <c:pt idx="20">
                  <c:v>0.15610000000000002</c:v>
                </c:pt>
                <c:pt idx="21">
                  <c:v>0.14610000000000001</c:v>
                </c:pt>
                <c:pt idx="22">
                  <c:v>0.1361</c:v>
                </c:pt>
                <c:pt idx="23">
                  <c:v>0.12609999999999999</c:v>
                </c:pt>
                <c:pt idx="24">
                  <c:v>0.11609999999999998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7C-9C49-855F-D8CCB9BC4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5871200"/>
        <c:axId val="795873680"/>
      </c:barChart>
      <c:lineChart>
        <c:grouping val="standard"/>
        <c:varyColors val="0"/>
        <c:ser>
          <c:idx val="0"/>
          <c:order val="2"/>
          <c:tx>
            <c:v>Baseline Employer Contribution (Statutory)</c:v>
          </c:tx>
          <c:spPr>
            <a:ln w="25400">
              <a:solidFill>
                <a:srgbClr val="FFC000"/>
              </a:solidFill>
            </a:ln>
          </c:spPr>
          <c:marker>
            <c:symbol val="none"/>
          </c:marker>
          <c:cat>
            <c:numRef>
              <c:f>SCRS!$A$10:$A$40</c:f>
              <c:numCache>
                <c:formatCode>General</c:formatCode>
                <c:ptCount val="31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</c:numCache>
            </c:numRef>
          </c:cat>
          <c:val>
            <c:numRef>
              <c:f>SCRS!$EO$10:$EO$40</c:f>
              <c:numCache>
                <c:formatCode>0.00%</c:formatCode>
                <c:ptCount val="31"/>
                <c:pt idx="0">
                  <c:v>0.14560000000000001</c:v>
                </c:pt>
                <c:pt idx="1">
                  <c:v>0.15560000000000002</c:v>
                </c:pt>
                <c:pt idx="2">
                  <c:v>0.16560000000000002</c:v>
                </c:pt>
                <c:pt idx="3">
                  <c:v>0.17560000000000003</c:v>
                </c:pt>
                <c:pt idx="4">
                  <c:v>0.18560000000000004</c:v>
                </c:pt>
                <c:pt idx="5">
                  <c:v>0.18560000000000004</c:v>
                </c:pt>
                <c:pt idx="6">
                  <c:v>0.18560000000000004</c:v>
                </c:pt>
                <c:pt idx="7">
                  <c:v>0.18560000000000004</c:v>
                </c:pt>
                <c:pt idx="8">
                  <c:v>0.18560000000000004</c:v>
                </c:pt>
                <c:pt idx="9">
                  <c:v>0.18560000000000004</c:v>
                </c:pt>
                <c:pt idx="10">
                  <c:v>0.18560000000000004</c:v>
                </c:pt>
                <c:pt idx="11">
                  <c:v>0.18560000000000004</c:v>
                </c:pt>
                <c:pt idx="12">
                  <c:v>0.18560000000000004</c:v>
                </c:pt>
                <c:pt idx="13">
                  <c:v>0.18560000000000004</c:v>
                </c:pt>
                <c:pt idx="14">
                  <c:v>0.18560000000000004</c:v>
                </c:pt>
                <c:pt idx="15">
                  <c:v>0.18560000000000004</c:v>
                </c:pt>
                <c:pt idx="16">
                  <c:v>0.18560000000000004</c:v>
                </c:pt>
                <c:pt idx="17">
                  <c:v>0.18560000000000004</c:v>
                </c:pt>
                <c:pt idx="18">
                  <c:v>0.18560000000000004</c:v>
                </c:pt>
                <c:pt idx="19">
                  <c:v>0.17560000000000003</c:v>
                </c:pt>
                <c:pt idx="20">
                  <c:v>0.16560000000000002</c:v>
                </c:pt>
                <c:pt idx="21">
                  <c:v>0.15560000000000002</c:v>
                </c:pt>
                <c:pt idx="22">
                  <c:v>0.14560000000000001</c:v>
                </c:pt>
                <c:pt idx="23">
                  <c:v>0.1356</c:v>
                </c:pt>
                <c:pt idx="24">
                  <c:v>0.12559999999999999</c:v>
                </c:pt>
                <c:pt idx="25">
                  <c:v>0.11560000000000001</c:v>
                </c:pt>
                <c:pt idx="26">
                  <c:v>0.1056</c:v>
                </c:pt>
                <c:pt idx="27">
                  <c:v>9.5600000000000004E-2</c:v>
                </c:pt>
                <c:pt idx="28">
                  <c:v>8.5600000000000009E-2</c:v>
                </c:pt>
                <c:pt idx="29">
                  <c:v>7.5600000000000014E-2</c:v>
                </c:pt>
                <c:pt idx="30">
                  <c:v>6.5600000000000019E-2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7C-9C49-855F-D8CCB9BC4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5871200"/>
        <c:axId val="795873680"/>
      </c:lineChart>
      <c:catAx>
        <c:axId val="795871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 cmpd="sng">
            <a:solidFill>
              <a:schemeClr val="tx1"/>
            </a:solidFill>
          </a:ln>
        </c:spPr>
        <c:txPr>
          <a:bodyPr/>
          <a:lstStyle/>
          <a:p>
            <a:pPr>
              <a:defRPr sz="1400">
                <a:solidFill>
                  <a:schemeClr val="tx1"/>
                </a:solidFill>
                <a:latin typeface="+mn-lt"/>
                <a:ea typeface="Calibri" charset="0"/>
                <a:cs typeface="Calibri" charset="0"/>
              </a:defRPr>
            </a:pPr>
            <a:endParaRPr lang="en-US"/>
          </a:p>
        </c:txPr>
        <c:crossAx val="795873680"/>
        <c:crosses val="autoZero"/>
        <c:auto val="1"/>
        <c:lblAlgn val="ctr"/>
        <c:lblOffset val="100"/>
        <c:tickLblSkip val="3"/>
        <c:noMultiLvlLbl val="0"/>
      </c:catAx>
      <c:valAx>
        <c:axId val="795873680"/>
        <c:scaling>
          <c:orientation val="minMax"/>
          <c:max val="0.35000000000000003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400" b="1" baseline="0"/>
                  <a:t>Employer Contribution </a:t>
                </a:r>
                <a:r>
                  <a:rPr lang="en-US" sz="1400" b="1"/>
                  <a:t>(</a:t>
                </a:r>
                <a:r>
                  <a:rPr lang="en-US" sz="1400" b="1" i="0" u="none" strike="noStrike" baseline="0">
                    <a:effectLst/>
                  </a:rPr>
                  <a:t>% of Payroll</a:t>
                </a:r>
                <a:r>
                  <a:rPr lang="en-US" sz="1400" b="1"/>
                  <a:t>)</a:t>
                </a:r>
              </a:p>
            </c:rich>
          </c:tx>
          <c:layout>
            <c:manualLayout>
              <c:xMode val="edge"/>
              <c:yMode val="edge"/>
              <c:x val="7.2506561679789997E-4"/>
              <c:y val="0.18163120920157899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spPr>
          <a:ln w="3175" cmpd="sng">
            <a:solidFill>
              <a:schemeClr val="tx1"/>
            </a:solidFill>
          </a:ln>
        </c:spPr>
        <c:txPr>
          <a:bodyPr lIns="0">
            <a:noAutofit/>
          </a:bodyPr>
          <a:lstStyle/>
          <a:p>
            <a:pPr>
              <a:defRPr sz="1400" kern="12100" spc="-100" baseline="0">
                <a:latin typeface="Calibri" charset="0"/>
                <a:ea typeface="Calibri" charset="0"/>
                <a:cs typeface="Calibri" charset="0"/>
              </a:defRPr>
            </a:pPr>
            <a:endParaRPr lang="en-US"/>
          </a:p>
        </c:txPr>
        <c:crossAx val="795871200"/>
        <c:crosses val="autoZero"/>
        <c:crossBetween val="between"/>
        <c:majorUnit val="5.000000000000001E-2"/>
      </c:valAx>
    </c:plotArea>
    <c:legend>
      <c:legendPos val="b"/>
      <c:layout>
        <c:manualLayout>
          <c:xMode val="edge"/>
          <c:yMode val="edge"/>
          <c:x val="0.12037037037037035"/>
          <c:y val="0.91350889052769579"/>
          <c:w val="0.81680810731991838"/>
          <c:h val="8.6491109472304165E-2"/>
        </c:manualLayout>
      </c:layout>
      <c:overlay val="0"/>
      <c:spPr>
        <a:solidFill>
          <a:schemeClr val="bg1"/>
        </a:solidFill>
        <a:ln>
          <a:noFill/>
        </a:ln>
      </c:spPr>
      <c:txPr>
        <a:bodyPr lIns="2">
          <a:spAutoFit/>
        </a:bodyPr>
        <a:lstStyle/>
        <a:p>
          <a:pPr>
            <a:defRPr sz="1300" b="0" strike="noStrike" spc="0"/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>
      <a:noFill/>
    </a:ln>
  </c:spPr>
  <c:printSettings>
    <c:headerFooter/>
    <c:pageMargins b="0.75000000000001199" l="0.70000000000000095" r="0.70000000000000095" t="0.75000000000001199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371828521434799E-2"/>
          <c:y val="1.2484394506866401E-2"/>
          <c:w val="0.87559407504617504"/>
          <c:h val="0.80516265158964284"/>
        </c:manualLayout>
      </c:layout>
      <c:barChart>
        <c:barDir val="col"/>
        <c:grouping val="stacked"/>
        <c:varyColors val="0"/>
        <c:ser>
          <c:idx val="5"/>
          <c:order val="0"/>
          <c:tx>
            <c:v>Employer DB Normal Cost</c:v>
          </c:tx>
          <c:spPr>
            <a:solidFill>
              <a:srgbClr val="0070C0"/>
            </a:solidFill>
            <a:ln>
              <a:noFill/>
            </a:ln>
          </c:spPr>
          <c:invertIfNegative val="0"/>
          <c:cat>
            <c:numRef>
              <c:f>SCRS!$A$10:$A$40</c:f>
              <c:numCache>
                <c:formatCode>General</c:formatCode>
                <c:ptCount val="31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</c:numCache>
            </c:numRef>
          </c:cat>
          <c:val>
            <c:numRef>
              <c:f>SCRS!$EL$10:$EL$40</c:f>
              <c:numCache>
                <c:formatCode>0.00%</c:formatCode>
                <c:ptCount val="31"/>
                <c:pt idx="0">
                  <c:v>1.7200000000000007E-2</c:v>
                </c:pt>
                <c:pt idx="1">
                  <c:v>1.6600000000000004E-2</c:v>
                </c:pt>
                <c:pt idx="2">
                  <c:v>1.6399999999999998E-2</c:v>
                </c:pt>
                <c:pt idx="3">
                  <c:v>1.6300000000000009E-2</c:v>
                </c:pt>
                <c:pt idx="4">
                  <c:v>1.9500000000000003E-2</c:v>
                </c:pt>
                <c:pt idx="5">
                  <c:v>1.9500000000000003E-2</c:v>
                </c:pt>
                <c:pt idx="6">
                  <c:v>1.9500000000000017E-2</c:v>
                </c:pt>
                <c:pt idx="7">
                  <c:v>1.949999999999999E-2</c:v>
                </c:pt>
                <c:pt idx="8">
                  <c:v>1.9500000000000003E-2</c:v>
                </c:pt>
                <c:pt idx="9">
                  <c:v>1.9500000000000017E-2</c:v>
                </c:pt>
                <c:pt idx="10">
                  <c:v>1.9500000000000017E-2</c:v>
                </c:pt>
                <c:pt idx="11">
                  <c:v>1.9500000000000003E-2</c:v>
                </c:pt>
                <c:pt idx="12">
                  <c:v>1.9500000000000003E-2</c:v>
                </c:pt>
                <c:pt idx="13">
                  <c:v>1.9500000000000003E-2</c:v>
                </c:pt>
                <c:pt idx="14">
                  <c:v>1.9500000000000003E-2</c:v>
                </c:pt>
                <c:pt idx="15">
                  <c:v>1.9500000000000017E-2</c:v>
                </c:pt>
                <c:pt idx="16">
                  <c:v>1.9500000000000017E-2</c:v>
                </c:pt>
                <c:pt idx="17">
                  <c:v>1.9500000000000003E-2</c:v>
                </c:pt>
                <c:pt idx="18">
                  <c:v>1.9500000000000017E-2</c:v>
                </c:pt>
                <c:pt idx="19">
                  <c:v>1.9500000000000017E-2</c:v>
                </c:pt>
                <c:pt idx="20">
                  <c:v>1.9500000000000003E-2</c:v>
                </c:pt>
                <c:pt idx="21">
                  <c:v>1.9500000000000003E-2</c:v>
                </c:pt>
                <c:pt idx="22">
                  <c:v>1.9500000000000003E-2</c:v>
                </c:pt>
                <c:pt idx="23">
                  <c:v>1.9500000000000003E-2</c:v>
                </c:pt>
                <c:pt idx="24">
                  <c:v>1.9500000000000017E-2</c:v>
                </c:pt>
                <c:pt idx="25">
                  <c:v>1.9500000000000003E-2</c:v>
                </c:pt>
                <c:pt idx="26">
                  <c:v>1.9500000000000017E-2</c:v>
                </c:pt>
                <c:pt idx="27">
                  <c:v>1.9500000000000003E-2</c:v>
                </c:pt>
                <c:pt idx="28">
                  <c:v>1.9500000000000003E-2</c:v>
                </c:pt>
                <c:pt idx="29">
                  <c:v>1.9500000000000003E-2</c:v>
                </c:pt>
                <c:pt idx="30">
                  <c:v>1.9500000000000003E-2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22-5C4B-B46A-49ACE10C4FE4}"/>
            </c:ext>
          </c:extLst>
        </c:ser>
        <c:ser>
          <c:idx val="1"/>
          <c:order val="1"/>
          <c:tx>
            <c:v>Unfunded Liability Amortization Payment</c:v>
          </c:tx>
          <c:spPr>
            <a:solidFill>
              <a:srgbClr val="00B0F0"/>
            </a:solidFill>
          </c:spPr>
          <c:invertIfNegative val="0"/>
          <c:cat>
            <c:numRef>
              <c:f>SCRS!$A$10:$A$40</c:f>
              <c:numCache>
                <c:formatCode>General</c:formatCode>
                <c:ptCount val="31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</c:numCache>
            </c:numRef>
          </c:cat>
          <c:val>
            <c:numRef>
              <c:f>SCRS!$EK$10:$EK$40</c:f>
              <c:numCache>
                <c:formatCode>0.00%</c:formatCode>
                <c:ptCount val="31"/>
                <c:pt idx="0">
                  <c:v>0.11839999999999999</c:v>
                </c:pt>
                <c:pt idx="1">
                  <c:v>0.129</c:v>
                </c:pt>
                <c:pt idx="2">
                  <c:v>0.13920000000000002</c:v>
                </c:pt>
                <c:pt idx="3">
                  <c:v>0.14930000000000002</c:v>
                </c:pt>
                <c:pt idx="4">
                  <c:v>0.15610000000000002</c:v>
                </c:pt>
                <c:pt idx="5">
                  <c:v>0.16610000000000003</c:v>
                </c:pt>
                <c:pt idx="6">
                  <c:v>0.16610000000000003</c:v>
                </c:pt>
                <c:pt idx="7">
                  <c:v>0.16610000000000005</c:v>
                </c:pt>
                <c:pt idx="8">
                  <c:v>0.16610000000000003</c:v>
                </c:pt>
                <c:pt idx="9">
                  <c:v>0.16610000000000003</c:v>
                </c:pt>
                <c:pt idx="10">
                  <c:v>0.16610000000000003</c:v>
                </c:pt>
                <c:pt idx="11">
                  <c:v>0.16610000000000003</c:v>
                </c:pt>
                <c:pt idx="12">
                  <c:v>0.16610000000000003</c:v>
                </c:pt>
                <c:pt idx="13">
                  <c:v>0.16610000000000003</c:v>
                </c:pt>
                <c:pt idx="14">
                  <c:v>0.16610000000000003</c:v>
                </c:pt>
                <c:pt idx="15">
                  <c:v>0.16610000000000003</c:v>
                </c:pt>
                <c:pt idx="16">
                  <c:v>0.16610000000000003</c:v>
                </c:pt>
                <c:pt idx="17">
                  <c:v>0.16610000000000003</c:v>
                </c:pt>
                <c:pt idx="18">
                  <c:v>0.16610000000000003</c:v>
                </c:pt>
                <c:pt idx="19">
                  <c:v>0.16610000000000003</c:v>
                </c:pt>
                <c:pt idx="20">
                  <c:v>0.15610000000000002</c:v>
                </c:pt>
                <c:pt idx="21">
                  <c:v>0.14610000000000001</c:v>
                </c:pt>
                <c:pt idx="22">
                  <c:v>0.1361</c:v>
                </c:pt>
                <c:pt idx="23">
                  <c:v>0.12609999999999999</c:v>
                </c:pt>
                <c:pt idx="24">
                  <c:v>0.11609999999999998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22-5C4B-B46A-49ACE10C4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5871200"/>
        <c:axId val="795873680"/>
      </c:barChart>
      <c:lineChart>
        <c:grouping val="standard"/>
        <c:varyColors val="0"/>
        <c:ser>
          <c:idx val="3"/>
          <c:order val="2"/>
          <c:tx>
            <c:v>Baseline Employer Contribution (ADEC)</c:v>
          </c:tx>
          <c:spPr>
            <a:ln w="25400" cmpd="sng">
              <a:solidFill>
                <a:schemeClr val="accent4"/>
              </a:solidFill>
              <a:prstDash val="solid"/>
            </a:ln>
          </c:spPr>
          <c:marker>
            <c:symbol val="none"/>
          </c:marker>
          <c:cat>
            <c:numRef>
              <c:f>SCRS!$A$10:$A$40</c:f>
              <c:numCache>
                <c:formatCode>General</c:formatCode>
                <c:ptCount val="31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</c:numCache>
            </c:numRef>
          </c:cat>
          <c:val>
            <c:numRef>
              <c:f>SCRS!$EP$10:$EP$40</c:f>
              <c:numCache>
                <c:formatCode>0.00%</c:formatCode>
                <c:ptCount val="31"/>
                <c:pt idx="0">
                  <c:v>0.13919473544364294</c:v>
                </c:pt>
                <c:pt idx="1">
                  <c:v>0.14441113135963379</c:v>
                </c:pt>
                <c:pt idx="2">
                  <c:v>0.14644827505296137</c:v>
                </c:pt>
                <c:pt idx="3">
                  <c:v>0.14561794598676497</c:v>
                </c:pt>
                <c:pt idx="4">
                  <c:v>0.15208585280461628</c:v>
                </c:pt>
                <c:pt idx="5">
                  <c:v>0.15111503711983915</c:v>
                </c:pt>
                <c:pt idx="6">
                  <c:v>0.15087244101547864</c:v>
                </c:pt>
                <c:pt idx="7">
                  <c:v>0.15036851340602203</c:v>
                </c:pt>
                <c:pt idx="8">
                  <c:v>0.15001201000079967</c:v>
                </c:pt>
                <c:pt idx="9">
                  <c:v>0.14961702432319526</c:v>
                </c:pt>
                <c:pt idx="10">
                  <c:v>0.14913082589908561</c:v>
                </c:pt>
                <c:pt idx="11">
                  <c:v>0.14878371111218719</c:v>
                </c:pt>
                <c:pt idx="12">
                  <c:v>0.14836793068126636</c:v>
                </c:pt>
                <c:pt idx="13">
                  <c:v>0.14797773225750099</c:v>
                </c:pt>
                <c:pt idx="14">
                  <c:v>0.14767126975694481</c:v>
                </c:pt>
                <c:pt idx="15">
                  <c:v>0.14721796552821831</c:v>
                </c:pt>
                <c:pt idx="16">
                  <c:v>0.14692704999100956</c:v>
                </c:pt>
                <c:pt idx="17">
                  <c:v>0.14655477058478084</c:v>
                </c:pt>
                <c:pt idx="18">
                  <c:v>0.14621120021188189</c:v>
                </c:pt>
                <c:pt idx="19">
                  <c:v>0.14584694197056447</c:v>
                </c:pt>
                <c:pt idx="20">
                  <c:v>0.14558454355797928</c:v>
                </c:pt>
                <c:pt idx="21">
                  <c:v>0.14516797470638748</c:v>
                </c:pt>
                <c:pt idx="22">
                  <c:v>0.14492199990237131</c:v>
                </c:pt>
                <c:pt idx="23">
                  <c:v>0.14460009562723541</c:v>
                </c:pt>
                <c:pt idx="24">
                  <c:v>0.14421816042371446</c:v>
                </c:pt>
                <c:pt idx="25">
                  <c:v>0.1439788008272706</c:v>
                </c:pt>
                <c:pt idx="26">
                  <c:v>0.14369079844627314</c:v>
                </c:pt>
                <c:pt idx="27">
                  <c:v>0.14344509077636353</c:v>
                </c:pt>
                <c:pt idx="28">
                  <c:v>0.14330498767576727</c:v>
                </c:pt>
                <c:pt idx="29">
                  <c:v>0.14304146722243882</c:v>
                </c:pt>
                <c:pt idx="30">
                  <c:v>2.4647249465779036E-2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722-5C4B-B46A-49ACE10C4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5871200"/>
        <c:axId val="795873680"/>
      </c:lineChart>
      <c:catAx>
        <c:axId val="795871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 cmpd="sng">
            <a:solidFill>
              <a:schemeClr val="tx1"/>
            </a:solidFill>
          </a:ln>
        </c:spPr>
        <c:txPr>
          <a:bodyPr/>
          <a:lstStyle/>
          <a:p>
            <a:pPr>
              <a:defRPr sz="1400">
                <a:solidFill>
                  <a:schemeClr val="tx1"/>
                </a:solidFill>
                <a:latin typeface="+mn-lt"/>
                <a:ea typeface="Calibri" charset="0"/>
                <a:cs typeface="Calibri" charset="0"/>
              </a:defRPr>
            </a:pPr>
            <a:endParaRPr lang="en-US"/>
          </a:p>
        </c:txPr>
        <c:crossAx val="795873680"/>
        <c:crosses val="autoZero"/>
        <c:auto val="1"/>
        <c:lblAlgn val="ctr"/>
        <c:lblOffset val="100"/>
        <c:tickLblSkip val="3"/>
        <c:noMultiLvlLbl val="0"/>
      </c:catAx>
      <c:valAx>
        <c:axId val="795873680"/>
        <c:scaling>
          <c:orientation val="minMax"/>
          <c:max val="0.35000000000000003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400" b="1" baseline="0"/>
                  <a:t>Employer Contribution </a:t>
                </a:r>
                <a:r>
                  <a:rPr lang="en-US" sz="1400" b="1"/>
                  <a:t>(</a:t>
                </a:r>
                <a:r>
                  <a:rPr lang="en-US" sz="1400" b="1" i="0" u="none" strike="noStrike" baseline="0">
                    <a:effectLst/>
                  </a:rPr>
                  <a:t>% of Payroll</a:t>
                </a:r>
                <a:r>
                  <a:rPr lang="en-US" sz="1400" b="1"/>
                  <a:t>)</a:t>
                </a:r>
              </a:p>
            </c:rich>
          </c:tx>
          <c:layout>
            <c:manualLayout>
              <c:xMode val="edge"/>
              <c:yMode val="edge"/>
              <c:x val="7.2506561679789997E-4"/>
              <c:y val="0.18163120920157899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spPr>
          <a:ln w="3175" cmpd="sng">
            <a:solidFill>
              <a:schemeClr val="tx1"/>
            </a:solidFill>
          </a:ln>
        </c:spPr>
        <c:txPr>
          <a:bodyPr lIns="0">
            <a:noAutofit/>
          </a:bodyPr>
          <a:lstStyle/>
          <a:p>
            <a:pPr>
              <a:defRPr sz="1400" kern="12100" spc="-100" baseline="0">
                <a:latin typeface="Calibri" charset="0"/>
                <a:ea typeface="Calibri" charset="0"/>
                <a:cs typeface="Calibri" charset="0"/>
              </a:defRPr>
            </a:pPr>
            <a:endParaRPr lang="en-US"/>
          </a:p>
        </c:txPr>
        <c:crossAx val="795871200"/>
        <c:crosses val="autoZero"/>
        <c:crossBetween val="between"/>
        <c:majorUnit val="5.000000000000001E-2"/>
      </c:valAx>
    </c:plotArea>
    <c:legend>
      <c:legendPos val="b"/>
      <c:layout>
        <c:manualLayout>
          <c:xMode val="edge"/>
          <c:yMode val="edge"/>
          <c:x val="0.12037037037037035"/>
          <c:y val="0.91350889052769579"/>
          <c:w val="0.81680810731991838"/>
          <c:h val="8.6491109472304165E-2"/>
        </c:manualLayout>
      </c:layout>
      <c:overlay val="0"/>
      <c:spPr>
        <a:solidFill>
          <a:schemeClr val="bg1"/>
        </a:solidFill>
        <a:ln>
          <a:noFill/>
        </a:ln>
      </c:spPr>
      <c:txPr>
        <a:bodyPr lIns="2">
          <a:spAutoFit/>
        </a:bodyPr>
        <a:lstStyle/>
        <a:p>
          <a:pPr>
            <a:defRPr sz="1300" b="0" strike="noStrike" spc="0"/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>
      <a:noFill/>
    </a:ln>
  </c:spPr>
  <c:printSettings>
    <c:headerFooter/>
    <c:pageMargins b="0.75000000000001199" l="0.70000000000000095" r="0.70000000000000095" t="0.75000000000001199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SCRS!$CS$13</c:f>
              <c:strCache>
                <c:ptCount val="1"/>
                <c:pt idx="0">
                  <c:v> LIVE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SCRS!$CS$14:$CS$44</c:f>
              <c:numCache>
                <c:formatCode>_(* #,##0_);_(* \(#,##0\);_(* "-"??_);_(@_)</c:formatCode>
                <c:ptCount val="31"/>
                <c:pt idx="0">
                  <c:v>1596.135284</c:v>
                </c:pt>
                <c:pt idx="1">
                  <c:v>0</c:v>
                </c:pt>
                <c:pt idx="2">
                  <c:v>1963.5750932466055</c:v>
                </c:pt>
                <c:pt idx="3">
                  <c:v>1936.6176738031204</c:v>
                </c:pt>
                <c:pt idx="4">
                  <c:v>1924.1577599119423</c:v>
                </c:pt>
                <c:pt idx="5">
                  <c:v>1908.4041298553257</c:v>
                </c:pt>
                <c:pt idx="6">
                  <c:v>1857.8023962563811</c:v>
                </c:pt>
                <c:pt idx="7">
                  <c:v>1905.6713192292939</c:v>
                </c:pt>
                <c:pt idx="8">
                  <c:v>1953.3797542298983</c:v>
                </c:pt>
                <c:pt idx="9">
                  <c:v>2002.2717159428864</c:v>
                </c:pt>
                <c:pt idx="10">
                  <c:v>2052.3773203745031</c:v>
                </c:pt>
                <c:pt idx="11">
                  <c:v>2103.7271848302107</c:v>
                </c:pt>
                <c:pt idx="12">
                  <c:v>2156.352662313725</c:v>
                </c:pt>
                <c:pt idx="13">
                  <c:v>2210.2862150933361</c:v>
                </c:pt>
                <c:pt idx="14">
                  <c:v>2265.5600753452864</c:v>
                </c:pt>
                <c:pt idx="15">
                  <c:v>2322.207303333515</c:v>
                </c:pt>
                <c:pt idx="16">
                  <c:v>2380.2617995732771</c:v>
                </c:pt>
                <c:pt idx="17">
                  <c:v>2439.7582205046983</c:v>
                </c:pt>
                <c:pt idx="18">
                  <c:v>2500.7321120767438</c:v>
                </c:pt>
                <c:pt idx="19">
                  <c:v>2563.2198832863719</c:v>
                </c:pt>
                <c:pt idx="20">
                  <c:v>2627.2588321739754</c:v>
                </c:pt>
                <c:pt idx="21">
                  <c:v>2692.8871750625708</c:v>
                </c:pt>
                <c:pt idx="22">
                  <c:v>0</c:v>
                </c:pt>
                <c:pt idx="23">
                  <c:v>-164.70699545414672</c:v>
                </c:pt>
                <c:pt idx="24">
                  <c:v>-174.80812961554238</c:v>
                </c:pt>
                <c:pt idx="25">
                  <c:v>-185.36581726593602</c:v>
                </c:pt>
                <c:pt idx="26">
                  <c:v>-196.40309797765838</c:v>
                </c:pt>
                <c:pt idx="27">
                  <c:v>-207.93597296332962</c:v>
                </c:pt>
                <c:pt idx="28">
                  <c:v>-219.98067756471664</c:v>
                </c:pt>
                <c:pt idx="29">
                  <c:v>-232.52802729505558</c:v>
                </c:pt>
                <c:pt idx="30">
                  <c:v>-245.59417448920172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9D-584A-81A6-45611182A34C}"/>
            </c:ext>
          </c:extLst>
        </c:ser>
        <c:ser>
          <c:idx val="1"/>
          <c:order val="1"/>
          <c:tx>
            <c:strRef>
              <c:f>SCRS!$CW$13</c:f>
              <c:strCache>
                <c:ptCount val="1"/>
                <c:pt idx="0">
                  <c:v> Status Quo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SCRS!$CW$14:$CW$44</c:f>
              <c:numCache>
                <c:formatCode>_(* #,##0_);_(* \(#,##0\);_(* "-"??_);_(@_)</c:formatCode>
                <c:ptCount val="31"/>
                <c:pt idx="0">
                  <c:v>1602.6307610560002</c:v>
                </c:pt>
                <c:pt idx="1">
                  <c:v>1773.9339391326903</c:v>
                </c:pt>
                <c:pt idx="2">
                  <c:v>1962.5074967933747</c:v>
                </c:pt>
                <c:pt idx="3">
                  <c:v>2160.1251208733088</c:v>
                </c:pt>
                <c:pt idx="4">
                  <c:v>2367.1794892836515</c:v>
                </c:pt>
                <c:pt idx="5">
                  <c:v>2584.078819937864</c:v>
                </c:pt>
                <c:pt idx="6">
                  <c:v>2811.2473992411997</c:v>
                </c:pt>
                <c:pt idx="7">
                  <c:v>2286.9889154559432</c:v>
                </c:pt>
                <c:pt idx="8">
                  <c:v>2362.8461368172752</c:v>
                </c:pt>
                <c:pt idx="9">
                  <c:v>2658.5473219036712</c:v>
                </c:pt>
                <c:pt idx="10">
                  <c:v>2969.329259258689</c:v>
                </c:pt>
                <c:pt idx="11">
                  <c:v>2602.3229823245492</c:v>
                </c:pt>
                <c:pt idx="12">
                  <c:v>2686.3502266906926</c:v>
                </c:pt>
                <c:pt idx="13">
                  <c:v>2772.6004220802051</c:v>
                </c:pt>
                <c:pt idx="14">
                  <c:v>2861.1502341114956</c:v>
                </c:pt>
                <c:pt idx="15">
                  <c:v>2952.0786371882327</c:v>
                </c:pt>
                <c:pt idx="16">
                  <c:v>3045.4669560636739</c:v>
                </c:pt>
                <c:pt idx="17">
                  <c:v>3141.398909988889</c:v>
                </c:pt>
                <c:pt idx="18">
                  <c:v>3239.9606599519766</c:v>
                </c:pt>
                <c:pt idx="19">
                  <c:v>3341.2408589503384</c:v>
                </c:pt>
                <c:pt idx="20">
                  <c:v>3445.3307053815665</c:v>
                </c:pt>
                <c:pt idx="21">
                  <c:v>3552.3239997348296</c:v>
                </c:pt>
                <c:pt idx="22">
                  <c:v>3662.3172044831531</c:v>
                </c:pt>
                <c:pt idx="23">
                  <c:v>3775.4095075985347</c:v>
                </c:pt>
                <c:pt idx="24">
                  <c:v>3891.7028894525974</c:v>
                </c:pt>
                <c:pt idx="25">
                  <c:v>4011.302193150962</c:v>
                </c:pt>
                <c:pt idx="26">
                  <c:v>4134.2940170673683</c:v>
                </c:pt>
                <c:pt idx="27">
                  <c:v>4260.7935501749007</c:v>
                </c:pt>
                <c:pt idx="28">
                  <c:v>4390.9185166235575</c:v>
                </c:pt>
                <c:pt idx="29">
                  <c:v>4524.7893149643387</c:v>
                </c:pt>
                <c:pt idx="30">
                  <c:v>4662.5291572151036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9D-584A-81A6-45611182A3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3862719"/>
        <c:axId val="1623531647"/>
      </c:lineChart>
      <c:catAx>
        <c:axId val="1623862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531647"/>
        <c:crosses val="autoZero"/>
        <c:auto val="1"/>
        <c:lblAlgn val="ctr"/>
        <c:lblOffset val="100"/>
        <c:noMultiLvlLbl val="0"/>
      </c:catAx>
      <c:valAx>
        <c:axId val="162353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862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512977307918854E-2"/>
          <c:y val="3.6885874241814429E-2"/>
          <c:w val="0.88415660991352096"/>
          <c:h val="0.88828932835377639"/>
        </c:manualLayout>
      </c:layout>
      <c:areaChart>
        <c:grouping val="stacked"/>
        <c:varyColors val="0"/>
        <c:ser>
          <c:idx val="2"/>
          <c:order val="2"/>
          <c:spPr>
            <a:noFill/>
            <a:ln>
              <a:noFill/>
            </a:ln>
            <a:effectLst/>
          </c:spPr>
          <c:cat>
            <c:numRef>
              <c:f>'Outputs - Cash Infusion'!$A$136:$A$165</c:f>
              <c:numCache>
                <c:formatCode>General</c:formatCode>
                <c:ptCount val="3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  <c:pt idx="15">
                  <c:v>2036</c:v>
                </c:pt>
                <c:pt idx="16">
                  <c:v>2037</c:v>
                </c:pt>
                <c:pt idx="17">
                  <c:v>2038</c:v>
                </c:pt>
                <c:pt idx="18">
                  <c:v>2039</c:v>
                </c:pt>
                <c:pt idx="19">
                  <c:v>2040</c:v>
                </c:pt>
                <c:pt idx="20">
                  <c:v>2041</c:v>
                </c:pt>
                <c:pt idx="21">
                  <c:v>2042</c:v>
                </c:pt>
                <c:pt idx="22">
                  <c:v>2043</c:v>
                </c:pt>
                <c:pt idx="23">
                  <c:v>2044</c:v>
                </c:pt>
                <c:pt idx="24">
                  <c:v>2045</c:v>
                </c:pt>
                <c:pt idx="25">
                  <c:v>2046</c:v>
                </c:pt>
                <c:pt idx="26">
                  <c:v>2047</c:v>
                </c:pt>
                <c:pt idx="27">
                  <c:v>2048</c:v>
                </c:pt>
                <c:pt idx="28">
                  <c:v>2049</c:v>
                </c:pt>
                <c:pt idx="29">
                  <c:v>2050</c:v>
                </c:pt>
              </c:numCache>
            </c:numRef>
          </c:cat>
          <c:val>
            <c:numRef>
              <c:f>'Outputs - Cash Infusion'!$B$169:$B$198</c:f>
              <c:numCache>
                <c:formatCode>_(* #,##0_);_(* \(#,##0\);_(* "-"??_);_(@_)</c:formatCode>
                <c:ptCount val="30"/>
                <c:pt idx="0">
                  <c:v>33490.305999999997</c:v>
                </c:pt>
                <c:pt idx="1">
                  <c:v>32739.248543766738</c:v>
                </c:pt>
                <c:pt idx="2">
                  <c:v>33903.960240968561</c:v>
                </c:pt>
                <c:pt idx="3">
                  <c:v>35030.281163727239</c:v>
                </c:pt>
                <c:pt idx="4">
                  <c:v>36132.244530752898</c:v>
                </c:pt>
                <c:pt idx="5">
                  <c:v>37207.152787896666</c:v>
                </c:pt>
                <c:pt idx="6">
                  <c:v>38223.787991555197</c:v>
                </c:pt>
                <c:pt idx="7">
                  <c:v>39269.541070250758</c:v>
                </c:pt>
                <c:pt idx="8">
                  <c:v>40344.636176429958</c:v>
                </c:pt>
                <c:pt idx="9">
                  <c:v>41450.500363128696</c:v>
                </c:pt>
                <c:pt idx="10">
                  <c:v>42589.055117092212</c:v>
                </c:pt>
                <c:pt idx="11">
                  <c:v>43761.511685458929</c:v>
                </c:pt>
                <c:pt idx="12">
                  <c:v>44970.041280640027</c:v>
                </c:pt>
                <c:pt idx="13">
                  <c:v>46216.494201840469</c:v>
                </c:pt>
                <c:pt idx="14">
                  <c:v>47502.184080730629</c:v>
                </c:pt>
                <c:pt idx="15">
                  <c:v>48829.688841708121</c:v>
                </c:pt>
                <c:pt idx="16">
                  <c:v>50201.134304769977</c:v>
                </c:pt>
                <c:pt idx="17">
                  <c:v>51618.748141579897</c:v>
                </c:pt>
                <c:pt idx="18">
                  <c:v>53084.864665238514</c:v>
                </c:pt>
                <c:pt idx="19">
                  <c:v>54601.929807588509</c:v>
                </c:pt>
                <c:pt idx="20">
                  <c:v>56201.707967079259</c:v>
                </c:pt>
                <c:pt idx="21">
                  <c:v>57916.76339449075</c:v>
                </c:pt>
                <c:pt idx="22">
                  <c:v>58032.803657690878</c:v>
                </c:pt>
                <c:pt idx="23">
                  <c:v>58146.468049195515</c:v>
                </c:pt>
                <c:pt idx="24">
                  <c:v>58381.451025031922</c:v>
                </c:pt>
                <c:pt idx="25">
                  <c:v>58768.998444504294</c:v>
                </c:pt>
                <c:pt idx="26">
                  <c:v>59336.791853397073</c:v>
                </c:pt>
                <c:pt idx="27">
                  <c:v>60111.909713956156</c:v>
                </c:pt>
                <c:pt idx="28">
                  <c:v>61119.342039764262</c:v>
                </c:pt>
                <c:pt idx="29">
                  <c:v>62381.716647751869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3E-0840-980D-1911382BCB15}"/>
            </c:ext>
          </c:extLst>
        </c:ser>
        <c:ser>
          <c:idx val="3"/>
          <c:order val="3"/>
          <c:spPr>
            <a:solidFill>
              <a:srgbClr val="D3D3D3"/>
            </a:solidFill>
            <a:ln w="25400">
              <a:noFill/>
            </a:ln>
            <a:effectLst/>
          </c:spPr>
          <c:cat>
            <c:numRef>
              <c:f>'Outputs - Cash Infusion'!$A$136:$A$165</c:f>
              <c:numCache>
                <c:formatCode>General</c:formatCode>
                <c:ptCount val="3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  <c:pt idx="15">
                  <c:v>2036</c:v>
                </c:pt>
                <c:pt idx="16">
                  <c:v>2037</c:v>
                </c:pt>
                <c:pt idx="17">
                  <c:v>2038</c:v>
                </c:pt>
                <c:pt idx="18">
                  <c:v>2039</c:v>
                </c:pt>
                <c:pt idx="19">
                  <c:v>2040</c:v>
                </c:pt>
                <c:pt idx="20">
                  <c:v>2041</c:v>
                </c:pt>
                <c:pt idx="21">
                  <c:v>2042</c:v>
                </c:pt>
                <c:pt idx="22">
                  <c:v>2043</c:v>
                </c:pt>
                <c:pt idx="23">
                  <c:v>2044</c:v>
                </c:pt>
                <c:pt idx="24">
                  <c:v>2045</c:v>
                </c:pt>
                <c:pt idx="25">
                  <c:v>2046</c:v>
                </c:pt>
                <c:pt idx="26">
                  <c:v>2047</c:v>
                </c:pt>
                <c:pt idx="27">
                  <c:v>2048</c:v>
                </c:pt>
                <c:pt idx="28">
                  <c:v>2049</c:v>
                </c:pt>
                <c:pt idx="29">
                  <c:v>2050</c:v>
                </c:pt>
              </c:numCache>
            </c:numRef>
          </c:cat>
          <c:val>
            <c:numRef>
              <c:f>'Outputs - Cash Infusion'!$B$214:$B$243</c:f>
              <c:numCache>
                <c:formatCode>General</c:formatCode>
                <c:ptCount val="30"/>
                <c:pt idx="0">
                  <c:v>21507.689000000006</c:v>
                </c:pt>
                <c:pt idx="1">
                  <c:v>22498.147976105778</c:v>
                </c:pt>
                <c:pt idx="2">
                  <c:v>21559.974054738312</c:v>
                </c:pt>
                <c:pt idx="3">
                  <c:v>20646.872807652777</c:v>
                </c:pt>
                <c:pt idx="4">
                  <c:v>19744.200228258473</c:v>
                </c:pt>
                <c:pt idx="5">
                  <c:v>18854.062022205711</c:v>
                </c:pt>
                <c:pt idx="6">
                  <c:v>18007.058462633082</c:v>
                </c:pt>
                <c:pt idx="7">
                  <c:v>17115.153943825982</c:v>
                </c:pt>
                <c:pt idx="8">
                  <c:v>16177.451389704018</c:v>
                </c:pt>
                <c:pt idx="9">
                  <c:v>15191.821279937272</c:v>
                </c:pt>
                <c:pt idx="10">
                  <c:v>14156.03435415901</c:v>
                </c:pt>
                <c:pt idx="11">
                  <c:v>13067.757221088108</c:v>
                </c:pt>
                <c:pt idx="12">
                  <c:v>11924.547568997063</c:v>
                </c:pt>
                <c:pt idx="13">
                  <c:v>10723.848875648404</c:v>
                </c:pt>
                <c:pt idx="14">
                  <c:v>9462.9859288654316</c:v>
                </c:pt>
                <c:pt idx="15">
                  <c:v>8139.159281771922</c:v>
                </c:pt>
                <c:pt idx="16">
                  <c:v>6749.4394587931702</c:v>
                </c:pt>
                <c:pt idx="17">
                  <c:v>5290.7609686599317</c:v>
                </c:pt>
                <c:pt idx="18">
                  <c:v>3759.9159548671369</c:v>
                </c:pt>
                <c:pt idx="19">
                  <c:v>2153.5475863112874</c:v>
                </c:pt>
                <c:pt idx="20">
                  <c:v>468.14313717096235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A3E-0840-980D-1911382BC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2120015"/>
        <c:axId val="1103870863"/>
      </c:areaChart>
      <c:lineChart>
        <c:grouping val="standard"/>
        <c:varyColors val="0"/>
        <c:ser>
          <c:idx val="0"/>
          <c:order val="0"/>
          <c:tx>
            <c:v>Actuarial Accrued Liability</c:v>
          </c:tx>
          <c:spPr>
            <a:ln w="38100" cap="rnd">
              <a:solidFill>
                <a:srgbClr val="F76D2C"/>
              </a:solidFill>
              <a:round/>
            </a:ln>
            <a:effectLst/>
          </c:spPr>
          <c:marker>
            <c:symbol val="none"/>
          </c:marker>
          <c:cat>
            <c:numRef>
              <c:f>'Outputs - Cash Infusion'!$A$136:$A$165</c:f>
              <c:numCache>
                <c:formatCode>General</c:formatCode>
                <c:ptCount val="3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  <c:pt idx="15">
                  <c:v>2036</c:v>
                </c:pt>
                <c:pt idx="16">
                  <c:v>2037</c:v>
                </c:pt>
                <c:pt idx="17">
                  <c:v>2038</c:v>
                </c:pt>
                <c:pt idx="18">
                  <c:v>2039</c:v>
                </c:pt>
                <c:pt idx="19">
                  <c:v>2040</c:v>
                </c:pt>
                <c:pt idx="20">
                  <c:v>2041</c:v>
                </c:pt>
                <c:pt idx="21">
                  <c:v>2042</c:v>
                </c:pt>
                <c:pt idx="22">
                  <c:v>2043</c:v>
                </c:pt>
                <c:pt idx="23">
                  <c:v>2044</c:v>
                </c:pt>
                <c:pt idx="24">
                  <c:v>2045</c:v>
                </c:pt>
                <c:pt idx="25">
                  <c:v>2046</c:v>
                </c:pt>
                <c:pt idx="26">
                  <c:v>2047</c:v>
                </c:pt>
                <c:pt idx="27">
                  <c:v>2048</c:v>
                </c:pt>
                <c:pt idx="28">
                  <c:v>2049</c:v>
                </c:pt>
                <c:pt idx="29">
                  <c:v>2050</c:v>
                </c:pt>
              </c:numCache>
            </c:numRef>
          </c:cat>
          <c:val>
            <c:numRef>
              <c:f>'Outputs - Cash Infusion'!$B$136:$B$165</c:f>
              <c:numCache>
                <c:formatCode>_(* #,##0_);_(* \(#,##0\);_(* "-"??_);_(@_)</c:formatCode>
                <c:ptCount val="30"/>
                <c:pt idx="0">
                  <c:v>54997.995000000003</c:v>
                </c:pt>
                <c:pt idx="1">
                  <c:v>55237.39651987252</c:v>
                </c:pt>
                <c:pt idx="2">
                  <c:v>55463.934295706873</c:v>
                </c:pt>
                <c:pt idx="3">
                  <c:v>55677.153971380016</c:v>
                </c:pt>
                <c:pt idx="4">
                  <c:v>55876.44475901137</c:v>
                </c:pt>
                <c:pt idx="5">
                  <c:v>56061.21481010237</c:v>
                </c:pt>
                <c:pt idx="6">
                  <c:v>56230.846454188279</c:v>
                </c:pt>
                <c:pt idx="7">
                  <c:v>56384.695014076737</c:v>
                </c:pt>
                <c:pt idx="8">
                  <c:v>56522.087566133974</c:v>
                </c:pt>
                <c:pt idx="9">
                  <c:v>56642.321643065967</c:v>
                </c:pt>
                <c:pt idx="10">
                  <c:v>56745.089471251224</c:v>
                </c:pt>
                <c:pt idx="11">
                  <c:v>56829.268906547033</c:v>
                </c:pt>
                <c:pt idx="12">
                  <c:v>56894.58884963709</c:v>
                </c:pt>
                <c:pt idx="13">
                  <c:v>56940.343077488869</c:v>
                </c:pt>
                <c:pt idx="14">
                  <c:v>56965.170009596055</c:v>
                </c:pt>
                <c:pt idx="15">
                  <c:v>56968.848123480042</c:v>
                </c:pt>
                <c:pt idx="16">
                  <c:v>56950.573763563152</c:v>
                </c:pt>
                <c:pt idx="17">
                  <c:v>56909.509110239829</c:v>
                </c:pt>
                <c:pt idx="18">
                  <c:v>56844.780620105652</c:v>
                </c:pt>
                <c:pt idx="19">
                  <c:v>56755.477393899797</c:v>
                </c:pt>
                <c:pt idx="20">
                  <c:v>56669.851104250221</c:v>
                </c:pt>
                <c:pt idx="21">
                  <c:v>56616.790134771887</c:v>
                </c:pt>
                <c:pt idx="22">
                  <c:v>56628.12574185164</c:v>
                </c:pt>
                <c:pt idx="23">
                  <c:v>56734.15508261232</c:v>
                </c:pt>
                <c:pt idx="24">
                  <c:v>56964.83061931323</c:v>
                </c:pt>
                <c:pt idx="25">
                  <c:v>57351.6025724434</c:v>
                </c:pt>
                <c:pt idx="26">
                  <c:v>57922.369637435972</c:v>
                </c:pt>
                <c:pt idx="27">
                  <c:v>58704.436189426779</c:v>
                </c:pt>
                <c:pt idx="28">
                  <c:v>59723.027222324061</c:v>
                </c:pt>
                <c:pt idx="29">
                  <c:v>61001.001006893828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3E-0840-980D-1911382BCB15}"/>
            </c:ext>
          </c:extLst>
        </c:ser>
        <c:ser>
          <c:idx val="1"/>
          <c:order val="1"/>
          <c:tx>
            <c:v>Market Value of Assets</c:v>
          </c:tx>
          <c:spPr>
            <a:ln w="38100" cap="rnd">
              <a:solidFill>
                <a:srgbClr val="496FB9"/>
              </a:solidFill>
              <a:round/>
            </a:ln>
            <a:effectLst/>
          </c:spPr>
          <c:marker>
            <c:symbol val="none"/>
          </c:marker>
          <c:cat>
            <c:numRef>
              <c:f>'Outputs - Cash Infusion'!$A$136:$A$165</c:f>
              <c:numCache>
                <c:formatCode>General</c:formatCode>
                <c:ptCount val="3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  <c:pt idx="15">
                  <c:v>2036</c:v>
                </c:pt>
                <c:pt idx="16">
                  <c:v>2037</c:v>
                </c:pt>
                <c:pt idx="17">
                  <c:v>2038</c:v>
                </c:pt>
                <c:pt idx="18">
                  <c:v>2039</c:v>
                </c:pt>
                <c:pt idx="19">
                  <c:v>2040</c:v>
                </c:pt>
                <c:pt idx="20">
                  <c:v>2041</c:v>
                </c:pt>
                <c:pt idx="21">
                  <c:v>2042</c:v>
                </c:pt>
                <c:pt idx="22">
                  <c:v>2043</c:v>
                </c:pt>
                <c:pt idx="23">
                  <c:v>2044</c:v>
                </c:pt>
                <c:pt idx="24">
                  <c:v>2045</c:v>
                </c:pt>
                <c:pt idx="25">
                  <c:v>2046</c:v>
                </c:pt>
                <c:pt idx="26">
                  <c:v>2047</c:v>
                </c:pt>
                <c:pt idx="27">
                  <c:v>2048</c:v>
                </c:pt>
                <c:pt idx="28">
                  <c:v>2049</c:v>
                </c:pt>
                <c:pt idx="29">
                  <c:v>2050</c:v>
                </c:pt>
              </c:numCache>
            </c:numRef>
          </c:cat>
          <c:val>
            <c:numRef>
              <c:f>'Outputs - Cash Infusion'!$B$169:$B$198</c:f>
              <c:numCache>
                <c:formatCode>_(* #,##0_);_(* \(#,##0\);_(* "-"??_);_(@_)</c:formatCode>
                <c:ptCount val="30"/>
                <c:pt idx="0">
                  <c:v>33490.305999999997</c:v>
                </c:pt>
                <c:pt idx="1">
                  <c:v>32739.248543766738</c:v>
                </c:pt>
                <c:pt idx="2">
                  <c:v>33903.960240968561</c:v>
                </c:pt>
                <c:pt idx="3">
                  <c:v>35030.281163727239</c:v>
                </c:pt>
                <c:pt idx="4">
                  <c:v>36132.244530752898</c:v>
                </c:pt>
                <c:pt idx="5">
                  <c:v>37207.152787896666</c:v>
                </c:pt>
                <c:pt idx="6">
                  <c:v>38223.787991555197</c:v>
                </c:pt>
                <c:pt idx="7">
                  <c:v>39269.541070250758</c:v>
                </c:pt>
                <c:pt idx="8">
                  <c:v>40344.636176429958</c:v>
                </c:pt>
                <c:pt idx="9">
                  <c:v>41450.500363128696</c:v>
                </c:pt>
                <c:pt idx="10">
                  <c:v>42589.055117092212</c:v>
                </c:pt>
                <c:pt idx="11">
                  <c:v>43761.511685458929</c:v>
                </c:pt>
                <c:pt idx="12">
                  <c:v>44970.041280640027</c:v>
                </c:pt>
                <c:pt idx="13">
                  <c:v>46216.494201840469</c:v>
                </c:pt>
                <c:pt idx="14">
                  <c:v>47502.184080730629</c:v>
                </c:pt>
                <c:pt idx="15">
                  <c:v>48829.688841708121</c:v>
                </c:pt>
                <c:pt idx="16">
                  <c:v>50201.134304769977</c:v>
                </c:pt>
                <c:pt idx="17">
                  <c:v>51618.748141579897</c:v>
                </c:pt>
                <c:pt idx="18">
                  <c:v>53084.864665238514</c:v>
                </c:pt>
                <c:pt idx="19">
                  <c:v>54601.929807588509</c:v>
                </c:pt>
                <c:pt idx="20">
                  <c:v>56201.707967079259</c:v>
                </c:pt>
                <c:pt idx="21">
                  <c:v>57916.76339449075</c:v>
                </c:pt>
                <c:pt idx="22">
                  <c:v>58032.803657690878</c:v>
                </c:pt>
                <c:pt idx="23">
                  <c:v>58146.468049195515</c:v>
                </c:pt>
                <c:pt idx="24">
                  <c:v>58381.451025031922</c:v>
                </c:pt>
                <c:pt idx="25">
                  <c:v>58768.998444504294</c:v>
                </c:pt>
                <c:pt idx="26">
                  <c:v>59336.791853397073</c:v>
                </c:pt>
                <c:pt idx="27">
                  <c:v>60111.909713956156</c:v>
                </c:pt>
                <c:pt idx="28">
                  <c:v>61119.342039764262</c:v>
                </c:pt>
                <c:pt idx="29">
                  <c:v>62381.716647751869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3E-0840-980D-1911382BC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2120015"/>
        <c:axId val="1103870863"/>
      </c:lineChart>
      <c:catAx>
        <c:axId val="11021200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870863"/>
        <c:crosses val="autoZero"/>
        <c:auto val="1"/>
        <c:lblAlgn val="ctr"/>
        <c:lblOffset val="100"/>
        <c:tickLblSkip val="2"/>
        <c:noMultiLvlLbl val="0"/>
      </c:catAx>
      <c:valAx>
        <c:axId val="11038708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Value of Assets and Liabilities (in $Billions)</a:t>
                </a:r>
              </a:p>
            </c:rich>
          </c:tx>
          <c:layout>
            <c:manualLayout>
              <c:xMode val="edge"/>
              <c:yMode val="edge"/>
              <c:x val="1.3051351689962658E-3"/>
              <c:y val="0.140493576233924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120015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ayout>
        <c:manualLayout>
          <c:xMode val="edge"/>
          <c:yMode val="edge"/>
          <c:x val="0.11417779940942058"/>
          <c:y val="0.73270474260422858"/>
          <c:w val="0.27677201536073509"/>
          <c:h val="0.135224885810895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'Outputs - Cash Infusion'!$A$4:$A$33</c:f>
              <c:numCache>
                <c:formatCode>General</c:formatCode>
                <c:ptCount val="3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  <c:pt idx="15">
                  <c:v>2036</c:v>
                </c:pt>
                <c:pt idx="16">
                  <c:v>2037</c:v>
                </c:pt>
                <c:pt idx="17">
                  <c:v>2038</c:v>
                </c:pt>
                <c:pt idx="18">
                  <c:v>2039</c:v>
                </c:pt>
                <c:pt idx="19">
                  <c:v>2040</c:v>
                </c:pt>
                <c:pt idx="20">
                  <c:v>2041</c:v>
                </c:pt>
                <c:pt idx="21">
                  <c:v>2042</c:v>
                </c:pt>
                <c:pt idx="22">
                  <c:v>2043</c:v>
                </c:pt>
                <c:pt idx="23">
                  <c:v>2044</c:v>
                </c:pt>
                <c:pt idx="24">
                  <c:v>2045</c:v>
                </c:pt>
                <c:pt idx="25">
                  <c:v>2046</c:v>
                </c:pt>
                <c:pt idx="26">
                  <c:v>2047</c:v>
                </c:pt>
                <c:pt idx="27">
                  <c:v>2048</c:v>
                </c:pt>
                <c:pt idx="28">
                  <c:v>2049</c:v>
                </c:pt>
                <c:pt idx="29">
                  <c:v>2050</c:v>
                </c:pt>
              </c:numCache>
            </c:numRef>
          </c:cat>
          <c:val>
            <c:numRef>
              <c:f>'Outputs - Cash Infusion'!$AF$4:$AF$33</c:f>
              <c:numCache>
                <c:formatCode>0.00%</c:formatCode>
                <c:ptCount val="30"/>
                <c:pt idx="0">
                  <c:v>0.15560000000000004</c:v>
                </c:pt>
                <c:pt idx="1">
                  <c:v>0.17984284064740097</c:v>
                </c:pt>
                <c:pt idx="2">
                  <c:v>0.17560000000000006</c:v>
                </c:pt>
                <c:pt idx="3">
                  <c:v>0.18560000000000007</c:v>
                </c:pt>
                <c:pt idx="4">
                  <c:v>0.19410909709226515</c:v>
                </c:pt>
                <c:pt idx="5">
                  <c:v>0.20156619647564764</c:v>
                </c:pt>
                <c:pt idx="6">
                  <c:v>0.20427905102757629</c:v>
                </c:pt>
                <c:pt idx="7">
                  <c:v>0.21266961039583204</c:v>
                </c:pt>
                <c:pt idx="8">
                  <c:v>0.21027179812649624</c:v>
                </c:pt>
                <c:pt idx="9">
                  <c:v>0.20964174093492197</c:v>
                </c:pt>
                <c:pt idx="10">
                  <c:v>0.21117287565636922</c:v>
                </c:pt>
                <c:pt idx="11">
                  <c:v>0.21385089435620303</c:v>
                </c:pt>
                <c:pt idx="12">
                  <c:v>0.21706025743588189</c:v>
                </c:pt>
                <c:pt idx="13">
                  <c:v>0.22033005459954008</c:v>
                </c:pt>
                <c:pt idx="14">
                  <c:v>0.2231919641433838</c:v>
                </c:pt>
                <c:pt idx="15">
                  <c:v>0.22659129060165628</c:v>
                </c:pt>
                <c:pt idx="16">
                  <c:v>0.23005685975445261</c:v>
                </c:pt>
                <c:pt idx="17">
                  <c:v>0.23358110575847885</c:v>
                </c:pt>
                <c:pt idx="18">
                  <c:v>0.2504797189190478</c:v>
                </c:pt>
                <c:pt idx="19">
                  <c:v>0.26887279497805461</c:v>
                </c:pt>
                <c:pt idx="20">
                  <c:v>0.28366302888535816</c:v>
                </c:pt>
                <c:pt idx="21">
                  <c:v>0.18560000000000004</c:v>
                </c:pt>
                <c:pt idx="22">
                  <c:v>0.18560000000000001</c:v>
                </c:pt>
                <c:pt idx="23">
                  <c:v>0.18560000000000001</c:v>
                </c:pt>
                <c:pt idx="24">
                  <c:v>0.18560000000000004</c:v>
                </c:pt>
                <c:pt idx="25">
                  <c:v>0.18560000000000004</c:v>
                </c:pt>
                <c:pt idx="26">
                  <c:v>0.18560000000000001</c:v>
                </c:pt>
                <c:pt idx="27">
                  <c:v>0.18560000000000004</c:v>
                </c:pt>
                <c:pt idx="28">
                  <c:v>0.17560000000000006</c:v>
                </c:pt>
                <c:pt idx="29">
                  <c:v>0.16560000000000002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75-F44F-9420-EE109955D80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'Outputs - Cash Infusion'!$A$4:$A$33</c:f>
              <c:numCache>
                <c:formatCode>General</c:formatCode>
                <c:ptCount val="3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  <c:pt idx="15">
                  <c:v>2036</c:v>
                </c:pt>
                <c:pt idx="16">
                  <c:v>2037</c:v>
                </c:pt>
                <c:pt idx="17">
                  <c:v>2038</c:v>
                </c:pt>
                <c:pt idx="18">
                  <c:v>2039</c:v>
                </c:pt>
                <c:pt idx="19">
                  <c:v>2040</c:v>
                </c:pt>
                <c:pt idx="20">
                  <c:v>2041</c:v>
                </c:pt>
                <c:pt idx="21">
                  <c:v>2042</c:v>
                </c:pt>
                <c:pt idx="22">
                  <c:v>2043</c:v>
                </c:pt>
                <c:pt idx="23">
                  <c:v>2044</c:v>
                </c:pt>
                <c:pt idx="24">
                  <c:v>2045</c:v>
                </c:pt>
                <c:pt idx="25">
                  <c:v>2046</c:v>
                </c:pt>
                <c:pt idx="26">
                  <c:v>2047</c:v>
                </c:pt>
                <c:pt idx="27">
                  <c:v>2048</c:v>
                </c:pt>
                <c:pt idx="28">
                  <c:v>2049</c:v>
                </c:pt>
                <c:pt idx="29">
                  <c:v>2050</c:v>
                </c:pt>
              </c:numCache>
            </c:numRef>
          </c:cat>
          <c:val>
            <c:numRef>
              <c:f>'Outputs - Cash Infusion'!$J$4:$J$33</c:f>
              <c:numCache>
                <c:formatCode>0.00%</c:formatCode>
                <c:ptCount val="30"/>
                <c:pt idx="0">
                  <c:v>0.15560000000000004</c:v>
                </c:pt>
                <c:pt idx="1">
                  <c:v>0.16560000000000005</c:v>
                </c:pt>
                <c:pt idx="2">
                  <c:v>0.17560000000000006</c:v>
                </c:pt>
                <c:pt idx="3">
                  <c:v>0.18560000000000007</c:v>
                </c:pt>
                <c:pt idx="4">
                  <c:v>0.18560000000000004</c:v>
                </c:pt>
                <c:pt idx="5">
                  <c:v>0.18559999999999999</c:v>
                </c:pt>
                <c:pt idx="6">
                  <c:v>0.18560000000000007</c:v>
                </c:pt>
                <c:pt idx="7">
                  <c:v>0.18560000000000007</c:v>
                </c:pt>
                <c:pt idx="8">
                  <c:v>0.18560000000000001</c:v>
                </c:pt>
                <c:pt idx="9">
                  <c:v>0.18560000000000007</c:v>
                </c:pt>
                <c:pt idx="10">
                  <c:v>0.18560000000000001</c:v>
                </c:pt>
                <c:pt idx="11">
                  <c:v>0.18560000000000004</c:v>
                </c:pt>
                <c:pt idx="12">
                  <c:v>0.18560000000000004</c:v>
                </c:pt>
                <c:pt idx="13">
                  <c:v>0.1856000000000001</c:v>
                </c:pt>
                <c:pt idx="14">
                  <c:v>0.1856000000000001</c:v>
                </c:pt>
                <c:pt idx="15">
                  <c:v>0.18560000000000004</c:v>
                </c:pt>
                <c:pt idx="16">
                  <c:v>0.18560000000000001</c:v>
                </c:pt>
                <c:pt idx="17">
                  <c:v>0.18560000000000004</c:v>
                </c:pt>
                <c:pt idx="18">
                  <c:v>0.18560000000000004</c:v>
                </c:pt>
                <c:pt idx="19">
                  <c:v>0.18560000000000007</c:v>
                </c:pt>
                <c:pt idx="20">
                  <c:v>0.18560000000000001</c:v>
                </c:pt>
                <c:pt idx="21">
                  <c:v>0.18560000000000004</c:v>
                </c:pt>
                <c:pt idx="22">
                  <c:v>0.18560000000000001</c:v>
                </c:pt>
                <c:pt idx="23">
                  <c:v>0.18560000000000001</c:v>
                </c:pt>
                <c:pt idx="24">
                  <c:v>0.18560000000000007</c:v>
                </c:pt>
                <c:pt idx="25">
                  <c:v>0.18560000000000001</c:v>
                </c:pt>
                <c:pt idx="26">
                  <c:v>0.18560000000000001</c:v>
                </c:pt>
                <c:pt idx="27">
                  <c:v>0.18560000000000007</c:v>
                </c:pt>
                <c:pt idx="28">
                  <c:v>0.18560000000000004</c:v>
                </c:pt>
                <c:pt idx="29">
                  <c:v>0.18560000000000007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75-F44F-9420-EE109955D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8548144"/>
        <c:axId val="2068549792"/>
      </c:barChart>
      <c:catAx>
        <c:axId val="2068548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549792"/>
        <c:crosses val="autoZero"/>
        <c:auto val="1"/>
        <c:lblAlgn val="ctr"/>
        <c:lblOffset val="100"/>
        <c:tickLblSkip val="2"/>
        <c:noMultiLvlLbl val="0"/>
      </c:catAx>
      <c:valAx>
        <c:axId val="2068549792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548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6689772449920358E-2"/>
          <c:y val="2.8610070744902207E-2"/>
          <c:w val="0.88633492449640328"/>
          <c:h val="0.87496518459537131"/>
        </c:manualLayout>
      </c:layout>
      <c:lineChart>
        <c:grouping val="standard"/>
        <c:varyColors val="0"/>
        <c:ser>
          <c:idx val="0"/>
          <c:order val="0"/>
          <c:tx>
            <c:v>Baseline (status quo) under 7% Returns</c:v>
          </c:tx>
          <c:spPr>
            <a:ln w="38100" cap="rnd">
              <a:solidFill>
                <a:srgbClr val="496FB9"/>
              </a:solidFill>
              <a:round/>
            </a:ln>
            <a:effectLst/>
          </c:spPr>
          <c:marker>
            <c:symbol val="none"/>
          </c:marker>
          <c:cat>
            <c:numRef>
              <c:f>Outputs!$A$4:$A$34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Outputs!$E$4:$E$34</c:f>
              <c:numCache>
                <c:formatCode>0.00%</c:formatCode>
                <c:ptCount val="31"/>
                <c:pt idx="0">
                  <c:v>0.15805160795638792</c:v>
                </c:pt>
                <c:pt idx="1">
                  <c:v>0.15560000000000004</c:v>
                </c:pt>
                <c:pt idx="2">
                  <c:v>0.16560000000000005</c:v>
                </c:pt>
                <c:pt idx="3">
                  <c:v>0.17560000000000006</c:v>
                </c:pt>
                <c:pt idx="4">
                  <c:v>0.18560000000000007</c:v>
                </c:pt>
                <c:pt idx="5">
                  <c:v>0.18560000000000004</c:v>
                </c:pt>
                <c:pt idx="6">
                  <c:v>0.18559999999999999</c:v>
                </c:pt>
                <c:pt idx="7">
                  <c:v>0.18560000000000007</c:v>
                </c:pt>
                <c:pt idx="8">
                  <c:v>0.18560000000000007</c:v>
                </c:pt>
                <c:pt idx="9">
                  <c:v>0.18560000000000001</c:v>
                </c:pt>
                <c:pt idx="10">
                  <c:v>0.18560000000000007</c:v>
                </c:pt>
                <c:pt idx="11">
                  <c:v>0.18560000000000001</c:v>
                </c:pt>
                <c:pt idx="12">
                  <c:v>0.18560000000000004</c:v>
                </c:pt>
                <c:pt idx="13">
                  <c:v>0.18560000000000004</c:v>
                </c:pt>
                <c:pt idx="14">
                  <c:v>0.1856000000000001</c:v>
                </c:pt>
                <c:pt idx="15">
                  <c:v>0.1856000000000001</c:v>
                </c:pt>
                <c:pt idx="16">
                  <c:v>0.18560000000000004</c:v>
                </c:pt>
                <c:pt idx="17">
                  <c:v>0.18560000000000001</c:v>
                </c:pt>
                <c:pt idx="18">
                  <c:v>0.18560000000000004</c:v>
                </c:pt>
                <c:pt idx="19">
                  <c:v>0.18560000000000004</c:v>
                </c:pt>
                <c:pt idx="20">
                  <c:v>0.17560000000000006</c:v>
                </c:pt>
                <c:pt idx="21">
                  <c:v>0.16560000000000002</c:v>
                </c:pt>
                <c:pt idx="22">
                  <c:v>2.8762328092903865E-2</c:v>
                </c:pt>
                <c:pt idx="23">
                  <c:v>2.9097480565371439E-2</c:v>
                </c:pt>
                <c:pt idx="24">
                  <c:v>3.2812206857198947E-2</c:v>
                </c:pt>
                <c:pt idx="25">
                  <c:v>3.6561823959373935E-2</c:v>
                </c:pt>
                <c:pt idx="26">
                  <c:v>4.035016442197488E-2</c:v>
                </c:pt>
                <c:pt idx="27">
                  <c:v>4.4182305205808042E-2</c:v>
                </c:pt>
                <c:pt idx="28">
                  <c:v>4.8062574471430156E-2</c:v>
                </c:pt>
                <c:pt idx="29">
                  <c:v>5.1995881738351055E-2</c:v>
                </c:pt>
                <c:pt idx="30">
                  <c:v>5.5986097549609155E-2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21-834F-A776-B4495E6A7B79}"/>
            </c:ext>
          </c:extLst>
        </c:ser>
        <c:ser>
          <c:idx val="2"/>
          <c:order val="1"/>
          <c:tx>
            <c:v>Baseline (status quo) under market stress</c:v>
          </c:tx>
          <c:spPr>
            <a:ln w="38100" cap="rnd">
              <a:solidFill>
                <a:srgbClr val="496FB9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Outputs!$J$4:$J$34</c:f>
              <c:numCache>
                <c:formatCode>0.00%</c:formatCode>
                <c:ptCount val="31"/>
                <c:pt idx="0">
                  <c:v>0.15805160795638792</c:v>
                </c:pt>
                <c:pt idx="1">
                  <c:v>0.15560000000000004</c:v>
                </c:pt>
                <c:pt idx="2">
                  <c:v>0.16560000000000005</c:v>
                </c:pt>
                <c:pt idx="3">
                  <c:v>0.17560000000000006</c:v>
                </c:pt>
                <c:pt idx="4">
                  <c:v>0.18560000000000007</c:v>
                </c:pt>
                <c:pt idx="5">
                  <c:v>0.19560000000000005</c:v>
                </c:pt>
                <c:pt idx="6">
                  <c:v>0.20560000000000006</c:v>
                </c:pt>
                <c:pt idx="7">
                  <c:v>0.21560000000000007</c:v>
                </c:pt>
                <c:pt idx="8">
                  <c:v>0.18560000000000007</c:v>
                </c:pt>
                <c:pt idx="9">
                  <c:v>0.18560000000000001</c:v>
                </c:pt>
                <c:pt idx="10">
                  <c:v>0.19560000000000008</c:v>
                </c:pt>
                <c:pt idx="11">
                  <c:v>0.20560000000000006</c:v>
                </c:pt>
                <c:pt idx="12">
                  <c:v>0.18560000000000004</c:v>
                </c:pt>
                <c:pt idx="13">
                  <c:v>0.18560000000000004</c:v>
                </c:pt>
                <c:pt idx="14">
                  <c:v>0.1856000000000001</c:v>
                </c:pt>
                <c:pt idx="15">
                  <c:v>0.18560000000000007</c:v>
                </c:pt>
                <c:pt idx="16">
                  <c:v>0.18560000000000004</c:v>
                </c:pt>
                <c:pt idx="17">
                  <c:v>0.18560000000000007</c:v>
                </c:pt>
                <c:pt idx="18">
                  <c:v>0.18560000000000004</c:v>
                </c:pt>
                <c:pt idx="19">
                  <c:v>0.18560000000000001</c:v>
                </c:pt>
                <c:pt idx="20">
                  <c:v>0.18560000000000007</c:v>
                </c:pt>
                <c:pt idx="21">
                  <c:v>0.18560000000000001</c:v>
                </c:pt>
                <c:pt idx="22">
                  <c:v>0.18560000000000004</c:v>
                </c:pt>
                <c:pt idx="23">
                  <c:v>0.18560000000000001</c:v>
                </c:pt>
                <c:pt idx="24">
                  <c:v>0.18560000000000001</c:v>
                </c:pt>
                <c:pt idx="25">
                  <c:v>0.18560000000000004</c:v>
                </c:pt>
                <c:pt idx="26">
                  <c:v>0.18560000000000001</c:v>
                </c:pt>
                <c:pt idx="27">
                  <c:v>0.18560000000000001</c:v>
                </c:pt>
                <c:pt idx="28">
                  <c:v>0.18560000000000007</c:v>
                </c:pt>
                <c:pt idx="29">
                  <c:v>0.18560000000000004</c:v>
                </c:pt>
                <c:pt idx="30">
                  <c:v>0.18560000000000007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21-834F-A776-B4495E6A7B79}"/>
            </c:ext>
          </c:extLst>
        </c:ser>
        <c:ser>
          <c:idx val="1"/>
          <c:order val="2"/>
          <c:tx>
            <c:v>SB 176 (as introduced) under 7% returns</c:v>
          </c:tx>
          <c:spPr>
            <a:ln w="38100" cap="rnd">
              <a:solidFill>
                <a:srgbClr val="FF6D2C"/>
              </a:solidFill>
              <a:round/>
            </a:ln>
            <a:effectLst/>
          </c:spPr>
          <c:marker>
            <c:symbol val="none"/>
          </c:marker>
          <c:cat>
            <c:numRef>
              <c:f>Outputs!$A$4:$A$34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Outputs!$F$4:$F$34</c:f>
              <c:numCache>
                <c:formatCode>0.00%</c:formatCode>
                <c:ptCount val="31"/>
                <c:pt idx="0">
                  <c:v>0.16097461568266105</c:v>
                </c:pt>
                <c:pt idx="1">
                  <c:v>0.15560000000000004</c:v>
                </c:pt>
                <c:pt idx="2">
                  <c:v>0.16560000000000005</c:v>
                </c:pt>
                <c:pt idx="3">
                  <c:v>0.17560000000000001</c:v>
                </c:pt>
                <c:pt idx="4">
                  <c:v>0.1856000000000001</c:v>
                </c:pt>
                <c:pt idx="5">
                  <c:v>0.18558885067673878</c:v>
                </c:pt>
                <c:pt idx="6">
                  <c:v>0.18556313859358817</c:v>
                </c:pt>
                <c:pt idx="7">
                  <c:v>0.18552711429486388</c:v>
                </c:pt>
                <c:pt idx="8">
                  <c:v>0.18548064551752125</c:v>
                </c:pt>
                <c:pt idx="9">
                  <c:v>0.18542341149614361</c:v>
                </c:pt>
                <c:pt idx="10">
                  <c:v>0.18535500224844495</c:v>
                </c:pt>
                <c:pt idx="11">
                  <c:v>0.18527504885926721</c:v>
                </c:pt>
                <c:pt idx="12">
                  <c:v>0.18518322753250682</c:v>
                </c:pt>
                <c:pt idx="13">
                  <c:v>0.1850745838911097</c:v>
                </c:pt>
                <c:pt idx="14">
                  <c:v>0.18495367454581341</c:v>
                </c:pt>
                <c:pt idx="15">
                  <c:v>0.1848235644683292</c:v>
                </c:pt>
                <c:pt idx="16">
                  <c:v>0.18468654498191545</c:v>
                </c:pt>
                <c:pt idx="17">
                  <c:v>0.1845442569804244</c:v>
                </c:pt>
                <c:pt idx="18">
                  <c:v>0.1843911701012293</c:v>
                </c:pt>
                <c:pt idx="19">
                  <c:v>0.18422723930379098</c:v>
                </c:pt>
                <c:pt idx="20">
                  <c:v>0.18405245725689667</c:v>
                </c:pt>
                <c:pt idx="21">
                  <c:v>0.18386678336530185</c:v>
                </c:pt>
                <c:pt idx="22">
                  <c:v>0.18367012257047741</c:v>
                </c:pt>
                <c:pt idx="23">
                  <c:v>0.17346580275194981</c:v>
                </c:pt>
                <c:pt idx="24">
                  <c:v>0.16325599214806813</c:v>
                </c:pt>
                <c:pt idx="25">
                  <c:v>0.1530381530220889</c:v>
                </c:pt>
                <c:pt idx="26">
                  <c:v>6.0480160164612953E-2</c:v>
                </c:pt>
                <c:pt idx="27">
                  <c:v>5.6467912388881582E-2</c:v>
                </c:pt>
                <c:pt idx="28">
                  <c:v>5.7028256831143653E-2</c:v>
                </c:pt>
                <c:pt idx="29">
                  <c:v>5.746856846607349E-2</c:v>
                </c:pt>
                <c:pt idx="30">
                  <c:v>5.7792260243789681E-2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21-834F-A776-B4495E6A7B79}"/>
            </c:ext>
          </c:extLst>
        </c:ser>
        <c:ser>
          <c:idx val="3"/>
          <c:order val="3"/>
          <c:tx>
            <c:v>SB 176 (as introduced) under market stress</c:v>
          </c:tx>
          <c:spPr>
            <a:ln w="38100" cap="rnd">
              <a:solidFill>
                <a:srgbClr val="F76D2C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Outputs!$K$4:$K$34</c:f>
              <c:numCache>
                <c:formatCode>0.00%</c:formatCode>
                <c:ptCount val="31"/>
                <c:pt idx="0">
                  <c:v>0.16097461568266105</c:v>
                </c:pt>
                <c:pt idx="1">
                  <c:v>0.15560000000000004</c:v>
                </c:pt>
                <c:pt idx="2">
                  <c:v>0.16560000000000005</c:v>
                </c:pt>
                <c:pt idx="3">
                  <c:v>0.17560000000000001</c:v>
                </c:pt>
                <c:pt idx="4">
                  <c:v>0.1856000000000001</c:v>
                </c:pt>
                <c:pt idx="5">
                  <c:v>0.19558847598391696</c:v>
                </c:pt>
                <c:pt idx="6">
                  <c:v>0.20556066481481217</c:v>
                </c:pt>
                <c:pt idx="7">
                  <c:v>0.21552325150745566</c:v>
                </c:pt>
                <c:pt idx="8">
                  <c:v>0.22547749259564173</c:v>
                </c:pt>
                <c:pt idx="9">
                  <c:v>0.18542396668322927</c:v>
                </c:pt>
                <c:pt idx="10">
                  <c:v>0.18536361288238529</c:v>
                </c:pt>
                <c:pt idx="11">
                  <c:v>0.19529826225965799</c:v>
                </c:pt>
                <c:pt idx="12">
                  <c:v>0.20522638651214301</c:v>
                </c:pt>
                <c:pt idx="13">
                  <c:v>0.21514381512166789</c:v>
                </c:pt>
                <c:pt idx="14">
                  <c:v>0.18505587388009243</c:v>
                </c:pt>
                <c:pt idx="15">
                  <c:v>0.18496665529069253</c:v>
                </c:pt>
                <c:pt idx="16">
                  <c:v>0.1948802039168937</c:v>
                </c:pt>
                <c:pt idx="17">
                  <c:v>0.20479707605764758</c:v>
                </c:pt>
                <c:pt idx="18">
                  <c:v>0.21525712564350674</c:v>
                </c:pt>
                <c:pt idx="19">
                  <c:v>0.18573320371259205</c:v>
                </c:pt>
                <c:pt idx="20">
                  <c:v>0.18603065673076752</c:v>
                </c:pt>
                <c:pt idx="21">
                  <c:v>0.19614029251942922</c:v>
                </c:pt>
                <c:pt idx="22">
                  <c:v>0.20618805278246194</c:v>
                </c:pt>
                <c:pt idx="23">
                  <c:v>0.21574289485326259</c:v>
                </c:pt>
                <c:pt idx="24">
                  <c:v>0.18540019057049009</c:v>
                </c:pt>
                <c:pt idx="25">
                  <c:v>0.18516187153754857</c:v>
                </c:pt>
                <c:pt idx="26">
                  <c:v>0.19503931354874784</c:v>
                </c:pt>
                <c:pt idx="27">
                  <c:v>0.20492518661437209</c:v>
                </c:pt>
                <c:pt idx="28">
                  <c:v>0.18441043015322939</c:v>
                </c:pt>
                <c:pt idx="29">
                  <c:v>0.18389321693671931</c:v>
                </c:pt>
                <c:pt idx="30">
                  <c:v>0.19351754884731079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21-834F-A776-B4495E6A7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1248624"/>
        <c:axId val="1620603808"/>
      </c:lineChart>
      <c:catAx>
        <c:axId val="1621248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603808"/>
        <c:crosses val="autoZero"/>
        <c:auto val="1"/>
        <c:lblAlgn val="ctr"/>
        <c:lblOffset val="100"/>
        <c:tickLblSkip val="2"/>
        <c:noMultiLvlLbl val="0"/>
      </c:catAx>
      <c:valAx>
        <c:axId val="1620603808"/>
        <c:scaling>
          <c:orientation val="minMax"/>
          <c:max val="0.35000000000000003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Annual Employer Contribution (% of Payroll)</a:t>
                </a:r>
                <a:r>
                  <a:rPr lang="en-US" sz="1400" b="1" baseline="0">
                    <a:solidFill>
                      <a:schemeClr val="tx1"/>
                    </a:solidFill>
                  </a:rPr>
                  <a:t> </a:t>
                </a:r>
                <a:endParaRPr lang="en-US" sz="1400" b="1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4.5168655801565037E-4"/>
              <c:y val="0.148061769306364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24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413436557869857"/>
          <c:y val="0.58720004848661533"/>
          <c:w val="0.48317004886714016"/>
          <c:h val="0.232144130425826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752657102823361E-2"/>
          <c:y val="2.8610070744902207E-2"/>
          <c:w val="0.89227201961704239"/>
          <c:h val="0.90455930274353558"/>
        </c:manualLayout>
      </c:layout>
      <c:lineChart>
        <c:grouping val="standard"/>
        <c:varyColors val="0"/>
        <c:ser>
          <c:idx val="0"/>
          <c:order val="0"/>
          <c:tx>
            <c:v>Baseline (status quo) under 7% returns</c:v>
          </c:tx>
          <c:spPr>
            <a:ln w="38100" cap="rnd">
              <a:solidFill>
                <a:srgbClr val="496FB9"/>
              </a:solidFill>
              <a:round/>
            </a:ln>
            <a:effectLst/>
          </c:spPr>
          <c:marker>
            <c:symbol val="none"/>
          </c:marker>
          <c:cat>
            <c:numRef>
              <c:f>Outputs!$A$103:$A$133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Outputs!$E$103:$E$133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27481.767523016861</c:v>
                </c:pt>
                <c:pt idx="2">
                  <c:v>26985.161663062692</c:v>
                </c:pt>
                <c:pt idx="3">
                  <c:v>26317.910671491558</c:v>
                </c:pt>
                <c:pt idx="4">
                  <c:v>25470.654594082895</c:v>
                </c:pt>
                <c:pt idx="5">
                  <c:v>24559.940930131255</c:v>
                </c:pt>
                <c:pt idx="6">
                  <c:v>23583.147340472879</c:v>
                </c:pt>
                <c:pt idx="7">
                  <c:v>22537.503970564838</c:v>
                </c:pt>
                <c:pt idx="8">
                  <c:v>21420.087223557341</c:v>
                </c:pt>
                <c:pt idx="9">
                  <c:v>20227.813263013519</c:v>
                </c:pt>
                <c:pt idx="10">
                  <c:v>18957.431228787551</c:v>
                </c:pt>
                <c:pt idx="11">
                  <c:v>17605.52889325222</c:v>
                </c:pt>
                <c:pt idx="12">
                  <c:v>16168.490242664333</c:v>
                </c:pt>
                <c:pt idx="13">
                  <c:v>14642.535669299094</c:v>
                </c:pt>
                <c:pt idx="14">
                  <c:v>13023.677641806335</c:v>
                </c:pt>
                <c:pt idx="15">
                  <c:v>11307.704469877583</c:v>
                </c:pt>
                <c:pt idx="16">
                  <c:v>9490.2241834296747</c:v>
                </c:pt>
                <c:pt idx="17">
                  <c:v>7566.6062664492283</c:v>
                </c:pt>
                <c:pt idx="18">
                  <c:v>5531.9871687793739</c:v>
                </c:pt>
                <c:pt idx="19">
                  <c:v>3381.2601410240591</c:v>
                </c:pt>
                <c:pt idx="20">
                  <c:v>1310.4811840177078</c:v>
                </c:pt>
                <c:pt idx="21">
                  <c:v>-672.82386427173572</c:v>
                </c:pt>
                <c:pt idx="22">
                  <c:v>-745.49809135583735</c:v>
                </c:pt>
                <c:pt idx="23">
                  <c:v>-765.65172999161575</c:v>
                </c:pt>
                <c:pt idx="24">
                  <c:v>-777.97608436477958</c:v>
                </c:pt>
                <c:pt idx="25">
                  <c:v>-781.36605227533812</c:v>
                </c:pt>
                <c:pt idx="26">
                  <c:v>-774.65663200366259</c:v>
                </c:pt>
                <c:pt idx="27">
                  <c:v>-756.78120394019288</c:v>
                </c:pt>
                <c:pt idx="28">
                  <c:v>-726.69341472809526</c:v>
                </c:pt>
                <c:pt idx="29">
                  <c:v>-683.42357216088294</c:v>
                </c:pt>
                <c:pt idx="30">
                  <c:v>-626.07825103028836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E0-9B41-92B5-6CD580515297}"/>
            </c:ext>
          </c:extLst>
        </c:ser>
        <c:ser>
          <c:idx val="2"/>
          <c:order val="1"/>
          <c:tx>
            <c:v>Baseline (status quo) under market stress</c:v>
          </c:tx>
          <c:spPr>
            <a:ln w="38100" cap="rnd">
              <a:solidFill>
                <a:srgbClr val="496FB9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Outputs!$J$103:$J$133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35537.40085691266</c:v>
                </c:pt>
                <c:pt idx="2">
                  <c:v>34662.300109267751</c:v>
                </c:pt>
                <c:pt idx="3">
                  <c:v>33551.102400859367</c:v>
                </c:pt>
                <c:pt idx="4">
                  <c:v>32182.791497386232</c:v>
                </c:pt>
                <c:pt idx="5">
                  <c:v>31688.235466812766</c:v>
                </c:pt>
                <c:pt idx="6">
                  <c:v>31026.466466894413</c:v>
                </c:pt>
                <c:pt idx="7">
                  <c:v>30189.61608765609</c:v>
                </c:pt>
                <c:pt idx="8">
                  <c:v>29848.991180447534</c:v>
                </c:pt>
                <c:pt idx="9">
                  <c:v>29475.96289402913</c:v>
                </c:pt>
                <c:pt idx="10">
                  <c:v>28883.054209015474</c:v>
                </c:pt>
                <c:pt idx="11">
                  <c:v>28059.511542627752</c:v>
                </c:pt>
                <c:pt idx="12">
                  <c:v>27561.373472064606</c:v>
                </c:pt>
                <c:pt idx="13">
                  <c:v>27025.146968029778</c:v>
                </c:pt>
                <c:pt idx="14">
                  <c:v>26449.397571470403</c:v>
                </c:pt>
                <c:pt idx="15">
                  <c:v>25832.592474610279</c:v>
                </c:pt>
                <c:pt idx="16">
                  <c:v>34388.54485401314</c:v>
                </c:pt>
                <c:pt idx="17">
                  <c:v>32902.733339677856</c:v>
                </c:pt>
                <c:pt idx="18">
                  <c:v>31269.083697976504</c:v>
                </c:pt>
                <c:pt idx="19">
                  <c:v>29475.855083939856</c:v>
                </c:pt>
                <c:pt idx="20">
                  <c:v>28868.670352522615</c:v>
                </c:pt>
                <c:pt idx="21">
                  <c:v>28219.415843951836</c:v>
                </c:pt>
                <c:pt idx="22">
                  <c:v>27527.649908249594</c:v>
                </c:pt>
                <c:pt idx="23">
                  <c:v>26793.328103499174</c:v>
                </c:pt>
                <c:pt idx="24">
                  <c:v>26016.693944597268</c:v>
                </c:pt>
                <c:pt idx="25">
                  <c:v>25198.316673682883</c:v>
                </c:pt>
                <c:pt idx="26">
                  <c:v>24339.169565106822</c:v>
                </c:pt>
                <c:pt idx="27">
                  <c:v>23440.496047558947</c:v>
                </c:pt>
                <c:pt idx="28">
                  <c:v>22503.872964087219</c:v>
                </c:pt>
                <c:pt idx="29">
                  <c:v>21531.166882298894</c:v>
                </c:pt>
                <c:pt idx="30">
                  <c:v>20524.514529690365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E0-9B41-92B5-6CD580515297}"/>
            </c:ext>
          </c:extLst>
        </c:ser>
        <c:ser>
          <c:idx val="1"/>
          <c:order val="2"/>
          <c:tx>
            <c:v>SB 176 (as introduced) under 7% returns</c:v>
          </c:tx>
          <c:spPr>
            <a:ln w="38100" cap="rnd">
              <a:solidFill>
                <a:srgbClr val="F76D2C"/>
              </a:solidFill>
              <a:round/>
            </a:ln>
            <a:effectLst/>
          </c:spPr>
          <c:marker>
            <c:symbol val="none"/>
          </c:marker>
          <c:cat>
            <c:numRef>
              <c:f>Outputs!$A$103:$A$133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Outputs!$F$103:$F$133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27517.062384632856</c:v>
                </c:pt>
                <c:pt idx="2">
                  <c:v>27057.649887408505</c:v>
                </c:pt>
                <c:pt idx="3">
                  <c:v>26446.709373179357</c:v>
                </c:pt>
                <c:pt idx="4">
                  <c:v>25681.697081335646</c:v>
                </c:pt>
                <c:pt idx="5">
                  <c:v>24874.984774475932</c:v>
                </c:pt>
                <c:pt idx="6">
                  <c:v>24025.359898527538</c:v>
                </c:pt>
                <c:pt idx="7">
                  <c:v>23131.472306974956</c:v>
                </c:pt>
                <c:pt idx="8">
                  <c:v>22191.891510431291</c:v>
                </c:pt>
                <c:pt idx="9">
                  <c:v>21205.106564765851</c:v>
                </c:pt>
                <c:pt idx="10">
                  <c:v>20169.524589178272</c:v>
                </c:pt>
                <c:pt idx="11">
                  <c:v>19089.497373113762</c:v>
                </c:pt>
                <c:pt idx="12">
                  <c:v>17957.537203642452</c:v>
                </c:pt>
                <c:pt idx="13">
                  <c:v>16777.982622884752</c:v>
                </c:pt>
                <c:pt idx="14">
                  <c:v>15549.251069687009</c:v>
                </c:pt>
                <c:pt idx="15">
                  <c:v>14263.430671987186</c:v>
                </c:pt>
                <c:pt idx="16">
                  <c:v>12924.5537957047</c:v>
                </c:pt>
                <c:pt idx="17">
                  <c:v>11530.638426812618</c:v>
                </c:pt>
                <c:pt idx="18">
                  <c:v>10079.686601212865</c:v>
                </c:pt>
                <c:pt idx="19">
                  <c:v>8569.5993079528962</c:v>
                </c:pt>
                <c:pt idx="20">
                  <c:v>6998.1720672747051</c:v>
                </c:pt>
                <c:pt idx="21">
                  <c:v>5363.9313515617732</c:v>
                </c:pt>
                <c:pt idx="22">
                  <c:v>3658.9148058705123</c:v>
                </c:pt>
                <c:pt idx="23">
                  <c:v>2050.1822578631941</c:v>
                </c:pt>
                <c:pt idx="24">
                  <c:v>535.92522008454239</c:v>
                </c:pt>
                <c:pt idx="25">
                  <c:v>-884.07039374565784</c:v>
                </c:pt>
                <c:pt idx="26">
                  <c:v>-992.44230177189627</c:v>
                </c:pt>
                <c:pt idx="27">
                  <c:v>-1018.0366776735752</c:v>
                </c:pt>
                <c:pt idx="28">
                  <c:v>-1029.7570951101677</c:v>
                </c:pt>
                <c:pt idx="29">
                  <c:v>-1026.3616182162359</c:v>
                </c:pt>
                <c:pt idx="30">
                  <c:v>-1006.6583843879772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E0-9B41-92B5-6CD580515297}"/>
            </c:ext>
          </c:extLst>
        </c:ser>
        <c:ser>
          <c:idx val="3"/>
          <c:order val="3"/>
          <c:tx>
            <c:v>SB 176 (as introduced) under market stress</c:v>
          </c:tx>
          <c:spPr>
            <a:ln w="38100" cap="rnd">
              <a:solidFill>
                <a:srgbClr val="F76D2C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Outputs!$K$103:$K$133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35567.146707403677</c:v>
                </c:pt>
                <c:pt idx="2">
                  <c:v>34730.803655000804</c:v>
                </c:pt>
                <c:pt idx="3">
                  <c:v>33679.744419600094</c:v>
                </c:pt>
                <c:pt idx="4">
                  <c:v>32401.666165806928</c:v>
                </c:pt>
                <c:pt idx="5">
                  <c:v>32007.993049723762</c:v>
                </c:pt>
                <c:pt idx="6">
                  <c:v>31468.385578660902</c:v>
                </c:pt>
                <c:pt idx="7">
                  <c:v>30775.900848488025</c:v>
                </c:pt>
                <c:pt idx="8">
                  <c:v>29923.279172608938</c:v>
                </c:pt>
                <c:pt idx="9">
                  <c:v>29725.995027918794</c:v>
                </c:pt>
                <c:pt idx="10">
                  <c:v>29513.409391171052</c:v>
                </c:pt>
                <c:pt idx="11">
                  <c:v>29116.645635388519</c:v>
                </c:pt>
                <c:pt idx="12">
                  <c:v>28525.820945230713</c:v>
                </c:pt>
                <c:pt idx="13">
                  <c:v>27740.165244750664</c:v>
                </c:pt>
                <c:pt idx="14">
                  <c:v>27434.348399826111</c:v>
                </c:pt>
                <c:pt idx="15">
                  <c:v>27109.163971521681</c:v>
                </c:pt>
                <c:pt idx="16">
                  <c:v>34833.356739224466</c:v>
                </c:pt>
                <c:pt idx="17">
                  <c:v>33448.805177619048</c:v>
                </c:pt>
                <c:pt idx="18">
                  <c:v>31779.785943643528</c:v>
                </c:pt>
                <c:pt idx="19">
                  <c:v>30483.254845703617</c:v>
                </c:pt>
                <c:pt idx="20">
                  <c:v>30222.178809753044</c:v>
                </c:pt>
                <c:pt idx="21">
                  <c:v>29780.44524982537</c:v>
                </c:pt>
                <c:pt idx="22">
                  <c:v>29150.452679402428</c:v>
                </c:pt>
                <c:pt idx="23">
                  <c:v>28341.853274899597</c:v>
                </c:pt>
                <c:pt idx="24">
                  <c:v>27988.514140670133</c:v>
                </c:pt>
                <c:pt idx="25">
                  <c:v>27618.391707392486</c:v>
                </c:pt>
                <c:pt idx="26">
                  <c:v>27075.187753230188</c:v>
                </c:pt>
                <c:pt idx="27">
                  <c:v>26350.987680333343</c:v>
                </c:pt>
                <c:pt idx="28">
                  <c:v>25930.297512961566</c:v>
                </c:pt>
                <c:pt idx="29">
                  <c:v>25506.768348201353</c:v>
                </c:pt>
                <c:pt idx="30">
                  <c:v>24921.119373434922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E0-9B41-92B5-6CD580515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1248624"/>
        <c:axId val="1620603808"/>
      </c:lineChart>
      <c:catAx>
        <c:axId val="1621248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603808"/>
        <c:crossesAt val="-15000"/>
        <c:auto val="1"/>
        <c:lblAlgn val="ctr"/>
        <c:lblOffset val="100"/>
        <c:tickLblSkip val="2"/>
        <c:noMultiLvlLbl val="0"/>
      </c:catAx>
      <c:valAx>
        <c:axId val="1620603808"/>
        <c:scaling>
          <c:orientation val="minMax"/>
          <c:max val="45000"/>
          <c:min val="-15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Unfunded Market Liability</a:t>
                </a:r>
                <a:r>
                  <a:rPr lang="en-US" sz="1400" b="1" baseline="0">
                    <a:solidFill>
                      <a:schemeClr val="tx1"/>
                    </a:solidFill>
                  </a:rPr>
                  <a:t> (in &amp;Billions)</a:t>
                </a:r>
                <a:endParaRPr lang="en-US" sz="14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248624"/>
        <c:crosses val="autoZero"/>
        <c:crossBetween val="between"/>
        <c:majorUnit val="5000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866734670598053"/>
          <c:y val="0.68393887359215622"/>
          <c:w val="0.44298550262130948"/>
          <c:h val="0.2129247530278159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024872336971247E-2"/>
          <c:y val="2.8610070744902207E-2"/>
          <c:w val="0.89399982256030974"/>
          <c:h val="0.90455930274353558"/>
        </c:manualLayout>
      </c:layout>
      <c:areaChart>
        <c:grouping val="stacked"/>
        <c:varyColors val="0"/>
        <c:ser>
          <c:idx val="2"/>
          <c:order val="2"/>
          <c:spPr>
            <a:noFill/>
            <a:ln>
              <a:noFill/>
            </a:ln>
            <a:effectLst/>
          </c:spPr>
          <c:val>
            <c:numRef>
              <c:f>Outputs!$E$169:$E$199</c:f>
              <c:numCache>
                <c:formatCode>_(* #,##0_);_(* \(#,##0\);_(* "-"??_);_(@_)</c:formatCode>
                <c:ptCount val="31"/>
                <c:pt idx="0">
                  <c:v>26292.418000000001</c:v>
                </c:pt>
                <c:pt idx="1">
                  <c:v>27528.529982282307</c:v>
                </c:pt>
                <c:pt idx="2">
                  <c:v>28318.246979777097</c:v>
                </c:pt>
                <c:pt idx="3">
                  <c:v>29261.750844601906</c:v>
                </c:pt>
                <c:pt idx="4">
                  <c:v>30368.299934736351</c:v>
                </c:pt>
                <c:pt idx="5">
                  <c:v>31521.075623172826</c:v>
                </c:pt>
                <c:pt idx="6">
                  <c:v>32722.443406541988</c:v>
                </c:pt>
                <c:pt idx="7">
                  <c:v>33974.884198515574</c:v>
                </c:pt>
                <c:pt idx="8">
                  <c:v>35280.999775844546</c:v>
                </c:pt>
                <c:pt idx="9">
                  <c:v>36643.51847844143</c:v>
                </c:pt>
                <c:pt idx="10">
                  <c:v>38065.301175320164</c:v>
                </c:pt>
                <c:pt idx="11">
                  <c:v>39549.791285385407</c:v>
                </c:pt>
                <c:pt idx="12">
                  <c:v>41099.763523674381</c:v>
                </c:pt>
                <c:pt idx="13">
                  <c:v>42719.069538194803</c:v>
                </c:pt>
                <c:pt idx="14">
                  <c:v>44411.304551383044</c:v>
                </c:pt>
                <c:pt idx="15">
                  <c:v>46179.579323809281</c:v>
                </c:pt>
                <c:pt idx="16">
                  <c:v>48028.421867674326</c:v>
                </c:pt>
                <c:pt idx="17">
                  <c:v>49961.974519673102</c:v>
                </c:pt>
                <c:pt idx="18">
                  <c:v>51984.580972408898</c:v>
                </c:pt>
                <c:pt idx="19">
                  <c:v>54100.795759550761</c:v>
                </c:pt>
                <c:pt idx="20">
                  <c:v>56113.977581416126</c:v>
                </c:pt>
                <c:pt idx="21">
                  <c:v>58046.066941107631</c:v>
                </c:pt>
                <c:pt idx="22">
                  <c:v>58104.033410899523</c:v>
                </c:pt>
                <c:pt idx="23">
                  <c:v>58179.375227710269</c:v>
                </c:pt>
                <c:pt idx="24">
                  <c:v>58348.532142963209</c:v>
                </c:pt>
                <c:pt idx="25">
                  <c:v>58641.864161025536</c:v>
                </c:pt>
                <c:pt idx="26">
                  <c:v>59091.506265923425</c:v>
                </c:pt>
                <c:pt idx="27">
                  <c:v>59725.952108571422</c:v>
                </c:pt>
                <c:pt idx="28">
                  <c:v>60573.304953081875</c:v>
                </c:pt>
                <c:pt idx="29">
                  <c:v>61659.712871671974</c:v>
                </c:pt>
                <c:pt idx="30">
                  <c:v>63009.073572902053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57-A94B-A328-FE29ECE9B527}"/>
            </c:ext>
          </c:extLst>
        </c:ser>
        <c:ser>
          <c:idx val="3"/>
          <c:order val="3"/>
          <c:spPr>
            <a:solidFill>
              <a:srgbClr val="D3D3D3"/>
            </a:solidFill>
            <a:ln w="25400">
              <a:noFill/>
            </a:ln>
            <a:effectLst/>
          </c:spPr>
          <c:val>
            <c:numRef>
              <c:f>Outputs!$M$103:$M$122</c:f>
              <c:numCache>
                <c:formatCode>_(* #,##0_);_(* \(#,##0\);_(* "-"??_);_(@_)</c:formatCode>
                <c:ptCount val="20"/>
                <c:pt idx="0">
                  <c:v>25768.827000000001</c:v>
                </c:pt>
                <c:pt idx="1">
                  <c:v>27481.767523016861</c:v>
                </c:pt>
                <c:pt idx="2">
                  <c:v>26985.161663062689</c:v>
                </c:pt>
                <c:pt idx="3">
                  <c:v>26289.505584420098</c:v>
                </c:pt>
                <c:pt idx="4">
                  <c:v>25376.00755160032</c:v>
                </c:pt>
                <c:pt idx="5">
                  <c:v>24370.090110979658</c:v>
                </c:pt>
                <c:pt idx="6">
                  <c:v>23269.003593343255</c:v>
                </c:pt>
                <c:pt idx="7">
                  <c:v>22069.877075867407</c:v>
                </c:pt>
                <c:pt idx="8">
                  <c:v>20769.713936099506</c:v>
                </c:pt>
                <c:pt idx="9">
                  <c:v>19365.38722886637</c:v>
                </c:pt>
                <c:pt idx="10">
                  <c:v>17853.634874252326</c:v>
                </c:pt>
                <c:pt idx="11">
                  <c:v>16223.328468046915</c:v>
                </c:pt>
                <c:pt idx="12">
                  <c:v>14478.504159771859</c:v>
                </c:pt>
                <c:pt idx="13">
                  <c:v>12608.206861229599</c:v>
                </c:pt>
                <c:pt idx="14">
                  <c:v>10608.709324596937</c:v>
                </c:pt>
                <c:pt idx="15">
                  <c:v>8482.9059360641259</c:v>
                </c:pt>
                <c:pt idx="16">
                  <c:v>6220.089833561593</c:v>
                </c:pt>
                <c:pt idx="17">
                  <c:v>3816.0857040020564</c:v>
                </c:pt>
                <c:pt idx="18">
                  <c:v>1266.5580623795177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57-A94B-A328-FE29ECE9B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1248624"/>
        <c:axId val="1620603808"/>
      </c:areaChart>
      <c:lineChart>
        <c:grouping val="standard"/>
        <c:varyColors val="0"/>
        <c:ser>
          <c:idx val="1"/>
          <c:order val="0"/>
          <c:tx>
            <c:v>Actuarial Accrued Liability</c:v>
          </c:tx>
          <c:spPr>
            <a:ln w="38100" cap="rnd">
              <a:solidFill>
                <a:srgbClr val="FF6D2C"/>
              </a:solidFill>
              <a:round/>
            </a:ln>
            <a:effectLst/>
          </c:spPr>
          <c:marker>
            <c:symbol val="none"/>
          </c:marker>
          <c:cat>
            <c:numRef>
              <c:f>Outputs!$A$103:$A$133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Outputs!$E$136:$E$166</c:f>
              <c:numCache>
                <c:formatCode>_(* #,##0_);_(* \(#,##0\);_(* "-"??_);_(@_)</c:formatCode>
                <c:ptCount val="31"/>
                <c:pt idx="0">
                  <c:v>52061.245000000003</c:v>
                </c:pt>
                <c:pt idx="1">
                  <c:v>55010.297505299168</c:v>
                </c:pt>
                <c:pt idx="2">
                  <c:v>55303.408642839786</c:v>
                </c:pt>
                <c:pt idx="3">
                  <c:v>55551.256429022003</c:v>
                </c:pt>
                <c:pt idx="4">
                  <c:v>55744.307486336671</c:v>
                </c:pt>
                <c:pt idx="5">
                  <c:v>55891.165734152484</c:v>
                </c:pt>
                <c:pt idx="6">
                  <c:v>55991.446999885244</c:v>
                </c:pt>
                <c:pt idx="7">
                  <c:v>56044.761274382981</c:v>
                </c:pt>
                <c:pt idx="8">
                  <c:v>56050.713711944052</c:v>
                </c:pt>
                <c:pt idx="9">
                  <c:v>56008.9057073078</c:v>
                </c:pt>
                <c:pt idx="10">
                  <c:v>55918.93604957249</c:v>
                </c:pt>
                <c:pt idx="11">
                  <c:v>55773.119753432322</c:v>
                </c:pt>
                <c:pt idx="12">
                  <c:v>55578.26768344624</c:v>
                </c:pt>
                <c:pt idx="13">
                  <c:v>55327.276399424401</c:v>
                </c:pt>
                <c:pt idx="14">
                  <c:v>55020.013875979981</c:v>
                </c:pt>
                <c:pt idx="15">
                  <c:v>54662.485259873407</c:v>
                </c:pt>
                <c:pt idx="16">
                  <c:v>54248.511701235919</c:v>
                </c:pt>
                <c:pt idx="17">
                  <c:v>53778.060223675158</c:v>
                </c:pt>
                <c:pt idx="18">
                  <c:v>53251.139034788415</c:v>
                </c:pt>
                <c:pt idx="19">
                  <c:v>52667.801162871845</c:v>
                </c:pt>
                <c:pt idx="20">
                  <c:v>52028.148268985686</c:v>
                </c:pt>
                <c:pt idx="21">
                  <c:v>51362.420138250818</c:v>
                </c:pt>
                <c:pt idx="22">
                  <c:v>50706.568425722304</c:v>
                </c:pt>
                <c:pt idx="23">
                  <c:v>50089.947755269066</c:v>
                </c:pt>
                <c:pt idx="24">
                  <c:v>49549.765615744247</c:v>
                </c:pt>
                <c:pt idx="25">
                  <c:v>49122.410756992831</c:v>
                </c:pt>
                <c:pt idx="26">
                  <c:v>48837.870631415455</c:v>
                </c:pt>
                <c:pt idx="27">
                  <c:v>48730.205575708358</c:v>
                </c:pt>
                <c:pt idx="28">
                  <c:v>48829.201576560408</c:v>
                </c:pt>
                <c:pt idx="29">
                  <c:v>49162.675546272025</c:v>
                </c:pt>
                <c:pt idx="30">
                  <c:v>49756.184065030102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57-A94B-A328-FE29ECE9B527}"/>
            </c:ext>
          </c:extLst>
        </c:ser>
        <c:ser>
          <c:idx val="0"/>
          <c:order val="1"/>
          <c:tx>
            <c:v>Market Value of Assets</c:v>
          </c:tx>
          <c:spPr>
            <a:ln w="38100" cap="rnd">
              <a:solidFill>
                <a:srgbClr val="496FB9"/>
              </a:solidFill>
              <a:round/>
            </a:ln>
            <a:effectLst/>
          </c:spPr>
          <c:marker>
            <c:symbol val="none"/>
          </c:marker>
          <c:cat>
            <c:numRef>
              <c:f>Outputs!$A$103:$A$133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Outputs!$E$169:$E$199</c:f>
              <c:numCache>
                <c:formatCode>_(* #,##0_);_(* \(#,##0\);_(* "-"??_);_(@_)</c:formatCode>
                <c:ptCount val="31"/>
                <c:pt idx="0">
                  <c:v>26292.418000000001</c:v>
                </c:pt>
                <c:pt idx="1">
                  <c:v>27528.529982282307</c:v>
                </c:pt>
                <c:pt idx="2">
                  <c:v>28318.246979777097</c:v>
                </c:pt>
                <c:pt idx="3">
                  <c:v>29261.750844601906</c:v>
                </c:pt>
                <c:pt idx="4">
                  <c:v>30368.299934736351</c:v>
                </c:pt>
                <c:pt idx="5">
                  <c:v>31521.075623172826</c:v>
                </c:pt>
                <c:pt idx="6">
                  <c:v>32722.443406541988</c:v>
                </c:pt>
                <c:pt idx="7">
                  <c:v>33974.884198515574</c:v>
                </c:pt>
                <c:pt idx="8">
                  <c:v>35280.999775844546</c:v>
                </c:pt>
                <c:pt idx="9">
                  <c:v>36643.51847844143</c:v>
                </c:pt>
                <c:pt idx="10">
                  <c:v>38065.301175320164</c:v>
                </c:pt>
                <c:pt idx="11">
                  <c:v>39549.791285385407</c:v>
                </c:pt>
                <c:pt idx="12">
                  <c:v>41099.763523674381</c:v>
                </c:pt>
                <c:pt idx="13">
                  <c:v>42719.069538194803</c:v>
                </c:pt>
                <c:pt idx="14">
                  <c:v>44411.304551383044</c:v>
                </c:pt>
                <c:pt idx="15">
                  <c:v>46179.579323809281</c:v>
                </c:pt>
                <c:pt idx="16">
                  <c:v>48028.421867674326</c:v>
                </c:pt>
                <c:pt idx="17">
                  <c:v>49961.974519673102</c:v>
                </c:pt>
                <c:pt idx="18">
                  <c:v>51984.580972408898</c:v>
                </c:pt>
                <c:pt idx="19">
                  <c:v>54100.795759550761</c:v>
                </c:pt>
                <c:pt idx="20">
                  <c:v>56113.977581416126</c:v>
                </c:pt>
                <c:pt idx="21">
                  <c:v>58046.066941107631</c:v>
                </c:pt>
                <c:pt idx="22">
                  <c:v>58104.033410899523</c:v>
                </c:pt>
                <c:pt idx="23">
                  <c:v>58179.375227710269</c:v>
                </c:pt>
                <c:pt idx="24">
                  <c:v>58348.532142963209</c:v>
                </c:pt>
                <c:pt idx="25">
                  <c:v>58641.864161025536</c:v>
                </c:pt>
                <c:pt idx="26">
                  <c:v>59091.506265923425</c:v>
                </c:pt>
                <c:pt idx="27">
                  <c:v>59725.952108571422</c:v>
                </c:pt>
                <c:pt idx="28">
                  <c:v>60573.304953081875</c:v>
                </c:pt>
                <c:pt idx="29">
                  <c:v>61659.712871671974</c:v>
                </c:pt>
                <c:pt idx="30">
                  <c:v>63009.073572902053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57-A94B-A328-FE29ECE9B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1248624"/>
        <c:axId val="1620603808"/>
      </c:lineChart>
      <c:catAx>
        <c:axId val="1621248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603808"/>
        <c:crossesAt val="-15000"/>
        <c:auto val="1"/>
        <c:lblAlgn val="ctr"/>
        <c:lblOffset val="100"/>
        <c:tickLblSkip val="2"/>
        <c:noMultiLvlLbl val="0"/>
      </c:catAx>
      <c:valAx>
        <c:axId val="162060380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Value of Assets and Liabilities (in $Billions)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248624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ayout>
        <c:manualLayout>
          <c:xMode val="edge"/>
          <c:yMode val="edge"/>
          <c:x val="9.1190722921888512E-2"/>
          <c:y val="0.7617029968222"/>
          <c:w val="0.3372307699735832"/>
          <c:h val="0.117560393242860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024872336971247E-2"/>
          <c:y val="2.8610070744902207E-2"/>
          <c:w val="0.89399982256030974"/>
          <c:h val="0.90455930274353558"/>
        </c:manualLayout>
      </c:layout>
      <c:areaChart>
        <c:grouping val="stacked"/>
        <c:varyColors val="0"/>
        <c:ser>
          <c:idx val="2"/>
          <c:order val="2"/>
          <c:spPr>
            <a:noFill/>
            <a:ln w="25400">
              <a:noFill/>
            </a:ln>
            <a:effectLst/>
          </c:spPr>
          <c:val>
            <c:numRef>
              <c:f>Outputs!$I$169:$I$199</c:f>
              <c:numCache>
                <c:formatCode>_(* #,##0_);_(* \(#,##0\);_(* "-"??_);_(@_)</c:formatCode>
                <c:ptCount val="31"/>
                <c:pt idx="0">
                  <c:v>26292.418000000001</c:v>
                </c:pt>
                <c:pt idx="1">
                  <c:v>19472.896648386504</c:v>
                </c:pt>
                <c:pt idx="2">
                  <c:v>20641.108533572038</c:v>
                </c:pt>
                <c:pt idx="3">
                  <c:v>22028.559115234104</c:v>
                </c:pt>
                <c:pt idx="4">
                  <c:v>23656.163031433014</c:v>
                </c:pt>
                <c:pt idx="5">
                  <c:v>24392.781086491312</c:v>
                </c:pt>
                <c:pt idx="6">
                  <c:v>25279.124280120453</c:v>
                </c:pt>
                <c:pt idx="7">
                  <c:v>26322.772081424322</c:v>
                </c:pt>
                <c:pt idx="8">
                  <c:v>26852.095818954356</c:v>
                </c:pt>
                <c:pt idx="9">
                  <c:v>27395.368847425823</c:v>
                </c:pt>
                <c:pt idx="10">
                  <c:v>28139.678195092241</c:v>
                </c:pt>
                <c:pt idx="11">
                  <c:v>29095.808636009871</c:v>
                </c:pt>
                <c:pt idx="12">
                  <c:v>29706.880294274106</c:v>
                </c:pt>
                <c:pt idx="13">
                  <c:v>30336.458239464118</c:v>
                </c:pt>
                <c:pt idx="14">
                  <c:v>30985.584621718972</c:v>
                </c:pt>
                <c:pt idx="15">
                  <c:v>31654.691319076581</c:v>
                </c:pt>
                <c:pt idx="16">
                  <c:v>23130.101197090862</c:v>
                </c:pt>
                <c:pt idx="17">
                  <c:v>24625.847446444477</c:v>
                </c:pt>
                <c:pt idx="18">
                  <c:v>26247.484443211772</c:v>
                </c:pt>
                <c:pt idx="19">
                  <c:v>28006.200816634966</c:v>
                </c:pt>
                <c:pt idx="20">
                  <c:v>28555.788412911217</c:v>
                </c:pt>
                <c:pt idx="21">
                  <c:v>29153.827232884054</c:v>
                </c:pt>
                <c:pt idx="22">
                  <c:v>29830.885411294094</c:v>
                </c:pt>
                <c:pt idx="23">
                  <c:v>30620.395394219475</c:v>
                </c:pt>
                <c:pt idx="24">
                  <c:v>31553.862114001164</c:v>
                </c:pt>
                <c:pt idx="25">
                  <c:v>32662.181435067316</c:v>
                </c:pt>
                <c:pt idx="26">
                  <c:v>33977.680068812937</c:v>
                </c:pt>
                <c:pt idx="27">
                  <c:v>35528.674857072278</c:v>
                </c:pt>
                <c:pt idx="28">
                  <c:v>37342.738574266557</c:v>
                </c:pt>
                <c:pt idx="29">
                  <c:v>39445.122417212195</c:v>
                </c:pt>
                <c:pt idx="30">
                  <c:v>41858.480792181399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E6-8547-824B-FFC8139FDC12}"/>
            </c:ext>
          </c:extLst>
        </c:ser>
        <c:ser>
          <c:idx val="3"/>
          <c:order val="3"/>
          <c:spPr>
            <a:solidFill>
              <a:srgbClr val="D3D3D3"/>
            </a:solidFill>
            <a:ln w="25400">
              <a:noFill/>
            </a:ln>
            <a:effectLst/>
          </c:spPr>
          <c:val>
            <c:numRef>
              <c:f>Outputs!$N$103:$N$133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35537.40085691266</c:v>
                </c:pt>
                <c:pt idx="2">
                  <c:v>34662.300109267744</c:v>
                </c:pt>
                <c:pt idx="3">
                  <c:v>33522.697313787896</c:v>
                </c:pt>
                <c:pt idx="4">
                  <c:v>32088.144454903657</c:v>
                </c:pt>
                <c:pt idx="5">
                  <c:v>31498.384647661172</c:v>
                </c:pt>
                <c:pt idx="6">
                  <c:v>30712.32271976479</c:v>
                </c:pt>
                <c:pt idx="7">
                  <c:v>29721.989192958659</c:v>
                </c:pt>
                <c:pt idx="8">
                  <c:v>29198.617892989696</c:v>
                </c:pt>
                <c:pt idx="9">
                  <c:v>28613.536859881977</c:v>
                </c:pt>
                <c:pt idx="10">
                  <c:v>27779.257854480249</c:v>
                </c:pt>
                <c:pt idx="11">
                  <c:v>26677.31111742245</c:v>
                </c:pt>
                <c:pt idx="12">
                  <c:v>25871.387389172134</c:v>
                </c:pt>
                <c:pt idx="13">
                  <c:v>24990.818159960283</c:v>
                </c:pt>
                <c:pt idx="14">
                  <c:v>24034.429254261009</c:v>
                </c:pt>
                <c:pt idx="15">
                  <c:v>23007.793940796826</c:v>
                </c:pt>
                <c:pt idx="16">
                  <c:v>31118.410504145057</c:v>
                </c:pt>
                <c:pt idx="17">
                  <c:v>29152.212777230681</c:v>
                </c:pt>
                <c:pt idx="18">
                  <c:v>27003.654591576644</c:v>
                </c:pt>
                <c:pt idx="19">
                  <c:v>24661.600346236879</c:v>
                </c:pt>
                <c:pt idx="20">
                  <c:v>23472.359856074469</c:v>
                </c:pt>
                <c:pt idx="21">
                  <c:v>22208.592905366764</c:v>
                </c:pt>
                <c:pt idx="22">
                  <c:v>20875.68301442821</c:v>
                </c:pt>
                <c:pt idx="23">
                  <c:v>19469.552361049591</c:v>
                </c:pt>
                <c:pt idx="24">
                  <c:v>17995.903501743083</c:v>
                </c:pt>
                <c:pt idx="25">
                  <c:v>16460.229321925515</c:v>
                </c:pt>
                <c:pt idx="26">
                  <c:v>14860.190562602518</c:v>
                </c:pt>
                <c:pt idx="27">
                  <c:v>13201.530718636081</c:v>
                </c:pt>
                <c:pt idx="28">
                  <c:v>11486.463002293851</c:v>
                </c:pt>
                <c:pt idx="29">
                  <c:v>9717.5531290598301</c:v>
                </c:pt>
                <c:pt idx="30">
                  <c:v>7897.7032728487029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E6-8547-824B-FFC8139FDC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1248624"/>
        <c:axId val="1620603808"/>
      </c:areaChart>
      <c:lineChart>
        <c:grouping val="standard"/>
        <c:varyColors val="0"/>
        <c:ser>
          <c:idx val="1"/>
          <c:order val="0"/>
          <c:tx>
            <c:v>Actuarial Accrued Liability</c:v>
          </c:tx>
          <c:spPr>
            <a:ln w="38100" cap="rnd">
              <a:solidFill>
                <a:srgbClr val="F76D2C"/>
              </a:solidFill>
              <a:round/>
            </a:ln>
            <a:effectLst/>
          </c:spPr>
          <c:marker>
            <c:symbol val="none"/>
          </c:marker>
          <c:cat>
            <c:numRef>
              <c:f>Outputs!$A$103:$A$133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Outputs!$I$136:$I$166</c:f>
              <c:numCache>
                <c:formatCode>_(* #,##0_);_(* \(#,##0\);_(* "-"??_);_(@_)</c:formatCode>
                <c:ptCount val="31"/>
                <c:pt idx="0">
                  <c:v>52061.245000000003</c:v>
                </c:pt>
                <c:pt idx="1">
                  <c:v>55010.297505299168</c:v>
                </c:pt>
                <c:pt idx="2">
                  <c:v>55303.408642839786</c:v>
                </c:pt>
                <c:pt idx="3">
                  <c:v>55551.256429022003</c:v>
                </c:pt>
                <c:pt idx="4">
                  <c:v>55744.307486336671</c:v>
                </c:pt>
                <c:pt idx="5">
                  <c:v>55891.165734152484</c:v>
                </c:pt>
                <c:pt idx="6">
                  <c:v>55991.446999885244</c:v>
                </c:pt>
                <c:pt idx="7">
                  <c:v>56044.761274382981</c:v>
                </c:pt>
                <c:pt idx="8">
                  <c:v>56050.713711944052</c:v>
                </c:pt>
                <c:pt idx="9">
                  <c:v>56008.9057073078</c:v>
                </c:pt>
                <c:pt idx="10">
                  <c:v>55918.93604957249</c:v>
                </c:pt>
                <c:pt idx="11">
                  <c:v>55773.119753432322</c:v>
                </c:pt>
                <c:pt idx="12">
                  <c:v>55578.26768344624</c:v>
                </c:pt>
                <c:pt idx="13">
                  <c:v>55327.276399424401</c:v>
                </c:pt>
                <c:pt idx="14">
                  <c:v>55020.013875979981</c:v>
                </c:pt>
                <c:pt idx="15">
                  <c:v>54662.485259873407</c:v>
                </c:pt>
                <c:pt idx="16">
                  <c:v>54248.511701235919</c:v>
                </c:pt>
                <c:pt idx="17">
                  <c:v>53778.060223675158</c:v>
                </c:pt>
                <c:pt idx="18">
                  <c:v>53251.139034788415</c:v>
                </c:pt>
                <c:pt idx="19">
                  <c:v>52667.801162871845</c:v>
                </c:pt>
                <c:pt idx="20">
                  <c:v>52028.148268985686</c:v>
                </c:pt>
                <c:pt idx="21">
                  <c:v>51362.420138250818</c:v>
                </c:pt>
                <c:pt idx="22">
                  <c:v>50706.568425722304</c:v>
                </c:pt>
                <c:pt idx="23">
                  <c:v>50089.947755269066</c:v>
                </c:pt>
                <c:pt idx="24">
                  <c:v>49549.765615744247</c:v>
                </c:pt>
                <c:pt idx="25">
                  <c:v>49122.410756992831</c:v>
                </c:pt>
                <c:pt idx="26">
                  <c:v>48837.870631415455</c:v>
                </c:pt>
                <c:pt idx="27">
                  <c:v>48730.205575708358</c:v>
                </c:pt>
                <c:pt idx="28">
                  <c:v>48829.201576560408</c:v>
                </c:pt>
                <c:pt idx="29">
                  <c:v>49162.675546272025</c:v>
                </c:pt>
                <c:pt idx="30">
                  <c:v>49756.184065030102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E6-8547-824B-FFC8139FDC12}"/>
            </c:ext>
          </c:extLst>
        </c:ser>
        <c:ser>
          <c:idx val="0"/>
          <c:order val="1"/>
          <c:tx>
            <c:v>Market Value of Assets</c:v>
          </c:tx>
          <c:spPr>
            <a:ln w="38100" cap="rnd">
              <a:solidFill>
                <a:srgbClr val="496FB8"/>
              </a:solidFill>
              <a:round/>
            </a:ln>
            <a:effectLst/>
          </c:spPr>
          <c:marker>
            <c:symbol val="none"/>
          </c:marker>
          <c:cat>
            <c:numRef>
              <c:f>Outputs!$A$103:$A$133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Outputs!$I$169:$I$199</c:f>
              <c:numCache>
                <c:formatCode>_(* #,##0_);_(* \(#,##0\);_(* "-"??_);_(@_)</c:formatCode>
                <c:ptCount val="31"/>
                <c:pt idx="0">
                  <c:v>26292.418000000001</c:v>
                </c:pt>
                <c:pt idx="1">
                  <c:v>19472.896648386504</c:v>
                </c:pt>
                <c:pt idx="2">
                  <c:v>20641.108533572038</c:v>
                </c:pt>
                <c:pt idx="3">
                  <c:v>22028.559115234104</c:v>
                </c:pt>
                <c:pt idx="4">
                  <c:v>23656.163031433014</c:v>
                </c:pt>
                <c:pt idx="5">
                  <c:v>24392.781086491312</c:v>
                </c:pt>
                <c:pt idx="6">
                  <c:v>25279.124280120453</c:v>
                </c:pt>
                <c:pt idx="7">
                  <c:v>26322.772081424322</c:v>
                </c:pt>
                <c:pt idx="8">
                  <c:v>26852.095818954356</c:v>
                </c:pt>
                <c:pt idx="9">
                  <c:v>27395.368847425823</c:v>
                </c:pt>
                <c:pt idx="10">
                  <c:v>28139.678195092241</c:v>
                </c:pt>
                <c:pt idx="11">
                  <c:v>29095.808636009871</c:v>
                </c:pt>
                <c:pt idx="12">
                  <c:v>29706.880294274106</c:v>
                </c:pt>
                <c:pt idx="13">
                  <c:v>30336.458239464118</c:v>
                </c:pt>
                <c:pt idx="14">
                  <c:v>30985.584621718972</c:v>
                </c:pt>
                <c:pt idx="15">
                  <c:v>31654.691319076581</c:v>
                </c:pt>
                <c:pt idx="16">
                  <c:v>23130.101197090862</c:v>
                </c:pt>
                <c:pt idx="17">
                  <c:v>24625.847446444477</c:v>
                </c:pt>
                <c:pt idx="18">
                  <c:v>26247.484443211772</c:v>
                </c:pt>
                <c:pt idx="19">
                  <c:v>28006.200816634966</c:v>
                </c:pt>
                <c:pt idx="20">
                  <c:v>28555.788412911217</c:v>
                </c:pt>
                <c:pt idx="21">
                  <c:v>29153.827232884054</c:v>
                </c:pt>
                <c:pt idx="22">
                  <c:v>29830.885411294094</c:v>
                </c:pt>
                <c:pt idx="23">
                  <c:v>30620.395394219475</c:v>
                </c:pt>
                <c:pt idx="24">
                  <c:v>31553.862114001164</c:v>
                </c:pt>
                <c:pt idx="25">
                  <c:v>32662.181435067316</c:v>
                </c:pt>
                <c:pt idx="26">
                  <c:v>33977.680068812937</c:v>
                </c:pt>
                <c:pt idx="27">
                  <c:v>35528.674857072278</c:v>
                </c:pt>
                <c:pt idx="28">
                  <c:v>37342.738574266557</c:v>
                </c:pt>
                <c:pt idx="29">
                  <c:v>39445.122417212195</c:v>
                </c:pt>
                <c:pt idx="30">
                  <c:v>41858.480792181399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E6-8547-824B-FFC8139FDC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1248624"/>
        <c:axId val="1620603808"/>
      </c:lineChart>
      <c:catAx>
        <c:axId val="1621248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603808"/>
        <c:crossesAt val="-15000"/>
        <c:auto val="1"/>
        <c:lblAlgn val="ctr"/>
        <c:lblOffset val="100"/>
        <c:tickLblSkip val="2"/>
        <c:noMultiLvlLbl val="0"/>
      </c:catAx>
      <c:valAx>
        <c:axId val="1620603808"/>
        <c:scaling>
          <c:orientation val="minMax"/>
          <c:max val="7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Value of Assets and Liabilities</a:t>
                </a:r>
                <a:r>
                  <a:rPr lang="en-US" sz="1400" b="1" baseline="0">
                    <a:solidFill>
                      <a:schemeClr val="tx1"/>
                    </a:solidFill>
                  </a:rPr>
                  <a:t> (in $Billions)</a:t>
                </a:r>
                <a:endParaRPr lang="en-US" sz="14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248624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ayout>
        <c:manualLayout>
          <c:xMode val="edge"/>
          <c:yMode val="edge"/>
          <c:x val="9.1196758285498045E-2"/>
          <c:y val="0.7617029968222"/>
          <c:w val="0.33109763347357507"/>
          <c:h val="0.120073974498431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6689772449920358E-2"/>
          <c:y val="2.8610070744902207E-2"/>
          <c:w val="0.88633492449640328"/>
          <c:h val="0.87496518459537131"/>
        </c:manualLayout>
      </c:layout>
      <c:lineChart>
        <c:grouping val="standard"/>
        <c:varyColors val="0"/>
        <c:ser>
          <c:idx val="0"/>
          <c:order val="0"/>
          <c:tx>
            <c:v>SB 176 (as introduced) under 7% returns</c:v>
          </c:tx>
          <c:spPr>
            <a:ln w="38100" cap="rnd">
              <a:solidFill>
                <a:srgbClr val="F76D2C"/>
              </a:solidFill>
              <a:round/>
            </a:ln>
            <a:effectLst/>
          </c:spPr>
          <c:marker>
            <c:symbol val="none"/>
          </c:marker>
          <c:cat>
            <c:numRef>
              <c:f>Outputs!$A$4:$A$34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Outputs!$F$4:$F$34</c:f>
              <c:numCache>
                <c:formatCode>0.00%</c:formatCode>
                <c:ptCount val="31"/>
                <c:pt idx="0">
                  <c:v>0.16097461568266105</c:v>
                </c:pt>
                <c:pt idx="1">
                  <c:v>0.15560000000000004</c:v>
                </c:pt>
                <c:pt idx="2">
                  <c:v>0.16560000000000005</c:v>
                </c:pt>
                <c:pt idx="3">
                  <c:v>0.17560000000000001</c:v>
                </c:pt>
                <c:pt idx="4">
                  <c:v>0.1856000000000001</c:v>
                </c:pt>
                <c:pt idx="5">
                  <c:v>0.18558885067673878</c:v>
                </c:pt>
                <c:pt idx="6">
                  <c:v>0.18556313859358817</c:v>
                </c:pt>
                <c:pt idx="7">
                  <c:v>0.18552711429486388</c:v>
                </c:pt>
                <c:pt idx="8">
                  <c:v>0.18548064551752125</c:v>
                </c:pt>
                <c:pt idx="9">
                  <c:v>0.18542341149614361</c:v>
                </c:pt>
                <c:pt idx="10">
                  <c:v>0.18535500224844495</c:v>
                </c:pt>
                <c:pt idx="11">
                  <c:v>0.18527504885926721</c:v>
                </c:pt>
                <c:pt idx="12">
                  <c:v>0.18518322753250682</c:v>
                </c:pt>
                <c:pt idx="13">
                  <c:v>0.1850745838911097</c:v>
                </c:pt>
                <c:pt idx="14">
                  <c:v>0.18495367454581341</c:v>
                </c:pt>
                <c:pt idx="15">
                  <c:v>0.1848235644683292</c:v>
                </c:pt>
                <c:pt idx="16">
                  <c:v>0.18468654498191545</c:v>
                </c:pt>
                <c:pt idx="17">
                  <c:v>0.1845442569804244</c:v>
                </c:pt>
                <c:pt idx="18">
                  <c:v>0.1843911701012293</c:v>
                </c:pt>
                <c:pt idx="19">
                  <c:v>0.18422723930379098</c:v>
                </c:pt>
                <c:pt idx="20">
                  <c:v>0.18405245725689667</c:v>
                </c:pt>
                <c:pt idx="21">
                  <c:v>0.18386678336530185</c:v>
                </c:pt>
                <c:pt idx="22">
                  <c:v>0.18367012257047741</c:v>
                </c:pt>
                <c:pt idx="23">
                  <c:v>0.17346580275194981</c:v>
                </c:pt>
                <c:pt idx="24">
                  <c:v>0.16325599214806813</c:v>
                </c:pt>
                <c:pt idx="25">
                  <c:v>0.1530381530220889</c:v>
                </c:pt>
                <c:pt idx="26">
                  <c:v>6.0480160164612953E-2</c:v>
                </c:pt>
                <c:pt idx="27">
                  <c:v>5.6467912388881582E-2</c:v>
                </c:pt>
                <c:pt idx="28">
                  <c:v>5.7028256831143653E-2</c:v>
                </c:pt>
                <c:pt idx="29">
                  <c:v>5.746856846607349E-2</c:v>
                </c:pt>
                <c:pt idx="30">
                  <c:v>5.7792260243789681E-2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7D-2A4C-A34A-AF348F2838F5}"/>
            </c:ext>
          </c:extLst>
        </c:ser>
        <c:ser>
          <c:idx val="2"/>
          <c:order val="1"/>
          <c:tx>
            <c:v>SB 176 (as introduced) under market stress</c:v>
          </c:tx>
          <c:spPr>
            <a:ln w="38100" cap="rnd">
              <a:solidFill>
                <a:srgbClr val="F76D2C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Outputs!$K$4:$K$34</c:f>
              <c:numCache>
                <c:formatCode>0.00%</c:formatCode>
                <c:ptCount val="31"/>
                <c:pt idx="0">
                  <c:v>0.16097461568266105</c:v>
                </c:pt>
                <c:pt idx="1">
                  <c:v>0.15560000000000004</c:v>
                </c:pt>
                <c:pt idx="2">
                  <c:v>0.16560000000000005</c:v>
                </c:pt>
                <c:pt idx="3">
                  <c:v>0.17560000000000001</c:v>
                </c:pt>
                <c:pt idx="4">
                  <c:v>0.1856000000000001</c:v>
                </c:pt>
                <c:pt idx="5">
                  <c:v>0.19558847598391696</c:v>
                </c:pt>
                <c:pt idx="6">
                  <c:v>0.20556066481481217</c:v>
                </c:pt>
                <c:pt idx="7">
                  <c:v>0.21552325150745566</c:v>
                </c:pt>
                <c:pt idx="8">
                  <c:v>0.22547749259564173</c:v>
                </c:pt>
                <c:pt idx="9">
                  <c:v>0.18542396668322927</c:v>
                </c:pt>
                <c:pt idx="10">
                  <c:v>0.18536361288238529</c:v>
                </c:pt>
                <c:pt idx="11">
                  <c:v>0.19529826225965799</c:v>
                </c:pt>
                <c:pt idx="12">
                  <c:v>0.20522638651214301</c:v>
                </c:pt>
                <c:pt idx="13">
                  <c:v>0.21514381512166789</c:v>
                </c:pt>
                <c:pt idx="14">
                  <c:v>0.18505587388009243</c:v>
                </c:pt>
                <c:pt idx="15">
                  <c:v>0.18496665529069253</c:v>
                </c:pt>
                <c:pt idx="16">
                  <c:v>0.1948802039168937</c:v>
                </c:pt>
                <c:pt idx="17">
                  <c:v>0.20479707605764758</c:v>
                </c:pt>
                <c:pt idx="18">
                  <c:v>0.21525712564350674</c:v>
                </c:pt>
                <c:pt idx="19">
                  <c:v>0.18573320371259205</c:v>
                </c:pt>
                <c:pt idx="20">
                  <c:v>0.18603065673076752</c:v>
                </c:pt>
                <c:pt idx="21">
                  <c:v>0.19614029251942922</c:v>
                </c:pt>
                <c:pt idx="22">
                  <c:v>0.20618805278246194</c:v>
                </c:pt>
                <c:pt idx="23">
                  <c:v>0.21574289485326259</c:v>
                </c:pt>
                <c:pt idx="24">
                  <c:v>0.18540019057049009</c:v>
                </c:pt>
                <c:pt idx="25">
                  <c:v>0.18516187153754857</c:v>
                </c:pt>
                <c:pt idx="26">
                  <c:v>0.19503931354874784</c:v>
                </c:pt>
                <c:pt idx="27">
                  <c:v>0.20492518661437209</c:v>
                </c:pt>
                <c:pt idx="28">
                  <c:v>0.18441043015322939</c:v>
                </c:pt>
                <c:pt idx="29">
                  <c:v>0.18389321693671931</c:v>
                </c:pt>
                <c:pt idx="30">
                  <c:v>0.19351754884731079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7D-2A4C-A34A-AF348F2838F5}"/>
            </c:ext>
          </c:extLst>
        </c:ser>
        <c:ser>
          <c:idx val="1"/>
          <c:order val="2"/>
          <c:tx>
            <c:v>SB 176 + ADEC Legacy under 7% returns</c:v>
          </c:tx>
          <c:spPr>
            <a:ln w="38100" cap="rnd">
              <a:solidFill>
                <a:srgbClr val="FBC00F"/>
              </a:solidFill>
              <a:round/>
            </a:ln>
            <a:effectLst/>
          </c:spPr>
          <c:marker>
            <c:symbol val="none"/>
          </c:marker>
          <c:cat>
            <c:numRef>
              <c:f>Outputs!$A$4:$A$34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Outputs!$G$4:$G$34</c:f>
              <c:numCache>
                <c:formatCode>0.00%</c:formatCode>
                <c:ptCount val="31"/>
                <c:pt idx="0">
                  <c:v>0.16097461568266105</c:v>
                </c:pt>
                <c:pt idx="1">
                  <c:v>0.15560000000000004</c:v>
                </c:pt>
                <c:pt idx="2">
                  <c:v>0.17984284064740097</c:v>
                </c:pt>
                <c:pt idx="3">
                  <c:v>0.18220845359621912</c:v>
                </c:pt>
                <c:pt idx="4">
                  <c:v>0.18703983738215715</c:v>
                </c:pt>
                <c:pt idx="5">
                  <c:v>0.19130711149595053</c:v>
                </c:pt>
                <c:pt idx="6">
                  <c:v>0.19483639986447332</c:v>
                </c:pt>
                <c:pt idx="7">
                  <c:v>0.19550118714596754</c:v>
                </c:pt>
                <c:pt idx="8">
                  <c:v>0.19612433086706554</c:v>
                </c:pt>
                <c:pt idx="9">
                  <c:v>0.19677846957153466</c:v>
                </c:pt>
                <c:pt idx="10">
                  <c:v>0.19746025213608887</c:v>
                </c:pt>
                <c:pt idx="11">
                  <c:v>0.19863827198408968</c:v>
                </c:pt>
                <c:pt idx="12">
                  <c:v>0.19936595576721119</c:v>
                </c:pt>
                <c:pt idx="13">
                  <c:v>0.20058123270197636</c:v>
                </c:pt>
                <c:pt idx="14">
                  <c:v>0.20181254548960861</c:v>
                </c:pt>
                <c:pt idx="15">
                  <c:v>0.20259088012689155</c:v>
                </c:pt>
                <c:pt idx="16">
                  <c:v>0.20385993433745353</c:v>
                </c:pt>
                <c:pt idx="17">
                  <c:v>0.20514544685660022</c:v>
                </c:pt>
                <c:pt idx="18">
                  <c:v>0.20644209816466369</c:v>
                </c:pt>
                <c:pt idx="19">
                  <c:v>0.20774803802969039</c:v>
                </c:pt>
                <c:pt idx="20">
                  <c:v>0.21056870835424951</c:v>
                </c:pt>
                <c:pt idx="21">
                  <c:v>0.21306947421915662</c:v>
                </c:pt>
                <c:pt idx="22">
                  <c:v>5.6108211309029023E-2</c:v>
                </c:pt>
                <c:pt idx="23">
                  <c:v>5.6484333621948012E-2</c:v>
                </c:pt>
                <c:pt idx="24">
                  <c:v>5.7748846705615531E-2</c:v>
                </c:pt>
                <c:pt idx="25">
                  <c:v>5.8560385636584222E-2</c:v>
                </c:pt>
                <c:pt idx="26">
                  <c:v>5.9421728656223749E-2</c:v>
                </c:pt>
                <c:pt idx="27">
                  <c:v>5.9927331116083803E-2</c:v>
                </c:pt>
                <c:pt idx="28">
                  <c:v>6.0304633443923082E-2</c:v>
                </c:pt>
                <c:pt idx="29">
                  <c:v>6.0562791728197667E-2</c:v>
                </c:pt>
                <c:pt idx="30">
                  <c:v>6.0705846269913606E-2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7D-2A4C-A34A-AF348F2838F5}"/>
            </c:ext>
          </c:extLst>
        </c:ser>
        <c:ser>
          <c:idx val="3"/>
          <c:order val="3"/>
          <c:tx>
            <c:v>SB 176 + ADEC Legacy under market stress</c:v>
          </c:tx>
          <c:spPr>
            <a:ln w="38100" cap="rnd">
              <a:solidFill>
                <a:srgbClr val="FBC00F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Outputs!$L$4:$L$34</c:f>
              <c:numCache>
                <c:formatCode>0.00%</c:formatCode>
                <c:ptCount val="31"/>
                <c:pt idx="0">
                  <c:v>0.16097461568266105</c:v>
                </c:pt>
                <c:pt idx="1">
                  <c:v>0.15560000000000004</c:v>
                </c:pt>
                <c:pt idx="2">
                  <c:v>0.17984284064740097</c:v>
                </c:pt>
                <c:pt idx="3">
                  <c:v>0.19213111753310019</c:v>
                </c:pt>
                <c:pt idx="4">
                  <c:v>0.20837076153185971</c:v>
                </c:pt>
                <c:pt idx="5">
                  <c:v>0.22182717981450237</c:v>
                </c:pt>
                <c:pt idx="6">
                  <c:v>0.23593014154342656</c:v>
                </c:pt>
                <c:pt idx="7">
                  <c:v>0.24280190742347785</c:v>
                </c:pt>
                <c:pt idx="8">
                  <c:v>0.24086361650881796</c:v>
                </c:pt>
                <c:pt idx="9">
                  <c:v>0.2403717331693577</c:v>
                </c:pt>
                <c:pt idx="10">
                  <c:v>0.24126777546278147</c:v>
                </c:pt>
                <c:pt idx="11">
                  <c:v>0.24393314581461009</c:v>
                </c:pt>
                <c:pt idx="12">
                  <c:v>0.24624599781167153</c:v>
                </c:pt>
                <c:pt idx="13">
                  <c:v>0.24906419933620969</c:v>
                </c:pt>
                <c:pt idx="14">
                  <c:v>0.25195766253379742</c:v>
                </c:pt>
                <c:pt idx="15">
                  <c:v>0.25449931295448452</c:v>
                </c:pt>
                <c:pt idx="16">
                  <c:v>0.25755389805310125</c:v>
                </c:pt>
                <c:pt idx="17">
                  <c:v>0.26068799812123294</c:v>
                </c:pt>
                <c:pt idx="18">
                  <c:v>0.27618487347249737</c:v>
                </c:pt>
                <c:pt idx="19">
                  <c:v>0.29306739563758505</c:v>
                </c:pt>
                <c:pt idx="20">
                  <c:v>0.30660742244943345</c:v>
                </c:pt>
                <c:pt idx="21">
                  <c:v>0.31686658834769549</c:v>
                </c:pt>
                <c:pt idx="22">
                  <c:v>0.17344143162158518</c:v>
                </c:pt>
                <c:pt idx="23">
                  <c:v>0.15962192481320781</c:v>
                </c:pt>
                <c:pt idx="24">
                  <c:v>0.14387208523769754</c:v>
                </c:pt>
                <c:pt idx="25">
                  <c:v>0.13189933545481669</c:v>
                </c:pt>
                <c:pt idx="26">
                  <c:v>0.12509332698420941</c:v>
                </c:pt>
                <c:pt idx="27">
                  <c:v>0.12150836567785021</c:v>
                </c:pt>
                <c:pt idx="28">
                  <c:v>0.12639443293513763</c:v>
                </c:pt>
                <c:pt idx="29">
                  <c:v>0.12988203127992382</c:v>
                </c:pt>
                <c:pt idx="30">
                  <c:v>0.13217680603098902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7D-2A4C-A34A-AF348F283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1248624"/>
        <c:axId val="1620603808"/>
      </c:lineChart>
      <c:catAx>
        <c:axId val="1621248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603808"/>
        <c:crosses val="autoZero"/>
        <c:auto val="1"/>
        <c:lblAlgn val="ctr"/>
        <c:lblOffset val="100"/>
        <c:tickLblSkip val="2"/>
        <c:noMultiLvlLbl val="0"/>
      </c:catAx>
      <c:valAx>
        <c:axId val="1620603808"/>
        <c:scaling>
          <c:orientation val="minMax"/>
          <c:max val="0.35000000000000003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Annual Employer Contribution (% of Payroll)</a:t>
                </a:r>
                <a:r>
                  <a:rPr lang="en-US" sz="1400" b="1" baseline="0">
                    <a:solidFill>
                      <a:schemeClr val="tx1"/>
                    </a:solidFill>
                  </a:rPr>
                  <a:t> </a:t>
                </a:r>
                <a:endParaRPr lang="en-US" sz="1400" b="1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4.5168655801565037E-4"/>
              <c:y val="0.148061769306364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24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413436557869857"/>
          <c:y val="0.58720004848661533"/>
          <c:w val="0.48317004886714016"/>
          <c:h val="0.232144130425826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752657102823361E-2"/>
          <c:y val="2.8610070744902207E-2"/>
          <c:w val="0.89227201961704239"/>
          <c:h val="0.90455930274353558"/>
        </c:manualLayout>
      </c:layout>
      <c:lineChart>
        <c:grouping val="standard"/>
        <c:varyColors val="0"/>
        <c:ser>
          <c:idx val="0"/>
          <c:order val="0"/>
          <c:tx>
            <c:v>SB 176 (as introduced) under 7% returns</c:v>
          </c:tx>
          <c:spPr>
            <a:ln w="38100" cap="rnd">
              <a:solidFill>
                <a:srgbClr val="F76D2C"/>
              </a:solidFill>
              <a:round/>
            </a:ln>
            <a:effectLst/>
          </c:spPr>
          <c:marker>
            <c:symbol val="none"/>
          </c:marker>
          <c:cat>
            <c:numRef>
              <c:f>Outputs!$A$103:$A$133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Outputs!$F$103:$F$133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27517.062384632856</c:v>
                </c:pt>
                <c:pt idx="2">
                  <c:v>27057.649887408505</c:v>
                </c:pt>
                <c:pt idx="3">
                  <c:v>26446.709373179357</c:v>
                </c:pt>
                <c:pt idx="4">
                  <c:v>25681.697081335646</c:v>
                </c:pt>
                <c:pt idx="5">
                  <c:v>24874.984774475932</c:v>
                </c:pt>
                <c:pt idx="6">
                  <c:v>24025.359898527538</c:v>
                </c:pt>
                <c:pt idx="7">
                  <c:v>23131.472306974956</c:v>
                </c:pt>
                <c:pt idx="8">
                  <c:v>22191.891510431291</c:v>
                </c:pt>
                <c:pt idx="9">
                  <c:v>21205.106564765851</c:v>
                </c:pt>
                <c:pt idx="10">
                  <c:v>20169.524589178272</c:v>
                </c:pt>
                <c:pt idx="11">
                  <c:v>19089.497373113762</c:v>
                </c:pt>
                <c:pt idx="12">
                  <c:v>17957.537203642452</c:v>
                </c:pt>
                <c:pt idx="13">
                  <c:v>16777.982622884752</c:v>
                </c:pt>
                <c:pt idx="14">
                  <c:v>15549.251069687009</c:v>
                </c:pt>
                <c:pt idx="15">
                  <c:v>14263.430671987186</c:v>
                </c:pt>
                <c:pt idx="16">
                  <c:v>12924.5537957047</c:v>
                </c:pt>
                <c:pt idx="17">
                  <c:v>11530.638426812618</c:v>
                </c:pt>
                <c:pt idx="18">
                  <c:v>10079.686601212865</c:v>
                </c:pt>
                <c:pt idx="19">
                  <c:v>8569.5993079528962</c:v>
                </c:pt>
                <c:pt idx="20">
                  <c:v>6998.1720672747051</c:v>
                </c:pt>
                <c:pt idx="21">
                  <c:v>5363.9313515617732</c:v>
                </c:pt>
                <c:pt idx="22">
                  <c:v>3658.9148058705123</c:v>
                </c:pt>
                <c:pt idx="23">
                  <c:v>2050.1822578631941</c:v>
                </c:pt>
                <c:pt idx="24">
                  <c:v>535.92522008454239</c:v>
                </c:pt>
                <c:pt idx="25">
                  <c:v>-884.07039374565784</c:v>
                </c:pt>
                <c:pt idx="26">
                  <c:v>-992.44230177189627</c:v>
                </c:pt>
                <c:pt idx="27">
                  <c:v>-1018.0366776735752</c:v>
                </c:pt>
                <c:pt idx="28">
                  <c:v>-1029.7570951101677</c:v>
                </c:pt>
                <c:pt idx="29">
                  <c:v>-1026.3616182162359</c:v>
                </c:pt>
                <c:pt idx="30">
                  <c:v>-1006.6583843879772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FE-F84A-8A98-EB72DA02DD90}"/>
            </c:ext>
          </c:extLst>
        </c:ser>
        <c:ser>
          <c:idx val="2"/>
          <c:order val="1"/>
          <c:tx>
            <c:v>SB 176 (as introduced) under market stress</c:v>
          </c:tx>
          <c:spPr>
            <a:ln w="38100" cap="rnd">
              <a:solidFill>
                <a:srgbClr val="F76D2C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Outputs!$K$103:$K$133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35567.146707403677</c:v>
                </c:pt>
                <c:pt idx="2">
                  <c:v>34730.803655000804</c:v>
                </c:pt>
                <c:pt idx="3">
                  <c:v>33679.744419600094</c:v>
                </c:pt>
                <c:pt idx="4">
                  <c:v>32401.666165806928</c:v>
                </c:pt>
                <c:pt idx="5">
                  <c:v>32007.993049723762</c:v>
                </c:pt>
                <c:pt idx="6">
                  <c:v>31468.385578660902</c:v>
                </c:pt>
                <c:pt idx="7">
                  <c:v>30775.900848488025</c:v>
                </c:pt>
                <c:pt idx="8">
                  <c:v>29923.279172608938</c:v>
                </c:pt>
                <c:pt idx="9">
                  <c:v>29725.995027918794</c:v>
                </c:pt>
                <c:pt idx="10">
                  <c:v>29513.409391171052</c:v>
                </c:pt>
                <c:pt idx="11">
                  <c:v>29116.645635388519</c:v>
                </c:pt>
                <c:pt idx="12">
                  <c:v>28525.820945230713</c:v>
                </c:pt>
                <c:pt idx="13">
                  <c:v>27740.165244750664</c:v>
                </c:pt>
                <c:pt idx="14">
                  <c:v>27434.348399826111</c:v>
                </c:pt>
                <c:pt idx="15">
                  <c:v>27109.163971521681</c:v>
                </c:pt>
                <c:pt idx="16">
                  <c:v>34833.356739224466</c:v>
                </c:pt>
                <c:pt idx="17">
                  <c:v>33448.805177619048</c:v>
                </c:pt>
                <c:pt idx="18">
                  <c:v>31779.785943643528</c:v>
                </c:pt>
                <c:pt idx="19">
                  <c:v>30483.254845703617</c:v>
                </c:pt>
                <c:pt idx="20">
                  <c:v>30222.178809753044</c:v>
                </c:pt>
                <c:pt idx="21">
                  <c:v>29780.44524982537</c:v>
                </c:pt>
                <c:pt idx="22">
                  <c:v>29150.452679402428</c:v>
                </c:pt>
                <c:pt idx="23">
                  <c:v>28341.853274899597</c:v>
                </c:pt>
                <c:pt idx="24">
                  <c:v>27988.514140670133</c:v>
                </c:pt>
                <c:pt idx="25">
                  <c:v>27618.391707392486</c:v>
                </c:pt>
                <c:pt idx="26">
                  <c:v>27075.187753230188</c:v>
                </c:pt>
                <c:pt idx="27">
                  <c:v>26350.987680333343</c:v>
                </c:pt>
                <c:pt idx="28">
                  <c:v>25930.297512961566</c:v>
                </c:pt>
                <c:pt idx="29">
                  <c:v>25506.768348201353</c:v>
                </c:pt>
                <c:pt idx="30">
                  <c:v>24921.119373434922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FE-F84A-8A98-EB72DA02DD90}"/>
            </c:ext>
          </c:extLst>
        </c:ser>
        <c:ser>
          <c:idx val="1"/>
          <c:order val="2"/>
          <c:tx>
            <c:v>SB 176 + ADEC Legacy under 7% returns</c:v>
          </c:tx>
          <c:spPr>
            <a:ln w="38100" cap="rnd">
              <a:solidFill>
                <a:srgbClr val="FBC00F"/>
              </a:solidFill>
              <a:round/>
            </a:ln>
            <a:effectLst/>
          </c:spPr>
          <c:marker>
            <c:symbol val="none"/>
          </c:marker>
          <c:cat>
            <c:numRef>
              <c:f>Outputs!$A$103:$A$133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Outputs!$G$103:$G$133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27517.062384632856</c:v>
                </c:pt>
                <c:pt idx="2">
                  <c:v>26881.534357359389</c:v>
                </c:pt>
                <c:pt idx="3">
                  <c:v>26180.098231405686</c:v>
                </c:pt>
                <c:pt idx="4">
                  <c:v>25384.6345686723</c:v>
                </c:pt>
                <c:pt idx="5">
                  <c:v>24491.847520951727</c:v>
                </c:pt>
                <c:pt idx="6">
                  <c:v>23506.356919228492</c:v>
                </c:pt>
                <c:pt idx="7">
                  <c:v>22460.437790971493</c:v>
                </c:pt>
                <c:pt idx="8">
                  <c:v>21352.173535026464</c:v>
                </c:pt>
                <c:pt idx="9">
                  <c:v>20178.602376535164</c:v>
                </c:pt>
                <c:pt idx="10">
                  <c:v>18936.638357444826</c:v>
                </c:pt>
                <c:pt idx="11">
                  <c:v>17622.865038245571</c:v>
                </c:pt>
                <c:pt idx="12">
                  <c:v>16234.10408551561</c:v>
                </c:pt>
                <c:pt idx="13">
                  <c:v>14766.694309915605</c:v>
                </c:pt>
                <c:pt idx="14">
                  <c:v>13216.958085534789</c:v>
                </c:pt>
                <c:pt idx="15">
                  <c:v>11581.198940224143</c:v>
                </c:pt>
                <c:pt idx="16">
                  <c:v>9855.0954721033831</c:v>
                </c:pt>
                <c:pt idx="17">
                  <c:v>8034.3381539842403</c:v>
                </c:pt>
                <c:pt idx="18">
                  <c:v>6114.4806534295494</c:v>
                </c:pt>
                <c:pt idx="19">
                  <c:v>4090.8771342109253</c:v>
                </c:pt>
                <c:pt idx="20">
                  <c:v>1961.6032883656542</c:v>
                </c:pt>
                <c:pt idx="21">
                  <c:v>-277.39588907358382</c:v>
                </c:pt>
                <c:pt idx="22">
                  <c:v>-361.4592777606573</c:v>
                </c:pt>
                <c:pt idx="23">
                  <c:v>-416.53069430098247</c:v>
                </c:pt>
                <c:pt idx="24">
                  <c:v>-463.90531855059527</c:v>
                </c:pt>
                <c:pt idx="25">
                  <c:v>-501.93060237713911</c:v>
                </c:pt>
                <c:pt idx="26">
                  <c:v>-529.52126547246371</c:v>
                </c:pt>
                <c:pt idx="27">
                  <c:v>-545.1392568545823</c:v>
                </c:pt>
                <c:pt idx="28">
                  <c:v>-547.46136775702723</c:v>
                </c:pt>
                <c:pt idx="29">
                  <c:v>-535.29974076988537</c:v>
                </c:pt>
                <c:pt idx="30">
                  <c:v>-507.53060559115403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FE-F84A-8A98-EB72DA02DD90}"/>
            </c:ext>
          </c:extLst>
        </c:ser>
        <c:ser>
          <c:idx val="3"/>
          <c:order val="3"/>
          <c:tx>
            <c:v>SB 176 + ADEC Legacy under market stress</c:v>
          </c:tx>
          <c:spPr>
            <a:ln w="38100" cap="rnd">
              <a:solidFill>
                <a:srgbClr val="FBC00F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Outputs!$L$103:$L$133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35567.146707403677</c:v>
                </c:pt>
                <c:pt idx="2">
                  <c:v>34551.426449153092</c:v>
                </c:pt>
                <c:pt idx="3">
                  <c:v>33275.29374826642</c:v>
                </c:pt>
                <c:pt idx="4">
                  <c:v>31671.602776665619</c:v>
                </c:pt>
                <c:pt idx="5">
                  <c:v>30921.069419442625</c:v>
                </c:pt>
                <c:pt idx="6">
                  <c:v>30004.288212946583</c:v>
                </c:pt>
                <c:pt idx="7">
                  <c:v>28956.218185765269</c:v>
                </c:pt>
                <c:pt idx="8">
                  <c:v>27884.109948016398</c:v>
                </c:pt>
                <c:pt idx="9">
                  <c:v>26768.744517456773</c:v>
                </c:pt>
                <c:pt idx="10">
                  <c:v>25590.525790080635</c:v>
                </c:pt>
                <c:pt idx="11">
                  <c:v>24329.144388521374</c:v>
                </c:pt>
                <c:pt idx="12">
                  <c:v>22980.196888829465</c:v>
                </c:pt>
                <c:pt idx="13">
                  <c:v>21538.742653387872</c:v>
                </c:pt>
                <c:pt idx="14">
                  <c:v>19999.755969405447</c:v>
                </c:pt>
                <c:pt idx="15">
                  <c:v>18358.154042517548</c:v>
                </c:pt>
                <c:pt idx="16">
                  <c:v>27550.801311389863</c:v>
                </c:pt>
                <c:pt idx="17">
                  <c:v>24726.624374379426</c:v>
                </c:pt>
                <c:pt idx="18">
                  <c:v>21448.690000822571</c:v>
                </c:pt>
                <c:pt idx="19">
                  <c:v>17657.129861758127</c:v>
                </c:pt>
                <c:pt idx="20">
                  <c:v>15160.829609512537</c:v>
                </c:pt>
                <c:pt idx="21">
                  <c:v>12415.694451591558</c:v>
                </c:pt>
                <c:pt idx="22">
                  <c:v>11594.937762070458</c:v>
                </c:pt>
                <c:pt idx="23">
                  <c:v>10947.7589886894</c:v>
                </c:pt>
                <c:pt idx="24">
                  <c:v>10507.105774727936</c:v>
                </c:pt>
                <c:pt idx="25">
                  <c:v>10224.917776957673</c:v>
                </c:pt>
                <c:pt idx="26">
                  <c:v>10042.092699768635</c:v>
                </c:pt>
                <c:pt idx="27">
                  <c:v>9912.9408390057797</c:v>
                </c:pt>
                <c:pt idx="28">
                  <c:v>9718.0865241762094</c:v>
                </c:pt>
                <c:pt idx="29">
                  <c:v>9478.3783550509852</c:v>
                </c:pt>
                <c:pt idx="30">
                  <c:v>9212.6726735802604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FE-F84A-8A98-EB72DA02DD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1248624"/>
        <c:axId val="1620603808"/>
      </c:lineChart>
      <c:catAx>
        <c:axId val="1621248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603808"/>
        <c:crossesAt val="-15000"/>
        <c:auto val="1"/>
        <c:lblAlgn val="ctr"/>
        <c:lblOffset val="100"/>
        <c:tickLblSkip val="2"/>
        <c:noMultiLvlLbl val="0"/>
      </c:catAx>
      <c:valAx>
        <c:axId val="1620603808"/>
        <c:scaling>
          <c:orientation val="minMax"/>
          <c:max val="45000"/>
          <c:min val="-15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Unfunded Market Liability</a:t>
                </a:r>
                <a:r>
                  <a:rPr lang="en-US" sz="1400" b="1" baseline="0">
                    <a:solidFill>
                      <a:schemeClr val="tx1"/>
                    </a:solidFill>
                  </a:rPr>
                  <a:t> (in &amp;Billions)</a:t>
                </a:r>
                <a:endParaRPr lang="en-US" sz="14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248624"/>
        <c:crosses val="autoZero"/>
        <c:crossBetween val="between"/>
        <c:majorUnit val="5000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866734670598053"/>
          <c:y val="0.68393887359215622"/>
          <c:w val="0.44298550262130948"/>
          <c:h val="0.2129247530278159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024872336971247E-2"/>
          <c:y val="2.8610070744902207E-2"/>
          <c:w val="0.89399982256030974"/>
          <c:h val="0.90455930274353558"/>
        </c:manualLayout>
      </c:layout>
      <c:areaChart>
        <c:grouping val="stacked"/>
        <c:varyColors val="0"/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Outputs!$L$169:$L$199</c:f>
              <c:numCache>
                <c:formatCode>_(* #,##0_);_(* \(#,##0\);_(* "-"??_);_(@_)</c:formatCode>
                <c:ptCount val="31"/>
                <c:pt idx="0">
                  <c:v>26292.418000000001</c:v>
                </c:pt>
                <c:pt idx="1">
                  <c:v>19443.150797895487</c:v>
                </c:pt>
                <c:pt idx="2">
                  <c:v>20751.982193686701</c:v>
                </c:pt>
                <c:pt idx="3">
                  <c:v>22285.321023455283</c:v>
                </c:pt>
                <c:pt idx="4">
                  <c:v>24103.887133327655</c:v>
                </c:pt>
                <c:pt idx="5">
                  <c:v>25032.644583721321</c:v>
                </c:pt>
                <c:pt idx="6">
                  <c:v>26090.656615873711</c:v>
                </c:pt>
                <c:pt idx="7">
                  <c:v>27242.60749001053</c:v>
                </c:pt>
                <c:pt idx="8">
                  <c:v>28380.87580933451</c:v>
                </c:pt>
                <c:pt idx="9">
                  <c:v>29524.29615343656</c:v>
                </c:pt>
                <c:pt idx="10">
                  <c:v>30692.06711188714</c:v>
                </c:pt>
                <c:pt idx="11">
                  <c:v>31899.355249021221</c:v>
                </c:pt>
                <c:pt idx="12">
                  <c:v>33154.853770907088</c:v>
                </c:pt>
                <c:pt idx="13">
                  <c:v>34458.763909453875</c:v>
                </c:pt>
                <c:pt idx="14">
                  <c:v>35815.893599030234</c:v>
                </c:pt>
                <c:pt idx="15">
                  <c:v>37234.989612119236</c:v>
                </c:pt>
                <c:pt idx="16">
                  <c:v>27775.089165103462</c:v>
                </c:pt>
                <c:pt idx="17">
                  <c:v>30287.082712033964</c:v>
                </c:pt>
                <c:pt idx="18">
                  <c:v>33207.737714776689</c:v>
                </c:pt>
                <c:pt idx="19">
                  <c:v>36596.77612683527</c:v>
                </c:pt>
                <c:pt idx="20">
                  <c:v>38645.187631066467</c:v>
                </c:pt>
                <c:pt idx="21">
                  <c:v>40927.05198613472</c:v>
                </c:pt>
                <c:pt idx="22">
                  <c:v>41303.188311858903</c:v>
                </c:pt>
                <c:pt idx="23">
                  <c:v>41555.08062222421</c:v>
                </c:pt>
                <c:pt idx="24">
                  <c:v>41685.190226432147</c:v>
                </c:pt>
                <c:pt idx="25">
                  <c:v>41776.344073571505</c:v>
                </c:pt>
                <c:pt idx="26">
                  <c:v>41918.723259205202</c:v>
                </c:pt>
                <c:pt idx="27">
                  <c:v>42190.595231953601</c:v>
                </c:pt>
                <c:pt idx="28">
                  <c:v>42740.911990734581</c:v>
                </c:pt>
                <c:pt idx="29">
                  <c:v>43576.411506751247</c:v>
                </c:pt>
                <c:pt idx="30">
                  <c:v>44703.54183419027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56-0A42-8E95-D100C9C0991C}"/>
            </c:ext>
          </c:extLst>
        </c:ser>
        <c:ser>
          <c:idx val="3"/>
          <c:order val="3"/>
          <c:spPr>
            <a:solidFill>
              <a:schemeClr val="accent4"/>
            </a:solidFill>
            <a:ln w="25400">
              <a:noFill/>
            </a:ln>
            <a:effectLst/>
          </c:spPr>
          <c:val>
            <c:numRef>
              <c:f>Outputs!$O$103:$O$133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35567.146707403677</c:v>
                </c:pt>
                <c:pt idx="2">
                  <c:v>34551.426449153085</c:v>
                </c:pt>
                <c:pt idx="3">
                  <c:v>33265.935405566721</c:v>
                </c:pt>
                <c:pt idx="4">
                  <c:v>31640.420353009016</c:v>
                </c:pt>
                <c:pt idx="5">
                  <c:v>30858.521150431163</c:v>
                </c:pt>
                <c:pt idx="6">
                  <c:v>29900.790384011532</c:v>
                </c:pt>
                <c:pt idx="7">
                  <c:v>28802.153784372451</c:v>
                </c:pt>
                <c:pt idx="8">
                  <c:v>27669.837902609543</c:v>
                </c:pt>
                <c:pt idx="9">
                  <c:v>26484.60955387124</c:v>
                </c:pt>
                <c:pt idx="10">
                  <c:v>25226.868937685351</c:v>
                </c:pt>
                <c:pt idx="11">
                  <c:v>23873.764504411101</c:v>
                </c:pt>
                <c:pt idx="12">
                  <c:v>22423.413912539152</c:v>
                </c:pt>
                <c:pt idx="13">
                  <c:v>20868.512489970526</c:v>
                </c:pt>
                <c:pt idx="14">
                  <c:v>19204.120276949747</c:v>
                </c:pt>
                <c:pt idx="15">
                  <c:v>17427.495647754171</c:v>
                </c:pt>
                <c:pt idx="16">
                  <c:v>26473.422536132457</c:v>
                </c:pt>
                <c:pt idx="17">
                  <c:v>23490.977511641195</c:v>
                </c:pt>
                <c:pt idx="18">
                  <c:v>20043.401320011726</c:v>
                </c:pt>
                <c:pt idx="19">
                  <c:v>16071.025036036575</c:v>
                </c:pt>
                <c:pt idx="20">
                  <c:v>13382.960637919219</c:v>
                </c:pt>
                <c:pt idx="21">
                  <c:v>10435.368152116098</c:v>
                </c:pt>
                <c:pt idx="22">
                  <c:v>9403.3801138634008</c:v>
                </c:pt>
                <c:pt idx="23">
                  <c:v>8534.867133044856</c:v>
                </c:pt>
                <c:pt idx="24">
                  <c:v>7864.5753893121</c:v>
                </c:pt>
                <c:pt idx="25">
                  <c:v>7346.0666834213262</c:v>
                </c:pt>
                <c:pt idx="26">
                  <c:v>6919.1473722102528</c:v>
                </c:pt>
                <c:pt idx="27">
                  <c:v>6539.6103437547572</c:v>
                </c:pt>
                <c:pt idx="28">
                  <c:v>6088.2895858258271</c:v>
                </c:pt>
                <c:pt idx="29">
                  <c:v>5586.2640395207782</c:v>
                </c:pt>
                <c:pt idx="30">
                  <c:v>5052.6422308398323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56-0A42-8E95-D100C9C09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1248624"/>
        <c:axId val="1620603808"/>
      </c:areaChart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Outputs!$A$103:$A$133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Outputs!$L$136:$L$166</c:f>
              <c:numCache>
                <c:formatCode>_(* #,##0_);_(* \(#,##0\);_(* "-"??_);_(@_)</c:formatCode>
                <c:ptCount val="31"/>
                <c:pt idx="0">
                  <c:v>52061.245000000003</c:v>
                </c:pt>
                <c:pt idx="1">
                  <c:v>55010.297505299168</c:v>
                </c:pt>
                <c:pt idx="2">
                  <c:v>55303.408642839786</c:v>
                </c:pt>
                <c:pt idx="3">
                  <c:v>55551.256429022003</c:v>
                </c:pt>
                <c:pt idx="4">
                  <c:v>55744.307486336671</c:v>
                </c:pt>
                <c:pt idx="5">
                  <c:v>55891.165734152484</c:v>
                </c:pt>
                <c:pt idx="6">
                  <c:v>55991.446999885244</c:v>
                </c:pt>
                <c:pt idx="7">
                  <c:v>56044.761274382981</c:v>
                </c:pt>
                <c:pt idx="8">
                  <c:v>56050.713711944052</c:v>
                </c:pt>
                <c:pt idx="9">
                  <c:v>56008.9057073078</c:v>
                </c:pt>
                <c:pt idx="10">
                  <c:v>55918.93604957249</c:v>
                </c:pt>
                <c:pt idx="11">
                  <c:v>55773.119753432322</c:v>
                </c:pt>
                <c:pt idx="12">
                  <c:v>55578.26768344624</c:v>
                </c:pt>
                <c:pt idx="13">
                  <c:v>55327.276399424401</c:v>
                </c:pt>
                <c:pt idx="14">
                  <c:v>55020.013875979981</c:v>
                </c:pt>
                <c:pt idx="15">
                  <c:v>54662.485259873407</c:v>
                </c:pt>
                <c:pt idx="16">
                  <c:v>54248.511701235919</c:v>
                </c:pt>
                <c:pt idx="17">
                  <c:v>53778.060223675158</c:v>
                </c:pt>
                <c:pt idx="18">
                  <c:v>53251.139034788415</c:v>
                </c:pt>
                <c:pt idx="19">
                  <c:v>52667.801162871845</c:v>
                </c:pt>
                <c:pt idx="20">
                  <c:v>52028.148268985686</c:v>
                </c:pt>
                <c:pt idx="21">
                  <c:v>51362.420138250818</c:v>
                </c:pt>
                <c:pt idx="22">
                  <c:v>50706.568425722304</c:v>
                </c:pt>
                <c:pt idx="23">
                  <c:v>50089.947755269066</c:v>
                </c:pt>
                <c:pt idx="24">
                  <c:v>49549.765615744247</c:v>
                </c:pt>
                <c:pt idx="25">
                  <c:v>49122.410756992831</c:v>
                </c:pt>
                <c:pt idx="26">
                  <c:v>48837.870631415455</c:v>
                </c:pt>
                <c:pt idx="27">
                  <c:v>48730.205575708358</c:v>
                </c:pt>
                <c:pt idx="28">
                  <c:v>48829.201576560408</c:v>
                </c:pt>
                <c:pt idx="29">
                  <c:v>49162.675546272025</c:v>
                </c:pt>
                <c:pt idx="30">
                  <c:v>49756.184065030102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56-0A42-8E95-D100C9C0991C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Outputs!$A$103:$A$133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Outputs!$L$169:$L$199</c:f>
              <c:numCache>
                <c:formatCode>_(* #,##0_);_(* \(#,##0\);_(* "-"??_);_(@_)</c:formatCode>
                <c:ptCount val="31"/>
                <c:pt idx="0">
                  <c:v>26292.418000000001</c:v>
                </c:pt>
                <c:pt idx="1">
                  <c:v>19443.150797895487</c:v>
                </c:pt>
                <c:pt idx="2">
                  <c:v>20751.982193686701</c:v>
                </c:pt>
                <c:pt idx="3">
                  <c:v>22285.321023455283</c:v>
                </c:pt>
                <c:pt idx="4">
                  <c:v>24103.887133327655</c:v>
                </c:pt>
                <c:pt idx="5">
                  <c:v>25032.644583721321</c:v>
                </c:pt>
                <c:pt idx="6">
                  <c:v>26090.656615873711</c:v>
                </c:pt>
                <c:pt idx="7">
                  <c:v>27242.60749001053</c:v>
                </c:pt>
                <c:pt idx="8">
                  <c:v>28380.87580933451</c:v>
                </c:pt>
                <c:pt idx="9">
                  <c:v>29524.29615343656</c:v>
                </c:pt>
                <c:pt idx="10">
                  <c:v>30692.06711188714</c:v>
                </c:pt>
                <c:pt idx="11">
                  <c:v>31899.355249021221</c:v>
                </c:pt>
                <c:pt idx="12">
                  <c:v>33154.853770907088</c:v>
                </c:pt>
                <c:pt idx="13">
                  <c:v>34458.763909453875</c:v>
                </c:pt>
                <c:pt idx="14">
                  <c:v>35815.893599030234</c:v>
                </c:pt>
                <c:pt idx="15">
                  <c:v>37234.989612119236</c:v>
                </c:pt>
                <c:pt idx="16">
                  <c:v>27775.089165103462</c:v>
                </c:pt>
                <c:pt idx="17">
                  <c:v>30287.082712033964</c:v>
                </c:pt>
                <c:pt idx="18">
                  <c:v>33207.737714776689</c:v>
                </c:pt>
                <c:pt idx="19">
                  <c:v>36596.77612683527</c:v>
                </c:pt>
                <c:pt idx="20">
                  <c:v>38645.187631066467</c:v>
                </c:pt>
                <c:pt idx="21">
                  <c:v>40927.05198613472</c:v>
                </c:pt>
                <c:pt idx="22">
                  <c:v>41303.188311858903</c:v>
                </c:pt>
                <c:pt idx="23">
                  <c:v>41555.08062222421</c:v>
                </c:pt>
                <c:pt idx="24">
                  <c:v>41685.190226432147</c:v>
                </c:pt>
                <c:pt idx="25">
                  <c:v>41776.344073571505</c:v>
                </c:pt>
                <c:pt idx="26">
                  <c:v>41918.723259205202</c:v>
                </c:pt>
                <c:pt idx="27">
                  <c:v>42190.595231953601</c:v>
                </c:pt>
                <c:pt idx="28">
                  <c:v>42740.911990734581</c:v>
                </c:pt>
                <c:pt idx="29">
                  <c:v>43576.411506751247</c:v>
                </c:pt>
                <c:pt idx="30">
                  <c:v>44703.54183419027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56-0A42-8E95-D100C9C09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1248624"/>
        <c:axId val="1620603808"/>
      </c:lineChart>
      <c:catAx>
        <c:axId val="1621248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603808"/>
        <c:crossesAt val="-15000"/>
        <c:auto val="1"/>
        <c:lblAlgn val="ctr"/>
        <c:lblOffset val="100"/>
        <c:tickLblSkip val="2"/>
        <c:noMultiLvlLbl val="0"/>
      </c:catAx>
      <c:valAx>
        <c:axId val="1620603808"/>
        <c:scaling>
          <c:orientation val="minMax"/>
          <c:max val="7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Value of Assets and Liabilities</a:t>
                </a:r>
                <a:r>
                  <a:rPr lang="en-US" sz="1400" b="1" baseline="0">
                    <a:solidFill>
                      <a:schemeClr val="tx1"/>
                    </a:solidFill>
                  </a:rPr>
                  <a:t> (in $Billions)</a:t>
                </a:r>
                <a:endParaRPr lang="en-US" sz="14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248624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ayout>
        <c:manualLayout>
          <c:xMode val="edge"/>
          <c:yMode val="edge"/>
          <c:x val="9.1196758285498045E-2"/>
          <c:y val="0.7617029968222"/>
          <c:w val="0.33109763347357507"/>
          <c:h val="0.120073974498431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6689772449920358E-2"/>
          <c:y val="2.8610070744902207E-2"/>
          <c:w val="0.88633492449640328"/>
          <c:h val="0.87496518459537131"/>
        </c:manualLayout>
      </c:layout>
      <c:lineChart>
        <c:grouping val="standard"/>
        <c:varyColors val="0"/>
        <c:ser>
          <c:idx val="4"/>
          <c:order val="0"/>
          <c:tx>
            <c:v>Status Quo under 7% returns</c:v>
          </c:tx>
          <c:spPr>
            <a:ln w="38100" cap="rnd">
              <a:solidFill>
                <a:srgbClr val="4371C4"/>
              </a:solidFill>
              <a:round/>
            </a:ln>
            <a:effectLst/>
          </c:spPr>
          <c:marker>
            <c:symbol val="none"/>
          </c:marker>
          <c:val>
            <c:numRef>
              <c:f>Outputs!$E$4:$E$34</c:f>
              <c:numCache>
                <c:formatCode>0.00%</c:formatCode>
                <c:ptCount val="31"/>
                <c:pt idx="0">
                  <c:v>0.15805160795638792</c:v>
                </c:pt>
                <c:pt idx="1">
                  <c:v>0.15560000000000004</c:v>
                </c:pt>
                <c:pt idx="2">
                  <c:v>0.16560000000000005</c:v>
                </c:pt>
                <c:pt idx="3">
                  <c:v>0.17560000000000006</c:v>
                </c:pt>
                <c:pt idx="4">
                  <c:v>0.18560000000000007</c:v>
                </c:pt>
                <c:pt idx="5">
                  <c:v>0.18560000000000004</c:v>
                </c:pt>
                <c:pt idx="6">
                  <c:v>0.18559999999999999</c:v>
                </c:pt>
                <c:pt idx="7">
                  <c:v>0.18560000000000007</c:v>
                </c:pt>
                <c:pt idx="8">
                  <c:v>0.18560000000000007</c:v>
                </c:pt>
                <c:pt idx="9">
                  <c:v>0.18560000000000001</c:v>
                </c:pt>
                <c:pt idx="10">
                  <c:v>0.18560000000000007</c:v>
                </c:pt>
                <c:pt idx="11">
                  <c:v>0.18560000000000001</c:v>
                </c:pt>
                <c:pt idx="12">
                  <c:v>0.18560000000000004</c:v>
                </c:pt>
                <c:pt idx="13">
                  <c:v>0.18560000000000004</c:v>
                </c:pt>
                <c:pt idx="14">
                  <c:v>0.1856000000000001</c:v>
                </c:pt>
                <c:pt idx="15">
                  <c:v>0.1856000000000001</c:v>
                </c:pt>
                <c:pt idx="16">
                  <c:v>0.18560000000000004</c:v>
                </c:pt>
                <c:pt idx="17">
                  <c:v>0.18560000000000001</c:v>
                </c:pt>
                <c:pt idx="18">
                  <c:v>0.18560000000000004</c:v>
                </c:pt>
                <c:pt idx="19">
                  <c:v>0.18560000000000004</c:v>
                </c:pt>
                <c:pt idx="20">
                  <c:v>0.17560000000000006</c:v>
                </c:pt>
                <c:pt idx="21">
                  <c:v>0.16560000000000002</c:v>
                </c:pt>
                <c:pt idx="22">
                  <c:v>2.8762328092903865E-2</c:v>
                </c:pt>
                <c:pt idx="23">
                  <c:v>2.9097480565371439E-2</c:v>
                </c:pt>
                <c:pt idx="24">
                  <c:v>3.2812206857198947E-2</c:v>
                </c:pt>
                <c:pt idx="25">
                  <c:v>3.6561823959373935E-2</c:v>
                </c:pt>
                <c:pt idx="26">
                  <c:v>4.035016442197488E-2</c:v>
                </c:pt>
                <c:pt idx="27">
                  <c:v>4.4182305205808042E-2</c:v>
                </c:pt>
                <c:pt idx="28">
                  <c:v>4.8062574471430156E-2</c:v>
                </c:pt>
                <c:pt idx="29">
                  <c:v>5.1995881738351055E-2</c:v>
                </c:pt>
                <c:pt idx="30">
                  <c:v>5.5986097549609155E-2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2BD-DF40-BD3A-F75D86EC1C9A}"/>
            </c:ext>
          </c:extLst>
        </c:ser>
        <c:ser>
          <c:idx val="5"/>
          <c:order val="1"/>
          <c:tx>
            <c:v>Status Quo under market stress</c:v>
          </c:tx>
          <c:spPr>
            <a:ln w="38100" cap="rnd">
              <a:solidFill>
                <a:srgbClr val="4371C4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Outputs!$J$4:$J$34</c:f>
              <c:numCache>
                <c:formatCode>0.00%</c:formatCode>
                <c:ptCount val="31"/>
                <c:pt idx="0">
                  <c:v>0.15805160795638792</c:v>
                </c:pt>
                <c:pt idx="1">
                  <c:v>0.15560000000000004</c:v>
                </c:pt>
                <c:pt idx="2">
                  <c:v>0.16560000000000005</c:v>
                </c:pt>
                <c:pt idx="3">
                  <c:v>0.17560000000000006</c:v>
                </c:pt>
                <c:pt idx="4">
                  <c:v>0.18560000000000007</c:v>
                </c:pt>
                <c:pt idx="5">
                  <c:v>0.19560000000000005</c:v>
                </c:pt>
                <c:pt idx="6">
                  <c:v>0.20560000000000006</c:v>
                </c:pt>
                <c:pt idx="7">
                  <c:v>0.21560000000000007</c:v>
                </c:pt>
                <c:pt idx="8">
                  <c:v>0.18560000000000007</c:v>
                </c:pt>
                <c:pt idx="9">
                  <c:v>0.18560000000000001</c:v>
                </c:pt>
                <c:pt idx="10">
                  <c:v>0.19560000000000008</c:v>
                </c:pt>
                <c:pt idx="11">
                  <c:v>0.20560000000000006</c:v>
                </c:pt>
                <c:pt idx="12">
                  <c:v>0.18560000000000004</c:v>
                </c:pt>
                <c:pt idx="13">
                  <c:v>0.18560000000000004</c:v>
                </c:pt>
                <c:pt idx="14">
                  <c:v>0.1856000000000001</c:v>
                </c:pt>
                <c:pt idx="15">
                  <c:v>0.18560000000000007</c:v>
                </c:pt>
                <c:pt idx="16">
                  <c:v>0.18560000000000004</c:v>
                </c:pt>
                <c:pt idx="17">
                  <c:v>0.18560000000000007</c:v>
                </c:pt>
                <c:pt idx="18">
                  <c:v>0.18560000000000004</c:v>
                </c:pt>
                <c:pt idx="19">
                  <c:v>0.18560000000000001</c:v>
                </c:pt>
                <c:pt idx="20">
                  <c:v>0.18560000000000007</c:v>
                </c:pt>
                <c:pt idx="21">
                  <c:v>0.18560000000000001</c:v>
                </c:pt>
                <c:pt idx="22">
                  <c:v>0.18560000000000004</c:v>
                </c:pt>
                <c:pt idx="23">
                  <c:v>0.18560000000000001</c:v>
                </c:pt>
                <c:pt idx="24">
                  <c:v>0.18560000000000001</c:v>
                </c:pt>
                <c:pt idx="25">
                  <c:v>0.18560000000000004</c:v>
                </c:pt>
                <c:pt idx="26">
                  <c:v>0.18560000000000001</c:v>
                </c:pt>
                <c:pt idx="27">
                  <c:v>0.18560000000000001</c:v>
                </c:pt>
                <c:pt idx="28">
                  <c:v>0.18560000000000007</c:v>
                </c:pt>
                <c:pt idx="29">
                  <c:v>0.18560000000000004</c:v>
                </c:pt>
                <c:pt idx="30">
                  <c:v>0.18560000000000007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2BD-DF40-BD3A-F75D86EC1C9A}"/>
            </c:ext>
          </c:extLst>
        </c:ser>
        <c:ser>
          <c:idx val="0"/>
          <c:order val="2"/>
          <c:tx>
            <c:v>SB 176 (as introduced) under 7% returns</c:v>
          </c:tx>
          <c:spPr>
            <a:ln w="38100" cap="rnd">
              <a:solidFill>
                <a:srgbClr val="F76D2C"/>
              </a:solidFill>
              <a:round/>
            </a:ln>
            <a:effectLst/>
          </c:spPr>
          <c:marker>
            <c:symbol val="none"/>
          </c:marker>
          <c:cat>
            <c:numRef>
              <c:f>Outputs!$A$4:$A$34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Outputs!$F$4:$F$34</c:f>
              <c:numCache>
                <c:formatCode>0.00%</c:formatCode>
                <c:ptCount val="31"/>
                <c:pt idx="0">
                  <c:v>0.16097461568266105</c:v>
                </c:pt>
                <c:pt idx="1">
                  <c:v>0.15560000000000004</c:v>
                </c:pt>
                <c:pt idx="2">
                  <c:v>0.16560000000000005</c:v>
                </c:pt>
                <c:pt idx="3">
                  <c:v>0.17560000000000001</c:v>
                </c:pt>
                <c:pt idx="4">
                  <c:v>0.1856000000000001</c:v>
                </c:pt>
                <c:pt idx="5">
                  <c:v>0.18558885067673878</c:v>
                </c:pt>
                <c:pt idx="6">
                  <c:v>0.18556313859358817</c:v>
                </c:pt>
                <c:pt idx="7">
                  <c:v>0.18552711429486388</c:v>
                </c:pt>
                <c:pt idx="8">
                  <c:v>0.18548064551752125</c:v>
                </c:pt>
                <c:pt idx="9">
                  <c:v>0.18542341149614361</c:v>
                </c:pt>
                <c:pt idx="10">
                  <c:v>0.18535500224844495</c:v>
                </c:pt>
                <c:pt idx="11">
                  <c:v>0.18527504885926721</c:v>
                </c:pt>
                <c:pt idx="12">
                  <c:v>0.18518322753250682</c:v>
                </c:pt>
                <c:pt idx="13">
                  <c:v>0.1850745838911097</c:v>
                </c:pt>
                <c:pt idx="14">
                  <c:v>0.18495367454581341</c:v>
                </c:pt>
                <c:pt idx="15">
                  <c:v>0.1848235644683292</c:v>
                </c:pt>
                <c:pt idx="16">
                  <c:v>0.18468654498191545</c:v>
                </c:pt>
                <c:pt idx="17">
                  <c:v>0.1845442569804244</c:v>
                </c:pt>
                <c:pt idx="18">
                  <c:v>0.1843911701012293</c:v>
                </c:pt>
                <c:pt idx="19">
                  <c:v>0.18422723930379098</c:v>
                </c:pt>
                <c:pt idx="20">
                  <c:v>0.18405245725689667</c:v>
                </c:pt>
                <c:pt idx="21">
                  <c:v>0.18386678336530185</c:v>
                </c:pt>
                <c:pt idx="22">
                  <c:v>0.18367012257047741</c:v>
                </c:pt>
                <c:pt idx="23">
                  <c:v>0.17346580275194981</c:v>
                </c:pt>
                <c:pt idx="24">
                  <c:v>0.16325599214806813</c:v>
                </c:pt>
                <c:pt idx="25">
                  <c:v>0.1530381530220889</c:v>
                </c:pt>
                <c:pt idx="26">
                  <c:v>6.0480160164612953E-2</c:v>
                </c:pt>
                <c:pt idx="27">
                  <c:v>5.6467912388881582E-2</c:v>
                </c:pt>
                <c:pt idx="28">
                  <c:v>5.7028256831143653E-2</c:v>
                </c:pt>
                <c:pt idx="29">
                  <c:v>5.746856846607349E-2</c:v>
                </c:pt>
                <c:pt idx="30">
                  <c:v>5.7792260243789681E-2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BD-DF40-BD3A-F75D86EC1C9A}"/>
            </c:ext>
          </c:extLst>
        </c:ser>
        <c:ser>
          <c:idx val="2"/>
          <c:order val="3"/>
          <c:tx>
            <c:v>SB 176 (as introduced) under market stress</c:v>
          </c:tx>
          <c:spPr>
            <a:ln w="38100" cap="rnd">
              <a:solidFill>
                <a:srgbClr val="F76D2C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Outputs!$K$4:$K$34</c:f>
              <c:numCache>
                <c:formatCode>0.00%</c:formatCode>
                <c:ptCount val="31"/>
                <c:pt idx="0">
                  <c:v>0.16097461568266105</c:v>
                </c:pt>
                <c:pt idx="1">
                  <c:v>0.15560000000000004</c:v>
                </c:pt>
                <c:pt idx="2">
                  <c:v>0.16560000000000005</c:v>
                </c:pt>
                <c:pt idx="3">
                  <c:v>0.17560000000000001</c:v>
                </c:pt>
                <c:pt idx="4">
                  <c:v>0.1856000000000001</c:v>
                </c:pt>
                <c:pt idx="5">
                  <c:v>0.19558847598391696</c:v>
                </c:pt>
                <c:pt idx="6">
                  <c:v>0.20556066481481217</c:v>
                </c:pt>
                <c:pt idx="7">
                  <c:v>0.21552325150745566</c:v>
                </c:pt>
                <c:pt idx="8">
                  <c:v>0.22547749259564173</c:v>
                </c:pt>
                <c:pt idx="9">
                  <c:v>0.18542396668322927</c:v>
                </c:pt>
                <c:pt idx="10">
                  <c:v>0.18536361288238529</c:v>
                </c:pt>
                <c:pt idx="11">
                  <c:v>0.19529826225965799</c:v>
                </c:pt>
                <c:pt idx="12">
                  <c:v>0.20522638651214301</c:v>
                </c:pt>
                <c:pt idx="13">
                  <c:v>0.21514381512166789</c:v>
                </c:pt>
                <c:pt idx="14">
                  <c:v>0.18505587388009243</c:v>
                </c:pt>
                <c:pt idx="15">
                  <c:v>0.18496665529069253</c:v>
                </c:pt>
                <c:pt idx="16">
                  <c:v>0.1948802039168937</c:v>
                </c:pt>
                <c:pt idx="17">
                  <c:v>0.20479707605764758</c:v>
                </c:pt>
                <c:pt idx="18">
                  <c:v>0.21525712564350674</c:v>
                </c:pt>
                <c:pt idx="19">
                  <c:v>0.18573320371259205</c:v>
                </c:pt>
                <c:pt idx="20">
                  <c:v>0.18603065673076752</c:v>
                </c:pt>
                <c:pt idx="21">
                  <c:v>0.19614029251942922</c:v>
                </c:pt>
                <c:pt idx="22">
                  <c:v>0.20618805278246194</c:v>
                </c:pt>
                <c:pt idx="23">
                  <c:v>0.21574289485326259</c:v>
                </c:pt>
                <c:pt idx="24">
                  <c:v>0.18540019057049009</c:v>
                </c:pt>
                <c:pt idx="25">
                  <c:v>0.18516187153754857</c:v>
                </c:pt>
                <c:pt idx="26">
                  <c:v>0.19503931354874784</c:v>
                </c:pt>
                <c:pt idx="27">
                  <c:v>0.20492518661437209</c:v>
                </c:pt>
                <c:pt idx="28">
                  <c:v>0.18441043015322939</c:v>
                </c:pt>
                <c:pt idx="29">
                  <c:v>0.18389321693671931</c:v>
                </c:pt>
                <c:pt idx="30">
                  <c:v>0.19351754884731079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BD-DF40-BD3A-F75D86EC1C9A}"/>
            </c:ext>
          </c:extLst>
        </c:ser>
        <c:ser>
          <c:idx val="1"/>
          <c:order val="4"/>
          <c:tx>
            <c:v>SB 176 + ADEC Legacy under 7% returns</c:v>
          </c:tx>
          <c:spPr>
            <a:ln w="38100" cap="rnd">
              <a:solidFill>
                <a:srgbClr val="FBC00F"/>
              </a:solidFill>
              <a:round/>
            </a:ln>
            <a:effectLst/>
          </c:spPr>
          <c:marker>
            <c:symbol val="none"/>
          </c:marker>
          <c:cat>
            <c:numRef>
              <c:f>Outputs!$A$4:$A$34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Outputs!$G$4:$G$34</c:f>
              <c:numCache>
                <c:formatCode>0.00%</c:formatCode>
                <c:ptCount val="31"/>
                <c:pt idx="0">
                  <c:v>0.16097461568266105</c:v>
                </c:pt>
                <c:pt idx="1">
                  <c:v>0.15560000000000004</c:v>
                </c:pt>
                <c:pt idx="2">
                  <c:v>0.17984284064740097</c:v>
                </c:pt>
                <c:pt idx="3">
                  <c:v>0.18220845359621912</c:v>
                </c:pt>
                <c:pt idx="4">
                  <c:v>0.18703983738215715</c:v>
                </c:pt>
                <c:pt idx="5">
                  <c:v>0.19130711149595053</c:v>
                </c:pt>
                <c:pt idx="6">
                  <c:v>0.19483639986447332</c:v>
                </c:pt>
                <c:pt idx="7">
                  <c:v>0.19550118714596754</c:v>
                </c:pt>
                <c:pt idx="8">
                  <c:v>0.19612433086706554</c:v>
                </c:pt>
                <c:pt idx="9">
                  <c:v>0.19677846957153466</c:v>
                </c:pt>
                <c:pt idx="10">
                  <c:v>0.19746025213608887</c:v>
                </c:pt>
                <c:pt idx="11">
                  <c:v>0.19863827198408968</c:v>
                </c:pt>
                <c:pt idx="12">
                  <c:v>0.19936595576721119</c:v>
                </c:pt>
                <c:pt idx="13">
                  <c:v>0.20058123270197636</c:v>
                </c:pt>
                <c:pt idx="14">
                  <c:v>0.20181254548960861</c:v>
                </c:pt>
                <c:pt idx="15">
                  <c:v>0.20259088012689155</c:v>
                </c:pt>
                <c:pt idx="16">
                  <c:v>0.20385993433745353</c:v>
                </c:pt>
                <c:pt idx="17">
                  <c:v>0.20514544685660022</c:v>
                </c:pt>
                <c:pt idx="18">
                  <c:v>0.20644209816466369</c:v>
                </c:pt>
                <c:pt idx="19">
                  <c:v>0.20774803802969039</c:v>
                </c:pt>
                <c:pt idx="20">
                  <c:v>0.21056870835424951</c:v>
                </c:pt>
                <c:pt idx="21">
                  <c:v>0.21306947421915662</c:v>
                </c:pt>
                <c:pt idx="22">
                  <c:v>5.6108211309029023E-2</c:v>
                </c:pt>
                <c:pt idx="23">
                  <c:v>5.6484333621948012E-2</c:v>
                </c:pt>
                <c:pt idx="24">
                  <c:v>5.7748846705615531E-2</c:v>
                </c:pt>
                <c:pt idx="25">
                  <c:v>5.8560385636584222E-2</c:v>
                </c:pt>
                <c:pt idx="26">
                  <c:v>5.9421728656223749E-2</c:v>
                </c:pt>
                <c:pt idx="27">
                  <c:v>5.9927331116083803E-2</c:v>
                </c:pt>
                <c:pt idx="28">
                  <c:v>6.0304633443923082E-2</c:v>
                </c:pt>
                <c:pt idx="29">
                  <c:v>6.0562791728197667E-2</c:v>
                </c:pt>
                <c:pt idx="30">
                  <c:v>6.0705846269913606E-2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BD-DF40-BD3A-F75D86EC1C9A}"/>
            </c:ext>
          </c:extLst>
        </c:ser>
        <c:ser>
          <c:idx val="3"/>
          <c:order val="5"/>
          <c:tx>
            <c:v>SB 176 + ADEC Legacy under market stress</c:v>
          </c:tx>
          <c:spPr>
            <a:ln w="38100" cap="rnd">
              <a:solidFill>
                <a:srgbClr val="FBC00F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Outputs!$L$4:$L$34</c:f>
              <c:numCache>
                <c:formatCode>0.00%</c:formatCode>
                <c:ptCount val="31"/>
                <c:pt idx="0">
                  <c:v>0.16097461568266105</c:v>
                </c:pt>
                <c:pt idx="1">
                  <c:v>0.15560000000000004</c:v>
                </c:pt>
                <c:pt idx="2">
                  <c:v>0.17984284064740097</c:v>
                </c:pt>
                <c:pt idx="3">
                  <c:v>0.19213111753310019</c:v>
                </c:pt>
                <c:pt idx="4">
                  <c:v>0.20837076153185971</c:v>
                </c:pt>
                <c:pt idx="5">
                  <c:v>0.22182717981450237</c:v>
                </c:pt>
                <c:pt idx="6">
                  <c:v>0.23593014154342656</c:v>
                </c:pt>
                <c:pt idx="7">
                  <c:v>0.24280190742347785</c:v>
                </c:pt>
                <c:pt idx="8">
                  <c:v>0.24086361650881796</c:v>
                </c:pt>
                <c:pt idx="9">
                  <c:v>0.2403717331693577</c:v>
                </c:pt>
                <c:pt idx="10">
                  <c:v>0.24126777546278147</c:v>
                </c:pt>
                <c:pt idx="11">
                  <c:v>0.24393314581461009</c:v>
                </c:pt>
                <c:pt idx="12">
                  <c:v>0.24624599781167153</c:v>
                </c:pt>
                <c:pt idx="13">
                  <c:v>0.24906419933620969</c:v>
                </c:pt>
                <c:pt idx="14">
                  <c:v>0.25195766253379742</c:v>
                </c:pt>
                <c:pt idx="15">
                  <c:v>0.25449931295448452</c:v>
                </c:pt>
                <c:pt idx="16">
                  <c:v>0.25755389805310125</c:v>
                </c:pt>
                <c:pt idx="17">
                  <c:v>0.26068799812123294</c:v>
                </c:pt>
                <c:pt idx="18">
                  <c:v>0.27618487347249737</c:v>
                </c:pt>
                <c:pt idx="19">
                  <c:v>0.29306739563758505</c:v>
                </c:pt>
                <c:pt idx="20">
                  <c:v>0.30660742244943345</c:v>
                </c:pt>
                <c:pt idx="21">
                  <c:v>0.31686658834769549</c:v>
                </c:pt>
                <c:pt idx="22">
                  <c:v>0.17344143162158518</c:v>
                </c:pt>
                <c:pt idx="23">
                  <c:v>0.15962192481320781</c:v>
                </c:pt>
                <c:pt idx="24">
                  <c:v>0.14387208523769754</c:v>
                </c:pt>
                <c:pt idx="25">
                  <c:v>0.13189933545481669</c:v>
                </c:pt>
                <c:pt idx="26">
                  <c:v>0.12509332698420941</c:v>
                </c:pt>
                <c:pt idx="27">
                  <c:v>0.12150836567785021</c:v>
                </c:pt>
                <c:pt idx="28">
                  <c:v>0.12639443293513763</c:v>
                </c:pt>
                <c:pt idx="29">
                  <c:v>0.12988203127992382</c:v>
                </c:pt>
                <c:pt idx="30">
                  <c:v>0.13217680603098902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BD-DF40-BD3A-F75D86EC1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1248624"/>
        <c:axId val="1620603808"/>
      </c:lineChart>
      <c:catAx>
        <c:axId val="1621248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603808"/>
        <c:crosses val="autoZero"/>
        <c:auto val="1"/>
        <c:lblAlgn val="ctr"/>
        <c:lblOffset val="100"/>
        <c:tickLblSkip val="2"/>
        <c:noMultiLvlLbl val="0"/>
      </c:catAx>
      <c:valAx>
        <c:axId val="1620603808"/>
        <c:scaling>
          <c:orientation val="minMax"/>
          <c:max val="0.35000000000000003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Annual Employer Contribution (% of Payroll)</a:t>
                </a:r>
                <a:r>
                  <a:rPr lang="en-US" sz="1400" b="1" baseline="0">
                    <a:solidFill>
                      <a:schemeClr val="tx1"/>
                    </a:solidFill>
                  </a:rPr>
                  <a:t> </a:t>
                </a:r>
                <a:endParaRPr lang="en-US" sz="1400" b="1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4.5168655801565037E-4"/>
              <c:y val="0.148061769306364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24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5117666612150075E-2"/>
          <c:y val="0.56456107729020022"/>
          <c:w val="0.59013452092689811"/>
          <c:h val="0.302462993303776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752657102823361E-2"/>
          <c:y val="2.8610070744902207E-2"/>
          <c:w val="0.89227201961704239"/>
          <c:h val="0.90455930274353558"/>
        </c:manualLayout>
      </c:layout>
      <c:lineChart>
        <c:grouping val="standard"/>
        <c:varyColors val="0"/>
        <c:ser>
          <c:idx val="4"/>
          <c:order val="0"/>
          <c:tx>
            <c:v>Baseline (status quo) under 7% returns</c:v>
          </c:tx>
          <c:spPr>
            <a:ln w="38100" cap="rnd">
              <a:solidFill>
                <a:srgbClr val="4371C4"/>
              </a:solidFill>
              <a:round/>
            </a:ln>
            <a:effectLst/>
          </c:spPr>
          <c:marker>
            <c:symbol val="none"/>
          </c:marker>
          <c:val>
            <c:numRef>
              <c:f>Outputs!$E$103:$E$133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27481.767523016861</c:v>
                </c:pt>
                <c:pt idx="2">
                  <c:v>26985.161663062692</c:v>
                </c:pt>
                <c:pt idx="3">
                  <c:v>26317.910671491558</c:v>
                </c:pt>
                <c:pt idx="4">
                  <c:v>25470.654594082895</c:v>
                </c:pt>
                <c:pt idx="5">
                  <c:v>24559.940930131255</c:v>
                </c:pt>
                <c:pt idx="6">
                  <c:v>23583.147340472879</c:v>
                </c:pt>
                <c:pt idx="7">
                  <c:v>22537.503970564838</c:v>
                </c:pt>
                <c:pt idx="8">
                  <c:v>21420.087223557341</c:v>
                </c:pt>
                <c:pt idx="9">
                  <c:v>20227.813263013519</c:v>
                </c:pt>
                <c:pt idx="10">
                  <c:v>18957.431228787551</c:v>
                </c:pt>
                <c:pt idx="11">
                  <c:v>17605.52889325222</c:v>
                </c:pt>
                <c:pt idx="12">
                  <c:v>16168.490242664333</c:v>
                </c:pt>
                <c:pt idx="13">
                  <c:v>14642.535669299094</c:v>
                </c:pt>
                <c:pt idx="14">
                  <c:v>13023.677641806335</c:v>
                </c:pt>
                <c:pt idx="15">
                  <c:v>11307.704469877583</c:v>
                </c:pt>
                <c:pt idx="16">
                  <c:v>9490.2241834296747</c:v>
                </c:pt>
                <c:pt idx="17">
                  <c:v>7566.6062664492283</c:v>
                </c:pt>
                <c:pt idx="18">
                  <c:v>5531.9871687793739</c:v>
                </c:pt>
                <c:pt idx="19">
                  <c:v>3381.2601410240591</c:v>
                </c:pt>
                <c:pt idx="20">
                  <c:v>1310.4811840177078</c:v>
                </c:pt>
                <c:pt idx="21">
                  <c:v>-672.82386427173572</c:v>
                </c:pt>
                <c:pt idx="22">
                  <c:v>-745.49809135583735</c:v>
                </c:pt>
                <c:pt idx="23">
                  <c:v>-765.65172999161575</c:v>
                </c:pt>
                <c:pt idx="24">
                  <c:v>-777.97608436477958</c:v>
                </c:pt>
                <c:pt idx="25">
                  <c:v>-781.36605227533812</c:v>
                </c:pt>
                <c:pt idx="26">
                  <c:v>-774.65663200366259</c:v>
                </c:pt>
                <c:pt idx="27">
                  <c:v>-756.78120394019288</c:v>
                </c:pt>
                <c:pt idx="28">
                  <c:v>-726.69341472809526</c:v>
                </c:pt>
                <c:pt idx="29">
                  <c:v>-683.42357216088294</c:v>
                </c:pt>
                <c:pt idx="30">
                  <c:v>-626.07825103028836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EDB-9A45-B152-6A246A80EB02}"/>
            </c:ext>
          </c:extLst>
        </c:ser>
        <c:ser>
          <c:idx val="5"/>
          <c:order val="1"/>
          <c:tx>
            <c:v>Baseline (status quo) under market stress</c:v>
          </c:tx>
          <c:spPr>
            <a:ln w="38100" cap="rnd">
              <a:solidFill>
                <a:srgbClr val="4371C4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Outputs!$J$103:$J$133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35537.40085691266</c:v>
                </c:pt>
                <c:pt idx="2">
                  <c:v>34662.300109267751</c:v>
                </c:pt>
                <c:pt idx="3">
                  <c:v>33551.102400859367</c:v>
                </c:pt>
                <c:pt idx="4">
                  <c:v>32182.791497386232</c:v>
                </c:pt>
                <c:pt idx="5">
                  <c:v>31688.235466812766</c:v>
                </c:pt>
                <c:pt idx="6">
                  <c:v>31026.466466894413</c:v>
                </c:pt>
                <c:pt idx="7">
                  <c:v>30189.61608765609</c:v>
                </c:pt>
                <c:pt idx="8">
                  <c:v>29848.991180447534</c:v>
                </c:pt>
                <c:pt idx="9">
                  <c:v>29475.96289402913</c:v>
                </c:pt>
                <c:pt idx="10">
                  <c:v>28883.054209015474</c:v>
                </c:pt>
                <c:pt idx="11">
                  <c:v>28059.511542627752</c:v>
                </c:pt>
                <c:pt idx="12">
                  <c:v>27561.373472064606</c:v>
                </c:pt>
                <c:pt idx="13">
                  <c:v>27025.146968029778</c:v>
                </c:pt>
                <c:pt idx="14">
                  <c:v>26449.397571470403</c:v>
                </c:pt>
                <c:pt idx="15">
                  <c:v>25832.592474610279</c:v>
                </c:pt>
                <c:pt idx="16">
                  <c:v>34388.54485401314</c:v>
                </c:pt>
                <c:pt idx="17">
                  <c:v>32902.733339677856</c:v>
                </c:pt>
                <c:pt idx="18">
                  <c:v>31269.083697976504</c:v>
                </c:pt>
                <c:pt idx="19">
                  <c:v>29475.855083939856</c:v>
                </c:pt>
                <c:pt idx="20">
                  <c:v>28868.670352522615</c:v>
                </c:pt>
                <c:pt idx="21">
                  <c:v>28219.415843951836</c:v>
                </c:pt>
                <c:pt idx="22">
                  <c:v>27527.649908249594</c:v>
                </c:pt>
                <c:pt idx="23">
                  <c:v>26793.328103499174</c:v>
                </c:pt>
                <c:pt idx="24">
                  <c:v>26016.693944597268</c:v>
                </c:pt>
                <c:pt idx="25">
                  <c:v>25198.316673682883</c:v>
                </c:pt>
                <c:pt idx="26">
                  <c:v>24339.169565106822</c:v>
                </c:pt>
                <c:pt idx="27">
                  <c:v>23440.496047558947</c:v>
                </c:pt>
                <c:pt idx="28">
                  <c:v>22503.872964087219</c:v>
                </c:pt>
                <c:pt idx="29">
                  <c:v>21531.166882298894</c:v>
                </c:pt>
                <c:pt idx="30">
                  <c:v>20524.514529690365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EDB-9A45-B152-6A246A80EB02}"/>
            </c:ext>
          </c:extLst>
        </c:ser>
        <c:ser>
          <c:idx val="0"/>
          <c:order val="2"/>
          <c:tx>
            <c:v>SB 176 (as introduced) under 7% returns</c:v>
          </c:tx>
          <c:spPr>
            <a:ln w="38100" cap="rnd">
              <a:solidFill>
                <a:srgbClr val="F76D2C"/>
              </a:solidFill>
              <a:round/>
            </a:ln>
            <a:effectLst/>
          </c:spPr>
          <c:marker>
            <c:symbol val="none"/>
          </c:marker>
          <c:cat>
            <c:numRef>
              <c:f>Outputs!$A$103:$A$133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Outputs!$F$103:$F$133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27517.062384632856</c:v>
                </c:pt>
                <c:pt idx="2">
                  <c:v>27057.649887408505</c:v>
                </c:pt>
                <c:pt idx="3">
                  <c:v>26446.709373179357</c:v>
                </c:pt>
                <c:pt idx="4">
                  <c:v>25681.697081335646</c:v>
                </c:pt>
                <c:pt idx="5">
                  <c:v>24874.984774475932</c:v>
                </c:pt>
                <c:pt idx="6">
                  <c:v>24025.359898527538</c:v>
                </c:pt>
                <c:pt idx="7">
                  <c:v>23131.472306974956</c:v>
                </c:pt>
                <c:pt idx="8">
                  <c:v>22191.891510431291</c:v>
                </c:pt>
                <c:pt idx="9">
                  <c:v>21205.106564765851</c:v>
                </c:pt>
                <c:pt idx="10">
                  <c:v>20169.524589178272</c:v>
                </c:pt>
                <c:pt idx="11">
                  <c:v>19089.497373113762</c:v>
                </c:pt>
                <c:pt idx="12">
                  <c:v>17957.537203642452</c:v>
                </c:pt>
                <c:pt idx="13">
                  <c:v>16777.982622884752</c:v>
                </c:pt>
                <c:pt idx="14">
                  <c:v>15549.251069687009</c:v>
                </c:pt>
                <c:pt idx="15">
                  <c:v>14263.430671987186</c:v>
                </c:pt>
                <c:pt idx="16">
                  <c:v>12924.5537957047</c:v>
                </c:pt>
                <c:pt idx="17">
                  <c:v>11530.638426812618</c:v>
                </c:pt>
                <c:pt idx="18">
                  <c:v>10079.686601212865</c:v>
                </c:pt>
                <c:pt idx="19">
                  <c:v>8569.5993079528962</c:v>
                </c:pt>
                <c:pt idx="20">
                  <c:v>6998.1720672747051</c:v>
                </c:pt>
                <c:pt idx="21">
                  <c:v>5363.9313515617732</c:v>
                </c:pt>
                <c:pt idx="22">
                  <c:v>3658.9148058705123</c:v>
                </c:pt>
                <c:pt idx="23">
                  <c:v>2050.1822578631941</c:v>
                </c:pt>
                <c:pt idx="24">
                  <c:v>535.92522008454239</c:v>
                </c:pt>
                <c:pt idx="25">
                  <c:v>-884.07039374565784</c:v>
                </c:pt>
                <c:pt idx="26">
                  <c:v>-992.44230177189627</c:v>
                </c:pt>
                <c:pt idx="27">
                  <c:v>-1018.0366776735752</c:v>
                </c:pt>
                <c:pt idx="28">
                  <c:v>-1029.7570951101677</c:v>
                </c:pt>
                <c:pt idx="29">
                  <c:v>-1026.3616182162359</c:v>
                </c:pt>
                <c:pt idx="30">
                  <c:v>-1006.6583843879772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DB-9A45-B152-6A246A80EB02}"/>
            </c:ext>
          </c:extLst>
        </c:ser>
        <c:ser>
          <c:idx val="2"/>
          <c:order val="3"/>
          <c:tx>
            <c:v>SB 176 (as introduced) under market stress</c:v>
          </c:tx>
          <c:spPr>
            <a:ln w="38100" cap="rnd">
              <a:solidFill>
                <a:srgbClr val="F76D2C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Outputs!$K$103:$K$133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35567.146707403677</c:v>
                </c:pt>
                <c:pt idx="2">
                  <c:v>34730.803655000804</c:v>
                </c:pt>
                <c:pt idx="3">
                  <c:v>33679.744419600094</c:v>
                </c:pt>
                <c:pt idx="4">
                  <c:v>32401.666165806928</c:v>
                </c:pt>
                <c:pt idx="5">
                  <c:v>32007.993049723762</c:v>
                </c:pt>
                <c:pt idx="6">
                  <c:v>31468.385578660902</c:v>
                </c:pt>
                <c:pt idx="7">
                  <c:v>30775.900848488025</c:v>
                </c:pt>
                <c:pt idx="8">
                  <c:v>29923.279172608938</c:v>
                </c:pt>
                <c:pt idx="9">
                  <c:v>29725.995027918794</c:v>
                </c:pt>
                <c:pt idx="10">
                  <c:v>29513.409391171052</c:v>
                </c:pt>
                <c:pt idx="11">
                  <c:v>29116.645635388519</c:v>
                </c:pt>
                <c:pt idx="12">
                  <c:v>28525.820945230713</c:v>
                </c:pt>
                <c:pt idx="13">
                  <c:v>27740.165244750664</c:v>
                </c:pt>
                <c:pt idx="14">
                  <c:v>27434.348399826111</c:v>
                </c:pt>
                <c:pt idx="15">
                  <c:v>27109.163971521681</c:v>
                </c:pt>
                <c:pt idx="16">
                  <c:v>34833.356739224466</c:v>
                </c:pt>
                <c:pt idx="17">
                  <c:v>33448.805177619048</c:v>
                </c:pt>
                <c:pt idx="18">
                  <c:v>31779.785943643528</c:v>
                </c:pt>
                <c:pt idx="19">
                  <c:v>30483.254845703617</c:v>
                </c:pt>
                <c:pt idx="20">
                  <c:v>30222.178809753044</c:v>
                </c:pt>
                <c:pt idx="21">
                  <c:v>29780.44524982537</c:v>
                </c:pt>
                <c:pt idx="22">
                  <c:v>29150.452679402428</c:v>
                </c:pt>
                <c:pt idx="23">
                  <c:v>28341.853274899597</c:v>
                </c:pt>
                <c:pt idx="24">
                  <c:v>27988.514140670133</c:v>
                </c:pt>
                <c:pt idx="25">
                  <c:v>27618.391707392486</c:v>
                </c:pt>
                <c:pt idx="26">
                  <c:v>27075.187753230188</c:v>
                </c:pt>
                <c:pt idx="27">
                  <c:v>26350.987680333343</c:v>
                </c:pt>
                <c:pt idx="28">
                  <c:v>25930.297512961566</c:v>
                </c:pt>
                <c:pt idx="29">
                  <c:v>25506.768348201353</c:v>
                </c:pt>
                <c:pt idx="30">
                  <c:v>24921.119373434922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DB-9A45-B152-6A246A80EB02}"/>
            </c:ext>
          </c:extLst>
        </c:ser>
        <c:ser>
          <c:idx val="1"/>
          <c:order val="4"/>
          <c:tx>
            <c:v>SB 176 + ADEC Legacy under 7% returns</c:v>
          </c:tx>
          <c:spPr>
            <a:ln w="38100" cap="rnd">
              <a:solidFill>
                <a:srgbClr val="FBC00F"/>
              </a:solidFill>
              <a:round/>
            </a:ln>
            <a:effectLst/>
          </c:spPr>
          <c:marker>
            <c:symbol val="none"/>
          </c:marker>
          <c:cat>
            <c:numRef>
              <c:f>Outputs!$A$103:$A$133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Outputs!$G$103:$G$133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27517.062384632856</c:v>
                </c:pt>
                <c:pt idx="2">
                  <c:v>26881.534357359389</c:v>
                </c:pt>
                <c:pt idx="3">
                  <c:v>26180.098231405686</c:v>
                </c:pt>
                <c:pt idx="4">
                  <c:v>25384.6345686723</c:v>
                </c:pt>
                <c:pt idx="5">
                  <c:v>24491.847520951727</c:v>
                </c:pt>
                <c:pt idx="6">
                  <c:v>23506.356919228492</c:v>
                </c:pt>
                <c:pt idx="7">
                  <c:v>22460.437790971493</c:v>
                </c:pt>
                <c:pt idx="8">
                  <c:v>21352.173535026464</c:v>
                </c:pt>
                <c:pt idx="9">
                  <c:v>20178.602376535164</c:v>
                </c:pt>
                <c:pt idx="10">
                  <c:v>18936.638357444826</c:v>
                </c:pt>
                <c:pt idx="11">
                  <c:v>17622.865038245571</c:v>
                </c:pt>
                <c:pt idx="12">
                  <c:v>16234.10408551561</c:v>
                </c:pt>
                <c:pt idx="13">
                  <c:v>14766.694309915605</c:v>
                </c:pt>
                <c:pt idx="14">
                  <c:v>13216.958085534789</c:v>
                </c:pt>
                <c:pt idx="15">
                  <c:v>11581.198940224143</c:v>
                </c:pt>
                <c:pt idx="16">
                  <c:v>9855.0954721033831</c:v>
                </c:pt>
                <c:pt idx="17">
                  <c:v>8034.3381539842403</c:v>
                </c:pt>
                <c:pt idx="18">
                  <c:v>6114.4806534295494</c:v>
                </c:pt>
                <c:pt idx="19">
                  <c:v>4090.8771342109253</c:v>
                </c:pt>
                <c:pt idx="20">
                  <c:v>1961.6032883656542</c:v>
                </c:pt>
                <c:pt idx="21">
                  <c:v>-277.39588907358382</c:v>
                </c:pt>
                <c:pt idx="22">
                  <c:v>-361.4592777606573</c:v>
                </c:pt>
                <c:pt idx="23">
                  <c:v>-416.53069430098247</c:v>
                </c:pt>
                <c:pt idx="24">
                  <c:v>-463.90531855059527</c:v>
                </c:pt>
                <c:pt idx="25">
                  <c:v>-501.93060237713911</c:v>
                </c:pt>
                <c:pt idx="26">
                  <c:v>-529.52126547246371</c:v>
                </c:pt>
                <c:pt idx="27">
                  <c:v>-545.1392568545823</c:v>
                </c:pt>
                <c:pt idx="28">
                  <c:v>-547.46136775702723</c:v>
                </c:pt>
                <c:pt idx="29">
                  <c:v>-535.29974076988537</c:v>
                </c:pt>
                <c:pt idx="30">
                  <c:v>-507.53060559115403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DB-9A45-B152-6A246A80EB02}"/>
            </c:ext>
          </c:extLst>
        </c:ser>
        <c:ser>
          <c:idx val="3"/>
          <c:order val="5"/>
          <c:tx>
            <c:v>SB 176 + ADEC Legacy under market stress</c:v>
          </c:tx>
          <c:spPr>
            <a:ln w="38100" cap="rnd">
              <a:solidFill>
                <a:srgbClr val="FBC00F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Outputs!$L$103:$L$133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35567.146707403677</c:v>
                </c:pt>
                <c:pt idx="2">
                  <c:v>34551.426449153092</c:v>
                </c:pt>
                <c:pt idx="3">
                  <c:v>33275.29374826642</c:v>
                </c:pt>
                <c:pt idx="4">
                  <c:v>31671.602776665619</c:v>
                </c:pt>
                <c:pt idx="5">
                  <c:v>30921.069419442625</c:v>
                </c:pt>
                <c:pt idx="6">
                  <c:v>30004.288212946583</c:v>
                </c:pt>
                <c:pt idx="7">
                  <c:v>28956.218185765269</c:v>
                </c:pt>
                <c:pt idx="8">
                  <c:v>27884.109948016398</c:v>
                </c:pt>
                <c:pt idx="9">
                  <c:v>26768.744517456773</c:v>
                </c:pt>
                <c:pt idx="10">
                  <c:v>25590.525790080635</c:v>
                </c:pt>
                <c:pt idx="11">
                  <c:v>24329.144388521374</c:v>
                </c:pt>
                <c:pt idx="12">
                  <c:v>22980.196888829465</c:v>
                </c:pt>
                <c:pt idx="13">
                  <c:v>21538.742653387872</c:v>
                </c:pt>
                <c:pt idx="14">
                  <c:v>19999.755969405447</c:v>
                </c:pt>
                <c:pt idx="15">
                  <c:v>18358.154042517548</c:v>
                </c:pt>
                <c:pt idx="16">
                  <c:v>27550.801311389863</c:v>
                </c:pt>
                <c:pt idx="17">
                  <c:v>24726.624374379426</c:v>
                </c:pt>
                <c:pt idx="18">
                  <c:v>21448.690000822571</c:v>
                </c:pt>
                <c:pt idx="19">
                  <c:v>17657.129861758127</c:v>
                </c:pt>
                <c:pt idx="20">
                  <c:v>15160.829609512537</c:v>
                </c:pt>
                <c:pt idx="21">
                  <c:v>12415.694451591558</c:v>
                </c:pt>
                <c:pt idx="22">
                  <c:v>11594.937762070458</c:v>
                </c:pt>
                <c:pt idx="23">
                  <c:v>10947.7589886894</c:v>
                </c:pt>
                <c:pt idx="24">
                  <c:v>10507.105774727936</c:v>
                </c:pt>
                <c:pt idx="25">
                  <c:v>10224.917776957673</c:v>
                </c:pt>
                <c:pt idx="26">
                  <c:v>10042.092699768635</c:v>
                </c:pt>
                <c:pt idx="27">
                  <c:v>9912.9408390057797</c:v>
                </c:pt>
                <c:pt idx="28">
                  <c:v>9718.0865241762094</c:v>
                </c:pt>
                <c:pt idx="29">
                  <c:v>9478.3783550509852</c:v>
                </c:pt>
                <c:pt idx="30">
                  <c:v>9212.6726735802604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EDB-9A45-B152-6A246A80E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1248624"/>
        <c:axId val="1620603808"/>
      </c:lineChart>
      <c:catAx>
        <c:axId val="1621248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603808"/>
        <c:crossesAt val="-15000"/>
        <c:auto val="1"/>
        <c:lblAlgn val="ctr"/>
        <c:lblOffset val="100"/>
        <c:tickLblSkip val="2"/>
        <c:noMultiLvlLbl val="0"/>
      </c:catAx>
      <c:valAx>
        <c:axId val="1620603808"/>
        <c:scaling>
          <c:orientation val="minMax"/>
          <c:max val="45000"/>
          <c:min val="-15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Unfunded Market Liability</a:t>
                </a:r>
                <a:r>
                  <a:rPr lang="en-US" sz="1400" b="1" baseline="0">
                    <a:solidFill>
                      <a:schemeClr val="tx1"/>
                    </a:solidFill>
                  </a:rPr>
                  <a:t> (in &amp;Billions)</a:t>
                </a:r>
                <a:endParaRPr lang="en-US" sz="14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248624"/>
        <c:crosses val="autoZero"/>
        <c:crossBetween val="between"/>
        <c:majorUnit val="5000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766238522075992E-2"/>
          <c:y val="0.53935596568995781"/>
          <c:w val="0.47633274773908219"/>
          <c:h val="0.386206278084226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120</xdr:col>
      <xdr:colOff>103532</xdr:colOff>
      <xdr:row>3</xdr:row>
      <xdr:rowOff>24157</xdr:rowOff>
    </xdr:from>
    <xdr:to>
      <xdr:col>124</xdr:col>
      <xdr:colOff>787537</xdr:colOff>
      <xdr:row>21</xdr:row>
      <xdr:rowOff>108364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126</xdr:col>
      <xdr:colOff>254000</xdr:colOff>
      <xdr:row>7</xdr:row>
      <xdr:rowOff>127000</xdr:rowOff>
    </xdr:from>
    <xdr:ext cx="8229600" cy="4881600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28DAFE8-18A0-D542-8509-C4391EAAE8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 fPrintsWithSheet="0"/>
  </xdr:oneCellAnchor>
  <xdr:oneCellAnchor>
    <xdr:from>
      <xdr:col>126</xdr:col>
      <xdr:colOff>224117</xdr:colOff>
      <xdr:row>44</xdr:row>
      <xdr:rowOff>0</xdr:rowOff>
    </xdr:from>
    <xdr:ext cx="8229600" cy="4881600"/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BBFC877-7B68-4443-990E-DA2C1825CE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 fPrintsWithSheet="0"/>
  </xdr:oneCellAnchor>
  <xdr:oneCellAnchor>
    <xdr:from>
      <xdr:col>126</xdr:col>
      <xdr:colOff>198074</xdr:colOff>
      <xdr:row>73</xdr:row>
      <xdr:rowOff>104862</xdr:rowOff>
    </xdr:from>
    <xdr:ext cx="8229600" cy="4881600"/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B8EAA43-76B0-294C-AF11-AC336F2C35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 fPrintsWithSheet="0"/>
  </xdr:oneCellAnchor>
  <xdr:twoCellAnchor>
    <xdr:from>
      <xdr:col>95</xdr:col>
      <xdr:colOff>101599</xdr:colOff>
      <xdr:row>44</xdr:row>
      <xdr:rowOff>143932</xdr:rowOff>
    </xdr:from>
    <xdr:to>
      <xdr:col>102</xdr:col>
      <xdr:colOff>224366</xdr:colOff>
      <xdr:row>63</xdr:row>
      <xdr:rowOff>25399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5D80FA6-30C7-9342-BDA8-8511FE58DD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663221</xdr:colOff>
      <xdr:row>214</xdr:row>
      <xdr:rowOff>67734</xdr:rowOff>
    </xdr:from>
    <xdr:to>
      <xdr:col>7</xdr:col>
      <xdr:colOff>31044</xdr:colOff>
      <xdr:row>239</xdr:row>
      <xdr:rowOff>11741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4EB604-DF14-4944-8301-FA2A621FA6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852874</xdr:colOff>
      <xdr:row>213</xdr:row>
      <xdr:rowOff>161387</xdr:rowOff>
    </xdr:from>
    <xdr:to>
      <xdr:col>34</xdr:col>
      <xdr:colOff>1522951</xdr:colOff>
      <xdr:row>240</xdr:row>
      <xdr:rowOff>122302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D80D9A2-C801-6D41-8F29-8322D707F6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776338</xdr:colOff>
      <xdr:row>2</xdr:row>
      <xdr:rowOff>154448</xdr:rowOff>
    </xdr:from>
    <xdr:to>
      <xdr:col>22</xdr:col>
      <xdr:colOff>812390</xdr:colOff>
      <xdr:row>29</xdr:row>
      <xdr:rowOff>59764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41649D-29BA-DE4F-A61D-0A62FE1897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382494</xdr:colOff>
      <xdr:row>102</xdr:row>
      <xdr:rowOff>67982</xdr:rowOff>
    </xdr:from>
    <xdr:to>
      <xdr:col>25</xdr:col>
      <xdr:colOff>357094</xdr:colOff>
      <xdr:row>128</xdr:row>
      <xdr:rowOff>80174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2F8616B-C779-9740-B79D-E0C8BAD6A3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74705</xdr:colOff>
      <xdr:row>135</xdr:row>
      <xdr:rowOff>59765</xdr:rowOff>
    </xdr:from>
    <xdr:to>
      <xdr:col>23</xdr:col>
      <xdr:colOff>110757</xdr:colOff>
      <xdr:row>161</xdr:row>
      <xdr:rowOff>159317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883B910-9894-0348-9674-4FAE7E9C12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0</xdr:colOff>
      <xdr:row>135</xdr:row>
      <xdr:rowOff>0</xdr:rowOff>
    </xdr:from>
    <xdr:to>
      <xdr:col>34</xdr:col>
      <xdr:colOff>36052</xdr:colOff>
      <xdr:row>161</xdr:row>
      <xdr:rowOff>99552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95611C4-8528-DC4A-B53C-48F5EFCFF7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484826</xdr:colOff>
      <xdr:row>2</xdr:row>
      <xdr:rowOff>130928</xdr:rowOff>
    </xdr:from>
    <xdr:to>
      <xdr:col>33</xdr:col>
      <xdr:colOff>520878</xdr:colOff>
      <xdr:row>29</xdr:row>
      <xdr:rowOff>36244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B17D2F4-350F-6A46-915C-FC79B538F9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720103</xdr:colOff>
      <xdr:row>102</xdr:row>
      <xdr:rowOff>78556</xdr:rowOff>
    </xdr:from>
    <xdr:to>
      <xdr:col>34</xdr:col>
      <xdr:colOff>694704</xdr:colOff>
      <xdr:row>128</xdr:row>
      <xdr:rowOff>90748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97658A9-B9DD-6646-AD38-1C7C8B21EC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0</xdr:colOff>
      <xdr:row>164</xdr:row>
      <xdr:rowOff>0</xdr:rowOff>
    </xdr:from>
    <xdr:to>
      <xdr:col>23</xdr:col>
      <xdr:colOff>36052</xdr:colOff>
      <xdr:row>190</xdr:row>
      <xdr:rowOff>99552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40FD595-684B-4B44-90F6-01F9EA9453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0</xdr:colOff>
      <xdr:row>2</xdr:row>
      <xdr:rowOff>0</xdr:rowOff>
    </xdr:from>
    <xdr:to>
      <xdr:col>45</xdr:col>
      <xdr:colOff>36052</xdr:colOff>
      <xdr:row>28</xdr:row>
      <xdr:rowOff>95816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5A7FDDE-4FE3-8D45-9203-F365098D74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35</xdr:col>
      <xdr:colOff>313765</xdr:colOff>
      <xdr:row>102</xdr:row>
      <xdr:rowOff>149412</xdr:rowOff>
    </xdr:from>
    <xdr:to>
      <xdr:col>45</xdr:col>
      <xdr:colOff>288366</xdr:colOff>
      <xdr:row>128</xdr:row>
      <xdr:rowOff>161604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2B32FC5-D719-8D47-8BDB-981C93F413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ruong Bui" id="{0FAD8FA7-E06F-8743-B48F-05E3409D3D86}" userId="4d099da90f2615b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U35" dT="2022-02-10T11:10:35.73" personId="{0FAD8FA7-E06F-8743-B48F-05E3409D3D86}" id="{FCCC154C-2E25-9D45-9E8B-29BB86CABD43}">
    <text>Normal cost cells are placeholders for now. Better values will be input later based on the NC model.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Z2" dT="2021-09-30T19:02:03.16" personId="{0FAD8FA7-E06F-8743-B48F-05E3409D3D86}" id="{E6AC27FF-4627-9844-9396-462486CA8CDC}">
    <text xml:space="preserve">Plus imposing a statutory contribution floor </text>
  </threadedComment>
  <threadedComment ref="AA2" dT="2021-09-30T19:02:03.16" personId="{0FAD8FA7-E06F-8743-B48F-05E3409D3D86}" id="{5B64C353-543E-CF4C-BC2A-D63B1E9E5BCE}">
    <text xml:space="preserve">Plus imposing a statutory contribution floor </text>
  </threadedComment>
  <threadedComment ref="AF2" dT="2021-09-30T19:02:16.45" personId="{0FAD8FA7-E06F-8743-B48F-05E3409D3D86}" id="{2B427318-A57F-1845-BE9D-BB90B7484EC8}">
    <text>Plus imposing a statutory contribution floor</text>
  </threadedComment>
  <threadedComment ref="AG2" dT="2021-09-30T19:02:03.16" personId="{0FAD8FA7-E06F-8743-B48F-05E3409D3D86}" id="{F5A42CC4-529D-EE4C-A689-BE142501C983}">
    <text xml:space="preserve">Plus imposing a statutory contribution floor </text>
  </threadedComment>
  <threadedComment ref="AL2" dT="2021-09-30T20:08:15.38" personId="{0FAD8FA7-E06F-8743-B48F-05E3409D3D86}" id="{C37B5AE0-3122-EA46-A0E4-6015632791A1}">
    <text>Plus imposing a statutory contribution floor</text>
  </threadedComment>
  <threadedComment ref="AQ2" dT="2021-09-30T20:08:23.23" personId="{0FAD8FA7-E06F-8743-B48F-05E3409D3D86}" id="{46B52FAF-0A59-C04E-9A20-5E3D8F07E442}">
    <text>Plus imposing a statutory contribution floor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NK249"/>
  <sheetViews>
    <sheetView tabSelected="1" zoomScale="125" zoomScaleNormal="90" workbookViewId="0">
      <pane xSplit="3" ySplit="3" topLeftCell="AE31" activePane="bottomRight" state="frozen"/>
      <selection pane="topRight" activeCell="C1" sqref="C1"/>
      <selection pane="bottomLeft" activeCell="A4" sqref="A4"/>
      <selection pane="bottomRight" activeCell="CZ15" sqref="CZ15"/>
    </sheetView>
  </sheetViews>
  <sheetFormatPr defaultColWidth="8.77734375" defaultRowHeight="14.4" x14ac:dyDescent="0.3"/>
  <cols>
    <col min="1" max="1" width="14.44140625" style="17" customWidth="1"/>
    <col min="2" max="2" width="10.44140625" style="17" customWidth="1"/>
    <col min="3" max="3" width="11.77734375" style="38" customWidth="1"/>
    <col min="4" max="4" width="7.77734375" style="38" bestFit="1" customWidth="1"/>
    <col min="5" max="5" width="7.109375" style="38" bestFit="1" customWidth="1"/>
    <col min="6" max="6" width="7.77734375" style="38" bestFit="1" customWidth="1"/>
    <col min="7" max="8" width="19.77734375" style="38" customWidth="1"/>
    <col min="9" max="9" width="16.109375" style="38" bestFit="1" customWidth="1"/>
    <col min="10" max="10" width="12.6640625" style="39" bestFit="1" customWidth="1"/>
    <col min="11" max="11" width="13.6640625" style="39" bestFit="1" customWidth="1"/>
    <col min="12" max="12" width="10.109375" style="39" bestFit="1" customWidth="1"/>
    <col min="13" max="13" width="10.109375" style="39" customWidth="1"/>
    <col min="14" max="14" width="6.33203125" style="39" customWidth="1"/>
    <col min="15" max="15" width="9.109375" style="39" bestFit="1" customWidth="1"/>
    <col min="16" max="16" width="11.109375" style="39" customWidth="1"/>
    <col min="17" max="17" width="6.77734375" style="39" bestFit="1" customWidth="1"/>
    <col min="18" max="18" width="6.33203125" style="39" bestFit="1" customWidth="1"/>
    <col min="19" max="19" width="6.109375" style="39" bestFit="1" customWidth="1"/>
    <col min="20" max="20" width="8.6640625" style="39" customWidth="1"/>
    <col min="21" max="21" width="8.77734375" style="39" customWidth="1"/>
    <col min="22" max="22" width="9.109375" style="39" bestFit="1" customWidth="1"/>
    <col min="23" max="24" width="7.77734375" style="39" customWidth="1"/>
    <col min="25" max="25" width="10.6640625" style="39" bestFit="1" customWidth="1"/>
    <col min="26" max="26" width="9.33203125" style="39" bestFit="1" customWidth="1"/>
    <col min="27" max="28" width="9.33203125" style="39" customWidth="1"/>
    <col min="29" max="29" width="8.5546875" style="39" bestFit="1" customWidth="1"/>
    <col min="30" max="31" width="7.77734375" style="39" customWidth="1"/>
    <col min="32" max="32" width="9.33203125" style="39" bestFit="1" customWidth="1"/>
    <col min="33" max="33" width="6.33203125" style="39" bestFit="1" customWidth="1"/>
    <col min="34" max="34" width="10.33203125" style="39" bestFit="1" customWidth="1"/>
    <col min="35" max="36" width="10.33203125" style="39" customWidth="1"/>
    <col min="37" max="37" width="8.33203125" style="39" bestFit="1" customWidth="1"/>
    <col min="38" max="39" width="8.33203125" style="39" customWidth="1"/>
    <col min="40" max="40" width="7.33203125" style="39" bestFit="1" customWidth="1"/>
    <col min="41" max="41" width="8.44140625" style="39" bestFit="1" customWidth="1"/>
    <col min="42" max="42" width="8.44140625" style="39" customWidth="1"/>
    <col min="43" max="43" width="8.77734375" style="39" bestFit="1" customWidth="1"/>
    <col min="44" max="44" width="9" style="39" bestFit="1" customWidth="1"/>
    <col min="45" max="45" width="10.109375" style="39" bestFit="1" customWidth="1"/>
    <col min="46" max="46" width="14.6640625" style="39" bestFit="1" customWidth="1"/>
    <col min="47" max="47" width="14.6640625" style="39" customWidth="1"/>
    <col min="48" max="48" width="10.44140625" style="39" customWidth="1"/>
    <col min="49" max="49" width="9.77734375" style="39" customWidth="1"/>
    <col min="50" max="50" width="8.33203125" style="39" bestFit="1" customWidth="1"/>
    <col min="51" max="54" width="8.33203125" style="39" customWidth="1"/>
    <col min="55" max="55" width="6.6640625" style="39" bestFit="1" customWidth="1"/>
    <col min="56" max="56" width="7" style="39" customWidth="1"/>
    <col min="57" max="57" width="15.6640625" style="39" customWidth="1"/>
    <col min="58" max="58" width="15.44140625" style="39" customWidth="1"/>
    <col min="59" max="59" width="10.77734375" style="39" customWidth="1"/>
    <col min="60" max="60" width="12.109375" style="39" customWidth="1"/>
    <col min="62" max="62" width="17.77734375" bestFit="1" customWidth="1"/>
    <col min="63" max="63" width="12.33203125" style="39" bestFit="1" customWidth="1"/>
    <col min="64" max="64" width="9.6640625" style="39" bestFit="1" customWidth="1"/>
    <col min="65" max="65" width="11.109375" style="39" bestFit="1" customWidth="1"/>
    <col min="66" max="67" width="11.109375" style="39" customWidth="1"/>
    <col min="68" max="68" width="9.6640625" style="39" customWidth="1"/>
    <col min="69" max="69" width="7.33203125" style="39" customWidth="1"/>
    <col min="70" max="70" width="7.6640625" style="39" bestFit="1" customWidth="1"/>
    <col min="71" max="71" width="7.6640625" style="39" customWidth="1"/>
    <col min="72" max="72" width="7.6640625" style="39" bestFit="1" customWidth="1"/>
    <col min="73" max="73" width="7.6640625" style="39" customWidth="1"/>
    <col min="74" max="75" width="11" style="39" bestFit="1" customWidth="1"/>
    <col min="76" max="76" width="11" style="39" customWidth="1"/>
    <col min="77" max="77" width="11" style="39" bestFit="1" customWidth="1"/>
    <col min="78" max="78" width="9.6640625" style="39" bestFit="1" customWidth="1"/>
    <col min="79" max="79" width="14.109375" style="39" bestFit="1" customWidth="1"/>
    <col min="80" max="80" width="10.77734375" style="39" bestFit="1" customWidth="1"/>
    <col min="81" max="81" width="13.6640625" style="39" customWidth="1"/>
    <col min="82" max="82" width="12.6640625" style="39" bestFit="1" customWidth="1"/>
    <col min="83" max="85" width="9.109375" style="39" customWidth="1"/>
    <col min="86" max="86" width="10.77734375" style="39" bestFit="1" customWidth="1"/>
    <col min="87" max="87" width="12.109375" style="39" bestFit="1" customWidth="1"/>
    <col min="88" max="88" width="9.109375" style="39" customWidth="1"/>
    <col min="89" max="89" width="8" style="39" bestFit="1" customWidth="1"/>
    <col min="90" max="91" width="8" style="39" customWidth="1"/>
    <col min="92" max="92" width="6.77734375" style="39" bestFit="1" customWidth="1"/>
    <col min="93" max="93" width="7.109375" style="39" bestFit="1" customWidth="1"/>
    <col min="94" max="99" width="7.77734375" style="39" customWidth="1"/>
    <col min="100" max="102" width="14.109375" style="39" customWidth="1"/>
    <col min="103" max="103" width="9.77734375" style="39" customWidth="1"/>
    <col min="104" max="104" width="20.44140625" style="39" customWidth="1"/>
    <col min="105" max="105" width="10.6640625" style="39" bestFit="1" customWidth="1"/>
    <col min="106" max="106" width="9.77734375" style="39" bestFit="1" customWidth="1"/>
    <col min="107" max="107" width="12.6640625" customWidth="1"/>
    <col min="108" max="110" width="9.77734375" customWidth="1"/>
    <col min="111" max="111" width="21.77734375" customWidth="1"/>
    <col min="112" max="112" width="18.44140625" style="39" customWidth="1"/>
    <col min="113" max="114" width="11.6640625" style="39" bestFit="1" customWidth="1"/>
    <col min="115" max="116" width="12.77734375" style="39" bestFit="1" customWidth="1"/>
    <col min="117" max="117" width="11.44140625" style="39" bestFit="1" customWidth="1"/>
    <col min="118" max="118" width="7.6640625" style="39" customWidth="1"/>
    <col min="119" max="119" width="24.44140625" style="39" customWidth="1"/>
    <col min="120" max="120" width="12.44140625" style="39" customWidth="1"/>
    <col min="121" max="121" width="1.6640625" style="39" customWidth="1"/>
    <col min="122" max="122" width="42.33203125" style="39" customWidth="1"/>
    <col min="123" max="123" width="9" style="39" bestFit="1" customWidth="1"/>
    <col min="124" max="124" width="10.33203125" style="39" bestFit="1" customWidth="1"/>
    <col min="125" max="125" width="14.109375" style="39" bestFit="1" customWidth="1"/>
    <col min="126" max="126" width="8.77734375" style="39" customWidth="1"/>
    <col min="127" max="127" width="8.77734375" style="314"/>
    <col min="128" max="138" width="8.77734375" style="315"/>
    <col min="139" max="139" width="8.77734375" style="316"/>
    <col min="140" max="140" width="8.77734375" style="38" customWidth="1"/>
    <col min="141" max="148" width="8.77734375" style="38"/>
    <col min="149" max="149" width="10.44140625" style="38" bestFit="1" customWidth="1"/>
    <col min="150" max="150" width="10" style="39" bestFit="1" customWidth="1"/>
    <col min="151" max="151" width="9.33203125" style="39" bestFit="1" customWidth="1"/>
    <col min="152" max="152" width="9.77734375" style="39" bestFit="1" customWidth="1"/>
    <col min="153" max="153" width="8" style="39" bestFit="1" customWidth="1"/>
    <col min="154" max="154" width="8.77734375" style="39" bestFit="1" customWidth="1"/>
    <col min="155" max="156" width="8.44140625" style="39" bestFit="1" customWidth="1"/>
    <col min="157" max="157" width="10.44140625" style="39" bestFit="1" customWidth="1"/>
    <col min="158" max="166" width="8.44140625" style="39" customWidth="1"/>
    <col min="167" max="167" width="11.44140625" style="39" customWidth="1"/>
    <col min="168" max="168" width="1.6640625" style="39" customWidth="1"/>
    <col min="169" max="169" width="8.44140625" style="39" bestFit="1" customWidth="1"/>
    <col min="170" max="170" width="1.6640625" style="39" customWidth="1"/>
    <col min="171" max="171" width="9" style="39" bestFit="1" customWidth="1"/>
    <col min="172" max="172" width="9" style="39" customWidth="1"/>
    <col min="173" max="173" width="6" style="39" bestFit="1" customWidth="1"/>
    <col min="174" max="174" width="9.44140625" style="39" customWidth="1"/>
    <col min="175" max="175" width="9" style="39" bestFit="1" customWidth="1"/>
    <col min="176" max="176" width="9" style="39" customWidth="1"/>
    <col min="177" max="177" width="10.77734375" style="39" bestFit="1" customWidth="1"/>
    <col min="178" max="178" width="7.6640625" style="39" bestFit="1" customWidth="1"/>
    <col min="179" max="179" width="11.33203125" style="39" customWidth="1"/>
    <col min="180" max="180" width="7.44140625" style="39" customWidth="1"/>
    <col min="181" max="185" width="7.77734375" style="39" bestFit="1" customWidth="1"/>
    <col min="186" max="205" width="7.44140625" style="39" bestFit="1" customWidth="1"/>
    <col min="206" max="209" width="6.44140625" style="39" bestFit="1" customWidth="1"/>
    <col min="210" max="211" width="4.6640625" style="39" bestFit="1" customWidth="1"/>
    <col min="212" max="212" width="7.109375" style="39" customWidth="1"/>
    <col min="213" max="213" width="7.109375" style="39" bestFit="1" customWidth="1"/>
    <col min="214" max="214" width="6.33203125" style="39" bestFit="1" customWidth="1"/>
    <col min="215" max="215" width="11" style="39" bestFit="1" customWidth="1"/>
    <col min="216" max="219" width="6.77734375" style="39" bestFit="1" customWidth="1"/>
    <col min="220" max="243" width="6.44140625" style="39" bestFit="1" customWidth="1"/>
    <col min="244" max="245" width="4.6640625" style="39" bestFit="1" customWidth="1"/>
    <col min="246" max="246" width="2.6640625" style="39" bestFit="1" customWidth="1"/>
    <col min="247" max="248" width="4.77734375" style="39" customWidth="1"/>
    <col min="249" max="249" width="8" style="39" customWidth="1"/>
    <col min="250" max="250" width="8.33203125" style="39" customWidth="1"/>
    <col min="251" max="261" width="7.44140625" style="39" bestFit="1" customWidth="1"/>
    <col min="262" max="263" width="5.109375" style="39" bestFit="1" customWidth="1"/>
    <col min="264" max="264" width="4.33203125" style="39" bestFit="1" customWidth="1"/>
    <col min="265" max="281" width="4.77734375" style="39" customWidth="1"/>
    <col min="282" max="282" width="6.109375" style="39" bestFit="1" customWidth="1"/>
    <col min="283" max="283" width="4.77734375" style="39" customWidth="1"/>
    <col min="284" max="293" width="6.109375" style="39" customWidth="1"/>
    <col min="294" max="327" width="4.77734375" style="39" customWidth="1"/>
    <col min="328" max="329" width="9.109375" style="38" bestFit="1" customWidth="1"/>
    <col min="330" max="330" width="9.6640625" style="38" bestFit="1" customWidth="1"/>
    <col min="331" max="331" width="1.6640625" style="39" customWidth="1"/>
    <col min="332" max="332" width="8.77734375" style="38"/>
    <col min="333" max="333" width="9.109375" style="38" hidden="1" customWidth="1"/>
    <col min="334" max="334" width="8.33203125" style="39" hidden="1" customWidth="1"/>
    <col min="335" max="335" width="9.6640625" style="39" hidden="1" customWidth="1"/>
    <col min="336" max="336" width="7.44140625" style="39" hidden="1" customWidth="1"/>
    <col min="337" max="337" width="8.77734375" style="38"/>
    <col min="338" max="338" width="19.109375" style="38" bestFit="1" customWidth="1"/>
    <col min="339" max="339" width="11.109375" style="38" bestFit="1" customWidth="1"/>
    <col min="340" max="341" width="8.77734375" style="38"/>
    <col min="342" max="342" width="11.33203125" style="38" bestFit="1" customWidth="1"/>
    <col min="343" max="343" width="13.21875" style="38" customWidth="1"/>
    <col min="344" max="344" width="19.33203125" style="38" bestFit="1" customWidth="1"/>
    <col min="345" max="347" width="19.33203125" style="38" customWidth="1"/>
    <col min="348" max="348" width="13.77734375" style="38" bestFit="1" customWidth="1"/>
    <col min="349" max="349" width="9.109375" style="38" bestFit="1" customWidth="1"/>
    <col min="350" max="350" width="7" style="38" bestFit="1" customWidth="1"/>
    <col min="351" max="351" width="15.109375" style="38" customWidth="1"/>
    <col min="352" max="352" width="12.109375" style="38" bestFit="1" customWidth="1"/>
    <col min="353" max="353" width="10.6640625" style="38" bestFit="1" customWidth="1"/>
    <col min="354" max="354" width="11.109375" style="38" bestFit="1" customWidth="1"/>
    <col min="355" max="355" width="12.109375" style="38" bestFit="1" customWidth="1"/>
    <col min="356" max="356" width="8.77734375" style="38"/>
    <col min="357" max="363" width="9.109375" style="38" bestFit="1" customWidth="1"/>
    <col min="364" max="16384" width="8.77734375" style="38"/>
  </cols>
  <sheetData>
    <row r="1" spans="1:375" ht="47.25" customHeight="1" x14ac:dyDescent="0.4">
      <c r="A1" s="432" t="s">
        <v>177</v>
      </c>
      <c r="B1" s="433"/>
      <c r="C1" s="433"/>
      <c r="D1" s="433"/>
      <c r="E1" s="433"/>
      <c r="F1" s="433"/>
      <c r="G1" s="433"/>
      <c r="H1" s="433"/>
      <c r="I1" s="433"/>
      <c r="J1" s="433"/>
      <c r="K1" s="433"/>
      <c r="L1" s="433"/>
      <c r="M1" s="433"/>
      <c r="N1" s="433"/>
      <c r="O1" s="433"/>
      <c r="P1" s="433"/>
      <c r="Q1" s="433"/>
      <c r="R1" s="433"/>
      <c r="S1" s="433"/>
      <c r="T1" s="164"/>
      <c r="U1" s="234"/>
      <c r="V1" s="234"/>
      <c r="W1" s="234"/>
      <c r="X1" s="234"/>
      <c r="Y1" s="234"/>
      <c r="Z1" s="235"/>
      <c r="AA1" s="234"/>
      <c r="AB1" s="234"/>
      <c r="AC1" s="438" t="s">
        <v>31</v>
      </c>
      <c r="AD1" s="438"/>
      <c r="AE1" s="438"/>
      <c r="AF1" s="438"/>
      <c r="AG1" s="438"/>
      <c r="AH1" s="438"/>
      <c r="AI1" s="438"/>
      <c r="AJ1" s="438"/>
      <c r="AK1" s="438"/>
      <c r="AL1" s="438"/>
      <c r="AM1" s="438"/>
      <c r="AN1" s="438"/>
      <c r="AO1" s="438"/>
      <c r="AP1" s="438"/>
      <c r="AQ1" s="438"/>
      <c r="AR1" s="439"/>
      <c r="AS1" s="192"/>
      <c r="AT1" s="397" t="s">
        <v>109</v>
      </c>
      <c r="AU1" s="398"/>
      <c r="AV1" s="398"/>
      <c r="AW1" s="398"/>
      <c r="AX1" s="398"/>
      <c r="AY1" s="398"/>
      <c r="AZ1" s="398"/>
      <c r="BA1" s="398"/>
      <c r="BB1" s="398"/>
      <c r="BC1" s="398"/>
      <c r="BD1" s="398"/>
      <c r="BE1" s="398"/>
      <c r="BF1" s="398"/>
      <c r="BG1" s="398"/>
      <c r="BH1" s="398"/>
      <c r="BK1" s="398"/>
      <c r="BL1" s="398"/>
      <c r="BM1" s="399"/>
      <c r="BN1" s="373"/>
      <c r="BO1" s="373"/>
      <c r="BP1" s="440" t="s">
        <v>26</v>
      </c>
      <c r="BQ1" s="438"/>
      <c r="BR1" s="438"/>
      <c r="BS1" s="438"/>
      <c r="BT1" s="438"/>
      <c r="BU1" s="438"/>
      <c r="BV1" s="438"/>
      <c r="BW1" s="438"/>
      <c r="BX1" s="438"/>
      <c r="BY1" s="438"/>
      <c r="BZ1" s="438"/>
      <c r="CA1" s="438"/>
      <c r="CB1" s="438"/>
      <c r="CC1" s="438"/>
      <c r="CD1" s="438"/>
      <c r="CE1" s="438"/>
      <c r="CF1" s="438"/>
      <c r="CG1" s="438"/>
      <c r="CH1" s="438"/>
      <c r="CI1" s="438"/>
      <c r="CJ1" s="438"/>
      <c r="CK1" s="438"/>
      <c r="CL1" s="438"/>
      <c r="CM1" s="438"/>
      <c r="CN1" s="438"/>
      <c r="CO1" s="438"/>
      <c r="CP1" s="439"/>
      <c r="CQ1" s="373"/>
      <c r="CR1" s="373"/>
      <c r="CS1" s="373"/>
      <c r="CT1" s="373"/>
      <c r="CU1" s="373"/>
      <c r="CV1" s="74"/>
      <c r="CW1" s="74"/>
      <c r="CX1" s="74"/>
      <c r="CY1" s="74"/>
      <c r="CZ1" s="25"/>
      <c r="DA1" s="74"/>
      <c r="DB1" s="74"/>
      <c r="DC1" s="303"/>
      <c r="DD1" s="303"/>
      <c r="DE1" s="303"/>
      <c r="DF1" s="303"/>
      <c r="DG1" s="303"/>
      <c r="DH1" s="25"/>
      <c r="DI1" s="25"/>
      <c r="DJ1" s="25"/>
      <c r="DK1" s="25"/>
      <c r="DL1" s="25"/>
      <c r="DM1" s="25"/>
      <c r="DN1" s="435" t="s">
        <v>57</v>
      </c>
      <c r="DO1" s="436"/>
      <c r="DP1" s="437"/>
      <c r="DQ1" s="1"/>
      <c r="DR1" s="434" t="s">
        <v>182</v>
      </c>
      <c r="DS1" s="434"/>
      <c r="DT1" s="434"/>
      <c r="DU1" s="434"/>
      <c r="DV1" s="1"/>
      <c r="DW1" s="311"/>
      <c r="DX1" s="312"/>
      <c r="DY1" s="312"/>
      <c r="DZ1" s="312"/>
      <c r="EA1" s="312"/>
      <c r="EB1" s="312"/>
      <c r="EC1" s="312"/>
      <c r="ED1" s="312"/>
      <c r="EE1" s="312"/>
      <c r="EF1" s="312"/>
      <c r="EG1" s="312"/>
      <c r="EH1" s="312"/>
      <c r="EI1" s="313"/>
      <c r="EJ1" s="19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38"/>
      <c r="FV1" s="38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14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S1" s="1"/>
      <c r="LV1" s="116"/>
      <c r="LW1" s="116"/>
      <c r="LX1" s="116"/>
    </row>
    <row r="2" spans="1:375" ht="15" customHeight="1" x14ac:dyDescent="0.3">
      <c r="A2" s="45" t="s">
        <v>14</v>
      </c>
      <c r="B2" s="403"/>
      <c r="C2" s="131"/>
      <c r="D2" s="131" t="s">
        <v>96</v>
      </c>
      <c r="E2" s="122" t="s">
        <v>96</v>
      </c>
      <c r="F2" s="121" t="s">
        <v>96</v>
      </c>
      <c r="G2" s="442" t="s">
        <v>173</v>
      </c>
      <c r="H2" s="443"/>
      <c r="I2" s="443"/>
      <c r="J2" s="443"/>
      <c r="K2" s="443"/>
      <c r="L2" s="443"/>
      <c r="M2" s="443"/>
      <c r="N2" s="443"/>
      <c r="O2" s="443"/>
      <c r="P2" s="443"/>
      <c r="Q2" s="444"/>
      <c r="R2" s="66" t="s">
        <v>47</v>
      </c>
      <c r="S2" s="66" t="s">
        <v>47</v>
      </c>
      <c r="T2" s="22" t="s">
        <v>235</v>
      </c>
      <c r="U2" s="22" t="s">
        <v>235</v>
      </c>
      <c r="V2" s="214" t="s">
        <v>192</v>
      </c>
      <c r="W2" s="214" t="s">
        <v>233</v>
      </c>
      <c r="X2" s="214" t="s">
        <v>234</v>
      </c>
      <c r="Y2" s="214" t="s">
        <v>204</v>
      </c>
      <c r="Z2" s="214" t="s">
        <v>193</v>
      </c>
      <c r="AA2" s="22" t="s">
        <v>237</v>
      </c>
      <c r="AB2" s="22" t="s">
        <v>237</v>
      </c>
      <c r="AC2" s="71" t="s">
        <v>4</v>
      </c>
      <c r="AD2" s="71" t="s">
        <v>238</v>
      </c>
      <c r="AE2" s="71" t="s">
        <v>238</v>
      </c>
      <c r="AF2" s="71" t="s">
        <v>100</v>
      </c>
      <c r="AG2" s="90" t="s">
        <v>100</v>
      </c>
      <c r="AH2" s="66"/>
      <c r="AI2" s="66" t="s">
        <v>1</v>
      </c>
      <c r="AJ2" s="66" t="s">
        <v>1</v>
      </c>
      <c r="AK2" s="66"/>
      <c r="AL2" s="66" t="s">
        <v>2</v>
      </c>
      <c r="AM2" s="66" t="s">
        <v>2</v>
      </c>
      <c r="AN2" s="66" t="s">
        <v>13</v>
      </c>
      <c r="AO2" s="66"/>
      <c r="AP2" s="66"/>
      <c r="AQ2" s="66" t="s">
        <v>5</v>
      </c>
      <c r="AR2" s="45" t="s">
        <v>5</v>
      </c>
      <c r="AS2" s="90"/>
      <c r="AT2" s="90" t="s">
        <v>201</v>
      </c>
      <c r="AU2" s="347" t="s">
        <v>262</v>
      </c>
      <c r="AV2" s="216" t="s">
        <v>263</v>
      </c>
      <c r="AW2" s="371" t="s">
        <v>263</v>
      </c>
      <c r="AX2" s="216" t="s">
        <v>271</v>
      </c>
      <c r="AY2" s="392" t="s">
        <v>271</v>
      </c>
      <c r="AZ2" s="395" t="s">
        <v>272</v>
      </c>
      <c r="BA2" s="396" t="s">
        <v>218</v>
      </c>
      <c r="BB2" s="396" t="s">
        <v>218</v>
      </c>
      <c r="BC2" s="216" t="s">
        <v>6</v>
      </c>
      <c r="BD2" s="216" t="s">
        <v>8</v>
      </c>
      <c r="BE2" s="216" t="s">
        <v>275</v>
      </c>
      <c r="BF2" s="396" t="s">
        <v>275</v>
      </c>
      <c r="BG2" s="216" t="s">
        <v>275</v>
      </c>
      <c r="BH2" s="22" t="s">
        <v>275</v>
      </c>
      <c r="BI2" s="22" t="s">
        <v>289</v>
      </c>
      <c r="BJ2" s="22"/>
      <c r="BK2" s="213" t="s">
        <v>145</v>
      </c>
      <c r="BL2" s="213" t="s">
        <v>163</v>
      </c>
      <c r="BM2" s="219" t="s">
        <v>166</v>
      </c>
      <c r="BN2" s="214"/>
      <c r="BO2" s="214"/>
      <c r="BP2" s="90" t="s">
        <v>59</v>
      </c>
      <c r="BQ2" s="90" t="s">
        <v>59</v>
      </c>
      <c r="BR2" s="90" t="s">
        <v>70</v>
      </c>
      <c r="BS2" s="90" t="s">
        <v>70</v>
      </c>
      <c r="BT2" s="90" t="s">
        <v>48</v>
      </c>
      <c r="BU2" s="90" t="s">
        <v>48</v>
      </c>
      <c r="BV2" s="90" t="s">
        <v>240</v>
      </c>
      <c r="BW2" s="66" t="s">
        <v>240</v>
      </c>
      <c r="BX2" s="66" t="s">
        <v>239</v>
      </c>
      <c r="BY2" s="66" t="s">
        <v>51</v>
      </c>
      <c r="BZ2" s="66" t="s">
        <v>66</v>
      </c>
      <c r="CA2" s="66" t="s">
        <v>66</v>
      </c>
      <c r="CB2" s="66" t="s">
        <v>74</v>
      </c>
      <c r="CC2" s="22" t="s">
        <v>74</v>
      </c>
      <c r="CD2" s="22" t="s">
        <v>74</v>
      </c>
      <c r="CE2" s="22" t="s">
        <v>67</v>
      </c>
      <c r="CF2" s="22" t="s">
        <v>67</v>
      </c>
      <c r="CG2" s="22" t="s">
        <v>67</v>
      </c>
      <c r="CH2" s="66" t="s">
        <v>74</v>
      </c>
      <c r="CI2" s="22" t="s">
        <v>67</v>
      </c>
      <c r="CJ2" s="22" t="s">
        <v>197</v>
      </c>
      <c r="CK2" s="22" t="s">
        <v>23</v>
      </c>
      <c r="CL2" s="22" t="s">
        <v>23</v>
      </c>
      <c r="CM2" s="22" t="s">
        <v>23</v>
      </c>
      <c r="CN2" s="123"/>
      <c r="CO2" s="66" t="s">
        <v>62</v>
      </c>
      <c r="CP2" s="66" t="s">
        <v>36</v>
      </c>
      <c r="CQ2" s="22"/>
      <c r="CR2" s="22"/>
      <c r="CS2" s="22"/>
      <c r="CT2" s="22"/>
      <c r="CU2" s="22"/>
      <c r="CV2" s="22"/>
      <c r="CW2" s="22"/>
      <c r="CX2" s="22"/>
      <c r="CY2" s="45" t="s">
        <v>38</v>
      </c>
      <c r="CZ2" s="22" t="s">
        <v>67</v>
      </c>
      <c r="DA2" s="120" t="s">
        <v>8</v>
      </c>
      <c r="DB2" s="217" t="s">
        <v>291</v>
      </c>
      <c r="DC2" s="304" t="s">
        <v>214</v>
      </c>
      <c r="DD2" s="304" t="s">
        <v>66</v>
      </c>
      <c r="DE2" s="304" t="s">
        <v>215</v>
      </c>
      <c r="DF2" s="304" t="s">
        <v>0</v>
      </c>
      <c r="DG2" s="305" t="s">
        <v>216</v>
      </c>
      <c r="DH2" s="216" t="s">
        <v>8</v>
      </c>
      <c r="DI2" s="216" t="s">
        <v>200</v>
      </c>
      <c r="DJ2" s="216" t="s">
        <v>54</v>
      </c>
      <c r="DK2" s="215" t="s">
        <v>8</v>
      </c>
      <c r="DL2" s="216" t="s">
        <v>16</v>
      </c>
      <c r="DM2" s="216" t="s">
        <v>54</v>
      </c>
      <c r="DN2" s="215" t="s">
        <v>8</v>
      </c>
      <c r="DO2" s="216" t="s">
        <v>16</v>
      </c>
      <c r="DP2" s="121" t="s">
        <v>58</v>
      </c>
      <c r="DQ2" s="1"/>
      <c r="DR2" s="434"/>
      <c r="DS2" s="434"/>
      <c r="DT2" s="434"/>
      <c r="DU2" s="434"/>
      <c r="DV2" s="1"/>
      <c r="EJ2" s="191"/>
      <c r="ET2" s="1" t="s">
        <v>101</v>
      </c>
      <c r="EU2" s="1" t="s">
        <v>152</v>
      </c>
      <c r="EV2" s="1" t="s">
        <v>76</v>
      </c>
      <c r="EW2" s="1" t="s">
        <v>154</v>
      </c>
      <c r="EX2" s="1"/>
      <c r="EY2" s="1"/>
      <c r="EZ2" s="1"/>
      <c r="FA2" s="1" t="s">
        <v>8</v>
      </c>
      <c r="FB2" s="1"/>
      <c r="FC2" s="1" t="s">
        <v>101</v>
      </c>
      <c r="FD2" s="1" t="s">
        <v>152</v>
      </c>
      <c r="FE2" s="1" t="s">
        <v>76</v>
      </c>
      <c r="FF2" s="1" t="s">
        <v>154</v>
      </c>
      <c r="FG2" s="1"/>
      <c r="FH2" s="1"/>
      <c r="FI2" s="1"/>
      <c r="FJ2" s="1" t="s">
        <v>8</v>
      </c>
      <c r="FK2" s="1"/>
      <c r="FL2" s="1"/>
      <c r="FM2" s="45" t="s">
        <v>3</v>
      </c>
      <c r="FN2" s="1"/>
      <c r="FO2" s="131" t="s">
        <v>270</v>
      </c>
      <c r="FP2" s="370" t="s">
        <v>270</v>
      </c>
      <c r="FQ2" s="22" t="s">
        <v>34</v>
      </c>
      <c r="FR2" s="22" t="s">
        <v>27</v>
      </c>
      <c r="FS2" s="22" t="s">
        <v>27</v>
      </c>
      <c r="FT2" s="22"/>
      <c r="FU2" s="121" t="s">
        <v>9</v>
      </c>
      <c r="FV2" s="45" t="s">
        <v>27</v>
      </c>
      <c r="FW2" s="1"/>
      <c r="FX2" s="393" t="s">
        <v>264</v>
      </c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393" t="s">
        <v>265</v>
      </c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393" t="s">
        <v>266</v>
      </c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393" t="s">
        <v>267</v>
      </c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S2" s="1"/>
      <c r="LV2" s="71" t="s">
        <v>77</v>
      </c>
      <c r="LW2" s="71" t="s">
        <v>113</v>
      </c>
      <c r="LX2" s="71" t="s">
        <v>78</v>
      </c>
      <c r="LY2" s="39"/>
      <c r="LZ2" s="13" t="s">
        <v>82</v>
      </c>
      <c r="MA2" s="13" t="s">
        <v>83</v>
      </c>
      <c r="MC2" s="191" t="s">
        <v>77</v>
      </c>
      <c r="MD2" s="191" t="s">
        <v>60</v>
      </c>
      <c r="ME2" s="191"/>
      <c r="MG2" s="191" t="s">
        <v>77</v>
      </c>
      <c r="MH2" s="191" t="s">
        <v>60</v>
      </c>
      <c r="MI2" s="191"/>
    </row>
    <row r="3" spans="1:375" ht="15" customHeight="1" x14ac:dyDescent="0.3">
      <c r="A3" s="44" t="s">
        <v>115</v>
      </c>
      <c r="B3" s="70" t="s">
        <v>287</v>
      </c>
      <c r="C3" s="70" t="s">
        <v>11</v>
      </c>
      <c r="D3" s="70" t="s">
        <v>0</v>
      </c>
      <c r="E3" s="24" t="s">
        <v>112</v>
      </c>
      <c r="F3" s="72" t="s">
        <v>93</v>
      </c>
      <c r="G3" s="24" t="s">
        <v>252</v>
      </c>
      <c r="H3" s="24" t="s">
        <v>253</v>
      </c>
      <c r="I3" s="24" t="s">
        <v>251</v>
      </c>
      <c r="J3" s="70" t="s">
        <v>91</v>
      </c>
      <c r="K3" s="70" t="s">
        <v>92</v>
      </c>
      <c r="L3" s="44" t="s">
        <v>246</v>
      </c>
      <c r="M3" s="72" t="s">
        <v>248</v>
      </c>
      <c r="N3" s="72" t="s">
        <v>176</v>
      </c>
      <c r="O3" s="72" t="s">
        <v>245</v>
      </c>
      <c r="P3" s="72" t="s">
        <v>247</v>
      </c>
      <c r="Q3" s="72" t="s">
        <v>106</v>
      </c>
      <c r="R3" s="44" t="s">
        <v>94</v>
      </c>
      <c r="S3" s="44" t="s">
        <v>95</v>
      </c>
      <c r="T3" s="24" t="s">
        <v>236</v>
      </c>
      <c r="U3" s="22" t="s">
        <v>65</v>
      </c>
      <c r="V3" s="441" t="s">
        <v>191</v>
      </c>
      <c r="W3" s="441"/>
      <c r="X3" s="441"/>
      <c r="Y3" s="441"/>
      <c r="Z3" s="441"/>
      <c r="AA3" s="24" t="s">
        <v>236</v>
      </c>
      <c r="AB3" s="22" t="s">
        <v>65</v>
      </c>
      <c r="AC3" s="72" t="s">
        <v>12</v>
      </c>
      <c r="AD3" s="72" t="s">
        <v>154</v>
      </c>
      <c r="AE3" s="72" t="s">
        <v>65</v>
      </c>
      <c r="AF3" s="44" t="s">
        <v>50</v>
      </c>
      <c r="AG3" s="44" t="s">
        <v>60</v>
      </c>
      <c r="AH3" s="44" t="s">
        <v>1</v>
      </c>
      <c r="AI3" s="44" t="s">
        <v>236</v>
      </c>
      <c r="AJ3" s="44" t="s">
        <v>65</v>
      </c>
      <c r="AK3" s="44" t="s">
        <v>2</v>
      </c>
      <c r="AL3" s="44" t="s">
        <v>236</v>
      </c>
      <c r="AM3" s="44" t="s">
        <v>65</v>
      </c>
      <c r="AN3" s="44" t="s">
        <v>2</v>
      </c>
      <c r="AO3" s="44" t="s">
        <v>63</v>
      </c>
      <c r="AP3" s="66" t="s">
        <v>260</v>
      </c>
      <c r="AQ3" s="66" t="s">
        <v>32</v>
      </c>
      <c r="AR3" s="66" t="s">
        <v>33</v>
      </c>
      <c r="AS3" s="90"/>
      <c r="AT3" s="90" t="s">
        <v>261</v>
      </c>
      <c r="AU3" s="22" t="s">
        <v>65</v>
      </c>
      <c r="AV3" s="22" t="s">
        <v>236</v>
      </c>
      <c r="AW3" s="22" t="s">
        <v>65</v>
      </c>
      <c r="AX3" s="22" t="s">
        <v>236</v>
      </c>
      <c r="AY3" s="22" t="s">
        <v>65</v>
      </c>
      <c r="AZ3" s="22" t="s">
        <v>65</v>
      </c>
      <c r="BA3" s="22" t="s">
        <v>236</v>
      </c>
      <c r="BB3" s="22" t="s">
        <v>65</v>
      </c>
      <c r="BC3" s="22" t="s">
        <v>164</v>
      </c>
      <c r="BD3" s="22" t="s">
        <v>110</v>
      </c>
      <c r="BE3" s="22" t="s">
        <v>279</v>
      </c>
      <c r="BF3" s="22" t="s">
        <v>278</v>
      </c>
      <c r="BG3" s="22" t="s">
        <v>276</v>
      </c>
      <c r="BH3" s="22" t="s">
        <v>277</v>
      </c>
      <c r="BI3" s="22" t="s">
        <v>18</v>
      </c>
      <c r="BJ3" s="22" t="s">
        <v>290</v>
      </c>
      <c r="BK3" s="214" t="s">
        <v>165</v>
      </c>
      <c r="BL3" s="214" t="s">
        <v>146</v>
      </c>
      <c r="BM3" s="220" t="s">
        <v>167</v>
      </c>
      <c r="BN3" s="214"/>
      <c r="BO3" s="214"/>
      <c r="BP3" s="90" t="s">
        <v>236</v>
      </c>
      <c r="BQ3" s="90" t="s">
        <v>65</v>
      </c>
      <c r="BR3" s="90" t="s">
        <v>236</v>
      </c>
      <c r="BS3" s="90" t="s">
        <v>65</v>
      </c>
      <c r="BT3" s="90" t="s">
        <v>154</v>
      </c>
      <c r="BU3" s="90" t="s">
        <v>65</v>
      </c>
      <c r="BV3" s="90" t="s">
        <v>64</v>
      </c>
      <c r="BW3" s="66" t="s">
        <v>65</v>
      </c>
      <c r="BX3" s="66" t="s">
        <v>65</v>
      </c>
      <c r="BY3" s="66" t="s">
        <v>196</v>
      </c>
      <c r="BZ3" s="66" t="s">
        <v>64</v>
      </c>
      <c r="CA3" s="66" t="s">
        <v>65</v>
      </c>
      <c r="CB3" s="66" t="s">
        <v>64</v>
      </c>
      <c r="CC3" s="66" t="s">
        <v>328</v>
      </c>
      <c r="CD3" s="66" t="s">
        <v>327</v>
      </c>
      <c r="CE3" s="66" t="s">
        <v>176</v>
      </c>
      <c r="CF3" s="66" t="s">
        <v>245</v>
      </c>
      <c r="CG3" s="66" t="s">
        <v>280</v>
      </c>
      <c r="CH3" s="66" t="s">
        <v>107</v>
      </c>
      <c r="CI3" s="66" t="s">
        <v>355</v>
      </c>
      <c r="CJ3" s="66" t="s">
        <v>28</v>
      </c>
      <c r="CK3" s="66" t="s">
        <v>14</v>
      </c>
      <c r="CL3" s="66" t="s">
        <v>236</v>
      </c>
      <c r="CM3" s="66" t="s">
        <v>65</v>
      </c>
      <c r="CN3" s="45" t="s">
        <v>6</v>
      </c>
      <c r="CO3" s="66" t="s">
        <v>68</v>
      </c>
      <c r="CP3" s="66" t="s">
        <v>15</v>
      </c>
      <c r="CQ3" s="22"/>
      <c r="CR3" s="22"/>
      <c r="CS3" s="22"/>
      <c r="CT3" s="22"/>
      <c r="CU3" s="22"/>
      <c r="CV3" s="24"/>
      <c r="CW3" s="24"/>
      <c r="CX3" s="24"/>
      <c r="CY3" s="44" t="s">
        <v>42</v>
      </c>
      <c r="CZ3" s="24" t="s">
        <v>292</v>
      </c>
      <c r="DA3" s="90" t="s">
        <v>67</v>
      </c>
      <c r="DB3" s="71" t="s">
        <v>67</v>
      </c>
      <c r="DC3" s="306" t="s">
        <v>8</v>
      </c>
      <c r="DD3" s="306" t="s">
        <v>8</v>
      </c>
      <c r="DE3" s="306" t="s">
        <v>8</v>
      </c>
      <c r="DF3" s="306" t="s">
        <v>8</v>
      </c>
      <c r="DG3" s="306"/>
      <c r="DH3" s="97" t="s">
        <v>43</v>
      </c>
      <c r="DI3" s="97" t="s">
        <v>43</v>
      </c>
      <c r="DJ3" s="97" t="s">
        <v>43</v>
      </c>
      <c r="DK3" s="64" t="s">
        <v>55</v>
      </c>
      <c r="DL3" s="97" t="s">
        <v>55</v>
      </c>
      <c r="DM3" s="97" t="s">
        <v>7</v>
      </c>
      <c r="DN3" s="135" t="s">
        <v>49</v>
      </c>
      <c r="DO3" s="134" t="s">
        <v>49</v>
      </c>
      <c r="DP3" s="194" t="s">
        <v>49</v>
      </c>
      <c r="DQ3" s="21"/>
      <c r="DR3" s="434"/>
      <c r="DS3" s="434"/>
      <c r="DT3" s="434"/>
      <c r="DU3" s="434"/>
      <c r="DV3" s="21"/>
      <c r="EJ3" s="191"/>
      <c r="EK3" s="317" t="s">
        <v>217</v>
      </c>
      <c r="EL3" s="317" t="s">
        <v>218</v>
      </c>
      <c r="EM3" s="317" t="s">
        <v>219</v>
      </c>
      <c r="EN3" s="317" t="s">
        <v>220</v>
      </c>
      <c r="EO3" s="317" t="s">
        <v>49</v>
      </c>
      <c r="EP3" s="317" t="s">
        <v>221</v>
      </c>
      <c r="EQ3" s="318" t="s">
        <v>222</v>
      </c>
      <c r="ET3" s="21" t="s">
        <v>102</v>
      </c>
      <c r="EU3" s="21" t="s">
        <v>153</v>
      </c>
      <c r="EV3" s="138" t="s">
        <v>103</v>
      </c>
      <c r="EW3" s="21" t="s">
        <v>155</v>
      </c>
      <c r="EX3" s="21" t="s">
        <v>156</v>
      </c>
      <c r="EY3" s="21" t="s">
        <v>157</v>
      </c>
      <c r="EZ3" s="21" t="s">
        <v>158</v>
      </c>
      <c r="FA3" s="21" t="s">
        <v>159</v>
      </c>
      <c r="FB3" s="21"/>
      <c r="FC3" s="21" t="s">
        <v>102</v>
      </c>
      <c r="FD3" s="21" t="s">
        <v>153</v>
      </c>
      <c r="FE3" s="138" t="s">
        <v>103</v>
      </c>
      <c r="FF3" s="21" t="s">
        <v>155</v>
      </c>
      <c r="FG3" s="21" t="s">
        <v>156</v>
      </c>
      <c r="FH3" s="21" t="s">
        <v>157</v>
      </c>
      <c r="FI3" s="21" t="s">
        <v>158</v>
      </c>
      <c r="FJ3" s="21" t="s">
        <v>159</v>
      </c>
      <c r="FK3" s="21"/>
      <c r="FL3" s="21"/>
      <c r="FM3" s="44" t="s">
        <v>1</v>
      </c>
      <c r="FN3" s="21"/>
      <c r="FO3" s="70" t="s">
        <v>236</v>
      </c>
      <c r="FP3" s="70" t="s">
        <v>65</v>
      </c>
      <c r="FQ3" s="22" t="s">
        <v>105</v>
      </c>
      <c r="FR3" s="22" t="s">
        <v>18</v>
      </c>
      <c r="FS3" s="22" t="s">
        <v>104</v>
      </c>
      <c r="FT3" s="22"/>
      <c r="FU3" s="72" t="s">
        <v>17</v>
      </c>
      <c r="FV3" s="44" t="s">
        <v>18</v>
      </c>
      <c r="FW3" s="21"/>
      <c r="FX3" s="21">
        <v>1</v>
      </c>
      <c r="FY3" s="21">
        <v>2</v>
      </c>
      <c r="FZ3" s="21">
        <v>3</v>
      </c>
      <c r="GA3" s="21">
        <v>4</v>
      </c>
      <c r="GB3" s="21">
        <v>5</v>
      </c>
      <c r="GC3" s="21">
        <v>6</v>
      </c>
      <c r="GD3" s="21">
        <v>7</v>
      </c>
      <c r="GE3" s="21">
        <v>8</v>
      </c>
      <c r="GF3" s="21">
        <v>9</v>
      </c>
      <c r="GG3" s="21">
        <v>10</v>
      </c>
      <c r="GH3" s="21">
        <v>11</v>
      </c>
      <c r="GI3" s="21">
        <v>12</v>
      </c>
      <c r="GJ3" s="21">
        <v>13</v>
      </c>
      <c r="GK3" s="21">
        <v>14</v>
      </c>
      <c r="GL3" s="21">
        <v>15</v>
      </c>
      <c r="GM3" s="21">
        <v>16</v>
      </c>
      <c r="GN3" s="21">
        <v>17</v>
      </c>
      <c r="GO3" s="21">
        <v>18</v>
      </c>
      <c r="GP3" s="21">
        <v>19</v>
      </c>
      <c r="GQ3" s="21">
        <v>20</v>
      </c>
      <c r="GR3" s="21">
        <v>21</v>
      </c>
      <c r="GS3" s="21">
        <v>22</v>
      </c>
      <c r="GT3" s="21">
        <v>23</v>
      </c>
      <c r="GU3" s="21">
        <v>24</v>
      </c>
      <c r="GV3" s="21">
        <v>25</v>
      </c>
      <c r="GW3" s="21">
        <v>26</v>
      </c>
      <c r="GX3" s="21">
        <v>27</v>
      </c>
      <c r="GY3" s="21">
        <v>28</v>
      </c>
      <c r="GZ3" s="21">
        <v>29</v>
      </c>
      <c r="HA3" s="21">
        <v>30</v>
      </c>
      <c r="HB3" s="21">
        <v>31</v>
      </c>
      <c r="HC3" s="21">
        <v>32</v>
      </c>
      <c r="HD3" s="21"/>
      <c r="HE3" s="21" t="s">
        <v>71</v>
      </c>
      <c r="HF3" s="113">
        <v>1</v>
      </c>
      <c r="HG3" s="113">
        <v>2</v>
      </c>
      <c r="HH3" s="113">
        <v>3</v>
      </c>
      <c r="HI3" s="113">
        <v>4</v>
      </c>
      <c r="HJ3" s="113">
        <v>5</v>
      </c>
      <c r="HK3" s="113">
        <v>6</v>
      </c>
      <c r="HL3" s="113">
        <v>7</v>
      </c>
      <c r="HM3" s="113">
        <v>8</v>
      </c>
      <c r="HN3" s="113">
        <v>9</v>
      </c>
      <c r="HO3" s="113">
        <v>10</v>
      </c>
      <c r="HP3" s="113">
        <v>11</v>
      </c>
      <c r="HQ3" s="113">
        <v>12</v>
      </c>
      <c r="HR3" s="113">
        <v>13</v>
      </c>
      <c r="HS3" s="113">
        <v>14</v>
      </c>
      <c r="HT3" s="113">
        <v>15</v>
      </c>
      <c r="HU3" s="113">
        <v>16</v>
      </c>
      <c r="HV3" s="113">
        <v>17</v>
      </c>
      <c r="HW3" s="113">
        <v>18</v>
      </c>
      <c r="HX3" s="113">
        <v>19</v>
      </c>
      <c r="HY3" s="113">
        <v>20</v>
      </c>
      <c r="HZ3" s="113">
        <v>21</v>
      </c>
      <c r="IA3" s="113">
        <v>22</v>
      </c>
      <c r="IB3" s="113">
        <v>23</v>
      </c>
      <c r="IC3" s="113">
        <v>24</v>
      </c>
      <c r="ID3" s="113">
        <v>25</v>
      </c>
      <c r="IE3" s="113">
        <v>26</v>
      </c>
      <c r="IF3" s="113">
        <v>27</v>
      </c>
      <c r="IG3" s="113">
        <v>28</v>
      </c>
      <c r="IH3" s="113">
        <v>29</v>
      </c>
      <c r="II3" s="113">
        <f>IH3+1</f>
        <v>30</v>
      </c>
      <c r="IJ3" s="113">
        <f t="shared" ref="IJ3:IL3" si="0">II3+1</f>
        <v>31</v>
      </c>
      <c r="IK3" s="113">
        <f t="shared" si="0"/>
        <v>32</v>
      </c>
      <c r="IL3" s="113">
        <f t="shared" si="0"/>
        <v>33</v>
      </c>
      <c r="IM3" s="21"/>
      <c r="IN3" s="21"/>
      <c r="IO3" s="21">
        <v>1</v>
      </c>
      <c r="IP3" s="21">
        <v>2</v>
      </c>
      <c r="IQ3" s="21">
        <v>3</v>
      </c>
      <c r="IR3" s="21">
        <v>4</v>
      </c>
      <c r="IS3" s="21">
        <v>5</v>
      </c>
      <c r="IT3" s="21">
        <v>6</v>
      </c>
      <c r="IU3" s="21">
        <v>7</v>
      </c>
      <c r="IV3" s="21">
        <v>8</v>
      </c>
      <c r="IW3" s="21">
        <v>9</v>
      </c>
      <c r="IX3" s="21">
        <v>10</v>
      </c>
      <c r="IY3" s="21">
        <v>11</v>
      </c>
      <c r="IZ3" s="21">
        <v>12</v>
      </c>
      <c r="JA3" s="21">
        <v>13</v>
      </c>
      <c r="JB3" s="21">
        <v>14</v>
      </c>
      <c r="JC3" s="21">
        <v>15</v>
      </c>
      <c r="JD3" s="21">
        <v>16</v>
      </c>
      <c r="JE3" s="21">
        <v>17</v>
      </c>
      <c r="JF3" s="21">
        <v>18</v>
      </c>
      <c r="JG3" s="21">
        <v>19</v>
      </c>
      <c r="JH3" s="21">
        <v>20</v>
      </c>
      <c r="JI3" s="21">
        <v>21</v>
      </c>
      <c r="JJ3" s="21">
        <v>22</v>
      </c>
      <c r="JK3" s="21">
        <v>23</v>
      </c>
      <c r="JL3" s="21">
        <v>24</v>
      </c>
      <c r="JM3" s="21">
        <v>25</v>
      </c>
      <c r="JN3" s="21">
        <v>26</v>
      </c>
      <c r="JO3" s="21">
        <v>27</v>
      </c>
      <c r="JP3" s="21">
        <v>28</v>
      </c>
      <c r="JQ3" s="21">
        <v>29</v>
      </c>
      <c r="JR3" s="21">
        <v>30</v>
      </c>
      <c r="JS3" s="21">
        <v>31</v>
      </c>
      <c r="JT3" s="21">
        <v>32</v>
      </c>
      <c r="JV3" s="39" t="s">
        <v>71</v>
      </c>
      <c r="JW3" s="21">
        <v>1</v>
      </c>
      <c r="JX3" s="21">
        <v>2</v>
      </c>
      <c r="JY3" s="21">
        <v>3</v>
      </c>
      <c r="JZ3" s="21">
        <v>4</v>
      </c>
      <c r="KA3" s="21">
        <v>5</v>
      </c>
      <c r="KB3" s="21">
        <v>6</v>
      </c>
      <c r="KC3" s="21">
        <v>7</v>
      </c>
      <c r="KD3" s="21">
        <v>8</v>
      </c>
      <c r="KE3" s="21">
        <v>9</v>
      </c>
      <c r="KF3" s="21">
        <v>10</v>
      </c>
      <c r="KG3" s="21">
        <v>11</v>
      </c>
      <c r="KH3" s="21">
        <v>12</v>
      </c>
      <c r="KI3" s="21">
        <v>13</v>
      </c>
      <c r="KJ3" s="21">
        <v>14</v>
      </c>
      <c r="KK3" s="21">
        <v>15</v>
      </c>
      <c r="KL3" s="21">
        <v>16</v>
      </c>
      <c r="KM3" s="21">
        <v>17</v>
      </c>
      <c r="KN3" s="21">
        <v>18</v>
      </c>
      <c r="KO3" s="21">
        <v>19</v>
      </c>
      <c r="KP3" s="21">
        <v>20</v>
      </c>
      <c r="KQ3" s="21">
        <v>21</v>
      </c>
      <c r="KR3" s="21">
        <v>22</v>
      </c>
      <c r="KS3" s="21">
        <v>23</v>
      </c>
      <c r="KT3" s="21">
        <v>24</v>
      </c>
      <c r="KU3" s="21">
        <v>25</v>
      </c>
      <c r="KV3" s="21">
        <v>26</v>
      </c>
      <c r="KW3" s="21">
        <v>27</v>
      </c>
      <c r="KX3" s="21">
        <v>28</v>
      </c>
      <c r="KY3" s="21">
        <v>29</v>
      </c>
      <c r="KZ3" s="21">
        <v>30</v>
      </c>
      <c r="LA3" s="21">
        <v>31</v>
      </c>
      <c r="LB3" s="21">
        <v>32</v>
      </c>
      <c r="LC3" s="21"/>
      <c r="LD3" s="21"/>
      <c r="LE3" s="21"/>
      <c r="LF3" s="21"/>
      <c r="LG3" s="21"/>
      <c r="LH3" s="21"/>
      <c r="LI3" s="21"/>
      <c r="LJ3" s="21"/>
      <c r="LK3" s="21"/>
      <c r="LL3" s="21"/>
      <c r="LM3" s="21"/>
      <c r="LN3" s="21"/>
      <c r="LO3" s="21"/>
      <c r="LP3" s="110">
        <f>$DU$24</f>
        <v>7.0000000000000007E-2</v>
      </c>
      <c r="LQ3" s="110">
        <f>$DU$27</f>
        <v>2.2499999999999999E-2</v>
      </c>
      <c r="LR3" s="39"/>
      <c r="LS3" s="21"/>
      <c r="LT3" s="39"/>
      <c r="LU3" s="39"/>
      <c r="LV3" s="72" t="s">
        <v>59</v>
      </c>
      <c r="LW3" s="72" t="s">
        <v>59</v>
      </c>
      <c r="LX3" s="72" t="s">
        <v>59</v>
      </c>
      <c r="LY3" s="39"/>
      <c r="LZ3" s="13" t="s">
        <v>81</v>
      </c>
      <c r="MA3" s="13" t="s">
        <v>81</v>
      </c>
      <c r="MC3" s="191" t="s">
        <v>243</v>
      </c>
      <c r="MD3" s="191" t="s">
        <v>244</v>
      </c>
      <c r="ME3" s="191" t="s">
        <v>242</v>
      </c>
      <c r="MG3" s="191" t="s">
        <v>256</v>
      </c>
      <c r="MH3" s="191" t="s">
        <v>257</v>
      </c>
      <c r="MI3" s="191" t="s">
        <v>258</v>
      </c>
      <c r="MK3" s="39"/>
      <c r="ML3" s="39"/>
      <c r="MM3" s="39"/>
      <c r="MN3" s="39"/>
      <c r="MO3" s="39"/>
      <c r="MP3" s="39"/>
      <c r="MQ3" s="39"/>
      <c r="MR3" s="39"/>
      <c r="MS3" s="39"/>
      <c r="MT3" s="162">
        <v>0</v>
      </c>
      <c r="MU3" s="162">
        <v>5.0000000000000001E-3</v>
      </c>
      <c r="MV3" s="193">
        <f>MU3+0.5%</f>
        <v>0.01</v>
      </c>
      <c r="MW3" s="193">
        <f>MV3+0.5%</f>
        <v>1.4999999999999999E-2</v>
      </c>
      <c r="MX3" s="193">
        <f>MW3+0.5%</f>
        <v>0.02</v>
      </c>
      <c r="MY3" s="193">
        <f>MX3+0.5%</f>
        <v>2.5000000000000001E-2</v>
      </c>
    </row>
    <row r="4" spans="1:375" ht="15" customHeight="1" x14ac:dyDescent="0.3">
      <c r="A4" s="298">
        <f t="shared" ref="A4:A6" si="1">YEAR(C4)+2</f>
        <v>2013</v>
      </c>
      <c r="B4" s="348">
        <f>YEAR(C4)</f>
        <v>2011</v>
      </c>
      <c r="C4" s="26">
        <v>40725</v>
      </c>
      <c r="F4" s="71"/>
      <c r="G4" s="22"/>
      <c r="H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90"/>
      <c r="AD4" s="22"/>
      <c r="AE4" s="22"/>
      <c r="AF4" s="145"/>
      <c r="AG4" s="22"/>
      <c r="AH4" s="238"/>
      <c r="AI4" s="238"/>
      <c r="AJ4" s="238"/>
      <c r="AO4" s="22"/>
      <c r="AP4" s="22"/>
      <c r="AQ4" s="22"/>
      <c r="AR4" s="71"/>
      <c r="AS4" s="22"/>
      <c r="BK4" s="207"/>
      <c r="BL4" s="207"/>
      <c r="BM4" s="221"/>
      <c r="BN4" s="207"/>
      <c r="BO4" s="207"/>
      <c r="BP4" s="163"/>
      <c r="BQ4" s="42"/>
      <c r="BR4" s="42"/>
      <c r="BS4" s="42"/>
      <c r="BT4" s="42"/>
      <c r="BU4" s="42"/>
      <c r="BV4" s="42"/>
      <c r="BW4" s="42"/>
      <c r="BX4" s="42"/>
      <c r="BY4" s="4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122"/>
      <c r="CO4" s="22"/>
      <c r="CP4" s="71"/>
      <c r="CQ4" s="22"/>
      <c r="CR4" s="22"/>
      <c r="CS4" s="22"/>
      <c r="CT4" s="22"/>
      <c r="CU4" s="22"/>
      <c r="CV4" s="22"/>
      <c r="CW4" s="22"/>
      <c r="CX4" s="22"/>
      <c r="CY4" s="66"/>
      <c r="CZ4" s="22"/>
      <c r="DA4" s="90"/>
      <c r="DB4" s="71"/>
      <c r="DC4" s="306"/>
      <c r="DD4" s="306"/>
      <c r="DE4" s="306"/>
      <c r="DF4" s="306"/>
      <c r="DG4" s="306"/>
      <c r="DH4" s="134"/>
      <c r="DI4" s="134"/>
      <c r="DJ4" s="134"/>
      <c r="DK4" s="135"/>
      <c r="DL4" s="134"/>
      <c r="DM4" s="134"/>
      <c r="DN4" s="198" t="s">
        <v>212</v>
      </c>
      <c r="DO4" s="134"/>
      <c r="DP4" s="195" t="s">
        <v>199</v>
      </c>
      <c r="DQ4" s="21"/>
      <c r="DR4" s="133"/>
      <c r="DS4" s="133"/>
      <c r="DT4" s="133"/>
      <c r="DU4" s="133"/>
      <c r="DV4" s="21"/>
      <c r="EJ4" s="191"/>
      <c r="EO4" s="38" t="s">
        <v>223</v>
      </c>
      <c r="EP4" s="38" t="s">
        <v>224</v>
      </c>
      <c r="EQ4" s="319" t="s">
        <v>225</v>
      </c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2"/>
      <c r="FP4" s="42"/>
      <c r="FQ4" s="42"/>
      <c r="FR4" s="42"/>
      <c r="FS4" s="42"/>
      <c r="FT4" s="42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136"/>
      <c r="HG4" s="136"/>
      <c r="HH4" s="136"/>
      <c r="HI4" s="136"/>
      <c r="HJ4" s="136"/>
      <c r="HK4" s="136"/>
      <c r="HL4" s="136"/>
      <c r="HM4" s="136"/>
      <c r="HN4" s="136"/>
      <c r="HO4" s="136"/>
      <c r="HP4" s="136"/>
      <c r="HQ4" s="136"/>
      <c r="HR4" s="136"/>
      <c r="HS4" s="136"/>
      <c r="HT4" s="136"/>
      <c r="HU4" s="136"/>
      <c r="HV4" s="136"/>
      <c r="HW4" s="136"/>
      <c r="HX4" s="136"/>
      <c r="HY4" s="136"/>
      <c r="HZ4" s="136"/>
      <c r="IA4" s="136"/>
      <c r="IB4" s="136"/>
      <c r="IC4" s="136"/>
      <c r="ID4" s="136"/>
      <c r="IE4" s="136"/>
      <c r="IF4" s="136"/>
      <c r="IG4" s="136"/>
      <c r="IH4" s="136"/>
      <c r="II4" s="136"/>
      <c r="IJ4" s="136"/>
      <c r="IK4" s="136"/>
      <c r="IL4" s="136"/>
      <c r="IM4" s="21"/>
      <c r="IN4" s="21"/>
      <c r="IO4" s="21"/>
      <c r="IP4" s="21"/>
      <c r="IQ4" s="21"/>
      <c r="IR4" s="21"/>
      <c r="IS4" s="21"/>
      <c r="IT4" s="21"/>
      <c r="IU4" s="21"/>
      <c r="IV4" s="21"/>
      <c r="IW4" s="21"/>
      <c r="IX4" s="21"/>
      <c r="IY4" s="21"/>
      <c r="IZ4" s="21"/>
      <c r="JA4" s="21"/>
      <c r="JB4" s="21"/>
      <c r="JC4" s="21"/>
      <c r="JD4" s="21"/>
      <c r="JE4" s="21"/>
      <c r="JF4" s="21"/>
      <c r="JG4" s="21"/>
      <c r="JH4" s="21"/>
      <c r="JI4" s="21"/>
      <c r="JJ4" s="21"/>
      <c r="JK4" s="21"/>
      <c r="JL4" s="21"/>
      <c r="JM4" s="21"/>
      <c r="JN4" s="21"/>
      <c r="JO4" s="21"/>
      <c r="JP4" s="21"/>
      <c r="JQ4" s="21"/>
      <c r="JR4" s="21"/>
      <c r="JS4" s="21"/>
      <c r="JT4" s="21"/>
      <c r="JU4" s="21"/>
      <c r="JV4" s="21"/>
      <c r="JW4" s="21"/>
      <c r="JX4" s="21"/>
      <c r="JY4" s="21"/>
      <c r="JZ4" s="21"/>
      <c r="KA4" s="21"/>
      <c r="KB4" s="21"/>
      <c r="KC4" s="21"/>
      <c r="KD4" s="21"/>
      <c r="KE4" s="21"/>
      <c r="KF4" s="21"/>
      <c r="KG4" s="21"/>
      <c r="KH4" s="21"/>
      <c r="KI4" s="21"/>
      <c r="KJ4" s="21"/>
      <c r="KK4" s="21"/>
      <c r="KL4" s="21"/>
      <c r="KM4" s="21"/>
      <c r="KN4" s="21"/>
      <c r="KO4" s="21"/>
      <c r="KP4" s="21"/>
      <c r="KQ4" s="21"/>
      <c r="KR4" s="21"/>
      <c r="KS4" s="21"/>
      <c r="KT4" s="21"/>
      <c r="KU4" s="21"/>
      <c r="KV4" s="21"/>
      <c r="KW4" s="21"/>
      <c r="KX4" s="21"/>
      <c r="KY4" s="21"/>
      <c r="KZ4" s="21"/>
      <c r="LA4" s="21"/>
      <c r="LB4" s="21"/>
      <c r="LC4" s="21"/>
      <c r="LD4" s="21"/>
      <c r="LE4" s="21"/>
      <c r="LF4" s="21"/>
      <c r="LG4" s="21"/>
      <c r="LH4" s="21"/>
      <c r="LI4" s="21"/>
      <c r="LJ4" s="21"/>
      <c r="LK4" s="21"/>
      <c r="LL4" s="21"/>
      <c r="LM4" s="21"/>
      <c r="LN4" s="21"/>
      <c r="LO4" s="21"/>
      <c r="LP4" s="110"/>
      <c r="LQ4" s="110"/>
      <c r="LR4" s="39"/>
      <c r="LS4" s="21"/>
      <c r="LT4" s="39"/>
      <c r="LU4" s="39"/>
      <c r="LV4" s="22"/>
      <c r="LW4" s="22"/>
      <c r="LX4" s="22"/>
      <c r="LY4" s="39"/>
      <c r="LZ4" s="13"/>
      <c r="MA4" s="13"/>
      <c r="MB4" s="39"/>
      <c r="MC4" s="39"/>
      <c r="MD4" s="39"/>
      <c r="ME4" s="39"/>
      <c r="MF4" s="39"/>
      <c r="MG4" s="39"/>
      <c r="MH4" s="39"/>
      <c r="MI4" s="39"/>
      <c r="MJ4" s="39"/>
      <c r="MK4" s="39"/>
      <c r="ML4" s="28"/>
      <c r="MM4" s="175"/>
      <c r="MN4" s="39"/>
      <c r="MO4" s="39"/>
      <c r="MP4" s="39"/>
      <c r="MQ4" s="39"/>
      <c r="MR4" s="39"/>
      <c r="MS4" s="39"/>
      <c r="MT4" s="39" t="s">
        <v>143</v>
      </c>
      <c r="MU4" s="39"/>
      <c r="MV4" s="224">
        <v>0.67</v>
      </c>
      <c r="MW4" s="39"/>
      <c r="MX4" s="39"/>
      <c r="MY4" s="39"/>
      <c r="MZ4" s="39"/>
      <c r="NA4" s="39"/>
      <c r="NB4" s="39"/>
      <c r="NC4" s="39"/>
      <c r="ND4" s="39"/>
      <c r="NE4" s="39"/>
      <c r="NF4" s="39"/>
      <c r="NG4" s="39"/>
      <c r="NH4" s="39"/>
      <c r="NI4" s="39"/>
      <c r="NJ4" s="39"/>
      <c r="NK4" s="39"/>
    </row>
    <row r="5" spans="1:375" s="28" customFormat="1" ht="12.75" customHeight="1" x14ac:dyDescent="0.3">
      <c r="A5" s="298">
        <f t="shared" si="1"/>
        <v>2014</v>
      </c>
      <c r="B5" s="348">
        <f t="shared" ref="B5:B44" si="2">YEAR(C5)</f>
        <v>2012</v>
      </c>
      <c r="C5" s="26">
        <v>41091</v>
      </c>
      <c r="D5" s="38"/>
      <c r="E5" s="34"/>
      <c r="F5" s="149"/>
      <c r="G5" s="34"/>
      <c r="H5" s="34"/>
      <c r="R5" s="254">
        <f t="shared" ref="R5:R44" si="3">1-S5</f>
        <v>1</v>
      </c>
      <c r="S5" s="251">
        <v>0</v>
      </c>
      <c r="T5" s="255">
        <v>7.4999999999999997E-2</v>
      </c>
      <c r="U5" s="255"/>
      <c r="V5" s="68">
        <f>W5+X5</f>
        <v>39457.707999999999</v>
      </c>
      <c r="W5" s="68">
        <v>39457.707999999999</v>
      </c>
      <c r="X5" s="68"/>
      <c r="Y5" s="68">
        <v>708.17139310000005</v>
      </c>
      <c r="Z5" s="107"/>
      <c r="AA5" s="255">
        <f>T5</f>
        <v>7.4999999999999997E-2</v>
      </c>
      <c r="AB5" s="27"/>
      <c r="AC5" s="167">
        <f>AD5+AE5</f>
        <v>39457.707999999999</v>
      </c>
      <c r="AD5" s="68">
        <f>W5</f>
        <v>39457.707999999999</v>
      </c>
      <c r="AE5" s="68"/>
      <c r="AF5" s="68">
        <f>Y5</f>
        <v>708.17139310000005</v>
      </c>
      <c r="AG5" s="27"/>
      <c r="AH5" s="68">
        <f>AI5+AJ5</f>
        <v>25540.749</v>
      </c>
      <c r="AI5" s="68">
        <v>25540.749</v>
      </c>
      <c r="AJ5" s="68"/>
      <c r="AK5" s="68">
        <f>AL5+AM5</f>
        <v>21536.907999999999</v>
      </c>
      <c r="AL5" s="68">
        <v>21536.907999999999</v>
      </c>
      <c r="AM5" s="68"/>
      <c r="AN5" s="256"/>
      <c r="AO5" s="27">
        <f>AC5-AH5</f>
        <v>13916.958999999999</v>
      </c>
      <c r="AP5" s="27">
        <f>AC5-AK5</f>
        <v>17920.8</v>
      </c>
      <c r="AQ5" s="67">
        <f>AH5/AC5</f>
        <v>0.64729428784865051</v>
      </c>
      <c r="AR5" s="146">
        <f>AK5/AC5</f>
        <v>0.54582258047020882</v>
      </c>
      <c r="AS5" s="67"/>
      <c r="AX5" s="39"/>
      <c r="AY5" s="39"/>
      <c r="AZ5" s="39"/>
      <c r="BA5" s="39"/>
      <c r="BB5" s="39"/>
      <c r="BC5" s="128"/>
      <c r="BE5" s="128"/>
      <c r="BF5" s="128"/>
      <c r="BG5" s="128"/>
      <c r="BH5" s="39"/>
      <c r="BM5" s="222"/>
      <c r="BN5" s="68"/>
      <c r="BO5" s="68"/>
      <c r="BP5" s="167"/>
      <c r="BQ5" s="68"/>
      <c r="BR5" s="68"/>
      <c r="BS5" s="68"/>
      <c r="BT5" s="68"/>
      <c r="BU5" s="68"/>
      <c r="BV5" s="168"/>
      <c r="BW5" s="174"/>
      <c r="BX5" s="174"/>
      <c r="BY5" s="174"/>
      <c r="BZ5" s="150"/>
      <c r="CA5" s="174"/>
      <c r="CB5" s="168"/>
      <c r="CC5" s="168"/>
      <c r="CD5" s="170"/>
      <c r="CE5" s="89"/>
      <c r="CF5" s="89"/>
      <c r="CG5" s="89"/>
      <c r="CH5" s="27"/>
      <c r="CI5" s="27"/>
      <c r="CJ5" s="27"/>
      <c r="CK5" s="170"/>
      <c r="CL5" s="170"/>
      <c r="CM5" s="170"/>
      <c r="CN5" s="171">
        <f>SUM(BV5:CK5)</f>
        <v>0</v>
      </c>
      <c r="CO5" s="106"/>
      <c r="CP5" s="115">
        <f t="shared" ref="CP5:CP39" si="4">SUM(CN5:CO5)</f>
        <v>0</v>
      </c>
      <c r="CQ5" s="27"/>
      <c r="CR5" s="27"/>
      <c r="CS5" s="27"/>
      <c r="CT5" s="27"/>
      <c r="CU5" s="27"/>
      <c r="CV5" s="89"/>
      <c r="CW5" s="89"/>
      <c r="CX5" s="89"/>
      <c r="CY5" s="109"/>
      <c r="CZ5" s="27"/>
      <c r="DA5" s="92"/>
      <c r="DB5" s="218"/>
      <c r="DC5" s="307"/>
      <c r="DD5" s="307"/>
      <c r="DE5" s="307"/>
      <c r="DF5" s="307"/>
      <c r="DG5" s="307"/>
      <c r="DH5" s="27"/>
      <c r="DI5" s="96"/>
      <c r="DJ5" s="101"/>
      <c r="DK5" s="92"/>
      <c r="DL5" s="95"/>
      <c r="DM5" s="95"/>
      <c r="DN5" s="172"/>
      <c r="DO5" s="96"/>
      <c r="DP5" s="173"/>
      <c r="DQ5" s="29"/>
      <c r="DU5" s="31"/>
      <c r="DV5" s="29"/>
      <c r="DW5" s="320"/>
      <c r="DX5" s="321"/>
      <c r="DY5" s="321"/>
      <c r="DZ5" s="321"/>
      <c r="EA5" s="321"/>
      <c r="EB5" s="321"/>
      <c r="EC5" s="321"/>
      <c r="ED5" s="321"/>
      <c r="EE5" s="321"/>
      <c r="EF5" s="321"/>
      <c r="EG5" s="321"/>
      <c r="EH5" s="321"/>
      <c r="EI5" s="322"/>
      <c r="EJ5" s="323"/>
      <c r="EK5" s="30"/>
      <c r="EL5" s="30"/>
      <c r="EM5" s="30"/>
      <c r="EN5" s="30"/>
      <c r="EO5" s="30"/>
      <c r="EP5" s="30"/>
      <c r="EQ5" s="324"/>
      <c r="ER5" s="30"/>
      <c r="ES5" s="30"/>
      <c r="ET5" s="29"/>
      <c r="EU5" s="29">
        <f>SUM(BP15,BR15,BT15,BV15,BY15,BZ15,CB15,CF15,CH15,CL15,CJ15,CC15,CG15,CI15)</f>
        <v>-2280.2856177739759</v>
      </c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89"/>
      <c r="FX5" s="48"/>
      <c r="FY5" s="48"/>
      <c r="FZ5" s="48"/>
      <c r="GA5" s="48"/>
      <c r="GB5" s="48"/>
      <c r="GC5" s="48"/>
      <c r="GD5" s="48"/>
      <c r="GE5" s="48"/>
      <c r="GF5" s="48"/>
      <c r="GG5" s="48"/>
      <c r="GH5" s="48"/>
      <c r="GI5" s="48"/>
      <c r="GJ5" s="48"/>
      <c r="GK5" s="48"/>
      <c r="GL5" s="48"/>
      <c r="GM5" s="48"/>
      <c r="GN5" s="48"/>
      <c r="GO5" s="48"/>
      <c r="GP5" s="48"/>
      <c r="GQ5" s="48"/>
      <c r="GR5" s="48"/>
      <c r="GS5" s="48"/>
      <c r="GT5" s="48"/>
      <c r="GU5" s="48"/>
      <c r="GV5" s="48"/>
      <c r="GW5" s="48"/>
      <c r="GX5" s="48"/>
      <c r="GY5" s="48"/>
      <c r="GZ5" s="48"/>
      <c r="HA5" s="48"/>
      <c r="HB5" s="48"/>
      <c r="HC5" s="48"/>
      <c r="HD5" s="48"/>
      <c r="HE5" s="29"/>
      <c r="HF5" s="48"/>
      <c r="HG5" s="48"/>
      <c r="HH5" s="48"/>
      <c r="HI5" s="48"/>
      <c r="HJ5" s="48"/>
      <c r="HK5" s="48"/>
      <c r="HL5" s="48"/>
      <c r="HM5" s="48"/>
      <c r="HN5" s="48"/>
      <c r="HO5" s="48"/>
      <c r="HP5" s="48"/>
      <c r="HQ5" s="48"/>
      <c r="HR5" s="48"/>
      <c r="HS5" s="48"/>
      <c r="HT5" s="48"/>
      <c r="HU5" s="48"/>
      <c r="HV5" s="48"/>
      <c r="HW5" s="48"/>
      <c r="HX5" s="48"/>
      <c r="HY5" s="48"/>
      <c r="HZ5" s="48"/>
      <c r="IA5" s="48"/>
      <c r="IB5" s="48"/>
      <c r="IC5" s="48"/>
      <c r="ID5" s="48"/>
      <c r="IE5" s="48"/>
      <c r="IF5" s="48"/>
      <c r="IG5" s="48"/>
      <c r="IH5" s="48"/>
      <c r="II5" s="48"/>
      <c r="IJ5" s="48"/>
      <c r="IK5" s="48"/>
      <c r="IL5" s="48"/>
      <c r="IM5" s="48"/>
      <c r="IN5" s="48"/>
      <c r="IO5" s="48"/>
      <c r="IP5" s="48"/>
      <c r="IQ5" s="48"/>
      <c r="IR5" s="48"/>
      <c r="IS5" s="48"/>
      <c r="IT5" s="48"/>
      <c r="IU5" s="48"/>
      <c r="IV5" s="48"/>
      <c r="IW5" s="48"/>
      <c r="IX5" s="48"/>
      <c r="IY5" s="48"/>
      <c r="IZ5" s="48"/>
      <c r="JA5" s="48"/>
      <c r="JB5" s="48"/>
      <c r="JC5" s="48"/>
      <c r="JD5" s="48"/>
      <c r="JE5" s="48"/>
      <c r="JF5" s="48"/>
      <c r="JG5" s="48"/>
      <c r="JH5" s="48"/>
      <c r="JI5" s="48"/>
      <c r="JJ5" s="48"/>
      <c r="JK5" s="48"/>
      <c r="JL5" s="48"/>
      <c r="JM5" s="48"/>
      <c r="JN5" s="48"/>
      <c r="JO5" s="48"/>
      <c r="JP5" s="48"/>
      <c r="JQ5" s="48"/>
      <c r="JR5" s="48"/>
      <c r="JS5" s="48"/>
      <c r="JT5" s="48"/>
      <c r="JU5" s="48"/>
      <c r="JV5" s="48"/>
      <c r="JW5" s="48"/>
      <c r="JX5" s="48"/>
      <c r="JY5" s="48"/>
      <c r="JZ5" s="48"/>
      <c r="KA5" s="48"/>
      <c r="KB5" s="48"/>
      <c r="KC5" s="48"/>
      <c r="KD5" s="48"/>
      <c r="KE5" s="48"/>
      <c r="KF5" s="48"/>
      <c r="KG5" s="48"/>
      <c r="KH5" s="48"/>
      <c r="KI5" s="48"/>
      <c r="KJ5" s="48"/>
      <c r="KK5" s="48"/>
      <c r="KL5" s="48"/>
      <c r="KM5" s="48"/>
      <c r="KN5" s="48"/>
      <c r="KO5" s="48"/>
      <c r="KP5" s="48"/>
      <c r="KQ5" s="48"/>
      <c r="KR5" s="48"/>
      <c r="KS5" s="48"/>
      <c r="KT5" s="48"/>
      <c r="KU5" s="48"/>
      <c r="KV5" s="48"/>
      <c r="KW5" s="48"/>
      <c r="KX5" s="48"/>
      <c r="KY5" s="48"/>
      <c r="KZ5" s="48"/>
      <c r="LA5" s="48"/>
      <c r="LB5" s="48"/>
      <c r="LC5" s="48"/>
      <c r="LD5" s="48"/>
      <c r="LE5" s="48"/>
      <c r="LF5" s="48"/>
      <c r="LG5" s="48"/>
      <c r="LH5" s="48"/>
      <c r="LI5" s="48"/>
      <c r="LJ5" s="48"/>
      <c r="LK5" s="48"/>
      <c r="LL5" s="48"/>
      <c r="LM5" s="48"/>
      <c r="LN5" s="48"/>
      <c r="LO5" s="48"/>
      <c r="LP5" s="59">
        <v>1</v>
      </c>
      <c r="LQ5" s="59">
        <v>1</v>
      </c>
      <c r="LR5" s="60" t="s">
        <v>24</v>
      </c>
      <c r="LS5" s="48"/>
      <c r="LV5" s="94"/>
      <c r="LW5" s="94"/>
      <c r="LX5" s="223">
        <v>-323.25200000000001</v>
      </c>
      <c r="LZ5" s="50" t="s">
        <v>75</v>
      </c>
      <c r="MA5" s="246">
        <v>0.5</v>
      </c>
      <c r="ME5" s="161" t="str">
        <f>DR79</f>
        <v>COLA Increase</v>
      </c>
      <c r="MF5" s="161">
        <f>DU79</f>
        <v>0.01</v>
      </c>
      <c r="ML5" s="28" t="s">
        <v>61</v>
      </c>
    </row>
    <row r="6" spans="1:375" s="28" customFormat="1" ht="12.75" customHeight="1" x14ac:dyDescent="0.3">
      <c r="A6" s="298">
        <f t="shared" si="1"/>
        <v>2015</v>
      </c>
      <c r="B6" s="348">
        <f t="shared" si="2"/>
        <v>2013</v>
      </c>
      <c r="C6" s="26">
        <v>41456</v>
      </c>
      <c r="F6" s="107"/>
      <c r="G6" s="27"/>
      <c r="H6" s="27"/>
      <c r="I6" s="22"/>
      <c r="J6" s="22"/>
      <c r="K6" s="22"/>
      <c r="L6" s="22"/>
      <c r="M6" s="22"/>
      <c r="R6" s="254">
        <f t="shared" si="3"/>
        <v>1</v>
      </c>
      <c r="S6" s="251">
        <v>0</v>
      </c>
      <c r="T6" s="255">
        <v>7.4999999999999997E-2</v>
      </c>
      <c r="U6" s="255"/>
      <c r="V6" s="68">
        <f t="shared" ref="V6:V42" si="5">W6+X6</f>
        <v>41196.061999999998</v>
      </c>
      <c r="W6" s="68">
        <v>41196.061999999998</v>
      </c>
      <c r="X6" s="68"/>
      <c r="Y6" s="68">
        <v>718.10131369999999</v>
      </c>
      <c r="Z6" s="107"/>
      <c r="AA6" s="255">
        <f t="shared" ref="AA6:AA14" si="6">T6</f>
        <v>7.4999999999999997E-2</v>
      </c>
      <c r="AB6" s="27"/>
      <c r="AC6" s="167">
        <f t="shared" ref="AC6:AC42" si="7">AD6+AE6</f>
        <v>41196.061999999998</v>
      </c>
      <c r="AD6" s="68">
        <f t="shared" ref="AD6:AD14" si="8">W6</f>
        <v>41196.061999999998</v>
      </c>
      <c r="AE6" s="68"/>
      <c r="AF6" s="68">
        <f t="shared" ref="AF6:AF14" si="9">Y6</f>
        <v>718.10131369999999</v>
      </c>
      <c r="AG6" s="27"/>
      <c r="AH6" s="68">
        <f t="shared" ref="AH6:AH14" si="10">AI6+AJ6</f>
        <v>25753.067999999999</v>
      </c>
      <c r="AI6" s="68">
        <v>25753.067999999999</v>
      </c>
      <c r="AJ6" s="68"/>
      <c r="AK6" s="68">
        <f t="shared" ref="AK6:AK42" si="11">AL6+AM6</f>
        <v>22791.322</v>
      </c>
      <c r="AL6" s="68">
        <v>22791.322</v>
      </c>
      <c r="AM6" s="68"/>
      <c r="AN6" s="256">
        <v>0.104</v>
      </c>
      <c r="AO6" s="27">
        <f>AC6-AH6</f>
        <v>15442.993999999999</v>
      </c>
      <c r="AP6" s="27">
        <f t="shared" ref="AP6:AP42" si="12">AC6-AK6</f>
        <v>18404.739999999998</v>
      </c>
      <c r="AQ6" s="67">
        <f t="shared" ref="AQ6" si="13">AH6/AC6</f>
        <v>0.62513421792597557</v>
      </c>
      <c r="AR6" s="146">
        <f t="shared" ref="AR6" si="14">AK6/AC6</f>
        <v>0.55324030728956575</v>
      </c>
      <c r="AS6" s="67"/>
      <c r="AT6" s="257">
        <v>9.9400000000000002E-2</v>
      </c>
      <c r="AU6" s="256"/>
      <c r="AV6" s="255"/>
      <c r="AW6" s="255"/>
      <c r="AX6" s="256">
        <v>8.1600000000000006E-2</v>
      </c>
      <c r="AY6" s="256"/>
      <c r="AZ6" s="256"/>
      <c r="BA6" s="256">
        <f>AT6-AX6</f>
        <v>1.7799999999999996E-2</v>
      </c>
      <c r="BB6" s="256"/>
      <c r="BC6" s="176">
        <v>0.1109</v>
      </c>
      <c r="BD6" s="193">
        <v>0.1109</v>
      </c>
      <c r="BE6" s="402">
        <f t="shared" ref="BE6:BE42" si="15">BD6-BA6</f>
        <v>9.3100000000000002E-2</v>
      </c>
      <c r="BF6" s="402"/>
      <c r="BG6" s="333">
        <f t="shared" ref="BG6:BG13" si="16">BD6-$DU$42</f>
        <v>6.0899999999999996E-2</v>
      </c>
      <c r="BH6" s="402">
        <f>BD6</f>
        <v>0.1109</v>
      </c>
      <c r="BK6" s="68"/>
      <c r="BL6" s="27">
        <f t="shared" ref="BL6:BL44" si="17">IF(A6&lt;=2018,$DU$44,MAX(BL5-1,$DU$45))</f>
        <v>30</v>
      </c>
      <c r="BM6" s="222"/>
      <c r="BN6" s="68"/>
      <c r="BO6" s="68"/>
      <c r="BP6" s="167"/>
      <c r="BQ6" s="68"/>
      <c r="BR6" s="68"/>
      <c r="BS6" s="68"/>
      <c r="BT6" s="68"/>
      <c r="BU6" s="68"/>
      <c r="BV6" s="168"/>
      <c r="BW6" s="27"/>
      <c r="BX6" s="27"/>
      <c r="BY6" s="27"/>
      <c r="BZ6" s="237"/>
      <c r="CA6" s="27"/>
      <c r="CB6" s="237"/>
      <c r="CC6" s="237"/>
      <c r="CD6" s="27"/>
      <c r="CE6" s="111"/>
      <c r="CF6" s="111"/>
      <c r="CG6" s="111"/>
      <c r="CH6" s="111"/>
      <c r="CI6" s="111"/>
      <c r="CJ6" s="241"/>
      <c r="CK6" s="27"/>
      <c r="CL6" s="27"/>
      <c r="CM6" s="27"/>
      <c r="CN6" s="68"/>
      <c r="CO6" s="27"/>
      <c r="CP6" s="68"/>
      <c r="CQ6" s="68"/>
      <c r="CR6" s="68"/>
      <c r="CS6" s="68"/>
      <c r="CT6" s="68"/>
      <c r="CU6" s="68"/>
      <c r="CV6" s="89"/>
      <c r="CW6" s="89"/>
      <c r="CX6" s="89"/>
      <c r="CY6" s="151"/>
      <c r="CZ6" s="55"/>
      <c r="DA6" s="92"/>
      <c r="DB6" s="218"/>
      <c r="DC6" s="307"/>
      <c r="DD6" s="307"/>
      <c r="DE6" s="307"/>
      <c r="DF6" s="307"/>
      <c r="DG6" s="307"/>
      <c r="DH6" s="27"/>
      <c r="DI6" s="96"/>
      <c r="DJ6" s="101"/>
      <c r="DK6" s="92"/>
      <c r="DL6" s="96"/>
      <c r="DM6" s="96"/>
      <c r="DN6" s="172"/>
      <c r="DO6" s="96"/>
      <c r="DP6" s="173"/>
      <c r="DQ6" s="29"/>
      <c r="DR6" s="31"/>
      <c r="DS6" s="31"/>
      <c r="DT6" s="31"/>
      <c r="DU6" s="31"/>
      <c r="DV6" s="29"/>
      <c r="DW6" s="320"/>
      <c r="DX6" s="321"/>
      <c r="DY6" s="321"/>
      <c r="DZ6" s="321"/>
      <c r="EA6" s="321"/>
      <c r="EB6" s="321"/>
      <c r="EC6" s="321"/>
      <c r="ED6" s="321"/>
      <c r="EE6" s="321"/>
      <c r="EF6" s="321"/>
      <c r="EG6" s="321"/>
      <c r="EH6" s="321"/>
      <c r="EI6" s="322"/>
      <c r="EJ6" s="323"/>
      <c r="EK6" s="30"/>
      <c r="EL6" s="30"/>
      <c r="EM6" s="30"/>
      <c r="EN6" s="30"/>
      <c r="EO6" s="30"/>
      <c r="EP6" s="30"/>
      <c r="EQ6" s="324"/>
      <c r="ER6" s="30"/>
      <c r="ES6" s="30"/>
      <c r="EU6" s="29">
        <f>SUM(BP16,BR16,BT16,BV16,BY16,BZ16,CB16,CF16,CH16,CL16,CJ16,CC16,CG16,CI16)</f>
        <v>-391.7484055551256</v>
      </c>
      <c r="FK6" s="29"/>
      <c r="FL6" s="29"/>
      <c r="FM6" s="89"/>
      <c r="FN6" s="29"/>
      <c r="FO6" s="22"/>
      <c r="FP6" s="22"/>
      <c r="FQ6" s="22"/>
      <c r="FR6" s="22"/>
      <c r="FS6" s="22"/>
      <c r="FT6" s="22"/>
      <c r="FU6" s="22"/>
      <c r="FV6" s="22"/>
      <c r="FW6" s="22"/>
      <c r="FY6" s="48"/>
      <c r="FZ6" s="48"/>
      <c r="GA6" s="48"/>
      <c r="GB6" s="48"/>
      <c r="GC6" s="48"/>
      <c r="GD6" s="48"/>
      <c r="GE6" s="48"/>
      <c r="GF6" s="48"/>
      <c r="GG6" s="48"/>
      <c r="GH6" s="48"/>
      <c r="GI6" s="48"/>
      <c r="GJ6" s="48"/>
      <c r="GK6" s="48"/>
      <c r="GL6" s="48"/>
      <c r="GM6" s="48"/>
      <c r="GN6" s="48"/>
      <c r="GO6" s="48"/>
      <c r="GP6" s="48"/>
      <c r="GQ6" s="48"/>
      <c r="GR6" s="48"/>
      <c r="GS6" s="48"/>
      <c r="GT6" s="48"/>
      <c r="GU6" s="48"/>
      <c r="GV6" s="48"/>
      <c r="GW6" s="48"/>
      <c r="GX6" s="48"/>
      <c r="GY6" s="48"/>
      <c r="GZ6" s="48"/>
      <c r="HA6" s="48"/>
      <c r="HB6" s="48"/>
      <c r="HC6" s="48"/>
      <c r="HD6" s="48"/>
      <c r="HE6" s="29"/>
      <c r="HF6" s="48"/>
      <c r="HG6" s="48"/>
      <c r="HH6" s="48"/>
      <c r="HI6" s="48"/>
      <c r="HJ6" s="48"/>
      <c r="HK6" s="48"/>
      <c r="HL6" s="48"/>
      <c r="HM6" s="48"/>
      <c r="HN6" s="48"/>
      <c r="HO6" s="48"/>
      <c r="HP6" s="48"/>
      <c r="HQ6" s="48"/>
      <c r="HR6" s="48"/>
      <c r="HS6" s="48"/>
      <c r="HT6" s="48"/>
      <c r="HU6" s="48"/>
      <c r="HV6" s="48"/>
      <c r="HW6" s="48"/>
      <c r="HX6" s="48"/>
      <c r="HY6" s="48"/>
      <c r="HZ6" s="48"/>
      <c r="IA6" s="48"/>
      <c r="IB6" s="48"/>
      <c r="IC6" s="48"/>
      <c r="ID6" s="48"/>
      <c r="IE6" s="48"/>
      <c r="IF6" s="48"/>
      <c r="IG6" s="48"/>
      <c r="IH6" s="48"/>
      <c r="II6" s="48"/>
      <c r="IJ6" s="48"/>
      <c r="IK6" s="48"/>
      <c r="IL6" s="48"/>
      <c r="IM6" s="48"/>
      <c r="IN6" s="48"/>
      <c r="IO6" s="48"/>
      <c r="IP6" s="48"/>
      <c r="IQ6" s="48"/>
      <c r="IR6" s="48"/>
      <c r="IS6" s="48"/>
      <c r="IT6" s="48"/>
      <c r="IU6" s="48"/>
      <c r="IV6" s="48"/>
      <c r="IW6" s="48"/>
      <c r="IX6" s="48"/>
      <c r="IY6" s="48"/>
      <c r="IZ6" s="48"/>
      <c r="JA6" s="48"/>
      <c r="JB6" s="48"/>
      <c r="JC6" s="48"/>
      <c r="JD6" s="48"/>
      <c r="JE6" s="48"/>
      <c r="JF6" s="48"/>
      <c r="JG6" s="48"/>
      <c r="JH6" s="48"/>
      <c r="JI6" s="48"/>
      <c r="JJ6" s="48"/>
      <c r="JK6" s="48"/>
      <c r="JL6" s="48"/>
      <c r="JM6" s="48"/>
      <c r="JN6" s="48"/>
      <c r="JO6" s="48"/>
      <c r="JP6" s="48"/>
      <c r="JQ6" s="48"/>
      <c r="JR6" s="48"/>
      <c r="JS6" s="48"/>
      <c r="JT6" s="48"/>
      <c r="JU6" s="48"/>
      <c r="JV6" s="48"/>
      <c r="JW6" s="48"/>
      <c r="JX6" s="48"/>
      <c r="JY6" s="48"/>
      <c r="JZ6" s="48"/>
      <c r="KA6" s="48"/>
      <c r="KB6" s="48"/>
      <c r="KC6" s="48"/>
      <c r="KD6" s="48"/>
      <c r="KE6" s="48"/>
      <c r="KF6" s="48"/>
      <c r="KG6" s="48"/>
      <c r="KH6" s="48"/>
      <c r="KI6" s="48"/>
      <c r="KJ6" s="48"/>
      <c r="KK6" s="48"/>
      <c r="KL6" s="48"/>
      <c r="KM6" s="48"/>
      <c r="KN6" s="48"/>
      <c r="KO6" s="48"/>
      <c r="KP6" s="48"/>
      <c r="KQ6" s="48"/>
      <c r="KR6" s="48"/>
      <c r="KS6" s="48"/>
      <c r="KT6" s="48"/>
      <c r="KU6" s="48"/>
      <c r="KV6" s="48"/>
      <c r="KW6" s="48"/>
      <c r="KX6" s="48"/>
      <c r="KY6" s="48"/>
      <c r="KZ6" s="48"/>
      <c r="LA6" s="48"/>
      <c r="LB6" s="48"/>
      <c r="LC6" s="48"/>
      <c r="LD6" s="48"/>
      <c r="LE6" s="48"/>
      <c r="LF6" s="48"/>
      <c r="LG6" s="48"/>
      <c r="LH6" s="48"/>
      <c r="LI6" s="48"/>
      <c r="LJ6" s="48"/>
      <c r="LK6" s="48"/>
      <c r="LL6" s="48"/>
      <c r="LM6" s="48"/>
      <c r="LN6" s="48"/>
      <c r="LO6" s="48"/>
      <c r="LP6" s="61">
        <f>LP5/(1+LP3)^0.5</f>
        <v>0.96673648904566356</v>
      </c>
      <c r="LQ6" s="62">
        <f>LQ5/(1+LQ3)^0.5</f>
        <v>0.98893635286829751</v>
      </c>
      <c r="LR6" s="60" t="s">
        <v>25</v>
      </c>
      <c r="LS6" s="48"/>
      <c r="LV6" s="94"/>
      <c r="LW6" s="152">
        <f t="shared" ref="LW6:LW39" si="18">LV6*F6</f>
        <v>0</v>
      </c>
      <c r="LX6" s="223" t="e">
        <f>LX5*(1+#REF!)</f>
        <v>#REF!</v>
      </c>
      <c r="LZ6" s="13"/>
      <c r="MA6" s="13"/>
      <c r="ME6" s="161" t="str">
        <f>DR80</f>
        <v>New Benefit Payment Percent</v>
      </c>
      <c r="MF6" s="161">
        <f>DU80</f>
        <v>0.03</v>
      </c>
      <c r="MG6" s="39"/>
      <c r="MH6" s="39"/>
      <c r="MI6" s="39"/>
      <c r="MK6" s="28" t="s">
        <v>46</v>
      </c>
      <c r="ML6" s="28" t="s">
        <v>137</v>
      </c>
      <c r="MM6" s="28" t="s">
        <v>138</v>
      </c>
      <c r="MN6" s="28" t="s">
        <v>139</v>
      </c>
      <c r="MO6" s="28" t="s">
        <v>140</v>
      </c>
      <c r="MP6" s="28" t="s">
        <v>141</v>
      </c>
      <c r="MQ6" s="28" t="s">
        <v>144</v>
      </c>
      <c r="MT6" s="162">
        <f>MT3*$MV$4</f>
        <v>0</v>
      </c>
      <c r="MU6" s="162">
        <f t="shared" ref="MU6:MY6" si="19">MU3*$MV$4</f>
        <v>3.3500000000000001E-3</v>
      </c>
      <c r="MV6" s="162">
        <f t="shared" si="19"/>
        <v>6.7000000000000002E-3</v>
      </c>
      <c r="MW6" s="162">
        <f t="shared" si="19"/>
        <v>1.005E-2</v>
      </c>
      <c r="MX6" s="162">
        <f t="shared" si="19"/>
        <v>1.34E-2</v>
      </c>
      <c r="MY6" s="162">
        <f t="shared" si="19"/>
        <v>1.6750000000000001E-2</v>
      </c>
    </row>
    <row r="7" spans="1:375" s="58" customFormat="1" ht="12.75" customHeight="1" x14ac:dyDescent="0.3">
      <c r="A7" s="298">
        <f t="shared" ref="A7:A9" si="20">YEAR(C7)+2</f>
        <v>2016</v>
      </c>
      <c r="B7" s="348">
        <f t="shared" si="2"/>
        <v>2014</v>
      </c>
      <c r="C7" s="26">
        <v>41821</v>
      </c>
      <c r="D7" s="167">
        <v>7539.9960000000001</v>
      </c>
      <c r="E7" s="27">
        <f>D7</f>
        <v>7539.9960000000001</v>
      </c>
      <c r="F7" s="107">
        <f t="shared" ref="F7:F45" si="21">(L7)*(1+$DU$61)</f>
        <v>0</v>
      </c>
      <c r="G7" s="27"/>
      <c r="H7" s="27"/>
      <c r="I7" s="168">
        <v>7202.62</v>
      </c>
      <c r="J7" s="27">
        <f>I7*R12</f>
        <v>7202.62</v>
      </c>
      <c r="K7" s="27"/>
      <c r="L7" s="27">
        <f>I7*S7</f>
        <v>0</v>
      </c>
      <c r="M7" s="27"/>
      <c r="R7" s="254">
        <f t="shared" si="3"/>
        <v>1</v>
      </c>
      <c r="S7" s="251">
        <v>0</v>
      </c>
      <c r="T7" s="255">
        <v>7.4999999999999997E-2</v>
      </c>
      <c r="U7" s="255"/>
      <c r="V7" s="68">
        <f t="shared" si="5"/>
        <v>42889.614000000001</v>
      </c>
      <c r="W7" s="68">
        <v>42889.614000000001</v>
      </c>
      <c r="X7" s="68"/>
      <c r="Y7" s="68">
        <v>734.24732417500002</v>
      </c>
      <c r="Z7" s="107"/>
      <c r="AA7" s="255">
        <f t="shared" si="6"/>
        <v>7.4999999999999997E-2</v>
      </c>
      <c r="AB7" s="27"/>
      <c r="AC7" s="167">
        <f t="shared" si="7"/>
        <v>42889.614000000001</v>
      </c>
      <c r="AD7" s="68">
        <f t="shared" si="8"/>
        <v>42889.614000000001</v>
      </c>
      <c r="AE7" s="68"/>
      <c r="AF7" s="68">
        <f t="shared" si="9"/>
        <v>734.24732417500002</v>
      </c>
      <c r="AG7" s="27"/>
      <c r="AH7" s="68">
        <f t="shared" si="10"/>
        <v>26901.74</v>
      </c>
      <c r="AI7" s="68">
        <v>26901.74</v>
      </c>
      <c r="AJ7" s="68"/>
      <c r="AK7" s="68">
        <f t="shared" si="11"/>
        <v>25738.521000000001</v>
      </c>
      <c r="AL7" s="68">
        <v>25738.521000000001</v>
      </c>
      <c r="AM7" s="68"/>
      <c r="AN7" s="256">
        <v>0.154</v>
      </c>
      <c r="AO7" s="27">
        <f>AC7-AH7</f>
        <v>15987.874</v>
      </c>
      <c r="AP7" s="27">
        <f t="shared" si="12"/>
        <v>17151.093000000001</v>
      </c>
      <c r="AQ7" s="67">
        <f t="shared" ref="AQ7:AQ39" si="22">AH7/AC7</f>
        <v>0.62723203804072469</v>
      </c>
      <c r="AR7" s="146">
        <f t="shared" ref="AR7:AR39" si="23">AK7/AC7</f>
        <v>0.60011081004366229</v>
      </c>
      <c r="AS7" s="67"/>
      <c r="AT7" s="257">
        <v>9.8699999999999996E-2</v>
      </c>
      <c r="AU7" s="256"/>
      <c r="AV7" s="255"/>
      <c r="AW7" s="255"/>
      <c r="AX7" s="256">
        <v>8.6599999999999996E-2</v>
      </c>
      <c r="AY7" s="256"/>
      <c r="AZ7" s="256"/>
      <c r="BA7" s="256">
        <f t="shared" ref="BA7:BA42" si="24">AT7-AX7</f>
        <v>1.21E-2</v>
      </c>
      <c r="BB7" s="256"/>
      <c r="BC7" s="176">
        <v>0.1109</v>
      </c>
      <c r="BD7" s="128">
        <f t="shared" ref="BD7:BD12" si="25">BC7</f>
        <v>0.1109</v>
      </c>
      <c r="BE7" s="402">
        <f t="shared" si="15"/>
        <v>9.8799999999999999E-2</v>
      </c>
      <c r="BF7" s="402"/>
      <c r="BG7" s="333">
        <f t="shared" si="16"/>
        <v>6.0899999999999996E-2</v>
      </c>
      <c r="BH7" s="402">
        <f t="shared" ref="BH7:BH42" si="26">BD7</f>
        <v>0.1109</v>
      </c>
      <c r="BK7" s="258" t="s">
        <v>198</v>
      </c>
      <c r="BL7" s="27">
        <f t="shared" si="17"/>
        <v>30</v>
      </c>
      <c r="BM7" s="222"/>
      <c r="BN7" s="68"/>
      <c r="BO7" s="68"/>
      <c r="BP7" s="167"/>
      <c r="BQ7" s="68"/>
      <c r="BR7" s="68"/>
      <c r="BS7" s="68"/>
      <c r="BT7" s="68"/>
      <c r="BU7" s="68"/>
      <c r="BV7" s="168"/>
      <c r="BW7" s="27"/>
      <c r="BX7" s="27"/>
      <c r="BY7" s="27"/>
      <c r="BZ7" s="27"/>
      <c r="CA7" s="27"/>
      <c r="CB7" s="239"/>
      <c r="CC7" s="239"/>
      <c r="CD7" s="27"/>
      <c r="CE7" s="27"/>
      <c r="CF7" s="27"/>
      <c r="CG7" s="27"/>
      <c r="CH7" s="68"/>
      <c r="CI7" s="68"/>
      <c r="CJ7" s="68"/>
      <c r="CK7" s="27"/>
      <c r="CL7" s="27"/>
      <c r="CM7" s="27"/>
      <c r="CN7" s="68"/>
      <c r="CO7" s="27"/>
      <c r="CP7" s="68"/>
      <c r="CQ7" s="68"/>
      <c r="CR7" s="68"/>
      <c r="CS7" s="68"/>
      <c r="CT7" s="68"/>
      <c r="CU7" s="68"/>
      <c r="CV7" s="27"/>
      <c r="CW7" s="27"/>
      <c r="CX7" s="27"/>
      <c r="CY7" s="103"/>
      <c r="CZ7" s="27"/>
      <c r="DA7" s="92"/>
      <c r="DB7" s="218"/>
      <c r="DC7" s="307"/>
      <c r="DD7" s="307"/>
      <c r="DE7" s="307"/>
      <c r="DF7" s="307"/>
      <c r="DG7" s="307"/>
      <c r="DH7" s="27"/>
      <c r="DI7" s="96"/>
      <c r="DJ7" s="101"/>
      <c r="DK7" s="92"/>
      <c r="DL7" s="96"/>
      <c r="DM7" s="101"/>
      <c r="DN7" s="172"/>
      <c r="DO7" s="96"/>
      <c r="DP7" s="173"/>
      <c r="DQ7" s="57"/>
      <c r="DV7" s="57"/>
      <c r="DW7" s="325"/>
      <c r="DX7" s="326"/>
      <c r="DY7" s="326"/>
      <c r="DZ7" s="326"/>
      <c r="EA7" s="326"/>
      <c r="EB7" s="326"/>
      <c r="EC7" s="326"/>
      <c r="ED7" s="326"/>
      <c r="EE7" s="326"/>
      <c r="EF7" s="326"/>
      <c r="EG7" s="326"/>
      <c r="EH7" s="326"/>
      <c r="EI7" s="327"/>
      <c r="EJ7" s="328"/>
      <c r="EK7" s="329"/>
      <c r="EL7" s="329"/>
      <c r="EM7" s="329"/>
      <c r="EN7" s="329"/>
      <c r="EO7" s="329"/>
      <c r="EP7" s="329"/>
      <c r="EQ7" s="330"/>
      <c r="ER7" s="329"/>
      <c r="ES7" s="405">
        <f>SUM(BP14,BR14,BT14,BV14,BY14,BZ14,CB14,CF14,CH14,CL14,CJ14,CC14,CG14,CI14)</f>
        <v>-569.29700000000014</v>
      </c>
      <c r="FK7" s="57"/>
      <c r="FL7" s="57"/>
      <c r="FM7" s="27">
        <f t="shared" ref="FM7:FM44" si="27">AO6</f>
        <v>15442.993999999999</v>
      </c>
      <c r="FN7" s="57"/>
      <c r="FP7" s="29"/>
      <c r="FQ7" s="29"/>
      <c r="FR7" s="29"/>
      <c r="FS7" s="29"/>
      <c r="FT7" s="29"/>
      <c r="FU7" s="89"/>
      <c r="FV7" s="69"/>
      <c r="FW7" s="48"/>
      <c r="FX7" s="48"/>
      <c r="FY7" s="48"/>
      <c r="FZ7" s="48"/>
      <c r="GA7" s="48"/>
      <c r="GB7" s="48"/>
      <c r="GC7" s="48"/>
      <c r="GD7" s="48"/>
      <c r="GE7" s="48"/>
      <c r="GF7" s="48"/>
      <c r="GG7" s="48"/>
      <c r="GH7" s="48"/>
      <c r="GI7" s="48"/>
      <c r="GJ7" s="48"/>
      <c r="GK7" s="48"/>
      <c r="GL7" s="48"/>
      <c r="GM7" s="48"/>
      <c r="GN7" s="48"/>
      <c r="GO7" s="48"/>
      <c r="GP7" s="48"/>
      <c r="GQ7" s="48"/>
      <c r="GR7" s="48"/>
      <c r="GS7" s="48"/>
      <c r="GT7" s="48"/>
      <c r="GU7" s="48"/>
      <c r="GV7" s="48"/>
      <c r="GW7" s="48"/>
      <c r="GX7" s="48"/>
      <c r="GY7" s="48"/>
      <c r="GZ7" s="48"/>
      <c r="HA7" s="48"/>
      <c r="HB7" s="48"/>
      <c r="HC7" s="48"/>
      <c r="HD7" s="48"/>
      <c r="HE7" s="29"/>
      <c r="HF7" s="48"/>
      <c r="HG7" s="48"/>
      <c r="HH7" s="48"/>
      <c r="HI7" s="48"/>
      <c r="HJ7" s="48"/>
      <c r="HK7" s="48"/>
      <c r="HL7" s="48"/>
      <c r="HM7" s="48"/>
      <c r="HN7" s="48"/>
      <c r="HO7" s="48"/>
      <c r="HP7" s="48"/>
      <c r="HQ7" s="48"/>
      <c r="HR7" s="48"/>
      <c r="HS7" s="48"/>
      <c r="HT7" s="48"/>
      <c r="HU7" s="48"/>
      <c r="HV7" s="48"/>
      <c r="HW7" s="48"/>
      <c r="HX7" s="48"/>
      <c r="HY7" s="48"/>
      <c r="HZ7" s="48"/>
      <c r="IA7" s="48"/>
      <c r="IB7" s="48"/>
      <c r="IC7" s="48"/>
      <c r="ID7" s="48"/>
      <c r="IE7" s="48"/>
      <c r="IF7" s="48"/>
      <c r="IG7" s="48"/>
      <c r="IH7" s="48"/>
      <c r="II7" s="48"/>
      <c r="IJ7" s="48"/>
      <c r="IK7" s="48"/>
      <c r="IL7" s="48"/>
      <c r="IM7" s="48"/>
      <c r="IN7" s="48"/>
      <c r="IO7" s="48"/>
      <c r="IP7" s="48"/>
      <c r="IQ7" s="48"/>
      <c r="IR7" s="48"/>
      <c r="IS7" s="48"/>
      <c r="IT7" s="48"/>
      <c r="IU7" s="48"/>
      <c r="IV7" s="48"/>
      <c r="IW7" s="48"/>
      <c r="IX7" s="48"/>
      <c r="IY7" s="48"/>
      <c r="IZ7" s="48"/>
      <c r="JA7" s="48"/>
      <c r="JB7" s="48"/>
      <c r="JC7" s="48"/>
      <c r="JD7" s="48"/>
      <c r="JE7" s="48"/>
      <c r="JF7" s="48"/>
      <c r="JG7" s="48"/>
      <c r="JH7" s="48"/>
      <c r="JI7" s="48"/>
      <c r="JJ7" s="48"/>
      <c r="JK7" s="48"/>
      <c r="JL7" s="48"/>
      <c r="JM7" s="48"/>
      <c r="JN7" s="48"/>
      <c r="JO7" s="48"/>
      <c r="JP7" s="48"/>
      <c r="JQ7" s="48"/>
      <c r="JR7" s="48"/>
      <c r="JS7" s="48"/>
      <c r="JT7" s="48"/>
      <c r="JU7" s="48"/>
      <c r="JV7" s="48"/>
      <c r="JW7" s="48"/>
      <c r="JX7" s="48"/>
      <c r="JY7" s="48"/>
      <c r="JZ7" s="48"/>
      <c r="KA7" s="48"/>
      <c r="KB7" s="48"/>
      <c r="KC7" s="48"/>
      <c r="KD7" s="48"/>
      <c r="KE7" s="48"/>
      <c r="KF7" s="48"/>
      <c r="KG7" s="48"/>
      <c r="KH7" s="48"/>
      <c r="KI7" s="48"/>
      <c r="KJ7" s="48"/>
      <c r="KK7" s="48"/>
      <c r="KL7" s="48"/>
      <c r="KM7" s="48"/>
      <c r="KN7" s="48"/>
      <c r="KO7" s="48"/>
      <c r="KP7" s="48"/>
      <c r="KQ7" s="48"/>
      <c r="KR7" s="48"/>
      <c r="KS7" s="48"/>
      <c r="KT7" s="48"/>
      <c r="KU7" s="48"/>
      <c r="KV7" s="48"/>
      <c r="KW7" s="48"/>
      <c r="KX7" s="48"/>
      <c r="KY7" s="48"/>
      <c r="KZ7" s="48"/>
      <c r="LA7" s="48"/>
      <c r="LB7" s="48"/>
      <c r="LC7" s="48"/>
      <c r="LD7" s="48"/>
      <c r="LE7" s="48"/>
      <c r="LF7" s="48"/>
      <c r="LG7" s="48"/>
      <c r="LH7" s="48"/>
      <c r="LI7" s="48"/>
      <c r="LJ7" s="48"/>
      <c r="LK7" s="48"/>
      <c r="LL7" s="48"/>
      <c r="LM7" s="48"/>
      <c r="LN7" s="48"/>
      <c r="LO7" s="48"/>
      <c r="LP7" s="46">
        <f>LP6/(1+$LP$3)</f>
        <v>0.90349204583706866</v>
      </c>
      <c r="LQ7" s="47">
        <f>LQ6/(1+$LQ$3)</f>
        <v>0.96717491723060889</v>
      </c>
      <c r="LS7" s="48"/>
      <c r="LW7" s="152">
        <f t="shared" si="18"/>
        <v>0</v>
      </c>
      <c r="LX7" s="223" t="e">
        <f>LX6*(1+#REF!)</f>
        <v>#REF!</v>
      </c>
      <c r="LY7" s="153"/>
      <c r="LZ7" s="16"/>
      <c r="MA7" s="16"/>
      <c r="MD7" s="34"/>
      <c r="ME7" s="161" t="str">
        <f>DR81</f>
        <v>Benefit Payment Turnover</v>
      </c>
      <c r="MF7" s="161">
        <f>DU81</f>
        <v>8.9999999999999993E-3</v>
      </c>
      <c r="MG7" s="39"/>
      <c r="MH7" s="39"/>
      <c r="MI7" s="39"/>
      <c r="MK7" s="34" t="s">
        <v>87</v>
      </c>
      <c r="ML7" s="132">
        <v>0</v>
      </c>
      <c r="MM7" s="128">
        <f>MU6</f>
        <v>3.3500000000000001E-3</v>
      </c>
      <c r="MN7" s="176">
        <f t="shared" ref="MN7:MQ7" si="28">MV6</f>
        <v>6.7000000000000002E-3</v>
      </c>
      <c r="MO7" s="128">
        <f t="shared" si="28"/>
        <v>1.005E-2</v>
      </c>
      <c r="MP7" s="128">
        <f t="shared" si="28"/>
        <v>1.34E-2</v>
      </c>
      <c r="MQ7" s="128">
        <f t="shared" si="28"/>
        <v>1.6750000000000001E-2</v>
      </c>
      <c r="MR7" s="34"/>
      <c r="MS7" s="28"/>
      <c r="MT7" s="100">
        <f>1-MT8/MU8</f>
        <v>2.7586680449368961E-2</v>
      </c>
      <c r="MU7" s="100">
        <f>1-MU8/MV8</f>
        <v>2.7954214035815439E-2</v>
      </c>
      <c r="MV7" s="100">
        <f t="shared" ref="MV7:MY7" si="29">MV8/MU8-1</f>
        <v>2.8758124812081176E-2</v>
      </c>
      <c r="MW7" s="100">
        <f t="shared" si="29"/>
        <v>2.9148556550591787E-2</v>
      </c>
      <c r="MX7" s="100">
        <f t="shared" si="29"/>
        <v>2.954034312346776E-2</v>
      </c>
      <c r="MY7" s="100">
        <f t="shared" si="29"/>
        <v>2.9933231447966779E-2</v>
      </c>
      <c r="MZ7" s="34"/>
    </row>
    <row r="8" spans="1:375" s="28" customFormat="1" ht="12.75" customHeight="1" x14ac:dyDescent="0.3">
      <c r="A8" s="298">
        <f t="shared" si="20"/>
        <v>2017</v>
      </c>
      <c r="B8" s="348">
        <f t="shared" si="2"/>
        <v>2015</v>
      </c>
      <c r="C8" s="26">
        <v>42186</v>
      </c>
      <c r="D8" s="167">
        <v>7765.5879999999997</v>
      </c>
      <c r="E8" s="27">
        <f>D8</f>
        <v>7765.5879999999997</v>
      </c>
      <c r="F8" s="107">
        <f t="shared" si="21"/>
        <v>0</v>
      </c>
      <c r="G8" s="27"/>
      <c r="H8" s="27"/>
      <c r="I8" s="168">
        <v>7418.5129999999999</v>
      </c>
      <c r="J8" s="27">
        <f>I8*R13</f>
        <v>7418.5129999999999</v>
      </c>
      <c r="K8" s="27">
        <f>I8*S13</f>
        <v>0</v>
      </c>
      <c r="L8" s="27">
        <f>I8*S8</f>
        <v>0</v>
      </c>
      <c r="M8" s="27"/>
      <c r="N8" s="22"/>
      <c r="O8" s="22"/>
      <c r="P8" s="22"/>
      <c r="Q8" s="22"/>
      <c r="R8" s="254">
        <f t="shared" si="3"/>
        <v>1</v>
      </c>
      <c r="S8" s="251">
        <v>0</v>
      </c>
      <c r="T8" s="255">
        <v>7.4999999999999997E-2</v>
      </c>
      <c r="U8" s="255"/>
      <c r="V8" s="68">
        <f t="shared" si="5"/>
        <v>44119.175999999999</v>
      </c>
      <c r="W8" s="68">
        <v>44119.175999999999</v>
      </c>
      <c r="X8" s="68"/>
      <c r="Y8" s="355">
        <f t="shared" ref="Y8:Y13" si="30">AT6*I8</f>
        <v>737.40019219999999</v>
      </c>
      <c r="Z8" s="107"/>
      <c r="AA8" s="255">
        <f t="shared" si="6"/>
        <v>7.4999999999999997E-2</v>
      </c>
      <c r="AB8" s="27"/>
      <c r="AC8" s="167">
        <f t="shared" si="7"/>
        <v>44119.175999999999</v>
      </c>
      <c r="AD8" s="68">
        <f t="shared" si="8"/>
        <v>44119.175999999999</v>
      </c>
      <c r="AE8" s="68"/>
      <c r="AF8" s="68">
        <f t="shared" si="9"/>
        <v>737.40019219999999</v>
      </c>
      <c r="AG8" s="27"/>
      <c r="AH8" s="68">
        <f t="shared" si="10"/>
        <v>27365.920999999998</v>
      </c>
      <c r="AI8" s="68">
        <v>27365.920999999998</v>
      </c>
      <c r="AJ8" s="68"/>
      <c r="AK8" s="68">
        <f t="shared" si="11"/>
        <v>25131.828000000001</v>
      </c>
      <c r="AL8" s="68">
        <v>25131.828000000001</v>
      </c>
      <c r="AM8" s="68"/>
      <c r="AN8" s="256">
        <v>1.4E-2</v>
      </c>
      <c r="AO8" s="27">
        <f>AC8-AH8</f>
        <v>16753.255000000001</v>
      </c>
      <c r="AP8" s="27">
        <f t="shared" si="12"/>
        <v>18987.347999999998</v>
      </c>
      <c r="AQ8" s="67">
        <f t="shared" si="22"/>
        <v>0.62027271316218591</v>
      </c>
      <c r="AR8" s="146">
        <f t="shared" si="23"/>
        <v>0.56963502672851374</v>
      </c>
      <c r="AS8" s="67"/>
      <c r="AT8" s="257">
        <v>9.8299999999999998E-2</v>
      </c>
      <c r="AU8" s="256"/>
      <c r="AV8" s="255"/>
      <c r="AW8" s="255"/>
      <c r="AX8" s="256">
        <v>0.09</v>
      </c>
      <c r="AY8" s="256"/>
      <c r="AZ8" s="256"/>
      <c r="BA8" s="256">
        <f t="shared" si="24"/>
        <v>8.3000000000000018E-3</v>
      </c>
      <c r="BB8" s="256"/>
      <c r="BC8" s="299">
        <v>0.11559999999999999</v>
      </c>
      <c r="BD8" s="128">
        <f t="shared" si="25"/>
        <v>0.11559999999999999</v>
      </c>
      <c r="BE8" s="402">
        <f t="shared" si="15"/>
        <v>0.10729999999999999</v>
      </c>
      <c r="BF8" s="402"/>
      <c r="BG8" s="333">
        <f t="shared" si="16"/>
        <v>6.5599999999999992E-2</v>
      </c>
      <c r="BH8" s="402">
        <f t="shared" si="26"/>
        <v>0.11559999999999999</v>
      </c>
      <c r="BK8" s="258" t="s">
        <v>198</v>
      </c>
      <c r="BL8" s="27">
        <f t="shared" si="17"/>
        <v>30</v>
      </c>
      <c r="BM8" s="107">
        <f t="shared" ref="BM8:BM43" si="31">MAX(IF(ISERROR(LN(1-(AO8/SUM(BY8:CJ8))*((1+T8)/(1+$DU$69)-1))/LN(1/(((1+T8)/(1+$DU$69))))),999,LN(1-(AO8/SUM(BY8:CJ8))*((1+T8)/(1+$DU$69)-1))/LN(1/(((1+T8)/(1+$DU$69))))),0.01)</f>
        <v>999</v>
      </c>
      <c r="BN8" s="27"/>
      <c r="BO8" s="27"/>
      <c r="BP8" s="50"/>
      <c r="BQ8" s="34"/>
      <c r="BR8" s="68"/>
      <c r="BS8" s="68"/>
      <c r="BT8" s="68"/>
      <c r="BU8" s="68"/>
      <c r="BV8" s="168"/>
      <c r="BW8" s="27"/>
      <c r="BX8" s="27"/>
      <c r="BY8" s="27"/>
      <c r="BZ8" s="27"/>
      <c r="CA8" s="27"/>
      <c r="CB8" s="240"/>
      <c r="CC8" s="240"/>
      <c r="CD8" s="27"/>
      <c r="CE8" s="27"/>
      <c r="CF8" s="27"/>
      <c r="CG8" s="27"/>
      <c r="CH8" s="68"/>
      <c r="CI8" s="68"/>
      <c r="CJ8" s="68"/>
      <c r="CK8" s="27"/>
      <c r="CL8" s="27"/>
      <c r="CM8" s="27"/>
      <c r="CN8" s="68"/>
      <c r="CO8" s="27"/>
      <c r="CP8" s="68"/>
      <c r="CQ8" s="68"/>
      <c r="CR8" s="68"/>
      <c r="CS8" s="68"/>
      <c r="CT8" s="68"/>
      <c r="CU8" s="68"/>
      <c r="CV8" s="27"/>
      <c r="CW8" s="27"/>
      <c r="CX8" s="27"/>
      <c r="CY8" s="103"/>
      <c r="CZ8" s="27"/>
      <c r="DA8" s="92"/>
      <c r="DB8" s="218"/>
      <c r="DC8" s="307"/>
      <c r="DD8" s="307"/>
      <c r="DE8" s="307"/>
      <c r="DF8" s="307"/>
      <c r="DG8" s="307"/>
      <c r="DH8" s="27"/>
      <c r="DI8" s="96"/>
      <c r="DJ8" s="101"/>
      <c r="DK8" s="92"/>
      <c r="DL8" s="96"/>
      <c r="DM8" s="101"/>
      <c r="DN8" s="172"/>
      <c r="DO8" s="96"/>
      <c r="DP8" s="173"/>
      <c r="DQ8" s="29"/>
      <c r="DR8" s="32"/>
      <c r="DS8" s="32"/>
      <c r="DT8" s="32"/>
      <c r="DU8" s="32"/>
      <c r="DV8" s="29"/>
      <c r="DW8" s="320"/>
      <c r="DX8" s="321"/>
      <c r="DY8" s="321"/>
      <c r="DZ8" s="321"/>
      <c r="EA8" s="321"/>
      <c r="EB8" s="321"/>
      <c r="EC8" s="321"/>
      <c r="ED8" s="321"/>
      <c r="EE8" s="321"/>
      <c r="EF8" s="321"/>
      <c r="EG8" s="321"/>
      <c r="EH8" s="321"/>
      <c r="EI8" s="322"/>
      <c r="EJ8" s="323"/>
      <c r="EK8" s="30"/>
      <c r="EL8" s="30"/>
      <c r="EM8" s="30"/>
      <c r="EN8" s="30"/>
      <c r="EO8" s="30"/>
      <c r="EP8" s="30"/>
      <c r="EQ8" s="324"/>
      <c r="ER8" s="30"/>
      <c r="ES8" s="30"/>
      <c r="FK8" s="29"/>
      <c r="FL8" s="29"/>
      <c r="FM8" s="27">
        <f t="shared" si="27"/>
        <v>15987.874</v>
      </c>
      <c r="FN8" s="29"/>
      <c r="FO8" s="89"/>
      <c r="FP8" s="89"/>
      <c r="FQ8" s="27"/>
      <c r="FR8" s="302"/>
      <c r="FS8" s="89"/>
      <c r="FT8" s="89"/>
      <c r="FU8" s="69"/>
      <c r="FV8" s="137"/>
      <c r="FW8" s="48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>
        <f t="shared" ref="HE8:HE42" si="32">FU8</f>
        <v>0</v>
      </c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48"/>
      <c r="IM8" s="48"/>
      <c r="IN8" s="48"/>
      <c r="IO8" s="48"/>
      <c r="IP8" s="48"/>
      <c r="IQ8" s="48"/>
      <c r="IR8" s="48"/>
      <c r="IS8" s="48"/>
      <c r="IT8" s="48"/>
      <c r="IU8" s="48"/>
      <c r="IV8" s="48"/>
      <c r="IW8" s="48"/>
      <c r="IX8" s="48"/>
      <c r="IY8" s="48"/>
      <c r="IZ8" s="48"/>
      <c r="JA8" s="48"/>
      <c r="JB8" s="48"/>
      <c r="JC8" s="48"/>
      <c r="JD8" s="48"/>
      <c r="JE8" s="48"/>
      <c r="JF8" s="48"/>
      <c r="JG8" s="48"/>
      <c r="JH8" s="48"/>
      <c r="JI8" s="48"/>
      <c r="JJ8" s="48"/>
      <c r="JK8" s="48"/>
      <c r="JL8" s="48"/>
      <c r="JM8" s="48"/>
      <c r="JN8" s="48"/>
      <c r="JO8" s="48"/>
      <c r="JP8" s="48"/>
      <c r="JQ8" s="48"/>
      <c r="JR8" s="48"/>
      <c r="JS8" s="48"/>
      <c r="JT8" s="48"/>
      <c r="JU8" s="48"/>
      <c r="JV8" s="48"/>
      <c r="JW8" s="48"/>
      <c r="JX8" s="48"/>
      <c r="JY8" s="48"/>
      <c r="JZ8" s="48"/>
      <c r="KA8" s="48"/>
      <c r="KB8" s="48"/>
      <c r="KC8" s="48"/>
      <c r="KD8" s="48"/>
      <c r="KE8" s="48"/>
      <c r="KF8" s="48"/>
      <c r="KG8" s="48"/>
      <c r="KH8" s="48"/>
      <c r="KI8" s="48"/>
      <c r="KJ8" s="48"/>
      <c r="KK8" s="48"/>
      <c r="KL8" s="48"/>
      <c r="KM8" s="48"/>
      <c r="KN8" s="48"/>
      <c r="KO8" s="48"/>
      <c r="KP8" s="48"/>
      <c r="KQ8" s="48"/>
      <c r="KR8" s="48"/>
      <c r="KS8" s="48"/>
      <c r="KT8" s="48"/>
      <c r="KU8" s="48"/>
      <c r="KV8" s="48"/>
      <c r="KW8" s="48"/>
      <c r="KX8" s="48"/>
      <c r="KY8" s="48"/>
      <c r="KZ8" s="48"/>
      <c r="LA8" s="48"/>
      <c r="LB8" s="48"/>
      <c r="LC8" s="48"/>
      <c r="LD8" s="48"/>
      <c r="LE8" s="48"/>
      <c r="LF8" s="48"/>
      <c r="LG8" s="48"/>
      <c r="LH8" s="48"/>
      <c r="LI8" s="48"/>
      <c r="LJ8" s="48"/>
      <c r="LK8" s="48"/>
      <c r="LL8" s="48"/>
      <c r="LM8" s="48"/>
      <c r="LN8" s="48"/>
      <c r="LO8" s="48"/>
      <c r="LP8" s="46">
        <f t="shared" ref="LP8:LP35" si="33">LP7/(1+$LP$3)</f>
        <v>0.84438508956735381</v>
      </c>
      <c r="LQ8" s="47">
        <f t="shared" ref="LQ8:LQ35" si="34">LQ7/(1+$LQ$3)</f>
        <v>0.94589233958983754</v>
      </c>
      <c r="LS8" s="48"/>
      <c r="LW8" s="152">
        <f t="shared" si="18"/>
        <v>0</v>
      </c>
      <c r="LX8" s="223" t="e">
        <f>LX7*(1+#REF!)</f>
        <v>#REF!</v>
      </c>
      <c r="LY8" s="153"/>
      <c r="LZ8" s="124">
        <f>AC8 - (AC7*(1+$DU$24)+(AF7+AG7)*(1+$DU$24)^0.5+(BP9+BR8)*(1+$DU$24)^$MA$5)</f>
        <v>249.79535753894015</v>
      </c>
      <c r="MA8" s="125">
        <f>AK8-(AK7*(1+$DU$24)+SUM(BV8:CK8)*(1+$DU$24)^0.5+(BP9+BR8+CO8+BT8)*(1+$DU$24)^$MA$5)</f>
        <v>373.62820542154077</v>
      </c>
      <c r="MD8" s="152"/>
      <c r="ME8" s="161" t="str">
        <f>DR82</f>
        <v>Annual Slowdown</v>
      </c>
      <c r="MF8" s="161">
        <f>DU82</f>
        <v>0</v>
      </c>
      <c r="MK8" s="129">
        <v>0</v>
      </c>
      <c r="ML8" s="130">
        <f t="shared" ref="ML8" si="35">$ML$16*($MK8/$MK$16)</f>
        <v>0</v>
      </c>
      <c r="MM8" s="130">
        <f>ML8*(1+MU$7)</f>
        <v>0</v>
      </c>
      <c r="MN8" s="130">
        <f t="shared" ref="MN8:MN21" si="36">MM8*(1+MV$7)</f>
        <v>0</v>
      </c>
      <c r="MO8" s="130">
        <f t="shared" ref="MO8:MO21" si="37">MN8*(1+MW$7)</f>
        <v>0</v>
      </c>
      <c r="MP8" s="130">
        <f t="shared" ref="MP8:MP21" si="38">MO8*(1+MX$7)</f>
        <v>0</v>
      </c>
      <c r="MQ8" s="130">
        <f t="shared" ref="MQ8:MQ21" si="39">MP8*(1+MY$7)</f>
        <v>0</v>
      </c>
      <c r="MS8" s="28">
        <v>35</v>
      </c>
      <c r="MT8" s="28">
        <f>SUM(MT9:MT32)/1.0725^(MS9-MS8)</f>
        <v>1.8186067027483899</v>
      </c>
      <c r="MU8" s="28">
        <f>SUM(MU9:MU32)/1.0725^($MS9-$MS8)</f>
        <v>1.8701992930216129</v>
      </c>
      <c r="MV8" s="28">
        <f t="shared" ref="MV8:MX8" si="40">SUM(MV9:MV32)/1.0725^($MS9-$MS8)</f>
        <v>1.9239827177137943</v>
      </c>
      <c r="MW8" s="28">
        <f t="shared" si="40"/>
        <v>1.9800640367634361</v>
      </c>
      <c r="MX8" s="28">
        <f t="shared" si="40"/>
        <v>2.0385558078158668</v>
      </c>
      <c r="MY8" s="28">
        <f>SUM(MY9:MY32)/1.0725^($MS9-$MS8)</f>
        <v>2.0995763706308161</v>
      </c>
    </row>
    <row r="9" spans="1:375" s="28" customFormat="1" ht="12.45" customHeight="1" x14ac:dyDescent="0.3">
      <c r="A9" s="298">
        <f t="shared" si="20"/>
        <v>2018</v>
      </c>
      <c r="B9" s="348">
        <f t="shared" si="2"/>
        <v>2016</v>
      </c>
      <c r="C9" s="26">
        <v>42552</v>
      </c>
      <c r="D9" s="167">
        <v>8213.0419999999995</v>
      </c>
      <c r="E9" s="27">
        <f>D9</f>
        <v>8213.0419999999995</v>
      </c>
      <c r="F9" s="107">
        <f t="shared" si="21"/>
        <v>0</v>
      </c>
      <c r="G9" s="27"/>
      <c r="H9" s="27"/>
      <c r="I9" s="168">
        <v>7890.9059999999999</v>
      </c>
      <c r="J9" s="27">
        <f>I9*R14</f>
        <v>7890.9059999999999</v>
      </c>
      <c r="K9" s="27"/>
      <c r="L9" s="27">
        <f>I9*S9</f>
        <v>0</v>
      </c>
      <c r="M9" s="27"/>
      <c r="N9" s="251"/>
      <c r="O9" s="251"/>
      <c r="P9" s="251"/>
      <c r="Q9" s="68">
        <v>125.004</v>
      </c>
      <c r="R9" s="254">
        <f t="shared" si="3"/>
        <v>1</v>
      </c>
      <c r="S9" s="251">
        <v>0</v>
      </c>
      <c r="T9" s="255">
        <v>7.4999999999999997E-2</v>
      </c>
      <c r="U9" s="255"/>
      <c r="V9" s="68">
        <f t="shared" si="5"/>
        <v>45859.906000000003</v>
      </c>
      <c r="W9" s="68">
        <v>45859.906000000003</v>
      </c>
      <c r="X9" s="255"/>
      <c r="Y9" s="355">
        <f t="shared" si="30"/>
        <v>778.8324222</v>
      </c>
      <c r="Z9" s="282"/>
      <c r="AA9" s="255">
        <f t="shared" si="6"/>
        <v>7.4999999999999997E-2</v>
      </c>
      <c r="AB9" s="27"/>
      <c r="AC9" s="167">
        <f t="shared" si="7"/>
        <v>45859.906000000003</v>
      </c>
      <c r="AD9" s="68">
        <f t="shared" si="8"/>
        <v>45859.906000000003</v>
      </c>
      <c r="AE9" s="68"/>
      <c r="AF9" s="68">
        <f t="shared" si="9"/>
        <v>778.8324222</v>
      </c>
      <c r="AG9" s="27"/>
      <c r="AH9" s="68">
        <f t="shared" si="10"/>
        <v>27293.968000000001</v>
      </c>
      <c r="AI9" s="68">
        <v>27293.968000000001</v>
      </c>
      <c r="AJ9" s="68"/>
      <c r="AK9" s="68">
        <f t="shared" si="11"/>
        <v>23996.362000000001</v>
      </c>
      <c r="AL9" s="68">
        <v>23996.362000000001</v>
      </c>
      <c r="AM9" s="68"/>
      <c r="AN9" s="256">
        <v>-6.2588397436738573E-3</v>
      </c>
      <c r="AO9" s="27">
        <f t="shared" ref="AO9:AO39" si="41">AC9-AH9</f>
        <v>18565.938000000002</v>
      </c>
      <c r="AP9" s="27">
        <f t="shared" si="12"/>
        <v>21863.544000000002</v>
      </c>
      <c r="AQ9" s="67">
        <f t="shared" si="22"/>
        <v>0.59515970224622783</v>
      </c>
      <c r="AR9" s="146">
        <f t="shared" si="23"/>
        <v>0.52325362376451445</v>
      </c>
      <c r="AS9" s="67"/>
      <c r="AT9" s="257">
        <v>0.1027</v>
      </c>
      <c r="AU9" s="256"/>
      <c r="AV9" s="255"/>
      <c r="AW9" s="255"/>
      <c r="AX9" s="256">
        <v>0.09</v>
      </c>
      <c r="AY9" s="256"/>
      <c r="AZ9" s="256"/>
      <c r="BA9" s="256">
        <f t="shared" si="24"/>
        <v>1.2700000000000003E-2</v>
      </c>
      <c r="BB9" s="256"/>
      <c r="BC9" s="299">
        <v>0.12559999999999999</v>
      </c>
      <c r="BD9" s="128">
        <f t="shared" si="25"/>
        <v>0.12559999999999999</v>
      </c>
      <c r="BE9" s="402">
        <f t="shared" si="15"/>
        <v>0.11289999999999999</v>
      </c>
      <c r="BF9" s="402"/>
      <c r="BG9" s="333">
        <f t="shared" si="16"/>
        <v>7.5599999999999987E-2</v>
      </c>
      <c r="BH9" s="402">
        <f t="shared" si="26"/>
        <v>0.12559999999999999</v>
      </c>
      <c r="BI9" s="152">
        <f t="shared" ref="BI9:BI42" si="42">IF(AO9&lt;0,0,AO9*(1+AA9)^0.5/SUM(BX9:BY9,CB9:CK9))</f>
        <v>20.639989752128781</v>
      </c>
      <c r="BJ9" s="100">
        <f t="shared" ref="BJ9:BJ43" si="43">(1+AA9)/(1+$DU$69)-1</f>
        <v>4.6738072054527846E-2</v>
      </c>
      <c r="BK9" s="27">
        <f>IFERROR(LOG((1+BJ9)/(1+BJ9-BI9*BJ9))/LOG(1+BJ9),"Inf")</f>
        <v>55.735469875789981</v>
      </c>
      <c r="BL9" s="27">
        <f t="shared" si="17"/>
        <v>30</v>
      </c>
      <c r="BM9" s="107">
        <f t="shared" si="31"/>
        <v>36.19958745754198</v>
      </c>
      <c r="BN9" s="27"/>
      <c r="BO9" s="27"/>
      <c r="BP9" s="167">
        <f>-2668.385-21.093</f>
        <v>-2689.4780000000001</v>
      </c>
      <c r="BQ9" s="68"/>
      <c r="BR9" s="68">
        <v>-93.694000000000003</v>
      </c>
      <c r="BS9" s="68"/>
      <c r="BT9" s="342">
        <v>-13.148999999999999</v>
      </c>
      <c r="BU9" s="342"/>
      <c r="BV9" s="168">
        <v>754.15300000000002</v>
      </c>
      <c r="BW9" s="27"/>
      <c r="BX9" s="27"/>
      <c r="BY9" s="27"/>
      <c r="BZ9" s="297">
        <f>($AT6-$AX6)*(J9+K9)</f>
        <v>140.45812679999997</v>
      </c>
      <c r="CA9" s="297"/>
      <c r="CB9" s="68">
        <f>1073.093-BZ9-CE9-CF9-CH9</f>
        <v>932.63487320000013</v>
      </c>
      <c r="CC9" s="68"/>
      <c r="CD9" s="27"/>
      <c r="CE9" s="290"/>
      <c r="CF9" s="290"/>
      <c r="CG9" s="290"/>
      <c r="CH9" s="297"/>
      <c r="CI9" s="297"/>
      <c r="CJ9" s="27" t="s">
        <v>198</v>
      </c>
      <c r="CK9" s="27">
        <f t="shared" ref="CK9:CK44" si="44">MAX(-(AK8*(1+AN9)+SUM(BP9:CJ9)*(1+AN9)^0.5)/(1+AN9)^0.5,0)</f>
        <v>0</v>
      </c>
      <c r="CL9" s="27">
        <f t="shared" ref="CL9:CL44" si="45">CK9*AD9/AC9</f>
        <v>0</v>
      </c>
      <c r="CM9" s="27">
        <f t="shared" ref="CM9:CM44" si="46">CK9*AE9/AC9</f>
        <v>0</v>
      </c>
      <c r="CN9" s="27">
        <f t="shared" ref="CN9:CN44" si="47">SUM(BV9:CK9)</f>
        <v>1827.2460000000001</v>
      </c>
      <c r="CO9" s="27">
        <f t="shared" ref="CO9:CO45" si="48">IF($DU$30="DB",0,IF($DU$49="Yes",$DU$46*(1-$DU$48)*$L12,0))*$DU$31</f>
        <v>0</v>
      </c>
      <c r="CP9" s="107">
        <f t="shared" si="4"/>
        <v>1827.2460000000001</v>
      </c>
      <c r="CQ9" s="27"/>
      <c r="CR9" s="27"/>
      <c r="CS9" s="27"/>
      <c r="CT9" s="27"/>
      <c r="CU9" s="27"/>
      <c r="CV9" s="27"/>
      <c r="CW9" s="27"/>
      <c r="CX9" s="27"/>
      <c r="CY9" s="103">
        <f t="shared" ref="CY9:CY44" si="49">$DU$46*(O9+P9)</f>
        <v>0</v>
      </c>
      <c r="CZ9" s="27"/>
      <c r="DA9" s="92">
        <f t="shared" ref="DA9:DA44" si="50">SUM(BZ9:CK9,CY9)</f>
        <v>1073.0930000000001</v>
      </c>
      <c r="DB9" s="218">
        <f t="shared" ref="DB9:DB44" si="51">DA9/(1+$DU$27)^MAX(B9-$B$14,0)</f>
        <v>1073.0930000000001</v>
      </c>
      <c r="DC9" s="307">
        <f t="shared" ref="DC9:DC42" si="52">SUM(CB9:CD9, CH9)/(1+$DU$27)^MAX($A6-$A$8,0)</f>
        <v>932.63487320000013</v>
      </c>
      <c r="DD9" s="307">
        <f t="shared" ref="DD9:DD42" si="53">SUM(BZ9:CA9,CE9,CJ9)/(1+$DU$27)^MAX($A6-$A$8,0)</f>
        <v>140.45812679999997</v>
      </c>
      <c r="DE9" s="307">
        <f t="shared" ref="DE9:DE42" si="54">CF9/(1+$DU$27)^MAX($A6-$A$8,0)</f>
        <v>0</v>
      </c>
      <c r="DF9" s="307">
        <f t="shared" ref="DF9:DF42" si="55">C9/(1+$DU$27)^MAX($A6-$A$8,0)</f>
        <v>42552</v>
      </c>
      <c r="DG9" s="307" t="b">
        <f>ROUND(SUM(DC9:DE9),0)=ROUND(DB9,0)</f>
        <v>1</v>
      </c>
      <c r="DH9" s="27">
        <f t="shared" ref="DH9:DH39" si="56">CY9</f>
        <v>0</v>
      </c>
      <c r="DI9" s="96">
        <f t="shared" ref="DI9:DI42" si="57">DH9/(1+$DU$27)^MAX($A6-$A$8,0)</f>
        <v>0</v>
      </c>
      <c r="DJ9" s="101" t="e">
        <f t="shared" ref="DJ9:DJ39" si="58">DH9/$L12</f>
        <v>#DIV/0!</v>
      </c>
      <c r="DK9" s="92">
        <f t="shared" ref="DK9:DK39" si="59">CO9</f>
        <v>0</v>
      </c>
      <c r="DL9" s="96">
        <f t="shared" ref="DL9:DL42" si="60">DK9/(1+$DU$27)^MAX($A6-$A$8,0)</f>
        <v>0</v>
      </c>
      <c r="DM9" s="101">
        <f t="shared" ref="DM9:DM39" si="61">DK9/$I9</f>
        <v>0</v>
      </c>
      <c r="DN9" s="292">
        <v>1073.0930000000001</v>
      </c>
      <c r="DO9" s="96">
        <f t="shared" ref="DO9:DO42" si="62">DN9/(1+$DU$27)^MAX(B9-$B$14,0)</f>
        <v>1073.0930000000001</v>
      </c>
      <c r="DP9" s="294">
        <v>0.59515970224622783</v>
      </c>
      <c r="DQ9" s="29"/>
      <c r="DR9" s="32"/>
      <c r="DS9" s="32"/>
      <c r="DT9" s="32"/>
      <c r="DU9" s="32"/>
      <c r="DV9" s="137"/>
      <c r="DW9" s="320"/>
      <c r="DX9" s="321"/>
      <c r="DY9" s="321"/>
      <c r="DZ9" s="321"/>
      <c r="EA9" s="321"/>
      <c r="EB9" s="321"/>
      <c r="EC9" s="321"/>
      <c r="ED9" s="321"/>
      <c r="EE9" s="321"/>
      <c r="EF9" s="321"/>
      <c r="EG9" s="321"/>
      <c r="EH9" s="321"/>
      <c r="EI9" s="322"/>
      <c r="EJ9" s="331"/>
      <c r="EK9" s="332">
        <f>IF(AND(DU72="Fresh Start",A9&gt;2019),AV9,IF(BD9-(AT9-AX9)&lt;0,0,BD9-(AT9-AX9)))</f>
        <v>0.11289999999999999</v>
      </c>
      <c r="EL9" s="332">
        <f t="shared" ref="EL9:EL42" si="63">(AT9-AX9)+IF(BD9-(AT9-AX9)&lt;0,BD9-(AT9-AX9))</f>
        <v>1.2700000000000003E-2</v>
      </c>
      <c r="EM9" s="332">
        <f>DI9/$DG9</f>
        <v>0</v>
      </c>
      <c r="EN9" s="332">
        <f t="shared" ref="EN9:EN42" si="64">(CF9/(1+$DV$25)^MAX($A6-$A$8,0))/DF9</f>
        <v>0</v>
      </c>
      <c r="EO9" s="332">
        <v>0.1356</v>
      </c>
      <c r="EP9" s="332">
        <v>0.1356</v>
      </c>
      <c r="EQ9" s="333">
        <f t="shared" ref="EQ9" si="65">SUM(EK9:EM9)</f>
        <v>0.12559999999999999</v>
      </c>
      <c r="ER9" s="30"/>
      <c r="ES9" s="30"/>
      <c r="ET9" s="29">
        <f>SUM(BP15,BR15,BT15,BV15,BY15,BZ15,CB15,CF15,CH15,CL15,CJ15,CC15,CG15,CI15)</f>
        <v>-2280.2856177739759</v>
      </c>
      <c r="EV9" s="29"/>
      <c r="EW9" s="29"/>
      <c r="EX9" s="29"/>
      <c r="EY9" s="29"/>
      <c r="EZ9" s="29"/>
      <c r="FA9" s="29"/>
      <c r="FB9" s="29"/>
      <c r="FC9" s="29"/>
      <c r="FD9" s="29"/>
      <c r="FE9" s="29"/>
      <c r="FF9" s="29"/>
      <c r="FG9" s="29"/>
      <c r="FH9" s="29"/>
      <c r="FI9" s="29"/>
      <c r="FJ9" s="29"/>
      <c r="FK9" s="29"/>
      <c r="FL9" s="29"/>
      <c r="FM9" s="27">
        <f t="shared" si="27"/>
        <v>16753.255000000001</v>
      </c>
      <c r="FN9" s="29"/>
      <c r="FO9" s="89"/>
      <c r="FP9" s="89"/>
      <c r="FQ9" s="27"/>
      <c r="FR9" s="302"/>
      <c r="FS9" s="89"/>
      <c r="FT9" s="89"/>
      <c r="FU9" s="69"/>
      <c r="FV9" s="196"/>
      <c r="FW9" s="48"/>
      <c r="FX9" s="29"/>
      <c r="FY9" s="29"/>
      <c r="FZ9" s="29"/>
      <c r="GA9" s="29"/>
      <c r="GB9" s="29"/>
      <c r="GC9" s="29"/>
      <c r="GD9" s="29"/>
      <c r="GE9" s="29"/>
      <c r="GF9" s="29"/>
      <c r="GG9" s="29"/>
      <c r="GH9" s="29"/>
      <c r="GI9" s="29"/>
      <c r="GJ9" s="29"/>
      <c r="GK9" s="29"/>
      <c r="GL9" s="29"/>
      <c r="GM9" s="29"/>
      <c r="GN9" s="29"/>
      <c r="GO9" s="29"/>
      <c r="GP9" s="29"/>
      <c r="GQ9" s="29"/>
      <c r="GR9" s="29"/>
      <c r="GS9" s="29"/>
      <c r="GT9" s="29"/>
      <c r="GU9" s="29"/>
      <c r="GV9" s="29"/>
      <c r="GW9" s="29"/>
      <c r="GX9" s="29"/>
      <c r="GY9" s="29"/>
      <c r="GZ9" s="29"/>
      <c r="HA9" s="29"/>
      <c r="HB9" s="29"/>
      <c r="HC9" s="29"/>
      <c r="HD9" s="29"/>
      <c r="HE9" s="29">
        <f t="shared" si="32"/>
        <v>0</v>
      </c>
      <c r="HF9" s="29"/>
      <c r="HG9" s="29"/>
      <c r="HH9" s="29"/>
      <c r="HI9" s="29"/>
      <c r="HJ9" s="29"/>
      <c r="HK9" s="29"/>
      <c r="HL9" s="29"/>
      <c r="HM9" s="29"/>
      <c r="HN9" s="29"/>
      <c r="HO9" s="29"/>
      <c r="HP9" s="29"/>
      <c r="HQ9" s="29"/>
      <c r="HR9" s="29"/>
      <c r="HS9" s="29"/>
      <c r="HT9" s="29"/>
      <c r="HU9" s="29"/>
      <c r="HV9" s="29"/>
      <c r="HW9" s="29"/>
      <c r="HX9" s="29"/>
      <c r="HY9" s="29"/>
      <c r="HZ9" s="29"/>
      <c r="IA9" s="29"/>
      <c r="IB9" s="29"/>
      <c r="IC9" s="29"/>
      <c r="ID9" s="29"/>
      <c r="IE9" s="29"/>
      <c r="IF9" s="29"/>
      <c r="IG9" s="29"/>
      <c r="IH9" s="29"/>
      <c r="II9" s="29"/>
      <c r="IJ9" s="29"/>
      <c r="IK9" s="29"/>
      <c r="IL9" s="48"/>
      <c r="IM9" s="48"/>
      <c r="IN9" s="48"/>
      <c r="IO9" s="48"/>
      <c r="IP9" s="48"/>
      <c r="IQ9" s="48"/>
      <c r="IR9" s="48"/>
      <c r="IS9" s="48"/>
      <c r="IT9" s="48"/>
      <c r="IU9" s="48"/>
      <c r="IV9" s="48"/>
      <c r="IW9" s="48"/>
      <c r="IX9" s="48"/>
      <c r="IY9" s="48"/>
      <c r="IZ9" s="48"/>
      <c r="JA9" s="48"/>
      <c r="JB9" s="48"/>
      <c r="JC9" s="48"/>
      <c r="JD9" s="48"/>
      <c r="JE9" s="48"/>
      <c r="JF9" s="48"/>
      <c r="JG9" s="48"/>
      <c r="JH9" s="48"/>
      <c r="JI9" s="48"/>
      <c r="JJ9" s="48"/>
      <c r="JK9" s="48"/>
      <c r="JL9" s="48"/>
      <c r="JM9" s="48"/>
      <c r="JN9" s="48"/>
      <c r="JO9" s="48"/>
      <c r="JP9" s="48"/>
      <c r="JQ9" s="48"/>
      <c r="JR9" s="48"/>
      <c r="JS9" s="48"/>
      <c r="JT9" s="48"/>
      <c r="JU9" s="48"/>
      <c r="JV9" s="48"/>
      <c r="JW9" s="48"/>
      <c r="JX9" s="48"/>
      <c r="JY9" s="48"/>
      <c r="JZ9" s="48"/>
      <c r="KA9" s="48"/>
      <c r="KB9" s="48"/>
      <c r="KC9" s="48"/>
      <c r="KD9" s="48"/>
      <c r="KE9" s="48"/>
      <c r="KF9" s="48"/>
      <c r="KG9" s="48"/>
      <c r="KH9" s="48"/>
      <c r="KI9" s="48"/>
      <c r="KJ9" s="48"/>
      <c r="KK9" s="48"/>
      <c r="KL9" s="48"/>
      <c r="KM9" s="48"/>
      <c r="KN9" s="48"/>
      <c r="KO9" s="48"/>
      <c r="KP9" s="48"/>
      <c r="KQ9" s="48"/>
      <c r="KR9" s="48"/>
      <c r="KS9" s="48"/>
      <c r="KT9" s="48"/>
      <c r="KU9" s="48"/>
      <c r="KV9" s="48"/>
      <c r="KW9" s="48"/>
      <c r="KX9" s="48"/>
      <c r="KY9" s="48"/>
      <c r="KZ9" s="48"/>
      <c r="LA9" s="48"/>
      <c r="LB9" s="48"/>
      <c r="LC9" s="48"/>
      <c r="LD9" s="48"/>
      <c r="LE9" s="48"/>
      <c r="LF9" s="48"/>
      <c r="LG9" s="48"/>
      <c r="LH9" s="48"/>
      <c r="LI9" s="48"/>
      <c r="LJ9" s="48"/>
      <c r="LK9" s="48"/>
      <c r="LL9" s="48"/>
      <c r="LM9" s="48"/>
      <c r="LN9" s="48"/>
      <c r="LO9" s="48"/>
      <c r="LP9" s="46">
        <f t="shared" si="33"/>
        <v>0.78914494352089137</v>
      </c>
      <c r="LQ9" s="47">
        <f t="shared" si="34"/>
        <v>0.92507808272844749</v>
      </c>
      <c r="LS9" s="48"/>
      <c r="LT9" s="28" t="s">
        <v>171</v>
      </c>
      <c r="LW9" s="152">
        <f t="shared" si="18"/>
        <v>0</v>
      </c>
      <c r="LX9" s="223" t="e">
        <f>LX8*(1+#REF!)</f>
        <v>#REF!</v>
      </c>
      <c r="LY9" s="153"/>
      <c r="LZ9" s="124" t="e">
        <f>AC9 - (AC8*(1+$DU$24)+(AF8+AG8)*(1+$DU$24)^0.5+(#REF!+BR9)*(1+$DU$24)^$MA$5)</f>
        <v>#REF!</v>
      </c>
      <c r="MA9" s="125" t="e">
        <f>AK9-(AK8*(1+$DU$24)+SUM(BV9:CK9)*(1+$DU$24)^0.5+(#REF!+BR9+CO9+BT9)*(1+$DU$24)^$MA$5)</f>
        <v>#REF!</v>
      </c>
      <c r="MD9" s="59"/>
      <c r="ME9" s="161" t="str">
        <f>DR83</f>
        <v>Additional Slowdown</v>
      </c>
      <c r="MF9" s="161">
        <f>DU83</f>
        <v>7.4999999999999997E-3</v>
      </c>
      <c r="MK9" s="100">
        <f>MK8+0.0025</f>
        <v>2.5000000000000001E-3</v>
      </c>
      <c r="ML9" s="100">
        <f>$ML$17*($MK9/$MK$17)</f>
        <v>1.4692335160894245E-2</v>
      </c>
      <c r="MM9" s="100">
        <f>ML9*(1+MU$7)</f>
        <v>1.5103047842667821E-2</v>
      </c>
      <c r="MN9" s="100">
        <f t="shared" si="36"/>
        <v>1.5537383177570096E-2</v>
      </c>
      <c r="MO9" s="100">
        <f t="shared" si="37"/>
        <v>1.5990275469769711E-2</v>
      </c>
      <c r="MP9" s="100">
        <f t="shared" si="38"/>
        <v>1.6462633693785478E-2</v>
      </c>
      <c r="MQ9" s="100">
        <f t="shared" si="39"/>
        <v>1.6955413518384654E-2</v>
      </c>
      <c r="MS9" s="28">
        <v>62</v>
      </c>
      <c r="MT9" s="35">
        <v>1</v>
      </c>
      <c r="MU9" s="35">
        <v>1</v>
      </c>
      <c r="MV9" s="35">
        <v>1</v>
      </c>
      <c r="MW9" s="35">
        <v>1</v>
      </c>
      <c r="MX9" s="35">
        <v>1</v>
      </c>
      <c r="MY9" s="35">
        <v>1</v>
      </c>
    </row>
    <row r="10" spans="1:375" s="28" customFormat="1" ht="12.75" customHeight="1" x14ac:dyDescent="0.3">
      <c r="A10" s="298">
        <f>YEAR(C10)+2</f>
        <v>2019</v>
      </c>
      <c r="B10" s="348">
        <f t="shared" si="2"/>
        <v>2017</v>
      </c>
      <c r="C10" s="26">
        <v>42917</v>
      </c>
      <c r="D10" s="167">
        <v>8592.8850000000002</v>
      </c>
      <c r="E10" s="27">
        <f>D10</f>
        <v>8592.8850000000002</v>
      </c>
      <c r="F10" s="107">
        <f t="shared" si="21"/>
        <v>0</v>
      </c>
      <c r="G10" s="27"/>
      <c r="H10" s="27"/>
      <c r="I10" s="168">
        <v>8270.8709999999992</v>
      </c>
      <c r="J10" s="68">
        <v>5925.6559999999999</v>
      </c>
      <c r="K10" s="68">
        <f t="shared" ref="K10:K14" si="66">I10-J10</f>
        <v>2345.2149999999992</v>
      </c>
      <c r="L10" s="27">
        <v>0</v>
      </c>
      <c r="M10" s="27"/>
      <c r="N10" s="252">
        <v>373.35399999999998</v>
      </c>
      <c r="O10" s="252">
        <v>1380.5519999999999</v>
      </c>
      <c r="P10" s="252"/>
      <c r="Q10" s="252">
        <v>551.24300000000005</v>
      </c>
      <c r="R10" s="254">
        <f t="shared" si="3"/>
        <v>1</v>
      </c>
      <c r="S10" s="251">
        <v>0</v>
      </c>
      <c r="T10" s="255">
        <v>7.2499999999999995E-2</v>
      </c>
      <c r="U10" s="111"/>
      <c r="V10" s="68">
        <f t="shared" si="5"/>
        <v>48374.724999999999</v>
      </c>
      <c r="W10" s="68">
        <v>48374.724999999999</v>
      </c>
      <c r="X10" s="255"/>
      <c r="Y10" s="355">
        <f t="shared" si="30"/>
        <v>813.02661929999988</v>
      </c>
      <c r="Z10" s="27"/>
      <c r="AA10" s="255">
        <f t="shared" si="6"/>
        <v>7.2499999999999995E-2</v>
      </c>
      <c r="AB10" s="27"/>
      <c r="AC10" s="167">
        <f t="shared" si="7"/>
        <v>48374.724999999999</v>
      </c>
      <c r="AD10" s="68">
        <f t="shared" si="8"/>
        <v>48374.724999999999</v>
      </c>
      <c r="AE10" s="68"/>
      <c r="AF10" s="68">
        <f t="shared" si="9"/>
        <v>813.02661929999988</v>
      </c>
      <c r="AG10" s="27"/>
      <c r="AH10" s="68">
        <f t="shared" si="10"/>
        <v>27241.57</v>
      </c>
      <c r="AI10" s="68">
        <f>27241570/1000</f>
        <v>27241.57</v>
      </c>
      <c r="AJ10" s="27"/>
      <c r="AK10" s="68">
        <f t="shared" si="11"/>
        <v>25732.829000000002</v>
      </c>
      <c r="AL10" s="68">
        <v>25732.829000000002</v>
      </c>
      <c r="AM10" s="68"/>
      <c r="AN10" s="256">
        <v>0.11848288732264289</v>
      </c>
      <c r="AO10" s="27">
        <f t="shared" si="41"/>
        <v>21133.154999999999</v>
      </c>
      <c r="AP10" s="27">
        <f t="shared" si="12"/>
        <v>22641.895999999997</v>
      </c>
      <c r="AQ10" s="67">
        <f t="shared" si="22"/>
        <v>0.56313643126653434</v>
      </c>
      <c r="AR10" s="146">
        <f t="shared" si="23"/>
        <v>0.53194780952243148</v>
      </c>
      <c r="AS10" s="67"/>
      <c r="AT10" s="257">
        <v>0.1072</v>
      </c>
      <c r="AU10" s="256"/>
      <c r="AV10" s="296"/>
      <c r="AW10" s="296"/>
      <c r="AX10" s="111">
        <f>$DU$39</f>
        <v>0.09</v>
      </c>
      <c r="AY10" s="111"/>
      <c r="AZ10" s="111"/>
      <c r="BA10" s="256">
        <f t="shared" si="24"/>
        <v>1.7200000000000007E-2</v>
      </c>
      <c r="BB10" s="111"/>
      <c r="BC10" s="299">
        <v>0.1356</v>
      </c>
      <c r="BD10" s="128">
        <f t="shared" si="25"/>
        <v>0.1356</v>
      </c>
      <c r="BE10" s="402">
        <f t="shared" si="15"/>
        <v>0.11839999999999999</v>
      </c>
      <c r="BF10" s="402"/>
      <c r="BG10" s="333">
        <f t="shared" si="16"/>
        <v>8.5599999999999996E-2</v>
      </c>
      <c r="BH10" s="402">
        <f t="shared" si="26"/>
        <v>0.1356</v>
      </c>
      <c r="BI10" s="152">
        <f t="shared" si="42"/>
        <v>20.470068069932392</v>
      </c>
      <c r="BJ10" s="100">
        <f t="shared" si="43"/>
        <v>4.4303797468354444E-2</v>
      </c>
      <c r="BK10" s="27">
        <f t="shared" ref="BK10:BK42" si="67">IFERROR(LOG((1+BJ10)/(1+BJ10-BI10*BJ10))/LOG(1+BJ10),"Inf")</f>
        <v>46.786016411985329</v>
      </c>
      <c r="BL10" s="27">
        <f t="shared" si="17"/>
        <v>29</v>
      </c>
      <c r="BM10" s="107">
        <f t="shared" si="31"/>
        <v>37.213883768903003</v>
      </c>
      <c r="BN10" s="27"/>
      <c r="BO10" s="27"/>
      <c r="BP10" s="167">
        <f>-(2907.273+23.07+1.55)</f>
        <v>-2931.8930000000005</v>
      </c>
      <c r="BQ10" s="68"/>
      <c r="BR10" s="68">
        <v>-105.169</v>
      </c>
      <c r="BS10" s="68"/>
      <c r="BT10" s="342">
        <v>-13.468999999999999</v>
      </c>
      <c r="BU10" s="342"/>
      <c r="BV10" s="168">
        <v>826.54200000000003</v>
      </c>
      <c r="BW10" s="27"/>
      <c r="BX10" s="27"/>
      <c r="BY10" s="27"/>
      <c r="BZ10" s="297">
        <f>($AT7-$AX7)*(J10+K10)</f>
        <v>100.07753909999998</v>
      </c>
      <c r="CA10" s="297"/>
      <c r="CB10" s="68">
        <f>1169.24-BZ10-CE10-CF10-CH10</f>
        <v>1069.1624609</v>
      </c>
      <c r="CC10" s="68"/>
      <c r="CD10" s="27"/>
      <c r="CE10" s="297"/>
      <c r="CF10" s="290"/>
      <c r="CG10" s="290"/>
      <c r="CH10" s="297"/>
      <c r="CI10" s="297"/>
      <c r="CJ10" s="27" t="s">
        <v>198</v>
      </c>
      <c r="CK10" s="27">
        <f t="shared" si="44"/>
        <v>0</v>
      </c>
      <c r="CL10" s="27">
        <f t="shared" si="45"/>
        <v>0</v>
      </c>
      <c r="CM10" s="27">
        <f t="shared" si="46"/>
        <v>0</v>
      </c>
      <c r="CN10" s="27">
        <f t="shared" si="47"/>
        <v>1995.7820000000002</v>
      </c>
      <c r="CO10" s="27">
        <f t="shared" si="48"/>
        <v>0</v>
      </c>
      <c r="CP10" s="107">
        <f t="shared" si="4"/>
        <v>1995.7820000000002</v>
      </c>
      <c r="CQ10" s="27"/>
      <c r="CR10" s="27"/>
      <c r="CS10" s="27"/>
      <c r="CT10" s="27"/>
      <c r="CU10" s="27"/>
      <c r="CV10" s="27"/>
      <c r="CW10" s="27"/>
      <c r="CX10" s="27"/>
      <c r="CY10" s="103">
        <f t="shared" si="49"/>
        <v>69.027599999999993</v>
      </c>
      <c r="CZ10" s="27"/>
      <c r="DA10" s="92">
        <f t="shared" si="50"/>
        <v>1238.2675999999999</v>
      </c>
      <c r="DB10" s="218">
        <f t="shared" si="51"/>
        <v>1238.2675999999999</v>
      </c>
      <c r="DC10" s="307">
        <f t="shared" si="52"/>
        <v>1069.1624609</v>
      </c>
      <c r="DD10" s="307">
        <f t="shared" si="53"/>
        <v>100.07753909999998</v>
      </c>
      <c r="DE10" s="307">
        <f t="shared" si="54"/>
        <v>0</v>
      </c>
      <c r="DF10" s="307">
        <f t="shared" si="55"/>
        <v>42917</v>
      </c>
      <c r="DG10" s="307" t="b">
        <f t="shared" ref="DG10:DG42" si="68">ROUND(SUM(DC10:DE10),0)=ROUND(DB10,0)</f>
        <v>0</v>
      </c>
      <c r="DH10" s="27">
        <f t="shared" si="56"/>
        <v>69.027599999999993</v>
      </c>
      <c r="DI10" s="96">
        <f t="shared" si="57"/>
        <v>69.027599999999993</v>
      </c>
      <c r="DJ10" s="101" t="e">
        <f t="shared" si="58"/>
        <v>#DIV/0!</v>
      </c>
      <c r="DK10" s="92">
        <f t="shared" si="59"/>
        <v>0</v>
      </c>
      <c r="DL10" s="96">
        <f t="shared" si="60"/>
        <v>0</v>
      </c>
      <c r="DM10" s="101">
        <f t="shared" si="61"/>
        <v>0</v>
      </c>
      <c r="DN10" s="292">
        <v>1238.2675999999999</v>
      </c>
      <c r="DO10" s="96">
        <f t="shared" si="62"/>
        <v>1238.2675999999999</v>
      </c>
      <c r="DP10" s="294">
        <v>0.56313643126653434</v>
      </c>
      <c r="DQ10" s="29"/>
      <c r="DR10" s="32"/>
      <c r="DS10" s="32"/>
      <c r="DT10" s="32"/>
      <c r="DU10" s="32"/>
      <c r="DV10" s="29"/>
      <c r="DW10" s="320"/>
      <c r="DX10" s="321"/>
      <c r="DY10" s="321"/>
      <c r="DZ10" s="321"/>
      <c r="EA10" s="321"/>
      <c r="EB10" s="321"/>
      <c r="EC10" s="321"/>
      <c r="ED10" s="321"/>
      <c r="EE10" s="321"/>
      <c r="EF10" s="321"/>
      <c r="EG10" s="321"/>
      <c r="EH10" s="321"/>
      <c r="EI10" s="322"/>
      <c r="EJ10" s="323"/>
      <c r="EK10" s="332">
        <f t="shared" ref="EK10:EK34" si="69">IF(AND(DU75="Fresh Start",A10&gt;2019),AV10,IF(BD10-(AT10-AX10)&lt;0,0,BD10-(AT10-AX10)))</f>
        <v>0.11839999999999999</v>
      </c>
      <c r="EL10" s="332">
        <f t="shared" si="63"/>
        <v>1.7200000000000007E-2</v>
      </c>
      <c r="EM10" s="332" t="e">
        <f t="shared" ref="EM10:EM39" si="70">DI10/$DG10</f>
        <v>#DIV/0!</v>
      </c>
      <c r="EN10" s="332">
        <f t="shared" si="64"/>
        <v>0</v>
      </c>
      <c r="EO10" s="332">
        <v>0.14560000000000001</v>
      </c>
      <c r="EP10" s="332">
        <v>0.13919473544364294</v>
      </c>
      <c r="EQ10" s="333" t="e">
        <f t="shared" ref="EQ10:EQ39" si="71">SUM(EK10:EM10)</f>
        <v>#DIV/0!</v>
      </c>
      <c r="ER10" s="277"/>
      <c r="ES10" s="30">
        <v>1</v>
      </c>
      <c r="ET10" s="69">
        <f>AA9*AL9+SUM(BP10,BR10,BT10,BV10,BY10,BZ10,CB10,CF10,CH10,CL10,CJ10,CC10,CG10,CI10)*AA9/2</f>
        <v>1760.1740625</v>
      </c>
      <c r="EU10" s="69">
        <f>AL10-AL9-SUM(BP10,BR10,BT10,BV10,BY10,BZ10,CB10,CF10,CH10,CL10,CJ10,CC10,CG10,CI10)</f>
        <v>2791.2160000000008</v>
      </c>
      <c r="EV10" s="69">
        <f t="shared" ref="EV10:EV39" si="72">EU10-ET10</f>
        <v>1031.0419375000008</v>
      </c>
      <c r="EW10" s="69">
        <f t="shared" ref="EW10:EW39" si="73">EV10*4/5</f>
        <v>824.83355000000063</v>
      </c>
      <c r="EX10" s="69">
        <v>-1216.527</v>
      </c>
      <c r="EY10" s="69">
        <v>-1117.047</v>
      </c>
      <c r="EZ10" s="69">
        <v>0</v>
      </c>
      <c r="FA10" s="69">
        <f t="shared" ref="FA10:FA39" si="74">SUM(EW10:EZ10)</f>
        <v>-1508.7404499999993</v>
      </c>
      <c r="FB10" s="29"/>
      <c r="FC10" s="29"/>
      <c r="FD10" s="29"/>
      <c r="FE10" s="29"/>
      <c r="FF10" s="29"/>
      <c r="FG10" s="29"/>
      <c r="FH10" s="29"/>
      <c r="FI10" s="29"/>
      <c r="FJ10" s="29"/>
      <c r="FK10" s="29"/>
      <c r="FL10" s="29"/>
      <c r="FM10" s="27">
        <f t="shared" si="27"/>
        <v>18565.938000000002</v>
      </c>
      <c r="FN10" s="29"/>
      <c r="FO10" s="301"/>
      <c r="FP10" s="89"/>
      <c r="FQ10" s="27"/>
      <c r="FR10" s="302"/>
      <c r="FS10" s="89"/>
      <c r="FT10" s="89"/>
      <c r="FU10" s="29"/>
      <c r="FV10" s="137"/>
      <c r="FW10" s="48"/>
      <c r="FX10" s="29"/>
      <c r="FY10" s="29"/>
      <c r="FZ10" s="29"/>
      <c r="GA10" s="29"/>
      <c r="GB10" s="29"/>
      <c r="GC10" s="29"/>
      <c r="GD10" s="29"/>
      <c r="GE10" s="29"/>
      <c r="GF10" s="29"/>
      <c r="GG10" s="29"/>
      <c r="GH10" s="29"/>
      <c r="GI10" s="29"/>
      <c r="GJ10" s="29"/>
      <c r="GK10" s="29"/>
      <c r="GL10" s="29"/>
      <c r="GM10" s="29"/>
      <c r="GN10" s="29"/>
      <c r="GO10" s="29"/>
      <c r="GP10" s="29"/>
      <c r="GQ10" s="29"/>
      <c r="GR10" s="29"/>
      <c r="GS10" s="29"/>
      <c r="GT10" s="29"/>
      <c r="GU10" s="29"/>
      <c r="GV10" s="29"/>
      <c r="GW10" s="29"/>
      <c r="GX10" s="29"/>
      <c r="GY10" s="29"/>
      <c r="GZ10" s="29"/>
      <c r="HA10" s="29"/>
      <c r="HB10" s="29"/>
      <c r="HC10" s="29"/>
      <c r="HD10" s="29"/>
      <c r="HE10" s="29">
        <f t="shared" si="32"/>
        <v>0</v>
      </c>
      <c r="HF10" s="29"/>
      <c r="HG10" s="29"/>
      <c r="HH10" s="29"/>
      <c r="HI10" s="29"/>
      <c r="HJ10" s="29"/>
      <c r="HK10" s="29"/>
      <c r="HL10" s="29"/>
      <c r="HM10" s="29"/>
      <c r="HN10" s="29"/>
      <c r="HO10" s="29"/>
      <c r="HP10" s="29"/>
      <c r="HQ10" s="29"/>
      <c r="HR10" s="29"/>
      <c r="HS10" s="29"/>
      <c r="HT10" s="29"/>
      <c r="HU10" s="29"/>
      <c r="HV10" s="29"/>
      <c r="HW10" s="29"/>
      <c r="HX10" s="29"/>
      <c r="HY10" s="29"/>
      <c r="HZ10" s="29"/>
      <c r="IA10" s="29"/>
      <c r="IB10" s="29"/>
      <c r="IC10" s="29"/>
      <c r="ID10" s="29"/>
      <c r="IE10" s="29"/>
      <c r="IF10" s="29"/>
      <c r="IG10" s="29"/>
      <c r="IH10" s="29"/>
      <c r="II10" s="29"/>
      <c r="IJ10" s="29"/>
      <c r="IK10" s="29"/>
      <c r="IL10" s="48"/>
      <c r="IM10" s="48"/>
      <c r="IN10" s="48"/>
      <c r="IO10" s="48"/>
      <c r="IP10" s="48"/>
      <c r="IQ10" s="48"/>
      <c r="IR10" s="48"/>
      <c r="IS10" s="48"/>
      <c r="IT10" s="48"/>
      <c r="IU10" s="48"/>
      <c r="IV10" s="48"/>
      <c r="IW10" s="48"/>
      <c r="IX10" s="48"/>
      <c r="IY10" s="48"/>
      <c r="IZ10" s="48"/>
      <c r="JA10" s="48"/>
      <c r="JB10" s="48"/>
      <c r="JC10" s="48"/>
      <c r="JD10" s="48"/>
      <c r="JE10" s="48"/>
      <c r="JF10" s="48"/>
      <c r="JG10" s="48"/>
      <c r="JH10" s="48"/>
      <c r="JI10" s="48"/>
      <c r="JJ10" s="48"/>
      <c r="JK10" s="48"/>
      <c r="JL10" s="48"/>
      <c r="JM10" s="48"/>
      <c r="JN10" s="48"/>
      <c r="JO10" s="48"/>
      <c r="JP10" s="48"/>
      <c r="JQ10" s="48"/>
      <c r="JR10" s="48"/>
      <c r="JS10" s="48"/>
      <c r="JT10" s="48"/>
      <c r="JU10" s="48"/>
      <c r="JV10" s="48"/>
      <c r="JW10" s="48"/>
      <c r="JX10" s="48"/>
      <c r="JY10" s="48"/>
      <c r="JZ10" s="48"/>
      <c r="KA10" s="48"/>
      <c r="KB10" s="48"/>
      <c r="KC10" s="48"/>
      <c r="KD10" s="48"/>
      <c r="KE10" s="48"/>
      <c r="KF10" s="48"/>
      <c r="KG10" s="48"/>
      <c r="KH10" s="48"/>
      <c r="KI10" s="48"/>
      <c r="KJ10" s="48"/>
      <c r="KK10" s="48"/>
      <c r="KL10" s="48"/>
      <c r="KM10" s="48"/>
      <c r="KN10" s="48"/>
      <c r="KO10" s="48"/>
      <c r="KP10" s="48"/>
      <c r="KQ10" s="48"/>
      <c r="KR10" s="48"/>
      <c r="KS10" s="48"/>
      <c r="KT10" s="48"/>
      <c r="KU10" s="48"/>
      <c r="KV10" s="48"/>
      <c r="KW10" s="48"/>
      <c r="KX10" s="48"/>
      <c r="KY10" s="48"/>
      <c r="KZ10" s="48"/>
      <c r="LA10" s="48"/>
      <c r="LB10" s="48"/>
      <c r="LC10" s="48"/>
      <c r="LD10" s="48"/>
      <c r="LE10" s="48"/>
      <c r="LF10" s="48"/>
      <c r="LG10" s="48"/>
      <c r="LH10" s="48"/>
      <c r="LI10" s="48"/>
      <c r="LJ10" s="48"/>
      <c r="LK10" s="48"/>
      <c r="LL10" s="48"/>
      <c r="LM10" s="48"/>
      <c r="LN10" s="48"/>
      <c r="LO10" s="48"/>
      <c r="LP10" s="46">
        <f t="shared" si="33"/>
        <v>0.73751863880457136</v>
      </c>
      <c r="LQ10" s="47">
        <f t="shared" si="34"/>
        <v>0.90472184129921518</v>
      </c>
      <c r="LS10" s="48"/>
      <c r="LT10" s="28" t="s">
        <v>72</v>
      </c>
      <c r="LU10" s="161">
        <v>1.5166666666666668E-3</v>
      </c>
      <c r="LV10" s="111">
        <f t="shared" ref="LV10:LV39" si="75">IF($DU$30="DC",LU10,LU10*(2.14%-$DU$33)/2.14%)</f>
        <v>2.4588759550450067E-19</v>
      </c>
      <c r="LW10" s="152">
        <f t="shared" si="18"/>
        <v>0</v>
      </c>
      <c r="LX10" s="223" t="e">
        <f>LX9*(1+#REF!)</f>
        <v>#REF!</v>
      </c>
      <c r="LY10" s="153"/>
      <c r="LZ10" s="124">
        <f t="shared" ref="LZ10:LZ39" si="76">AC10 - (AC9*(1+$DU$24)+(AF9+AG9)*(1+$DU$24)^0.5+(BP10+BR10)*(1+$DU$24)^$MA$5)</f>
        <v>1640.556418846536</v>
      </c>
      <c r="MA10" s="125">
        <f t="shared" ref="MA10:MA39" si="77">AK10-(AK9*(1+$DU$24)+SUM(BV10:CK10)*(1+$DU$24)^0.5+(BP10+BR10+CO10+BT10)*(1+$DU$24)^$MA$5)</f>
        <v>1147.7625092403359</v>
      </c>
      <c r="ME10" s="161" t="str">
        <f>DR84</f>
        <v>Year of Additional Slowdown</v>
      </c>
      <c r="MF10" s="449">
        <f>DU84</f>
        <v>20</v>
      </c>
      <c r="MG10" s="39"/>
      <c r="MH10" s="39"/>
      <c r="MI10" s="39"/>
      <c r="MK10" s="100">
        <f t="shared" ref="MK10:MK21" si="78">MK9+0.0025</f>
        <v>5.0000000000000001E-3</v>
      </c>
      <c r="ML10" s="100">
        <f t="shared" ref="ML10:ML16" si="79">$ML$17*($MK10/$MK$17)</f>
        <v>2.938467032178849E-2</v>
      </c>
      <c r="MM10" s="100">
        <f t="shared" ref="MM10:MM21" si="80">ML10*(1+MU$7)</f>
        <v>3.0206095685335641E-2</v>
      </c>
      <c r="MN10" s="100">
        <f t="shared" si="36"/>
        <v>3.1074766355140192E-2</v>
      </c>
      <c r="MO10" s="100">
        <f t="shared" si="37"/>
        <v>3.1980550939539422E-2</v>
      </c>
      <c r="MP10" s="100">
        <f t="shared" si="38"/>
        <v>3.2925267387570956E-2</v>
      </c>
      <c r="MQ10" s="100">
        <f t="shared" si="39"/>
        <v>3.3910827036769307E-2</v>
      </c>
      <c r="MS10" s="28">
        <f>MS9+1</f>
        <v>63</v>
      </c>
      <c r="MT10" s="28">
        <f>(1+MT$6)*MT9/1.0725</f>
        <v>0.93240093240093236</v>
      </c>
      <c r="MU10" s="28">
        <f>(1+MU$6)*MU9/1.0725</f>
        <v>0.93552447552447549</v>
      </c>
      <c r="MV10" s="28">
        <f>(1+MV$6)*MV9/1.0725</f>
        <v>0.93864801864801861</v>
      </c>
      <c r="MW10" s="28">
        <f t="shared" ref="MW10:MY10" si="81">(1+MW$6)*MW9/1.0725</f>
        <v>0.94177156177156163</v>
      </c>
      <c r="MX10" s="28">
        <f t="shared" si="81"/>
        <v>0.94489510489510498</v>
      </c>
      <c r="MY10" s="28">
        <f t="shared" si="81"/>
        <v>0.9480186480186481</v>
      </c>
    </row>
    <row r="11" spans="1:375" s="34" customFormat="1" ht="12.45" customHeight="1" x14ac:dyDescent="0.3">
      <c r="A11" s="348">
        <f>YEAR(C11)+2</f>
        <v>2020</v>
      </c>
      <c r="B11" s="348">
        <f t="shared" si="2"/>
        <v>2018</v>
      </c>
      <c r="C11" s="26">
        <v>43282</v>
      </c>
      <c r="D11" s="349">
        <v>9183</v>
      </c>
      <c r="E11" s="27">
        <f>D11</f>
        <v>9183</v>
      </c>
      <c r="F11" s="27">
        <f t="shared" si="21"/>
        <v>0</v>
      </c>
      <c r="G11" s="27"/>
      <c r="H11" s="27"/>
      <c r="I11" s="350">
        <v>8500.0190000000002</v>
      </c>
      <c r="J11" s="68">
        <v>6070.9514849999996</v>
      </c>
      <c r="K11" s="68">
        <f t="shared" si="66"/>
        <v>2429.0675150000006</v>
      </c>
      <c r="L11" s="290">
        <f>I11*S11-MIN((J10+K10+L10)*(1+IF(YEAR(C11)&lt;=2023,$DU$55,$DU$56))-J11-I11*S11,0)</f>
        <v>0</v>
      </c>
      <c r="M11" s="290"/>
      <c r="N11" s="351">
        <v>246.536</v>
      </c>
      <c r="O11" s="352">
        <v>1465.317</v>
      </c>
      <c r="P11" s="352"/>
      <c r="Q11" s="352">
        <v>501.03699999999998</v>
      </c>
      <c r="R11" s="254">
        <f t="shared" si="3"/>
        <v>1</v>
      </c>
      <c r="S11" s="251">
        <v>0</v>
      </c>
      <c r="T11" s="255">
        <v>7.2499999999999995E-2</v>
      </c>
      <c r="U11" s="111"/>
      <c r="V11" s="68">
        <f t="shared" si="5"/>
        <v>49104.762999999999</v>
      </c>
      <c r="W11" s="353">
        <v>49104.762999999999</v>
      </c>
      <c r="X11" s="353"/>
      <c r="Y11" s="355">
        <f t="shared" si="30"/>
        <v>872.95195130000002</v>
      </c>
      <c r="Z11" s="27"/>
      <c r="AA11" s="255">
        <f t="shared" si="6"/>
        <v>7.2499999999999995E-2</v>
      </c>
      <c r="AB11" s="27"/>
      <c r="AC11" s="167">
        <f t="shared" si="7"/>
        <v>49104.762999999999</v>
      </c>
      <c r="AD11" s="68">
        <f t="shared" si="8"/>
        <v>49104.762999999999</v>
      </c>
      <c r="AE11" s="68"/>
      <c r="AF11" s="68">
        <f t="shared" si="9"/>
        <v>872.95195130000002</v>
      </c>
      <c r="AG11" s="27"/>
      <c r="AH11" s="68">
        <f t="shared" si="10"/>
        <v>27030.937000000002</v>
      </c>
      <c r="AI11" s="68">
        <f>27030937/1000</f>
        <v>27030.937000000002</v>
      </c>
      <c r="AJ11" s="27"/>
      <c r="AK11" s="68">
        <f t="shared" si="11"/>
        <v>26414.916000000001</v>
      </c>
      <c r="AL11" s="353">
        <v>26414.916000000001</v>
      </c>
      <c r="AM11" s="353"/>
      <c r="AN11" s="256">
        <v>7.9100000000000004E-2</v>
      </c>
      <c r="AO11" s="27">
        <f t="shared" si="41"/>
        <v>22073.825999999997</v>
      </c>
      <c r="AP11" s="27">
        <f t="shared" si="12"/>
        <v>22689.846999999998</v>
      </c>
      <c r="AQ11" s="67">
        <f t="shared" si="22"/>
        <v>0.55047484904875732</v>
      </c>
      <c r="AR11" s="67">
        <f t="shared" si="23"/>
        <v>0.53792981344803559</v>
      </c>
      <c r="AS11" s="67"/>
      <c r="AT11" s="354">
        <v>0.1066</v>
      </c>
      <c r="AU11" s="354"/>
      <c r="AV11" s="296"/>
      <c r="AW11" s="296"/>
      <c r="AX11" s="111">
        <f t="shared" ref="AX11:AX43" si="82">$DU$39</f>
        <v>0.09</v>
      </c>
      <c r="AY11" s="111"/>
      <c r="AZ11" s="111"/>
      <c r="BA11" s="256">
        <f t="shared" si="24"/>
        <v>1.6600000000000004E-2</v>
      </c>
      <c r="BB11" s="111"/>
      <c r="BC11" s="128">
        <f t="shared" ref="BC11:BC42" si="83">IF(A11&lt;=2024,BC10+$DU$40,IF(AQ10&lt;$DU$41,BC10,BC10-$DU$40))</f>
        <v>0.14560000000000001</v>
      </c>
      <c r="BD11" s="128">
        <f t="shared" si="25"/>
        <v>0.14560000000000001</v>
      </c>
      <c r="BE11" s="402">
        <f t="shared" si="15"/>
        <v>0.129</v>
      </c>
      <c r="BF11" s="402"/>
      <c r="BG11" s="333">
        <f t="shared" si="16"/>
        <v>9.5600000000000004E-2</v>
      </c>
      <c r="BH11" s="402">
        <f t="shared" si="26"/>
        <v>0.14560000000000001</v>
      </c>
      <c r="BI11" s="152">
        <f t="shared" si="42"/>
        <v>16.310688830183942</v>
      </c>
      <c r="BJ11" s="100">
        <f t="shared" si="43"/>
        <v>4.4303797468354444E-2</v>
      </c>
      <c r="BK11" s="27">
        <f t="shared" si="67"/>
        <v>27.163590144306895</v>
      </c>
      <c r="BL11" s="27">
        <f t="shared" si="17"/>
        <v>28</v>
      </c>
      <c r="BM11" s="27">
        <f t="shared" si="31"/>
        <v>27.441231439450029</v>
      </c>
      <c r="BN11" s="27"/>
      <c r="BO11" s="413">
        <f>LOG(1.0725)</f>
        <v>3.0397300856761861E-2</v>
      </c>
      <c r="BP11" s="355">
        <f>-(3426.65+22.639+1.534)</f>
        <v>-3450.8230000000003</v>
      </c>
      <c r="BQ11" s="355"/>
      <c r="BR11" s="353">
        <v>-113.867</v>
      </c>
      <c r="BS11" s="353"/>
      <c r="BT11" s="353">
        <v>-14.657999999999999</v>
      </c>
      <c r="BU11" s="353"/>
      <c r="BV11" s="356">
        <f>868.681</f>
        <v>868.68100000000004</v>
      </c>
      <c r="BW11" s="297"/>
      <c r="BX11" s="297"/>
      <c r="BY11" s="297"/>
      <c r="BZ11" s="297">
        <f t="shared" ref="BZ11:BZ42" si="84">AT9*I11-BV11</f>
        <v>4.2709512999999788</v>
      </c>
      <c r="CA11" s="297"/>
      <c r="CB11" s="353">
        <f>1300.832-BZ11-CE11-CF11-CH11</f>
        <v>1296.5610487000001</v>
      </c>
      <c r="CC11" s="353"/>
      <c r="CD11" s="297"/>
      <c r="CE11" s="297"/>
      <c r="CF11" s="297"/>
      <c r="CG11" s="297"/>
      <c r="CH11" s="297"/>
      <c r="CI11" s="297"/>
      <c r="CJ11" s="404">
        <v>104.974</v>
      </c>
      <c r="CK11" s="27">
        <f t="shared" si="44"/>
        <v>0</v>
      </c>
      <c r="CL11" s="27">
        <f t="shared" si="45"/>
        <v>0</v>
      </c>
      <c r="CM11" s="27">
        <f t="shared" si="46"/>
        <v>0</v>
      </c>
      <c r="CN11" s="27">
        <f t="shared" si="47"/>
        <v>2274.4870000000001</v>
      </c>
      <c r="CO11" s="27">
        <f t="shared" si="48"/>
        <v>0</v>
      </c>
      <c r="CP11" s="27">
        <f t="shared" si="4"/>
        <v>2274.4870000000001</v>
      </c>
      <c r="CQ11" s="27"/>
      <c r="CR11" s="27"/>
      <c r="CS11" s="27"/>
      <c r="CT11" s="27"/>
      <c r="CU11" s="27"/>
      <c r="CV11" s="27"/>
      <c r="CW11" s="27"/>
      <c r="CX11" s="27"/>
      <c r="CY11" s="103">
        <f t="shared" si="49"/>
        <v>73.26585</v>
      </c>
      <c r="CZ11" s="27"/>
      <c r="DA11" s="92">
        <f t="shared" si="50"/>
        <v>1479.07185</v>
      </c>
      <c r="DB11" s="218">
        <f t="shared" si="51"/>
        <v>1479.07185</v>
      </c>
      <c r="DC11" s="357">
        <f t="shared" si="52"/>
        <v>1296.5610487000001</v>
      </c>
      <c r="DD11" s="357">
        <f t="shared" si="53"/>
        <v>109.24495129999998</v>
      </c>
      <c r="DE11" s="357">
        <f t="shared" si="54"/>
        <v>0</v>
      </c>
      <c r="DF11" s="357">
        <f t="shared" si="55"/>
        <v>43282</v>
      </c>
      <c r="DG11" s="357" t="b">
        <f t="shared" si="68"/>
        <v>0</v>
      </c>
      <c r="DH11" s="27">
        <f t="shared" si="56"/>
        <v>73.26585</v>
      </c>
      <c r="DI11" s="96">
        <f t="shared" si="57"/>
        <v>73.26585</v>
      </c>
      <c r="DJ11" s="101" t="e">
        <f t="shared" si="58"/>
        <v>#DIV/0!</v>
      </c>
      <c r="DK11" s="27">
        <f t="shared" si="59"/>
        <v>0</v>
      </c>
      <c r="DL11" s="96">
        <f t="shared" si="60"/>
        <v>0</v>
      </c>
      <c r="DM11" s="101">
        <f t="shared" si="61"/>
        <v>0</v>
      </c>
      <c r="DN11" s="352">
        <v>1479.07185</v>
      </c>
      <c r="DO11" s="96">
        <f t="shared" si="62"/>
        <v>1479.07185</v>
      </c>
      <c r="DP11" s="358">
        <v>0.55047484904875732</v>
      </c>
      <c r="DQ11" s="27"/>
      <c r="DR11" s="359"/>
      <c r="DS11" s="359"/>
      <c r="DT11" s="359"/>
      <c r="DU11" s="359"/>
      <c r="DV11" s="27"/>
      <c r="DW11" s="360"/>
      <c r="DX11" s="360"/>
      <c r="DY11" s="360"/>
      <c r="DZ11" s="360"/>
      <c r="EA11" s="360"/>
      <c r="EB11" s="360"/>
      <c r="EC11" s="360"/>
      <c r="ED11" s="360"/>
      <c r="EE11" s="360"/>
      <c r="EF11" s="360"/>
      <c r="EG11" s="360"/>
      <c r="EH11" s="360"/>
      <c r="EI11" s="360"/>
      <c r="EJ11" s="361"/>
      <c r="EK11" s="362">
        <f t="shared" si="69"/>
        <v>0.129</v>
      </c>
      <c r="EL11" s="362">
        <f t="shared" si="63"/>
        <v>1.6600000000000004E-2</v>
      </c>
      <c r="EM11" s="362" t="e">
        <f t="shared" si="70"/>
        <v>#DIV/0!</v>
      </c>
      <c r="EN11" s="362">
        <f t="shared" si="64"/>
        <v>0</v>
      </c>
      <c r="EO11" s="362">
        <v>0.15560000000000002</v>
      </c>
      <c r="EP11" s="362">
        <v>0.14441113135963379</v>
      </c>
      <c r="EQ11" s="363" t="e">
        <f t="shared" si="71"/>
        <v>#DIV/0!</v>
      </c>
      <c r="ER11" s="277"/>
      <c r="ES11" s="277">
        <v>2</v>
      </c>
      <c r="ET11" s="69">
        <f t="shared" ref="ET11:ET44" si="85">AA10*AL10+SUM(BP11,BR11,BT11,BV11,BY11,BZ11,CB11,CF11,CH11,CL11,CJ11,CC11,CG11,CI11)*AA10/2</f>
        <v>1818.32889125</v>
      </c>
      <c r="EU11" s="68">
        <f t="shared" ref="EU11:EU44" si="86">AL11-AL10-SUM(BP11,BR11,BT11,BV11,BY11,BZ11,CB11,CF11,CH11,CL11,CJ11,CC11,CG11,CI11)</f>
        <v>1986.9479999999999</v>
      </c>
      <c r="EV11" s="68">
        <f t="shared" si="72"/>
        <v>168.6191087499999</v>
      </c>
      <c r="EW11" s="68">
        <f t="shared" si="73"/>
        <v>134.89528699999991</v>
      </c>
      <c r="EX11" s="68">
        <f t="shared" ref="EX11:EX39" si="87">EW10*(3/4)</f>
        <v>618.62516250000044</v>
      </c>
      <c r="EY11" s="68">
        <f>EX10*(2/3)</f>
        <v>-811.01800000000003</v>
      </c>
      <c r="EZ11" s="68">
        <f>EY10*(1/2)</f>
        <v>-558.52350000000001</v>
      </c>
      <c r="FA11" s="68">
        <f t="shared" si="74"/>
        <v>-616.02105049999966</v>
      </c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>
        <f t="shared" si="27"/>
        <v>21133.154999999999</v>
      </c>
      <c r="FN11" s="27"/>
      <c r="FO11" s="301"/>
      <c r="FP11" s="89"/>
      <c r="FQ11" s="27">
        <f>IF($DU$71="Statutory",BL11,$DU$67)</f>
        <v>20</v>
      </c>
      <c r="FR11" s="302">
        <f t="shared" ref="FR11:FR45" si="88">-PV((((1+$T11)/(1+$DU$69))-1),$FQ11,1,0,1)/((1+$T11)^0.5)</f>
        <v>13.196553770067565</v>
      </c>
      <c r="FS11" s="89">
        <f t="shared" ref="FS11:FS39" si="89">FM11/FR11</f>
        <v>1601.4146850925763</v>
      </c>
      <c r="FT11" s="89"/>
      <c r="FU11" s="27">
        <f t="shared" ref="FU11:FU39" si="90">FQ11</f>
        <v>20</v>
      </c>
      <c r="FV11" s="63">
        <f t="shared" ref="FV11:FV45" si="91">-PV((((1+$T11)/(1+$DU$69))-1),$FU11,1,0,1)/((1+$T11)^0.5)</f>
        <v>13.196553770067565</v>
      </c>
      <c r="FW11" s="89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27"/>
      <c r="GJ11" s="27"/>
      <c r="GK11" s="27"/>
      <c r="GL11" s="27"/>
      <c r="GM11" s="27"/>
      <c r="GN11" s="27"/>
      <c r="GO11" s="27"/>
      <c r="GP11" s="27"/>
      <c r="GQ11" s="27"/>
      <c r="GR11" s="27"/>
      <c r="GS11" s="27"/>
      <c r="GT11" s="27"/>
      <c r="GU11" s="27"/>
      <c r="GV11" s="27"/>
      <c r="GW11" s="27"/>
      <c r="GX11" s="27"/>
      <c r="GY11" s="27"/>
      <c r="GZ11" s="27"/>
      <c r="HA11" s="27"/>
      <c r="HB11" s="27"/>
      <c r="HC11" s="27"/>
      <c r="HD11" s="27"/>
      <c r="HE11" s="27">
        <f t="shared" si="32"/>
        <v>20</v>
      </c>
      <c r="HF11" s="27"/>
      <c r="HG11" s="27"/>
      <c r="HH11" s="27"/>
      <c r="HI11" s="27"/>
      <c r="HJ11" s="27"/>
      <c r="HK11" s="27"/>
      <c r="HL11" s="27"/>
      <c r="HM11" s="27"/>
      <c r="HN11" s="27"/>
      <c r="HO11" s="27"/>
      <c r="HP11" s="27"/>
      <c r="HQ11" s="27"/>
      <c r="HR11" s="27"/>
      <c r="HS11" s="27"/>
      <c r="HT11" s="27"/>
      <c r="HU11" s="27"/>
      <c r="HV11" s="27"/>
      <c r="HW11" s="27"/>
      <c r="HX11" s="27"/>
      <c r="HY11" s="27"/>
      <c r="HZ11" s="27"/>
      <c r="IA11" s="27"/>
      <c r="IB11" s="27"/>
      <c r="IC11" s="27"/>
      <c r="ID11" s="27"/>
      <c r="IE11" s="27"/>
      <c r="IF11" s="27"/>
      <c r="IG11" s="27"/>
      <c r="IH11" s="27"/>
      <c r="II11" s="27"/>
      <c r="IJ11" s="27"/>
      <c r="IK11" s="27"/>
      <c r="IL11" s="89"/>
      <c r="IM11" s="89"/>
      <c r="IN11" s="89"/>
      <c r="IO11" s="89"/>
      <c r="IP11" s="89"/>
      <c r="IQ11" s="89"/>
      <c r="IR11" s="89"/>
      <c r="IS11" s="89"/>
      <c r="IT11" s="89"/>
      <c r="IU11" s="89"/>
      <c r="IV11" s="89"/>
      <c r="IW11" s="89"/>
      <c r="IX11" s="89"/>
      <c r="IY11" s="89"/>
      <c r="IZ11" s="89"/>
      <c r="JA11" s="89"/>
      <c r="JB11" s="89"/>
      <c r="JC11" s="89"/>
      <c r="JD11" s="89"/>
      <c r="JE11" s="89"/>
      <c r="JF11" s="89"/>
      <c r="JG11" s="89"/>
      <c r="JH11" s="89"/>
      <c r="JI11" s="89"/>
      <c r="JJ11" s="89"/>
      <c r="JK11" s="89"/>
      <c r="JL11" s="89"/>
      <c r="JM11" s="89"/>
      <c r="JN11" s="89"/>
      <c r="JO11" s="89"/>
      <c r="JP11" s="89"/>
      <c r="JQ11" s="89"/>
      <c r="JR11" s="89"/>
      <c r="JS11" s="89"/>
      <c r="JT11" s="89"/>
      <c r="JU11" s="89"/>
      <c r="JV11" s="89"/>
      <c r="JW11" s="89"/>
      <c r="JX11" s="89"/>
      <c r="JY11" s="89"/>
      <c r="JZ11" s="89"/>
      <c r="KA11" s="89"/>
      <c r="KB11" s="89"/>
      <c r="KC11" s="89"/>
      <c r="KD11" s="89"/>
      <c r="KE11" s="89"/>
      <c r="KF11" s="89"/>
      <c r="KG11" s="89"/>
      <c r="KH11" s="89"/>
      <c r="KI11" s="89"/>
      <c r="KJ11" s="89"/>
      <c r="KK11" s="89"/>
      <c r="KL11" s="89"/>
      <c r="KM11" s="89"/>
      <c r="KN11" s="89"/>
      <c r="KO11" s="89"/>
      <c r="KP11" s="89"/>
      <c r="KQ11" s="89"/>
      <c r="KR11" s="89"/>
      <c r="KS11" s="89"/>
      <c r="KT11" s="89"/>
      <c r="KU11" s="89"/>
      <c r="KV11" s="89"/>
      <c r="KW11" s="89"/>
      <c r="KX11" s="89"/>
      <c r="KY11" s="89"/>
      <c r="KZ11" s="89"/>
      <c r="LA11" s="89"/>
      <c r="LB11" s="89"/>
      <c r="LC11" s="89"/>
      <c r="LD11" s="89"/>
      <c r="LE11" s="89"/>
      <c r="LF11" s="89"/>
      <c r="LG11" s="89"/>
      <c r="LH11" s="89"/>
      <c r="LI11" s="89"/>
      <c r="LJ11" s="89"/>
      <c r="LK11" s="89"/>
      <c r="LL11" s="89"/>
      <c r="LM11" s="89"/>
      <c r="LN11" s="89"/>
      <c r="LO11" s="89"/>
      <c r="LP11" s="364">
        <f t="shared" si="33"/>
        <v>0.68926975589212269</v>
      </c>
      <c r="LQ11" s="364">
        <f t="shared" si="34"/>
        <v>0.88481353672294882</v>
      </c>
      <c r="LS11" s="89"/>
      <c r="LT11" s="34" t="s">
        <v>73</v>
      </c>
      <c r="LU11" s="268">
        <v>3.0333333333333336E-3</v>
      </c>
      <c r="LV11" s="111">
        <f t="shared" si="75"/>
        <v>4.9177519100900135E-19</v>
      </c>
      <c r="LW11" s="96">
        <f t="shared" si="18"/>
        <v>0</v>
      </c>
      <c r="LX11" s="223" t="e">
        <f>LX10*(1+#REF!)</f>
        <v>#REF!</v>
      </c>
      <c r="LY11" s="153"/>
      <c r="LZ11" s="124">
        <f t="shared" si="76"/>
        <v>190.14998339198064</v>
      </c>
      <c r="MA11" s="365">
        <f t="shared" si="77"/>
        <v>230.54768376089487</v>
      </c>
      <c r="MD11" s="366"/>
      <c r="MK11" s="128">
        <f t="shared" si="78"/>
        <v>7.4999999999999997E-3</v>
      </c>
      <c r="ML11" s="128">
        <f t="shared" si="79"/>
        <v>4.407700548268273E-2</v>
      </c>
      <c r="MM11" s="128">
        <f t="shared" si="80"/>
        <v>4.5309143528003457E-2</v>
      </c>
      <c r="MN11" s="128">
        <f t="shared" si="36"/>
        <v>4.6612149532710277E-2</v>
      </c>
      <c r="MO11" s="128">
        <f t="shared" si="37"/>
        <v>4.7970826409309122E-2</v>
      </c>
      <c r="MP11" s="128">
        <f t="shared" si="38"/>
        <v>4.938790108135642E-2</v>
      </c>
      <c r="MQ11" s="128">
        <f t="shared" si="39"/>
        <v>5.0866240555153951E-2</v>
      </c>
      <c r="MS11" s="34">
        <f t="shared" ref="MS11:MS32" si="92">MS10+1</f>
        <v>64</v>
      </c>
      <c r="MT11" s="34">
        <f t="shared" ref="MT11:MT32" si="93">(1+MT$6)*MT10/1.0725</f>
        <v>0.86937149874212805</v>
      </c>
      <c r="MU11" s="34">
        <f t="shared" ref="MU11:MU32" si="94">(1+MU$6)*MU10/1.0725</f>
        <v>0.87520604430534488</v>
      </c>
      <c r="MV11" s="34">
        <f t="shared" ref="MV11:MV32" si="95">(1+MV$6)*MV10/1.0725</f>
        <v>0.88106010291185111</v>
      </c>
      <c r="MW11" s="34">
        <f t="shared" ref="MW11:MW32" si="96">(1+MW$6)*MW10/1.0725</f>
        <v>0.8869336745616464</v>
      </c>
      <c r="MX11" s="34">
        <f t="shared" ref="MX11:MX32" si="97">(1+MX$6)*MX10/1.0725</f>
        <v>0.89282675925473143</v>
      </c>
      <c r="MY11" s="34">
        <f t="shared" ref="MY11:MY32" si="98">(1+MY$6)*MY10/1.0725</f>
        <v>0.8987393569911053</v>
      </c>
    </row>
    <row r="12" spans="1:375" s="30" customFormat="1" ht="12.75" customHeight="1" x14ac:dyDescent="0.3">
      <c r="A12" s="298">
        <f t="shared" ref="A12:A44" si="99">YEAR(C12)+2</f>
        <v>2021</v>
      </c>
      <c r="B12" s="348">
        <f t="shared" si="2"/>
        <v>2019</v>
      </c>
      <c r="C12" s="26">
        <v>43647</v>
      </c>
      <c r="D12" s="167">
        <f>9272010/1000</f>
        <v>9272.01</v>
      </c>
      <c r="E12" s="27">
        <f t="shared" ref="E12:E13" si="100">D12</f>
        <v>9272.01</v>
      </c>
      <c r="F12" s="107">
        <f t="shared" si="21"/>
        <v>0</v>
      </c>
      <c r="G12" s="68">
        <f>I12+O12+N12</f>
        <v>10614.167333333333</v>
      </c>
      <c r="H12" s="68">
        <f>G12</f>
        <v>10614.167333333333</v>
      </c>
      <c r="I12" s="350">
        <f>8889144/1000</f>
        <v>8889.1440000000002</v>
      </c>
      <c r="J12" s="68">
        <v>5783.4160449999999</v>
      </c>
      <c r="K12" s="68">
        <f t="shared" si="66"/>
        <v>3105.7279550000003</v>
      </c>
      <c r="L12" s="290">
        <f>I12*S12-MIN((J11+K11+L11)*(1+IF(YEAR(C12)&lt;=2023,$DU$55,$DU$56))-J12-I12*S12,0)</f>
        <v>0</v>
      </c>
      <c r="M12" s="290"/>
      <c r="N12" s="252">
        <f>N11*2/3</f>
        <v>164.35733333333334</v>
      </c>
      <c r="O12" s="352">
        <f>1560666/1000</f>
        <v>1560.6659999999999</v>
      </c>
      <c r="P12" s="352"/>
      <c r="Q12" s="352">
        <f>524435/1000</f>
        <v>524.43499999999995</v>
      </c>
      <c r="R12" s="254">
        <f t="shared" si="3"/>
        <v>1</v>
      </c>
      <c r="S12" s="251">
        <v>0</v>
      </c>
      <c r="T12" s="255">
        <v>7.2499999999999995E-2</v>
      </c>
      <c r="U12" s="111"/>
      <c r="V12" s="68">
        <f t="shared" si="5"/>
        <v>50438.807000000001</v>
      </c>
      <c r="W12" s="68">
        <f>50438807/1000</f>
        <v>50438.807000000001</v>
      </c>
      <c r="X12" s="27"/>
      <c r="Y12" s="355">
        <f t="shared" si="30"/>
        <v>952.91623680000009</v>
      </c>
      <c r="Z12" s="27"/>
      <c r="AA12" s="255">
        <f t="shared" si="6"/>
        <v>7.2499999999999995E-2</v>
      </c>
      <c r="AB12" s="27"/>
      <c r="AC12" s="167">
        <f t="shared" si="7"/>
        <v>50438.807000000001</v>
      </c>
      <c r="AD12" s="68">
        <f t="shared" si="8"/>
        <v>50438.807000000001</v>
      </c>
      <c r="AE12" s="27"/>
      <c r="AF12" s="68">
        <f t="shared" si="9"/>
        <v>952.91623680000009</v>
      </c>
      <c r="AG12" s="27"/>
      <c r="AH12" s="68">
        <f t="shared" si="10"/>
        <v>27443.804</v>
      </c>
      <c r="AI12" s="68">
        <f>27443804/1000</f>
        <v>27443.804</v>
      </c>
      <c r="AJ12" s="27"/>
      <c r="AK12" s="68">
        <f t="shared" si="11"/>
        <v>27238.916000000001</v>
      </c>
      <c r="AL12" s="68">
        <f>27238916/1000</f>
        <v>27238.916000000001</v>
      </c>
      <c r="AM12" s="27"/>
      <c r="AN12" s="256">
        <v>5.8400000000000001E-2</v>
      </c>
      <c r="AO12" s="27">
        <f t="shared" si="41"/>
        <v>22995.003000000001</v>
      </c>
      <c r="AP12" s="27">
        <f t="shared" si="12"/>
        <v>23199.891</v>
      </c>
      <c r="AQ12" s="67">
        <f t="shared" si="22"/>
        <v>0.54410097368084065</v>
      </c>
      <c r="AR12" s="146">
        <f t="shared" si="23"/>
        <v>0.5400388633299753</v>
      </c>
      <c r="AS12" s="346"/>
      <c r="AT12" s="391">
        <v>0.10639999999999999</v>
      </c>
      <c r="AU12" s="390"/>
      <c r="AV12" s="296"/>
      <c r="AW12" s="296"/>
      <c r="AX12" s="111">
        <f t="shared" si="82"/>
        <v>0.09</v>
      </c>
      <c r="AY12" s="111"/>
      <c r="AZ12" s="111"/>
      <c r="BA12" s="256">
        <f t="shared" si="24"/>
        <v>1.6399999999999998E-2</v>
      </c>
      <c r="BB12" s="111"/>
      <c r="BC12" s="128">
        <f t="shared" si="83"/>
        <v>0.15560000000000002</v>
      </c>
      <c r="BD12" s="128">
        <f t="shared" si="25"/>
        <v>0.15560000000000002</v>
      </c>
      <c r="BE12" s="402">
        <f t="shared" si="15"/>
        <v>0.13920000000000002</v>
      </c>
      <c r="BF12" s="402"/>
      <c r="BG12" s="333">
        <f t="shared" si="16"/>
        <v>0.10560000000000001</v>
      </c>
      <c r="BH12" s="402">
        <f t="shared" si="26"/>
        <v>0.15560000000000002</v>
      </c>
      <c r="BI12" s="152">
        <f t="shared" si="42"/>
        <v>16.232215599149065</v>
      </c>
      <c r="BJ12" s="100">
        <f t="shared" si="43"/>
        <v>4.4303797468354444E-2</v>
      </c>
      <c r="BK12" s="27">
        <f t="shared" si="67"/>
        <v>26.915613519471286</v>
      </c>
      <c r="BL12" s="27">
        <f t="shared" si="17"/>
        <v>27</v>
      </c>
      <c r="BM12" s="107">
        <f t="shared" si="31"/>
        <v>25.009769318254399</v>
      </c>
      <c r="BN12" s="27"/>
      <c r="BO12" s="27">
        <f>LOG(1+BJ13)</f>
        <v>1.8826857259483666E-2</v>
      </c>
      <c r="BP12" s="368">
        <f>(-2938416-22126-1244)/1000</f>
        <v>-2961.7860000000001</v>
      </c>
      <c r="BQ12" s="223"/>
      <c r="BR12" s="68">
        <f>-118067/1000</f>
        <v>-118.06699999999999</v>
      </c>
      <c r="BS12" s="68"/>
      <c r="BT12" s="68">
        <v>-15.536</v>
      </c>
      <c r="BU12" s="68"/>
      <c r="BV12" s="369">
        <f>880664/1000</f>
        <v>880.66399999999999</v>
      </c>
      <c r="BW12" s="297"/>
      <c r="BX12" s="297"/>
      <c r="BY12" s="297"/>
      <c r="BZ12" s="297">
        <f t="shared" si="84"/>
        <v>72.252236800000105</v>
      </c>
      <c r="CA12" s="297"/>
      <c r="CB12" s="353">
        <f>1450628/1000-BZ12-CE12-CF12-CH12</f>
        <v>1378.3757631999997</v>
      </c>
      <c r="CC12" s="353"/>
      <c r="CD12" s="297"/>
      <c r="CE12" s="297"/>
      <c r="CF12" s="297"/>
      <c r="CG12" s="297"/>
      <c r="CH12" s="297"/>
      <c r="CI12" s="297"/>
      <c r="CJ12" s="68">
        <f>88706/1000</f>
        <v>88.706000000000003</v>
      </c>
      <c r="CK12" s="27">
        <f t="shared" si="44"/>
        <v>0</v>
      </c>
      <c r="CL12" s="27">
        <f t="shared" si="45"/>
        <v>0</v>
      </c>
      <c r="CM12" s="27">
        <f t="shared" si="46"/>
        <v>0</v>
      </c>
      <c r="CN12" s="27">
        <f t="shared" si="47"/>
        <v>2419.998</v>
      </c>
      <c r="CO12" s="27">
        <f t="shared" si="48"/>
        <v>0</v>
      </c>
      <c r="CP12" s="107">
        <f t="shared" si="4"/>
        <v>2419.998</v>
      </c>
      <c r="CQ12" s="27"/>
      <c r="CR12" s="27"/>
      <c r="CS12" s="27"/>
      <c r="CT12" s="27" t="s">
        <v>329</v>
      </c>
      <c r="CU12" s="27"/>
      <c r="CV12" s="27"/>
      <c r="CW12" s="27"/>
      <c r="CX12" s="27"/>
      <c r="CY12" s="103">
        <f t="shared" si="49"/>
        <v>78.033299999999997</v>
      </c>
      <c r="CZ12" s="111">
        <f t="shared" ref="CZ12:CZ44" si="101">DA12/(G12+Q12)</f>
        <v>0.14520379232499156</v>
      </c>
      <c r="DA12" s="92">
        <f t="shared" si="50"/>
        <v>1617.3672999999997</v>
      </c>
      <c r="DB12" s="218">
        <f t="shared" si="51"/>
        <v>1617.3672999999997</v>
      </c>
      <c r="DC12" s="307">
        <f t="shared" si="52"/>
        <v>1348.0447561858189</v>
      </c>
      <c r="DD12" s="307">
        <f t="shared" si="53"/>
        <v>157.41636850855758</v>
      </c>
      <c r="DE12" s="307">
        <f t="shared" si="54"/>
        <v>0</v>
      </c>
      <c r="DF12" s="307">
        <f t="shared" si="55"/>
        <v>42686.552567237166</v>
      </c>
      <c r="DG12" s="307" t="b">
        <f t="shared" si="68"/>
        <v>0</v>
      </c>
      <c r="DH12" s="27">
        <f t="shared" si="56"/>
        <v>78.033299999999997</v>
      </c>
      <c r="DI12" s="96">
        <f t="shared" si="57"/>
        <v>76.31618581907091</v>
      </c>
      <c r="DJ12" s="101" t="e">
        <f t="shared" si="58"/>
        <v>#DIV/0!</v>
      </c>
      <c r="DK12" s="92">
        <f t="shared" si="59"/>
        <v>0</v>
      </c>
      <c r="DL12" s="96">
        <f t="shared" si="60"/>
        <v>0</v>
      </c>
      <c r="DM12" s="101">
        <f t="shared" si="61"/>
        <v>0</v>
      </c>
      <c r="DN12" s="292">
        <v>1617.3672999999997</v>
      </c>
      <c r="DO12" s="96">
        <f t="shared" si="62"/>
        <v>1617.3672999999997</v>
      </c>
      <c r="DP12" s="294">
        <v>0.54410097368084065</v>
      </c>
      <c r="DQ12" s="29"/>
      <c r="DR12" s="32"/>
      <c r="DS12" s="32"/>
      <c r="DT12" s="32"/>
      <c r="DU12" s="32"/>
      <c r="DV12" s="29"/>
      <c r="DW12" s="320"/>
      <c r="DX12" s="321"/>
      <c r="DY12" s="321"/>
      <c r="DZ12" s="321"/>
      <c r="EA12" s="321"/>
      <c r="EB12" s="321"/>
      <c r="EC12" s="321"/>
      <c r="ED12" s="321"/>
      <c r="EE12" s="321"/>
      <c r="EF12" s="321"/>
      <c r="EG12" s="321"/>
      <c r="EH12" s="321"/>
      <c r="EI12" s="322"/>
      <c r="EJ12" s="323"/>
      <c r="EK12" s="332">
        <f t="shared" si="69"/>
        <v>0.13920000000000002</v>
      </c>
      <c r="EL12" s="332">
        <f t="shared" si="63"/>
        <v>1.6399999999999998E-2</v>
      </c>
      <c r="EM12" s="332" t="e">
        <f t="shared" si="70"/>
        <v>#DIV/0!</v>
      </c>
      <c r="EN12" s="332">
        <f t="shared" si="64"/>
        <v>0</v>
      </c>
      <c r="EO12" s="332">
        <v>0.16560000000000002</v>
      </c>
      <c r="EP12" s="332">
        <v>0.14644827505296137</v>
      </c>
      <c r="EQ12" s="333" t="e">
        <f t="shared" si="71"/>
        <v>#DIV/0!</v>
      </c>
      <c r="ER12" s="277"/>
      <c r="ES12" s="30">
        <v>3</v>
      </c>
      <c r="ET12" s="69">
        <f t="shared" si="85"/>
        <v>1890.59848625</v>
      </c>
      <c r="EU12" s="69">
        <f t="shared" si="86"/>
        <v>1499.3910000000005</v>
      </c>
      <c r="EV12" s="69">
        <f t="shared" si="72"/>
        <v>-391.20748624999942</v>
      </c>
      <c r="EW12" s="69">
        <f t="shared" si="73"/>
        <v>-312.96598899999952</v>
      </c>
      <c r="EX12" s="69">
        <f t="shared" si="87"/>
        <v>101.17146524999993</v>
      </c>
      <c r="EY12" s="69">
        <f t="shared" ref="EY12:EY39" si="102">EX11*(2/3)</f>
        <v>412.41677500000026</v>
      </c>
      <c r="EZ12" s="69">
        <f>EY11*(1/2)</f>
        <v>-405.50900000000001</v>
      </c>
      <c r="FA12" s="69">
        <f t="shared" si="74"/>
        <v>-204.88674874999936</v>
      </c>
      <c r="FB12" s="29"/>
      <c r="FC12" s="29"/>
      <c r="FD12" s="29"/>
      <c r="FE12" s="29"/>
      <c r="FF12" s="29"/>
      <c r="FG12" s="29"/>
      <c r="FH12" s="29"/>
      <c r="FI12" s="29"/>
      <c r="FJ12" s="29"/>
      <c r="FK12" s="29"/>
      <c r="FL12" s="29"/>
      <c r="FM12" s="27">
        <f t="shared" si="27"/>
        <v>22073.825999999997</v>
      </c>
      <c r="FN12" s="29"/>
      <c r="FO12" s="301"/>
      <c r="FP12" s="89"/>
      <c r="FQ12" s="27">
        <f t="shared" ref="FQ12:FQ45" si="103">IF($DU$71="Statutory",BL12,$DU$67)</f>
        <v>20</v>
      </c>
      <c r="FR12" s="302">
        <f t="shared" si="88"/>
        <v>13.196553770067565</v>
      </c>
      <c r="FS12" s="89">
        <f t="shared" si="89"/>
        <v>1672.6962496881472</v>
      </c>
      <c r="FT12" s="89"/>
      <c r="FU12" s="29">
        <f t="shared" si="90"/>
        <v>20</v>
      </c>
      <c r="FV12" s="137">
        <f t="shared" si="91"/>
        <v>13.196553770067565</v>
      </c>
      <c r="FW12" s="48"/>
      <c r="FX12" s="29"/>
      <c r="FY12" s="29"/>
      <c r="FZ12" s="29"/>
      <c r="GA12" s="29"/>
      <c r="GB12" s="29"/>
      <c r="GC12" s="29"/>
      <c r="GD12" s="29"/>
      <c r="GE12" s="29"/>
      <c r="GF12" s="29"/>
      <c r="GG12" s="29"/>
      <c r="GH12" s="29"/>
      <c r="GI12" s="29"/>
      <c r="GJ12" s="29"/>
      <c r="GK12" s="29"/>
      <c r="GL12" s="29"/>
      <c r="GM12" s="29"/>
      <c r="GN12" s="29"/>
      <c r="GO12" s="29"/>
      <c r="GP12" s="29"/>
      <c r="GQ12" s="29"/>
      <c r="GR12" s="29"/>
      <c r="GS12" s="29"/>
      <c r="GT12" s="29"/>
      <c r="GU12" s="29"/>
      <c r="GV12" s="29"/>
      <c r="GW12" s="29"/>
      <c r="GX12" s="29"/>
      <c r="GY12" s="29"/>
      <c r="GZ12" s="29"/>
      <c r="HA12" s="29"/>
      <c r="HB12" s="29"/>
      <c r="HC12" s="29"/>
      <c r="HD12" s="29"/>
      <c r="HE12" s="29">
        <f t="shared" si="32"/>
        <v>20</v>
      </c>
      <c r="HF12" s="29"/>
      <c r="HG12" s="29"/>
      <c r="HH12" s="29"/>
      <c r="HI12" s="29"/>
      <c r="HJ12" s="29"/>
      <c r="HK12" s="29"/>
      <c r="HL12" s="29"/>
      <c r="HM12" s="29"/>
      <c r="HN12" s="29"/>
      <c r="HO12" s="29"/>
      <c r="HP12" s="29"/>
      <c r="HQ12" s="29"/>
      <c r="HR12" s="29"/>
      <c r="HS12" s="29"/>
      <c r="HT12" s="29"/>
      <c r="HU12" s="29"/>
      <c r="HV12" s="29"/>
      <c r="HW12" s="29"/>
      <c r="HX12" s="29"/>
      <c r="HY12" s="29"/>
      <c r="HZ12" s="29"/>
      <c r="IA12" s="29"/>
      <c r="IB12" s="29"/>
      <c r="IC12" s="29"/>
      <c r="ID12" s="29"/>
      <c r="IE12" s="29"/>
      <c r="IF12" s="29"/>
      <c r="IG12" s="29"/>
      <c r="IH12" s="29"/>
      <c r="II12" s="29"/>
      <c r="IJ12" s="29"/>
      <c r="IK12" s="29"/>
      <c r="IL12" s="48"/>
      <c r="IM12" s="48"/>
      <c r="IN12" s="48"/>
      <c r="IO12" s="48"/>
      <c r="IP12" s="48"/>
      <c r="IQ12" s="48"/>
      <c r="IR12" s="48"/>
      <c r="IS12" s="48"/>
      <c r="IT12" s="48"/>
      <c r="IU12" s="48"/>
      <c r="IV12" s="48"/>
      <c r="IW12" s="48"/>
      <c r="IX12" s="48"/>
      <c r="IY12" s="48"/>
      <c r="IZ12" s="48"/>
      <c r="JA12" s="48"/>
      <c r="JB12" s="48"/>
      <c r="JC12" s="48"/>
      <c r="JD12" s="48"/>
      <c r="JE12" s="48"/>
      <c r="JF12" s="48"/>
      <c r="JG12" s="48"/>
      <c r="JH12" s="48"/>
      <c r="JI12" s="48"/>
      <c r="JJ12" s="48"/>
      <c r="JK12" s="48"/>
      <c r="JL12" s="48"/>
      <c r="JM12" s="48"/>
      <c r="JN12" s="48"/>
      <c r="JO12" s="48"/>
      <c r="JP12" s="48"/>
      <c r="JQ12" s="48"/>
      <c r="JR12" s="48"/>
      <c r="JS12" s="48"/>
      <c r="JT12" s="48"/>
      <c r="JU12" s="48"/>
      <c r="JV12" s="48"/>
      <c r="JW12" s="48"/>
      <c r="JX12" s="48"/>
      <c r="JY12" s="48"/>
      <c r="JZ12" s="48"/>
      <c r="KA12" s="48"/>
      <c r="KB12" s="48"/>
      <c r="KC12" s="48"/>
      <c r="KD12" s="48"/>
      <c r="KE12" s="48"/>
      <c r="KF12" s="48"/>
      <c r="KG12" s="48"/>
      <c r="KH12" s="48"/>
      <c r="KI12" s="48"/>
      <c r="KJ12" s="48"/>
      <c r="KK12" s="48"/>
      <c r="KL12" s="48"/>
      <c r="KM12" s="48"/>
      <c r="KN12" s="48"/>
      <c r="KO12" s="48"/>
      <c r="KP12" s="48"/>
      <c r="KQ12" s="48"/>
      <c r="KR12" s="48"/>
      <c r="KS12" s="48"/>
      <c r="KT12" s="48"/>
      <c r="KU12" s="48"/>
      <c r="KV12" s="48"/>
      <c r="KW12" s="48"/>
      <c r="KX12" s="48"/>
      <c r="KY12" s="48"/>
      <c r="KZ12" s="48"/>
      <c r="LA12" s="48"/>
      <c r="LB12" s="48"/>
      <c r="LC12" s="48"/>
      <c r="LD12" s="48"/>
      <c r="LE12" s="48"/>
      <c r="LF12" s="48"/>
      <c r="LG12" s="48"/>
      <c r="LH12" s="48"/>
      <c r="LI12" s="48"/>
      <c r="LJ12" s="48"/>
      <c r="LK12" s="48"/>
      <c r="LL12" s="48"/>
      <c r="LM12" s="48"/>
      <c r="LN12" s="48"/>
      <c r="LO12" s="48"/>
      <c r="LP12" s="46">
        <f t="shared" si="33"/>
        <v>0.64417734195525478</v>
      </c>
      <c r="LQ12" s="47">
        <f t="shared" si="34"/>
        <v>0.86534331219848304</v>
      </c>
      <c r="LR12" s="28"/>
      <c r="LS12" s="48"/>
      <c r="LT12" s="28"/>
      <c r="LU12" s="161">
        <v>4.5500000000000002E-3</v>
      </c>
      <c r="LV12" s="111">
        <f t="shared" si="75"/>
        <v>7.3766278651350207E-19</v>
      </c>
      <c r="LW12" s="152">
        <f t="shared" si="18"/>
        <v>0</v>
      </c>
      <c r="LX12" s="223" t="e">
        <f>LX11*(1+#REF!)</f>
        <v>#REF!</v>
      </c>
      <c r="LY12" s="153"/>
      <c r="LZ12" s="124">
        <f t="shared" si="76"/>
        <v>179.54678549582604</v>
      </c>
      <c r="MA12" s="125">
        <f t="shared" si="77"/>
        <v>-326.41423724185006</v>
      </c>
      <c r="MB12" s="28"/>
      <c r="MC12" s="28"/>
      <c r="MD12" s="28"/>
      <c r="ME12" s="28"/>
      <c r="MF12" s="28"/>
      <c r="MG12" s="28"/>
      <c r="MH12" s="28"/>
      <c r="MI12" s="28"/>
      <c r="MJ12" s="28"/>
      <c r="MK12" s="100">
        <f t="shared" si="78"/>
        <v>0.01</v>
      </c>
      <c r="ML12" s="100">
        <f t="shared" si="79"/>
        <v>5.876934064357698E-2</v>
      </c>
      <c r="MM12" s="100">
        <f t="shared" si="80"/>
        <v>6.0412191370671282E-2</v>
      </c>
      <c r="MN12" s="100">
        <f t="shared" si="36"/>
        <v>6.2149532710280384E-2</v>
      </c>
      <c r="MO12" s="100">
        <f t="shared" si="37"/>
        <v>6.3961101879078844E-2</v>
      </c>
      <c r="MP12" s="100">
        <f t="shared" si="38"/>
        <v>6.5850534775141911E-2</v>
      </c>
      <c r="MQ12" s="100">
        <f t="shared" si="39"/>
        <v>6.7821654073538615E-2</v>
      </c>
      <c r="MR12" s="28"/>
      <c r="MS12" s="28">
        <f t="shared" si="92"/>
        <v>65</v>
      </c>
      <c r="MT12" s="28">
        <f t="shared" si="93"/>
        <v>0.81060279602995622</v>
      </c>
      <c r="MU12" s="28">
        <f t="shared" si="94"/>
        <v>0.81877667557460865</v>
      </c>
      <c r="MV12" s="28">
        <f t="shared" si="95"/>
        <v>0.82700531990802839</v>
      </c>
      <c r="MW12" s="28">
        <f t="shared" si="96"/>
        <v>0.83528891187971166</v>
      </c>
      <c r="MX12" s="28">
        <f t="shared" si="97"/>
        <v>0.84362763433915611</v>
      </c>
      <c r="MY12" s="28">
        <f t="shared" si="98"/>
        <v>0.85202167013585672</v>
      </c>
      <c r="MZ12" s="28"/>
      <c r="NA12" s="28"/>
      <c r="NB12" s="28"/>
      <c r="NC12" s="28"/>
      <c r="ND12" s="28"/>
      <c r="NE12" s="28"/>
      <c r="NF12" s="28"/>
      <c r="NG12" s="28"/>
      <c r="NH12" s="28"/>
      <c r="NI12" s="28"/>
      <c r="NJ12" s="28"/>
      <c r="NK12" s="28"/>
    </row>
    <row r="13" spans="1:375" s="30" customFormat="1" ht="13.8" x14ac:dyDescent="0.3">
      <c r="A13" s="298">
        <f t="shared" si="99"/>
        <v>2022</v>
      </c>
      <c r="B13" s="348">
        <f t="shared" si="2"/>
        <v>2020</v>
      </c>
      <c r="C13" s="367">
        <v>44013</v>
      </c>
      <c r="D13" s="167">
        <f>9788610/1000</f>
        <v>9788.61</v>
      </c>
      <c r="E13" s="27">
        <f t="shared" si="100"/>
        <v>9788.61</v>
      </c>
      <c r="F13" s="107">
        <f t="shared" si="21"/>
        <v>0</v>
      </c>
      <c r="G13" s="68">
        <f>I13+O13+N13</f>
        <v>11042.34</v>
      </c>
      <c r="H13" s="68">
        <f>G13</f>
        <v>11042.34</v>
      </c>
      <c r="I13" s="350">
        <f>9358511/1000</f>
        <v>9358.5110000000004</v>
      </c>
      <c r="J13" s="68">
        <v>5504.944563</v>
      </c>
      <c r="K13" s="68">
        <f t="shared" si="66"/>
        <v>3853.5664370000004</v>
      </c>
      <c r="L13" s="290">
        <f>I13*S13-MIN((J12+K12+L12)*(1+IF(YEAR(C13)&lt;=2023,$DU$55,$DU$56))-J13-I13*S13,0)</f>
        <v>0</v>
      </c>
      <c r="M13" s="290"/>
      <c r="N13" s="27">
        <v>0</v>
      </c>
      <c r="O13" s="352">
        <f>1683829/1000</f>
        <v>1683.829</v>
      </c>
      <c r="P13" s="352"/>
      <c r="Q13" s="352">
        <f>478868/1000</f>
        <v>478.86799999999999</v>
      </c>
      <c r="R13" s="254">
        <f t="shared" si="3"/>
        <v>1</v>
      </c>
      <c r="S13" s="251">
        <v>0</v>
      </c>
      <c r="T13" s="255">
        <v>7.2499999999999995E-2</v>
      </c>
      <c r="U13" s="111"/>
      <c r="V13" s="68">
        <f t="shared" si="5"/>
        <v>52061.245000000003</v>
      </c>
      <c r="W13" s="68">
        <f>52061245/1000</f>
        <v>52061.245000000003</v>
      </c>
      <c r="X13" s="27"/>
      <c r="Y13" s="355">
        <f t="shared" si="30"/>
        <v>997.61727260000009</v>
      </c>
      <c r="Z13" s="27"/>
      <c r="AA13" s="255">
        <f t="shared" si="6"/>
        <v>7.2499999999999995E-2</v>
      </c>
      <c r="AB13" s="27"/>
      <c r="AC13" s="167">
        <f t="shared" si="7"/>
        <v>52061.245000000003</v>
      </c>
      <c r="AD13" s="68">
        <f t="shared" si="8"/>
        <v>52061.245000000003</v>
      </c>
      <c r="AE13" s="27"/>
      <c r="AF13" s="68">
        <f t="shared" si="9"/>
        <v>997.61727260000009</v>
      </c>
      <c r="AG13" s="27"/>
      <c r="AH13" s="68">
        <f t="shared" si="10"/>
        <v>28171.964</v>
      </c>
      <c r="AI13" s="68">
        <f>28171964/1000</f>
        <v>28171.964</v>
      </c>
      <c r="AJ13" s="27"/>
      <c r="AK13" s="68">
        <f t="shared" si="11"/>
        <v>26292.418000000001</v>
      </c>
      <c r="AL13" s="68">
        <f>26292418/1000</f>
        <v>26292.418000000001</v>
      </c>
      <c r="AM13" s="27"/>
      <c r="AN13" s="256">
        <v>-1.5800000000000002E-2</v>
      </c>
      <c r="AO13" s="27">
        <f t="shared" si="41"/>
        <v>23889.281000000003</v>
      </c>
      <c r="AP13" s="223">
        <f t="shared" si="12"/>
        <v>25768.827000000001</v>
      </c>
      <c r="AQ13" s="67">
        <f t="shared" si="22"/>
        <v>0.54113120037755524</v>
      </c>
      <c r="AR13" s="146">
        <f t="shared" si="23"/>
        <v>0.50502860621178003</v>
      </c>
      <c r="AS13" s="346"/>
      <c r="AT13" s="391">
        <v>0.10630000000000001</v>
      </c>
      <c r="AU13" s="390"/>
      <c r="AV13" s="296"/>
      <c r="AW13" s="296"/>
      <c r="AX13" s="111">
        <f t="shared" si="82"/>
        <v>0.09</v>
      </c>
      <c r="AY13" s="111"/>
      <c r="AZ13" s="111"/>
      <c r="BA13" s="256">
        <f t="shared" si="24"/>
        <v>1.6300000000000009E-2</v>
      </c>
      <c r="BB13" s="111"/>
      <c r="BC13" s="128">
        <f t="shared" si="83"/>
        <v>0.16560000000000002</v>
      </c>
      <c r="BD13" s="128">
        <f t="shared" ref="BD13:BD42" si="104">IF(BK13&lt;=BL13,BC13,BD12+$DU$40)</f>
        <v>0.16560000000000002</v>
      </c>
      <c r="BE13" s="402">
        <f t="shared" si="15"/>
        <v>0.14930000000000002</v>
      </c>
      <c r="BF13" s="402"/>
      <c r="BG13" s="333">
        <f t="shared" si="16"/>
        <v>0.11560000000000002</v>
      </c>
      <c r="BH13" s="402">
        <f t="shared" si="26"/>
        <v>0.16560000000000002</v>
      </c>
      <c r="BI13" s="152">
        <f t="shared" si="42"/>
        <v>14.888654545225148</v>
      </c>
      <c r="BJ13" s="100">
        <f t="shared" si="43"/>
        <v>4.4303797468354444E-2</v>
      </c>
      <c r="BK13" s="27">
        <f t="shared" si="67"/>
        <v>23.037695553542932</v>
      </c>
      <c r="BL13" s="27">
        <f t="shared" si="17"/>
        <v>26</v>
      </c>
      <c r="BM13" s="107">
        <f t="shared" si="31"/>
        <v>21.685662343817107</v>
      </c>
      <c r="BN13" s="27"/>
      <c r="BO13" s="27">
        <f>LOG((1+BJ13)/(1+BJ13-BI13*BJ13))/LOG(1+BJ13)</f>
        <v>23.037695553542932</v>
      </c>
      <c r="BP13" s="167">
        <f>(-3007545-23041-1547)/1000</f>
        <v>-3032.1329999999998</v>
      </c>
      <c r="BQ13" s="27"/>
      <c r="BR13" s="68">
        <f>-117860/1000</f>
        <v>-117.86</v>
      </c>
      <c r="BS13" s="68"/>
      <c r="BT13" s="68">
        <f>-14218/1000</f>
        <v>-14.218</v>
      </c>
      <c r="BU13" s="68"/>
      <c r="BV13" s="369">
        <f>922539/1000</f>
        <v>922.53899999999999</v>
      </c>
      <c r="BW13" s="297"/>
      <c r="BX13" s="297"/>
      <c r="BY13" s="297"/>
      <c r="BZ13" s="297">
        <f t="shared" si="84"/>
        <v>75.078272600000105</v>
      </c>
      <c r="CA13" s="297"/>
      <c r="CB13" s="353">
        <f>1648048/1000-BZ13-CE13-CF13-CH13</f>
        <v>1572.9697274</v>
      </c>
      <c r="CC13" s="353"/>
      <c r="CD13" s="297"/>
      <c r="CE13" s="297"/>
      <c r="CF13" s="297"/>
      <c r="CG13" s="297"/>
      <c r="CH13" s="297"/>
      <c r="CI13" s="297"/>
      <c r="CJ13" s="68">
        <f>88706/1000</f>
        <v>88.706000000000003</v>
      </c>
      <c r="CK13" s="27">
        <f t="shared" si="44"/>
        <v>0</v>
      </c>
      <c r="CL13" s="27">
        <f t="shared" si="45"/>
        <v>0</v>
      </c>
      <c r="CM13" s="27">
        <f t="shared" si="46"/>
        <v>0</v>
      </c>
      <c r="CN13" s="27">
        <f t="shared" si="47"/>
        <v>2659.2930000000001</v>
      </c>
      <c r="CO13" s="27">
        <f t="shared" si="48"/>
        <v>0</v>
      </c>
      <c r="CP13" s="107">
        <f t="shared" si="4"/>
        <v>2659.2930000000001</v>
      </c>
      <c r="CQ13" s="27" t="s">
        <v>297</v>
      </c>
      <c r="CR13" s="27" t="s">
        <v>297</v>
      </c>
      <c r="CS13" s="27" t="s">
        <v>297</v>
      </c>
      <c r="CT13" s="27" t="s">
        <v>297</v>
      </c>
      <c r="CU13" s="27" t="s">
        <v>308</v>
      </c>
      <c r="CV13" s="27" t="s">
        <v>308</v>
      </c>
      <c r="CW13" s="27" t="s">
        <v>308</v>
      </c>
      <c r="CX13" s="27" t="s">
        <v>308</v>
      </c>
      <c r="CY13" s="103">
        <f t="shared" si="49"/>
        <v>84.191450000000003</v>
      </c>
      <c r="CZ13" s="111">
        <f t="shared" si="101"/>
        <v>0.15805160795638792</v>
      </c>
      <c r="DA13" s="92">
        <f t="shared" si="50"/>
        <v>1820.9454500000002</v>
      </c>
      <c r="DB13" s="218">
        <f t="shared" si="51"/>
        <v>1820.9454500000002</v>
      </c>
      <c r="DC13" s="307">
        <f t="shared" si="52"/>
        <v>1504.5053316515327</v>
      </c>
      <c r="DD13" s="307">
        <f t="shared" si="53"/>
        <v>156.65546963492579</v>
      </c>
      <c r="DE13" s="307">
        <f t="shared" si="54"/>
        <v>0</v>
      </c>
      <c r="DF13" s="307">
        <f t="shared" si="55"/>
        <v>42097.309317854393</v>
      </c>
      <c r="DG13" s="307" t="b">
        <f t="shared" si="68"/>
        <v>0</v>
      </c>
      <c r="DH13" s="27">
        <f t="shared" si="56"/>
        <v>84.191450000000003</v>
      </c>
      <c r="DI13" s="96">
        <f t="shared" si="57"/>
        <v>80.526969590090943</v>
      </c>
      <c r="DJ13" s="101">
        <f t="shared" si="58"/>
        <v>0.2369372176808498</v>
      </c>
      <c r="DK13" s="92">
        <f t="shared" si="59"/>
        <v>0</v>
      </c>
      <c r="DL13" s="96">
        <f t="shared" si="60"/>
        <v>0</v>
      </c>
      <c r="DM13" s="101">
        <f t="shared" si="61"/>
        <v>0</v>
      </c>
      <c r="DN13" s="292">
        <v>1820.9454500000002</v>
      </c>
      <c r="DO13" s="96">
        <f t="shared" si="62"/>
        <v>1820.9454500000002</v>
      </c>
      <c r="DP13" s="294">
        <v>0.54113120037755524</v>
      </c>
      <c r="DQ13" s="29"/>
      <c r="DR13" s="32"/>
      <c r="DS13" s="32"/>
      <c r="DT13" s="32"/>
      <c r="DU13" s="32"/>
      <c r="DV13" s="29"/>
      <c r="DW13" s="320"/>
      <c r="DX13" s="321"/>
      <c r="DY13" s="321"/>
      <c r="DZ13" s="321"/>
      <c r="EA13" s="321"/>
      <c r="EB13" s="321"/>
      <c r="EC13" s="321"/>
      <c r="ED13" s="321"/>
      <c r="EE13" s="321"/>
      <c r="EF13" s="321"/>
      <c r="EG13" s="321"/>
      <c r="EH13" s="321"/>
      <c r="EI13" s="322"/>
      <c r="EJ13" s="323"/>
      <c r="EK13" s="332">
        <f t="shared" si="69"/>
        <v>0.14930000000000002</v>
      </c>
      <c r="EL13" s="332">
        <f t="shared" si="63"/>
        <v>1.6300000000000009E-2</v>
      </c>
      <c r="EM13" s="332" t="e">
        <f t="shared" si="70"/>
        <v>#DIV/0!</v>
      </c>
      <c r="EN13" s="332">
        <f t="shared" si="64"/>
        <v>0</v>
      </c>
      <c r="EO13" s="332">
        <v>0.17560000000000003</v>
      </c>
      <c r="EP13" s="332">
        <v>0.14561794598676497</v>
      </c>
      <c r="EQ13" s="333" t="e">
        <f t="shared" si="71"/>
        <v>#DIV/0!</v>
      </c>
      <c r="ER13" s="277"/>
      <c r="ES13" s="334">
        <v>4</v>
      </c>
      <c r="ET13" s="69">
        <f t="shared" si="85"/>
        <v>1956.5181325000001</v>
      </c>
      <c r="EU13" s="69">
        <f t="shared" si="86"/>
        <v>-441.58000000000027</v>
      </c>
      <c r="EV13" s="69">
        <f t="shared" si="72"/>
        <v>-2398.0981325000002</v>
      </c>
      <c r="EW13" s="69">
        <f t="shared" si="73"/>
        <v>-1918.4785060000002</v>
      </c>
      <c r="EX13" s="69">
        <f t="shared" si="87"/>
        <v>-234.72449174999963</v>
      </c>
      <c r="EY13" s="69">
        <f t="shared" si="102"/>
        <v>67.447643499999941</v>
      </c>
      <c r="EZ13" s="69">
        <f t="shared" ref="EZ13:EZ39" si="105">EY12*(1/2)</f>
        <v>206.20838750000013</v>
      </c>
      <c r="FA13" s="69">
        <f t="shared" si="74"/>
        <v>-1879.5469667499995</v>
      </c>
      <c r="FB13" s="29"/>
      <c r="FC13" s="29"/>
      <c r="FD13" s="29"/>
      <c r="FE13" s="29"/>
      <c r="FF13" s="29"/>
      <c r="FG13" s="29"/>
      <c r="FH13" s="29"/>
      <c r="FI13" s="29"/>
      <c r="FJ13" s="29"/>
      <c r="FK13" s="29"/>
      <c r="FL13" s="29"/>
      <c r="FM13" s="27">
        <f t="shared" si="27"/>
        <v>22995.003000000001</v>
      </c>
      <c r="FN13" s="29"/>
      <c r="FO13" s="301"/>
      <c r="FP13" s="89"/>
      <c r="FQ13" s="27">
        <f t="shared" si="103"/>
        <v>20</v>
      </c>
      <c r="FR13" s="302">
        <f t="shared" si="88"/>
        <v>13.196553770067565</v>
      </c>
      <c r="FS13" s="89">
        <f t="shared" si="89"/>
        <v>1742.5006104364372</v>
      </c>
      <c r="FT13" s="89"/>
      <c r="FU13" s="29">
        <f t="shared" si="90"/>
        <v>20</v>
      </c>
      <c r="FV13" s="137">
        <f t="shared" si="91"/>
        <v>13.196553770067565</v>
      </c>
      <c r="FW13" s="29"/>
      <c r="FX13" s="29"/>
      <c r="FY13" s="29"/>
      <c r="FZ13" s="29"/>
      <c r="GA13" s="29"/>
      <c r="GB13" s="29"/>
      <c r="GC13" s="29"/>
      <c r="GD13" s="29"/>
      <c r="GE13" s="29"/>
      <c r="GF13" s="29"/>
      <c r="GG13" s="29"/>
      <c r="GH13" s="29"/>
      <c r="GI13" s="29"/>
      <c r="GJ13" s="29"/>
      <c r="GK13" s="29"/>
      <c r="GL13" s="29"/>
      <c r="GM13" s="29"/>
      <c r="GN13" s="29"/>
      <c r="GO13" s="29"/>
      <c r="GP13" s="29"/>
      <c r="GQ13" s="29"/>
      <c r="GR13" s="29"/>
      <c r="GS13" s="29"/>
      <c r="GT13" s="29"/>
      <c r="GU13" s="29"/>
      <c r="GV13" s="29"/>
      <c r="GW13" s="29"/>
      <c r="GX13" s="29"/>
      <c r="GY13" s="29"/>
      <c r="GZ13" s="29"/>
      <c r="HA13" s="29"/>
      <c r="HB13" s="29"/>
      <c r="HC13" s="29"/>
      <c r="HD13" s="29"/>
      <c r="HE13" s="29">
        <f t="shared" si="32"/>
        <v>20</v>
      </c>
      <c r="HF13" s="29"/>
      <c r="HG13" s="450"/>
      <c r="HH13" s="29"/>
      <c r="HI13" s="29"/>
      <c r="HJ13" s="29"/>
      <c r="HK13" s="29"/>
      <c r="HL13" s="29"/>
      <c r="HM13" s="29"/>
      <c r="HN13" s="29"/>
      <c r="HO13" s="29"/>
      <c r="HP13" s="29"/>
      <c r="HQ13" s="29"/>
      <c r="HR13" s="29"/>
      <c r="HS13" s="29"/>
      <c r="HT13" s="29"/>
      <c r="HU13" s="29"/>
      <c r="HV13" s="29"/>
      <c r="HW13" s="29"/>
      <c r="HX13" s="29"/>
      <c r="HY13" s="29"/>
      <c r="HZ13" s="29"/>
      <c r="IA13" s="29"/>
      <c r="IB13" s="29"/>
      <c r="IC13" s="29"/>
      <c r="ID13" s="29"/>
      <c r="IE13" s="29"/>
      <c r="IF13" s="29"/>
      <c r="IG13" s="29"/>
      <c r="IH13" s="29"/>
      <c r="II13" s="29"/>
      <c r="IJ13" s="29"/>
      <c r="IK13" s="29"/>
      <c r="IL13" s="48"/>
      <c r="IM13" s="48"/>
      <c r="IN13" s="48"/>
      <c r="IO13" s="29"/>
      <c r="IP13" s="29"/>
      <c r="IQ13" s="48"/>
      <c r="IR13" s="48"/>
      <c r="IS13" s="48"/>
      <c r="IT13" s="48"/>
      <c r="IU13" s="48"/>
      <c r="IV13" s="48"/>
      <c r="IW13" s="48"/>
      <c r="IX13" s="48"/>
      <c r="IY13" s="48"/>
      <c r="IZ13" s="48"/>
      <c r="JA13" s="48"/>
      <c r="JB13" s="48"/>
      <c r="JC13" s="48"/>
      <c r="JD13" s="48"/>
      <c r="JE13" s="48"/>
      <c r="JF13" s="48"/>
      <c r="JG13" s="48"/>
      <c r="JH13" s="48"/>
      <c r="JI13" s="48"/>
      <c r="JJ13" s="48"/>
      <c r="JK13" s="48"/>
      <c r="JL13" s="48"/>
      <c r="JM13" s="48"/>
      <c r="JN13" s="48"/>
      <c r="JO13" s="48"/>
      <c r="JP13" s="48"/>
      <c r="JQ13" s="48"/>
      <c r="JR13" s="48"/>
      <c r="JS13" s="48"/>
      <c r="JT13" s="48"/>
      <c r="JU13" s="48"/>
      <c r="JV13" s="48"/>
      <c r="JW13" s="48"/>
      <c r="JX13" s="48"/>
      <c r="JY13" s="48"/>
      <c r="JZ13" s="48"/>
      <c r="KA13" s="48"/>
      <c r="KB13" s="48"/>
      <c r="KC13" s="48"/>
      <c r="KD13" s="48"/>
      <c r="KE13" s="48"/>
      <c r="KF13" s="48"/>
      <c r="KG13" s="48"/>
      <c r="KH13" s="48"/>
      <c r="KI13" s="48"/>
      <c r="KJ13" s="48"/>
      <c r="KK13" s="48"/>
      <c r="KL13" s="48"/>
      <c r="KM13" s="48"/>
      <c r="KN13" s="48"/>
      <c r="KO13" s="48"/>
      <c r="KP13" s="48"/>
      <c r="KQ13" s="48"/>
      <c r="KR13" s="48"/>
      <c r="KS13" s="48"/>
      <c r="KT13" s="48"/>
      <c r="KU13" s="48"/>
      <c r="KV13" s="48"/>
      <c r="KW13" s="48"/>
      <c r="KX13" s="48"/>
      <c r="KY13" s="48"/>
      <c r="KZ13" s="48"/>
      <c r="LA13" s="48"/>
      <c r="LB13" s="48"/>
      <c r="LC13" s="48"/>
      <c r="LD13" s="48"/>
      <c r="LE13" s="48"/>
      <c r="LF13" s="48"/>
      <c r="LG13" s="48"/>
      <c r="LH13" s="48"/>
      <c r="LI13" s="48"/>
      <c r="LJ13" s="48"/>
      <c r="LK13" s="48"/>
      <c r="LL13" s="48"/>
      <c r="LM13" s="48"/>
      <c r="LN13" s="48"/>
      <c r="LO13" s="48"/>
      <c r="LP13" s="46">
        <f t="shared" si="33"/>
        <v>0.60203489902360252</v>
      </c>
      <c r="LQ13" s="47">
        <f t="shared" si="34"/>
        <v>0.84630152782247736</v>
      </c>
      <c r="LR13" s="28"/>
      <c r="LS13" s="48"/>
      <c r="LT13" s="28" t="s">
        <v>34</v>
      </c>
      <c r="LU13" s="193">
        <v>6.0666666666666673E-3</v>
      </c>
      <c r="LV13" s="111">
        <f t="shared" si="75"/>
        <v>9.8355038201800269E-19</v>
      </c>
      <c r="LW13" s="152">
        <f t="shared" si="18"/>
        <v>0</v>
      </c>
      <c r="LX13" s="223" t="e">
        <f>LX12*(1+#REF!)</f>
        <v>#REF!</v>
      </c>
      <c r="LY13" s="153"/>
      <c r="LZ13" s="124">
        <f t="shared" si="76"/>
        <v>364.39538555515901</v>
      </c>
      <c r="MA13" s="125">
        <f t="shared" si="77"/>
        <v>-2330.9308796037258</v>
      </c>
      <c r="MB13" s="28"/>
      <c r="MC13" s="28"/>
      <c r="MD13" s="28"/>
      <c r="ME13" s="375">
        <f>BP13</f>
        <v>-3032.1329999999998</v>
      </c>
      <c r="MF13" s="28"/>
      <c r="MG13" s="28"/>
      <c r="MH13" s="28"/>
      <c r="MI13" s="375">
        <f>BR13</f>
        <v>-117.86</v>
      </c>
      <c r="MJ13" s="28"/>
      <c r="MK13" s="100">
        <f t="shared" si="78"/>
        <v>1.2500000000000001E-2</v>
      </c>
      <c r="ML13" s="100">
        <f t="shared" si="79"/>
        <v>7.3461675804471216E-2</v>
      </c>
      <c r="MM13" s="100">
        <f t="shared" si="80"/>
        <v>7.5515239213339094E-2</v>
      </c>
      <c r="MN13" s="100">
        <f t="shared" si="36"/>
        <v>7.7686915887850469E-2</v>
      </c>
      <c r="MO13" s="100">
        <f t="shared" si="37"/>
        <v>7.9951377348848551E-2</v>
      </c>
      <c r="MP13" s="100">
        <f t="shared" si="38"/>
        <v>8.2313168468927389E-2</v>
      </c>
      <c r="MQ13" s="100">
        <f t="shared" si="39"/>
        <v>8.4777067591923272E-2</v>
      </c>
      <c r="MR13" s="28"/>
      <c r="MS13" s="28">
        <f t="shared" si="92"/>
        <v>66</v>
      </c>
      <c r="MT13" s="28">
        <f t="shared" si="93"/>
        <v>0.75580680282513402</v>
      </c>
      <c r="MU13" s="28">
        <f t="shared" si="94"/>
        <v>0.76598561998860937</v>
      </c>
      <c r="MV13" s="28">
        <f t="shared" si="95"/>
        <v>0.77626690494304162</v>
      </c>
      <c r="MW13" s="28">
        <f t="shared" si="96"/>
        <v>0.78665134307142448</v>
      </c>
      <c r="MX13" s="28">
        <f t="shared" si="97"/>
        <v>0.79713962204130617</v>
      </c>
      <c r="MY13" s="28">
        <f t="shared" si="98"/>
        <v>0.80773243180478538</v>
      </c>
      <c r="MZ13" s="28"/>
      <c r="NA13" s="28"/>
      <c r="NB13" s="28"/>
      <c r="NC13" s="28"/>
      <c r="ND13" s="28"/>
      <c r="NE13" s="28"/>
      <c r="NF13" s="28"/>
      <c r="NG13" s="28"/>
      <c r="NH13" s="28"/>
      <c r="NI13" s="28"/>
      <c r="NJ13" s="28"/>
      <c r="NK13" s="28"/>
    </row>
    <row r="14" spans="1:375" s="30" customFormat="1" ht="12.75" customHeight="1" x14ac:dyDescent="0.3">
      <c r="A14" s="298">
        <f t="shared" si="99"/>
        <v>2023</v>
      </c>
      <c r="B14" s="348">
        <f t="shared" si="2"/>
        <v>2021</v>
      </c>
      <c r="C14" s="26">
        <v>44378</v>
      </c>
      <c r="D14" s="167">
        <f>9925834/1000</f>
        <v>9925.8340000000007</v>
      </c>
      <c r="E14" s="27">
        <f t="shared" ref="E14:E45" si="106">(J14+K14)*(1+$DU$61)</f>
        <v>9596.3532851233413</v>
      </c>
      <c r="F14" s="107">
        <f t="shared" si="21"/>
        <v>0</v>
      </c>
      <c r="G14" s="68">
        <f>I14+O14+N14</f>
        <v>11229.814</v>
      </c>
      <c r="H14" s="68">
        <f>G14</f>
        <v>11229.814</v>
      </c>
      <c r="I14" s="350">
        <f>9488315/1000</f>
        <v>9488.3150000000005</v>
      </c>
      <c r="J14" s="68">
        <v>5235.5463380000001</v>
      </c>
      <c r="K14" s="68">
        <f t="shared" si="66"/>
        <v>4252.7686620000004</v>
      </c>
      <c r="L14" s="290">
        <f t="shared" ref="L14:L42" si="107">G14*S14</f>
        <v>0</v>
      </c>
      <c r="M14" s="290">
        <f>L14-P14</f>
        <v>0</v>
      </c>
      <c r="N14" s="27">
        <v>0</v>
      </c>
      <c r="O14" s="352">
        <f>1741499/1000</f>
        <v>1741.499</v>
      </c>
      <c r="P14" s="290">
        <f t="shared" ref="P14:P44" si="108">L14*$DU$31</f>
        <v>0</v>
      </c>
      <c r="Q14" s="352">
        <f>432172/1000</f>
        <v>432.17200000000003</v>
      </c>
      <c r="R14" s="254">
        <f t="shared" si="3"/>
        <v>1</v>
      </c>
      <c r="S14" s="251">
        <v>0</v>
      </c>
      <c r="T14" s="255">
        <v>7.2499999999999995E-2</v>
      </c>
      <c r="U14" s="255"/>
      <c r="V14" s="68">
        <f t="shared" si="5"/>
        <v>54997.995000000003</v>
      </c>
      <c r="W14" s="68">
        <f>54997995/1000</f>
        <v>54997.995000000003</v>
      </c>
      <c r="X14" s="27"/>
      <c r="Y14" s="355">
        <f>AT12*I14</f>
        <v>1009.5567160000001</v>
      </c>
      <c r="Z14" s="27"/>
      <c r="AA14" s="255">
        <f t="shared" si="6"/>
        <v>7.2499999999999995E-2</v>
      </c>
      <c r="AB14" s="255"/>
      <c r="AC14" s="167">
        <f t="shared" si="7"/>
        <v>54997.995000000003</v>
      </c>
      <c r="AD14" s="68">
        <f t="shared" si="8"/>
        <v>54997.995000000003</v>
      </c>
      <c r="AE14" s="27"/>
      <c r="AF14" s="68">
        <f t="shared" si="9"/>
        <v>1009.5567160000001</v>
      </c>
      <c r="AG14" s="27"/>
      <c r="AH14" s="68">
        <f t="shared" si="10"/>
        <v>30346.626</v>
      </c>
      <c r="AI14" s="68">
        <f>30346626/1000</f>
        <v>30346.626</v>
      </c>
      <c r="AJ14" s="27"/>
      <c r="AK14" s="68">
        <f t="shared" si="11"/>
        <v>33490.305999999997</v>
      </c>
      <c r="AL14" s="68">
        <f>33490306/1000</f>
        <v>33490.305999999997</v>
      </c>
      <c r="AM14" s="27"/>
      <c r="AN14" s="256">
        <f>DU53</f>
        <v>0.29599999999999999</v>
      </c>
      <c r="AO14" s="27">
        <f t="shared" si="41"/>
        <v>24651.369000000002</v>
      </c>
      <c r="AP14" s="223">
        <f t="shared" si="12"/>
        <v>21507.689000000006</v>
      </c>
      <c r="AQ14" s="67">
        <f t="shared" si="22"/>
        <v>0.55177695114158254</v>
      </c>
      <c r="AR14" s="146">
        <f t="shared" si="23"/>
        <v>0.60893685306164336</v>
      </c>
      <c r="AS14" s="346"/>
      <c r="AT14" s="391">
        <v>0.1095</v>
      </c>
      <c r="AU14" s="390">
        <f t="shared" ref="AU14:AU42" si="109">IFERROR(AG16/M16+$DU$38,0)</f>
        <v>0.10949999999999999</v>
      </c>
      <c r="AV14" s="296">
        <f t="shared" ref="AV14:AV42" si="110">FO16/(Q16+G16)</f>
        <v>0.15963720368745324</v>
      </c>
      <c r="AW14" s="296">
        <f t="shared" ref="AW14:AW42" si="111">FP16/L16</f>
        <v>0</v>
      </c>
      <c r="AX14" s="111">
        <f t="shared" si="82"/>
        <v>0.09</v>
      </c>
      <c r="AY14" s="111">
        <f t="shared" ref="AY14:AY43" si="112">IF($DU$66="Yes",AU14/2,$DU$39)</f>
        <v>0.09</v>
      </c>
      <c r="AZ14" s="111">
        <f t="shared" ref="AZ14:AZ43" si="113">IF($DU$65="Yes",AW14/2,0)</f>
        <v>0</v>
      </c>
      <c r="BA14" s="256">
        <f t="shared" si="24"/>
        <v>1.9500000000000003E-2</v>
      </c>
      <c r="BB14" s="111">
        <f t="shared" ref="BB14:BB42" si="114">AU14-AY14</f>
        <v>1.949999999999999E-2</v>
      </c>
      <c r="BC14" s="128">
        <f t="shared" si="83"/>
        <v>0.17560000000000003</v>
      </c>
      <c r="BD14" s="128">
        <f t="shared" si="104"/>
        <v>0.17560000000000003</v>
      </c>
      <c r="BE14" s="402">
        <f t="shared" si="15"/>
        <v>0.15610000000000002</v>
      </c>
      <c r="BF14" s="402">
        <f t="shared" ref="BF14:BF42" si="115">BD14-BB14</f>
        <v>0.15610000000000004</v>
      </c>
      <c r="BG14" s="402">
        <f>IF($DU$43="Yes",BD14-BA14,BD14-$DU$42)</f>
        <v>0.12560000000000004</v>
      </c>
      <c r="BH14" s="402">
        <f t="shared" si="26"/>
        <v>0.17560000000000003</v>
      </c>
      <c r="BI14" s="152">
        <f t="shared" si="42"/>
        <v>15.152374562708495</v>
      </c>
      <c r="BJ14" s="100">
        <f t="shared" si="43"/>
        <v>4.4303797468354444E-2</v>
      </c>
      <c r="BK14" s="27">
        <f t="shared" si="67"/>
        <v>23.749189919721868</v>
      </c>
      <c r="BL14" s="27">
        <f t="shared" si="17"/>
        <v>25</v>
      </c>
      <c r="BM14" s="107">
        <f t="shared" si="31"/>
        <v>22.301842552143302</v>
      </c>
      <c r="BN14" s="27"/>
      <c r="BO14" s="27">
        <f>LOG((1+BJ13)/(1+BJ13-BI13*BJ13))</f>
        <v>0.43372740577399432</v>
      </c>
      <c r="BP14" s="167">
        <f>-(3090.155+30.138+1.593)</f>
        <v>-3121.886</v>
      </c>
      <c r="BQ14" s="27"/>
      <c r="BR14" s="68">
        <f>-124286/1000</f>
        <v>-124.286</v>
      </c>
      <c r="BS14" s="27">
        <f t="shared" ref="BS14:BS42" si="116">BQ14*BR14/BP14</f>
        <v>0</v>
      </c>
      <c r="BT14" s="68">
        <f>-17523/1000</f>
        <v>-17.523</v>
      </c>
      <c r="BU14" s="27"/>
      <c r="BV14" s="369">
        <f>932014/1000</f>
        <v>932.01400000000001</v>
      </c>
      <c r="BW14" s="297"/>
      <c r="BX14" s="297"/>
      <c r="BY14" s="297"/>
      <c r="BZ14" s="297">
        <f t="shared" si="84"/>
        <v>77.542716000000041</v>
      </c>
      <c r="CA14" s="297"/>
      <c r="CB14" s="353">
        <f>1673.678-BZ14-CE14-CF14-CH14</f>
        <v>1596.135284</v>
      </c>
      <c r="CC14" s="430"/>
      <c r="CD14" s="297"/>
      <c r="CE14" s="297"/>
      <c r="CF14" s="297"/>
      <c r="CG14" s="431"/>
      <c r="CH14" s="297"/>
      <c r="CI14" s="427"/>
      <c r="CJ14" s="68">
        <f>88706/1000</f>
        <v>88.706000000000003</v>
      </c>
      <c r="CK14" s="27">
        <f t="shared" si="44"/>
        <v>0</v>
      </c>
      <c r="CL14" s="27">
        <f t="shared" si="45"/>
        <v>0</v>
      </c>
      <c r="CM14" s="27">
        <f t="shared" si="46"/>
        <v>0</v>
      </c>
      <c r="CN14" s="27">
        <f t="shared" si="47"/>
        <v>2694.3980000000001</v>
      </c>
      <c r="CO14" s="27">
        <f t="shared" si="48"/>
        <v>0</v>
      </c>
      <c r="CP14" s="107">
        <f t="shared" si="4"/>
        <v>2694.3980000000001</v>
      </c>
      <c r="CQ14" s="27">
        <f t="shared" ref="CQ14:CQ44" si="117">SUM(CB14:CD14)</f>
        <v>1596.135284</v>
      </c>
      <c r="CR14" s="27">
        <f t="shared" ref="CR14:CR44" si="118">SUM(CF14:CH14)</f>
        <v>0</v>
      </c>
      <c r="CS14" s="27">
        <f>SUM(CQ14:CR14)</f>
        <v>1596.135284</v>
      </c>
      <c r="CT14" s="27">
        <f>SUM($CS$14:CS14)</f>
        <v>1596.135284</v>
      </c>
      <c r="CU14" s="223">
        <v>1345.7255588640003</v>
      </c>
      <c r="CV14" s="417">
        <v>256.90520219200005</v>
      </c>
      <c r="CW14" s="417">
        <v>1602.6307610560002</v>
      </c>
      <c r="CX14" s="417">
        <v>1602.6307610560002</v>
      </c>
      <c r="CY14" s="103">
        <f t="shared" si="49"/>
        <v>87.074950000000001</v>
      </c>
      <c r="CZ14" s="111">
        <f t="shared" si="101"/>
        <v>0.15858867863501119</v>
      </c>
      <c r="DA14" s="92">
        <f>SUM(BZ14:CK14,CY14)</f>
        <v>1849.4589499999997</v>
      </c>
      <c r="DB14" s="410">
        <f t="shared" si="51"/>
        <v>1849.4589499999997</v>
      </c>
      <c r="DC14" s="307">
        <f t="shared" si="52"/>
        <v>1493.0685518996054</v>
      </c>
      <c r="DD14" s="307">
        <f t="shared" si="53"/>
        <v>155.51359094777635</v>
      </c>
      <c r="DE14" s="307">
        <f t="shared" si="54"/>
        <v>0</v>
      </c>
      <c r="DF14" s="307">
        <f t="shared" si="55"/>
        <v>41512.393630038125</v>
      </c>
      <c r="DG14" s="307" t="b">
        <f t="shared" si="68"/>
        <v>0</v>
      </c>
      <c r="DH14" s="27">
        <f t="shared" si="56"/>
        <v>87.074950000000001</v>
      </c>
      <c r="DI14" s="96">
        <f t="shared" si="57"/>
        <v>81.452287162916036</v>
      </c>
      <c r="DJ14" s="101">
        <f t="shared" si="58"/>
        <v>0.10226129775318514</v>
      </c>
      <c r="DK14" s="92">
        <f t="shared" si="59"/>
        <v>0</v>
      </c>
      <c r="DL14" s="96">
        <f t="shared" si="60"/>
        <v>0</v>
      </c>
      <c r="DM14" s="101">
        <f t="shared" si="61"/>
        <v>0</v>
      </c>
      <c r="DN14" s="292">
        <v>1846.4809637440005</v>
      </c>
      <c r="DO14" s="96">
        <f t="shared" si="62"/>
        <v>1846.4809637440005</v>
      </c>
      <c r="DP14" s="294">
        <v>0.54457480979519213</v>
      </c>
      <c r="DQ14" s="29"/>
      <c r="DR14" s="32"/>
      <c r="DS14" s="32"/>
      <c r="DT14" s="32"/>
      <c r="DU14" s="32"/>
      <c r="DV14" s="29"/>
      <c r="DW14" s="320"/>
      <c r="DX14" s="321"/>
      <c r="DY14" s="321"/>
      <c r="DZ14" s="321"/>
      <c r="EA14" s="321"/>
      <c r="EB14" s="321"/>
      <c r="EC14" s="321"/>
      <c r="ED14" s="321"/>
      <c r="EE14" s="321"/>
      <c r="EF14" s="321"/>
      <c r="EG14" s="321"/>
      <c r="EH14" s="321"/>
      <c r="EI14" s="322"/>
      <c r="EJ14" s="323"/>
      <c r="EK14" s="332">
        <f t="shared" si="69"/>
        <v>0.15610000000000002</v>
      </c>
      <c r="EL14" s="332">
        <f t="shared" si="63"/>
        <v>1.9500000000000003E-2</v>
      </c>
      <c r="EM14" s="332" t="e">
        <f t="shared" si="70"/>
        <v>#DIV/0!</v>
      </c>
      <c r="EN14" s="332">
        <f t="shared" si="64"/>
        <v>0</v>
      </c>
      <c r="EO14" s="332">
        <v>0.18560000000000004</v>
      </c>
      <c r="EP14" s="332">
        <v>0.15208585280461628</v>
      </c>
      <c r="EQ14" s="333" t="e">
        <f t="shared" si="71"/>
        <v>#DIV/0!</v>
      </c>
      <c r="ER14" s="277"/>
      <c r="ES14" s="30">
        <v>5</v>
      </c>
      <c r="ET14" s="29">
        <f>AA13*AL13+SUM(BP14,BR14,BT14,BV14,BY14,BZ14,CB14,CF14,CH14,CL14,CJ14,CC14,CG14,CI14)*AA13/2</f>
        <v>1885.5632887500001</v>
      </c>
      <c r="EU14" s="29">
        <f t="shared" si="86"/>
        <v>7767.1849999999959</v>
      </c>
      <c r="EV14" s="29">
        <f t="shared" si="72"/>
        <v>5881.6217112499962</v>
      </c>
      <c r="EW14" s="29">
        <f t="shared" si="73"/>
        <v>4705.2973689999972</v>
      </c>
      <c r="EX14" s="29">
        <f t="shared" si="87"/>
        <v>-1438.8588795000001</v>
      </c>
      <c r="EY14" s="29">
        <f t="shared" si="102"/>
        <v>-156.48299449999973</v>
      </c>
      <c r="EZ14" s="29">
        <f t="shared" si="105"/>
        <v>33.723821749999971</v>
      </c>
      <c r="FA14" s="29">
        <f t="shared" si="74"/>
        <v>3143.6793167499973</v>
      </c>
      <c r="FB14" s="29"/>
      <c r="FC14" s="29"/>
      <c r="FD14" s="29"/>
      <c r="FE14" s="29"/>
      <c r="FF14" s="29"/>
      <c r="FG14" s="29"/>
      <c r="FH14" s="29"/>
      <c r="FI14" s="29"/>
      <c r="FJ14" s="29"/>
      <c r="FK14" s="29"/>
      <c r="FL14" s="29"/>
      <c r="FM14" s="27">
        <f t="shared" si="27"/>
        <v>23889.281000000003</v>
      </c>
      <c r="FN14" s="29"/>
      <c r="FO14" s="301">
        <f t="shared" ref="FO14:FO45" si="119">IF($DU$72="Fresh Start",FM14/FR14,SUM(HF13:IL13))</f>
        <v>0</v>
      </c>
      <c r="FP14" s="89"/>
      <c r="FQ14" s="27">
        <f t="shared" si="103"/>
        <v>20</v>
      </c>
      <c r="FR14" s="302">
        <f t="shared" si="88"/>
        <v>13.196553770067565</v>
      </c>
      <c r="FS14" s="89">
        <f t="shared" si="89"/>
        <v>1810.2666359898969</v>
      </c>
      <c r="FT14" s="89"/>
      <c r="FU14" s="29">
        <f t="shared" si="90"/>
        <v>20</v>
      </c>
      <c r="FV14" s="137">
        <f t="shared" si="91"/>
        <v>13.196553770067565</v>
      </c>
      <c r="FW14" s="29"/>
      <c r="FX14" s="29">
        <f t="shared" ref="FX14:FX44" si="120">AD14-AI14-SUM(FY14:HC14)</f>
        <v>24651.369000000002</v>
      </c>
      <c r="FY14" s="29">
        <f t="shared" ref="FY14:FY44" si="121">IF(AND($AQ14&gt;=100%,$AQ13&lt;100%),0,FX13*(1+$AA13) - HF13*(1+$AA13)^0.5)</f>
        <v>0</v>
      </c>
      <c r="FZ14" s="29">
        <f t="shared" ref="FZ14:HC21" si="122">IF(AND($AQ14&gt;=100%,$AQ13&lt;100%),0,FY13*(1+$AA13) - HG13*(1+$AA13)^0.5)</f>
        <v>0</v>
      </c>
      <c r="GA14" s="29">
        <f t="shared" si="122"/>
        <v>0</v>
      </c>
      <c r="GB14" s="29">
        <f t="shared" si="122"/>
        <v>0</v>
      </c>
      <c r="GC14" s="29">
        <f t="shared" si="122"/>
        <v>0</v>
      </c>
      <c r="GD14" s="29">
        <f t="shared" si="122"/>
        <v>0</v>
      </c>
      <c r="GE14" s="29">
        <f t="shared" si="122"/>
        <v>0</v>
      </c>
      <c r="GF14" s="29">
        <f t="shared" si="122"/>
        <v>0</v>
      </c>
      <c r="GG14" s="29">
        <f t="shared" si="122"/>
        <v>0</v>
      </c>
      <c r="GH14" s="29">
        <f t="shared" si="122"/>
        <v>0</v>
      </c>
      <c r="GI14" s="29">
        <f t="shared" si="122"/>
        <v>0</v>
      </c>
      <c r="GJ14" s="29">
        <f t="shared" si="122"/>
        <v>0</v>
      </c>
      <c r="GK14" s="29">
        <f t="shared" si="122"/>
        <v>0</v>
      </c>
      <c r="GL14" s="29">
        <f t="shared" si="122"/>
        <v>0</v>
      </c>
      <c r="GM14" s="29">
        <f t="shared" si="122"/>
        <v>0</v>
      </c>
      <c r="GN14" s="29">
        <f t="shared" si="122"/>
        <v>0</v>
      </c>
      <c r="GO14" s="29">
        <f t="shared" si="122"/>
        <v>0</v>
      </c>
      <c r="GP14" s="29">
        <f t="shared" si="122"/>
        <v>0</v>
      </c>
      <c r="GQ14" s="29">
        <f t="shared" si="122"/>
        <v>0</v>
      </c>
      <c r="GR14" s="29">
        <f t="shared" si="122"/>
        <v>0</v>
      </c>
      <c r="GS14" s="29">
        <f t="shared" si="122"/>
        <v>0</v>
      </c>
      <c r="GT14" s="29">
        <f t="shared" si="122"/>
        <v>0</v>
      </c>
      <c r="GU14" s="29">
        <f t="shared" si="122"/>
        <v>0</v>
      </c>
      <c r="GV14" s="29">
        <f t="shared" si="122"/>
        <v>0</v>
      </c>
      <c r="GW14" s="29">
        <f t="shared" si="122"/>
        <v>0</v>
      </c>
      <c r="GX14" s="29">
        <f t="shared" si="122"/>
        <v>0</v>
      </c>
      <c r="GY14" s="29">
        <f t="shared" si="122"/>
        <v>0</v>
      </c>
      <c r="GZ14" s="29">
        <f t="shared" si="122"/>
        <v>0</v>
      </c>
      <c r="HA14" s="29">
        <f t="shared" si="122"/>
        <v>0</v>
      </c>
      <c r="HB14" s="29">
        <f t="shared" si="122"/>
        <v>0</v>
      </c>
      <c r="HC14" s="29">
        <f t="shared" si="122"/>
        <v>0</v>
      </c>
      <c r="HD14" s="29"/>
      <c r="HE14" s="29">
        <f t="shared" si="32"/>
        <v>20</v>
      </c>
      <c r="HF14" s="29">
        <f t="shared" ref="HF14:HF22" si="123">IF(HF$3&lt;2,0,FX14/(  -PV((((   1+$AA14   )/(   1+$DU$69   ))-1),   MAX($HE14 - HF$3 + 2,1),1,0,1)/((   1+$AA14   )^0.5)   ))</f>
        <v>0</v>
      </c>
      <c r="HG14" s="29">
        <f t="shared" ref="HG14:HG22" si="124">IF(HG$3&lt;2,0,FY14/(  -PV((((   1+$AA14   )/(   1+$DU$69   ))-1),   MAX($HE14 - HG$3 + 2,1),1,0,1)/((   1+$AA14   )^0.5)   ))</f>
        <v>0</v>
      </c>
      <c r="HH14" s="29">
        <f t="shared" ref="HH14:HH22" si="125">IF(HH$3&lt;2,0,FZ14/(  -PV((((   1+$AA14   )/(   1+$DU$69   ))-1),   MAX($HE14 - HH$3 + 2,1),1,0,1)/((   1+$AA14   )^0.5)   ))</f>
        <v>0</v>
      </c>
      <c r="HI14" s="29">
        <f t="shared" ref="HI14:HI45" si="126">IF(HI$3&lt;2,0,GA14/(  -PV((((   1+$AA14   )/(   1+$DU$69   ))-1),   MAX($HE14 - HI$3 + 2,1),1,0,1)/((   1+$AA14   )^0.5)   ))</f>
        <v>0</v>
      </c>
      <c r="HJ14" s="29">
        <f t="shared" ref="HJ14:HJ45" si="127">IF(HJ$3&lt;2,0,GB14/(  -PV((((   1+$AA14   )/(   1+$DU$69   ))-1),   MAX($HE14 - HJ$3 + 2,1),1,0,1)/((   1+$AA14   )^0.5)   ))</f>
        <v>0</v>
      </c>
      <c r="HK14" s="29">
        <f t="shared" ref="HK14:HK45" si="128">IF(HK$3&lt;2,0,GC14/(  -PV((((   1+$AA14   )/(   1+$DU$69   ))-1),   MAX($HE14 - HK$3 + 2,1),1,0,1)/((   1+$AA14   )^0.5)   ))</f>
        <v>0</v>
      </c>
      <c r="HL14" s="29">
        <f t="shared" ref="HL14:HL45" si="129">IF(HL$3&lt;2,0,GD14/(  -PV((((   1+$AA14   )/(   1+$DU$69   ))-1),   MAX($HE14 - HL$3 + 2,1),1,0,1)/((   1+$AA14   )^0.5)   ))</f>
        <v>0</v>
      </c>
      <c r="HM14" s="29">
        <f t="shared" ref="HM14:HM45" si="130">IF(HM$3&lt;2,0,GE14/(  -PV((((   1+$AA14   )/(   1+$DU$69   ))-1),   MAX($HE14 - HM$3 + 2,1),1,0,1)/((   1+$AA14   )^0.5)   ))</f>
        <v>0</v>
      </c>
      <c r="HN14" s="29">
        <f t="shared" ref="HN14:HN45" si="131">IF(HN$3&lt;2,0,GF14/(  -PV((((   1+$AA14   )/(   1+$DU$69   ))-1),   MAX($HE14 - HN$3 + 2,1),1,0,1)/((   1+$AA14   )^0.5)   ))</f>
        <v>0</v>
      </c>
      <c r="HO14" s="29">
        <f t="shared" ref="HO14:HO45" si="132">IF(HO$3&lt;2,0,GG14/(  -PV((((   1+$AA14   )/(   1+$DU$69   ))-1),   MAX($HE14 - HO$3 + 2,1),1,0,1)/((   1+$AA14   )^0.5)   ))</f>
        <v>0</v>
      </c>
      <c r="HP14" s="29">
        <f t="shared" ref="HP14:HP45" si="133">IF(HP$3&lt;2,0,GH14/(  -PV((((   1+$AA14   )/(   1+$DU$69   ))-1),   MAX($HE14 - HP$3 + 2,1),1,0,1)/((   1+$AA14   )^0.5)   ))</f>
        <v>0</v>
      </c>
      <c r="HQ14" s="29">
        <f t="shared" ref="HQ14:HQ45" si="134">IF(HQ$3&lt;2,0,GI14/(  -PV((((   1+$AA14   )/(   1+$DU$69   ))-1),   MAX($HE14 - HQ$3 + 2,1),1,0,1)/((   1+$AA14   )^0.5)   ))</f>
        <v>0</v>
      </c>
      <c r="HR14" s="29">
        <f t="shared" ref="HR14:HR45" si="135">IF(HR$3&lt;2,0,GJ14/(  -PV((((   1+$AA14   )/(   1+$DU$69   ))-1),   MAX($HE14 - HR$3 + 2,1),1,0,1)/((   1+$AA14   )^0.5)   ))</f>
        <v>0</v>
      </c>
      <c r="HS14" s="29">
        <f t="shared" ref="HS14:HS45" si="136">IF(HS$3&lt;2,0,GK14/(  -PV((((   1+$AA14   )/(   1+$DU$69   ))-1),   MAX($HE14 - HS$3 + 2,1),1,0,1)/((   1+$AA14   )^0.5)   ))</f>
        <v>0</v>
      </c>
      <c r="HT14" s="29">
        <f t="shared" ref="HT14:HT45" si="137">IF(HT$3&lt;2,0,GL14/(  -PV((((   1+$AA14   )/(   1+$DU$69   ))-1),   MAX($HE14 - HT$3 + 2,1),1,0,1)/((   1+$AA14   )^0.5)   ))</f>
        <v>0</v>
      </c>
      <c r="HU14" s="29">
        <f t="shared" ref="HU14:HU45" si="138">IF(HU$3&lt;2,0,GM14/(  -PV((((   1+$AA14   )/(   1+$DU$69   ))-1),   MAX($HE14 - HU$3 + 2,1),1,0,1)/((   1+$AA14   )^0.5)   ))</f>
        <v>0</v>
      </c>
      <c r="HV14" s="29">
        <f t="shared" ref="HV14:HV45" si="139">IF(HV$3&lt;2,0,GN14/(  -PV((((   1+$AA14   )/(   1+$DU$69   ))-1),   MAX($HE14 - HV$3 + 2,1),1,0,1)/((   1+$AA14   )^0.5)   ))</f>
        <v>0</v>
      </c>
      <c r="HW14" s="29">
        <f t="shared" ref="HW14:HW45" si="140">IF(HW$3&lt;2,0,GO14/(  -PV((((   1+$AA14   )/(   1+$DU$69   ))-1),   MAX($HE14 - HW$3 + 2,1),1,0,1)/((   1+$AA14   )^0.5)   ))</f>
        <v>0</v>
      </c>
      <c r="HX14" s="29">
        <f t="shared" ref="HX14:HX45" si="141">IF(HX$3&lt;2,0,GP14/(  -PV((((   1+$AA14   )/(   1+$DU$69   ))-1),   MAX($HE14 - HX$3 + 2,1),1,0,1)/((   1+$AA14   )^0.5)   ))</f>
        <v>0</v>
      </c>
      <c r="HY14" s="29">
        <f t="shared" ref="HY14:HY45" si="142">IF(HY$3&lt;2,0,GQ14/(  -PV((((   1+$AA14   )/(   1+$DU$69   ))-1),   MAX($HE14 - HY$3 + 2,1),1,0,1)/((   1+$AA14   )^0.5)   ))</f>
        <v>0</v>
      </c>
      <c r="HZ14" s="29">
        <f t="shared" ref="HZ14:HZ45" si="143">IF(HZ$3&lt;2,0,GR14/(  -PV((((   1+$AA14   )/(   1+$DU$69   ))-1),   MAX($HE14 - HZ$3 + 2,1),1,0,1)/((   1+$AA14   )^0.5)   ))</f>
        <v>0</v>
      </c>
      <c r="IA14" s="29">
        <f t="shared" ref="IA14:IA45" si="144">IF(IA$3&lt;2,0,GS14/(  -PV((((   1+$AA14   )/(   1+$DU$69   ))-1),   MAX($HE14 - IA$3 + 2,1),1,0,1)/((   1+$AA14   )^0.5)   ))</f>
        <v>0</v>
      </c>
      <c r="IB14" s="29">
        <f t="shared" ref="IB14:IB45" si="145">IF(IB$3&lt;2,0,GT14/(  -PV((((   1+$AA14   )/(   1+$DU$69   ))-1),   MAX($HE14 - IB$3 + 2,1),1,0,1)/((   1+$AA14   )^0.5)   ))</f>
        <v>0</v>
      </c>
      <c r="IC14" s="29">
        <f t="shared" ref="IC14:IC45" si="146">IF(IC$3&lt;2,0,GU14/(  -PV((((   1+$AA14   )/(   1+$DU$69   ))-1),   MAX($HE14 - IC$3 + 2,1),1,0,1)/((   1+$AA14   )^0.5)   ))</f>
        <v>0</v>
      </c>
      <c r="ID14" s="29">
        <f t="shared" ref="ID14:ID45" si="147">IF(ID$3&lt;2,0,GV14/(  -PV((((   1+$AA14   )/(   1+$DU$69   ))-1),   MAX($HE14 - ID$3 + 2,1),1,0,1)/((   1+$AA14   )^0.5)   ))</f>
        <v>0</v>
      </c>
      <c r="IE14" s="29">
        <f t="shared" ref="IE14:IE45" si="148">IF(IE$3&lt;2,0,GW14/(  -PV((((   1+$AA14   )/(   1+$DU$69   ))-1),   MAX($HE14 - IE$3 + 2,1),1,0,1)/((   1+$AA14   )^0.5)   ))</f>
        <v>0</v>
      </c>
      <c r="IF14" s="29">
        <f t="shared" ref="IF14:IF45" si="149">IF(IF$3&lt;2,0,GX14/(  -PV((((   1+$AA14   )/(   1+$DU$69   ))-1),   MAX($HE14 - IF$3 + 2,1),1,0,1)/((   1+$AA14   )^0.5)   ))</f>
        <v>0</v>
      </c>
      <c r="IG14" s="29">
        <f t="shared" ref="IG14:IG45" si="150">IF(IG$3&lt;2,0,GY14/(  -PV((((   1+$AA14   )/(   1+$DU$69   ))-1),   MAX($HE14 - IG$3 + 2,1),1,0,1)/((   1+$AA14   )^0.5)   ))</f>
        <v>0</v>
      </c>
      <c r="IH14" s="29">
        <f t="shared" ref="IH14:IH45" si="151">IF(IH$3&lt;2,0,GZ14/(  -PV((((   1+$AA14   )/(   1+$DU$69   ))-1),   MAX($HE14 - IH$3 + 2,1),1,0,1)/((   1+$AA14   )^0.5)   ))</f>
        <v>0</v>
      </c>
      <c r="II14" s="29">
        <f t="shared" ref="II14:II45" si="152">IF(II$3&lt;2,0,HA14/(  -PV((((   1+$AA14   )/(   1+$DU$69   ))-1),   MAX($HE14 - II$3 + 2,1),1,0,1)/((   1+$AA14   )^0.5)   ))</f>
        <v>0</v>
      </c>
      <c r="IJ14" s="29">
        <f t="shared" ref="IJ14:IJ45" si="153">IF(IJ$3&lt;2,0,HB14/(  -PV((((   1+$AA14   )/(   1+$DU$69   ))-1),   MAX($HE14 - IJ$3 + 2,1),1,0,1)/((   1+$AA14   )^0.5)   ))</f>
        <v>0</v>
      </c>
      <c r="IK14" s="29">
        <f t="shared" ref="IK14:IK45" si="154">IF(IK$3&lt;2,0,HC14/(  -PV((((   1+$AA14   )/(   1+$DU$69   ))-1),   MAX($HE14 - IK$3 + 2,1),1,0,1)/((   1+$AA14   )^0.5)   ))</f>
        <v>0</v>
      </c>
      <c r="IL14" s="48"/>
      <c r="IM14" s="48"/>
      <c r="IN14" s="48"/>
      <c r="IO14" s="29"/>
      <c r="IP14" s="29"/>
      <c r="IQ14" s="48"/>
      <c r="IR14" s="48"/>
      <c r="IS14" s="48"/>
      <c r="IT14" s="48"/>
      <c r="IU14" s="48"/>
      <c r="IV14" s="48"/>
      <c r="IW14" s="48"/>
      <c r="IX14" s="48"/>
      <c r="IY14" s="48"/>
      <c r="IZ14" s="48"/>
      <c r="JA14" s="48"/>
      <c r="JB14" s="48"/>
      <c r="JC14" s="48"/>
      <c r="JD14" s="48"/>
      <c r="JE14" s="48"/>
      <c r="JF14" s="48"/>
      <c r="JG14" s="48"/>
      <c r="JH14" s="48"/>
      <c r="JI14" s="48"/>
      <c r="JJ14" s="48"/>
      <c r="JK14" s="48"/>
      <c r="JL14" s="48"/>
      <c r="JM14" s="48"/>
      <c r="JN14" s="48"/>
      <c r="JO14" s="48"/>
      <c r="JP14" s="48"/>
      <c r="JQ14" s="48"/>
      <c r="JR14" s="48"/>
      <c r="JS14" s="48"/>
      <c r="JT14" s="48"/>
      <c r="JU14" s="48"/>
      <c r="JV14" s="48"/>
      <c r="JW14" s="48"/>
      <c r="JX14" s="48"/>
      <c r="JY14" s="48"/>
      <c r="JZ14" s="48"/>
      <c r="KA14" s="48"/>
      <c r="KB14" s="48"/>
      <c r="KC14" s="48"/>
      <c r="KD14" s="48"/>
      <c r="KE14" s="48"/>
      <c r="KF14" s="48"/>
      <c r="KG14" s="48"/>
      <c r="KH14" s="48"/>
      <c r="KI14" s="48"/>
      <c r="KJ14" s="48"/>
      <c r="KK14" s="48"/>
      <c r="KL14" s="48"/>
      <c r="KM14" s="48"/>
      <c r="KN14" s="48"/>
      <c r="KO14" s="48"/>
      <c r="KP14" s="48"/>
      <c r="KQ14" s="48"/>
      <c r="KR14" s="48"/>
      <c r="KS14" s="48"/>
      <c r="KT14" s="48"/>
      <c r="KU14" s="48"/>
      <c r="KV14" s="48"/>
      <c r="KW14" s="48"/>
      <c r="KX14" s="48"/>
      <c r="KY14" s="48"/>
      <c r="KZ14" s="48"/>
      <c r="LA14" s="48"/>
      <c r="LB14" s="48"/>
      <c r="LC14" s="48"/>
      <c r="LD14" s="48"/>
      <c r="LE14" s="48"/>
      <c r="LF14" s="48"/>
      <c r="LG14" s="48"/>
      <c r="LH14" s="48"/>
      <c r="LI14" s="48"/>
      <c r="LJ14" s="48"/>
      <c r="LK14" s="48"/>
      <c r="LL14" s="48"/>
      <c r="LM14" s="48"/>
      <c r="LN14" s="48"/>
      <c r="LO14" s="48"/>
      <c r="LP14" s="46">
        <f t="shared" si="33"/>
        <v>0.5626494383398154</v>
      </c>
      <c r="LQ14" s="47">
        <f t="shared" si="34"/>
        <v>0.82767875581660377</v>
      </c>
      <c r="LR14" s="28"/>
      <c r="LS14" s="48"/>
      <c r="LT14" s="28" t="s">
        <v>35</v>
      </c>
      <c r="LU14" s="161">
        <v>7.5833333333333334E-3</v>
      </c>
      <c r="LV14" s="111">
        <f t="shared" si="75"/>
        <v>1.2294379775225033E-18</v>
      </c>
      <c r="LW14" s="152">
        <f t="shared" si="18"/>
        <v>0</v>
      </c>
      <c r="LX14" s="223" t="e">
        <f>LX13*(1+#REF!)</f>
        <v>#REF!</v>
      </c>
      <c r="LY14" s="153"/>
      <c r="LZ14" s="124">
        <f t="shared" si="76"/>
        <v>1618.3859457752624</v>
      </c>
      <c r="MA14" s="125">
        <f t="shared" si="77"/>
        <v>5946.3041358145165</v>
      </c>
      <c r="MB14" s="28"/>
      <c r="MC14" s="111"/>
      <c r="MD14" s="387"/>
      <c r="ME14" s="375">
        <f>-(3090.155+30.138+1.593)</f>
        <v>-3121.886</v>
      </c>
      <c r="MF14" s="28"/>
      <c r="MG14" s="111"/>
      <c r="MH14" s="387"/>
      <c r="MI14" s="152">
        <f t="shared" ref="MI14:MI47" si="155">MI13*(1+$DU$80-$DU$81-(YEAR($C14)-2020)*$DU$82-MAX(YEAR($C14)-2020-$DU$84,0)*$DU$83   )*(1+$DU$79)</f>
        <v>-121.53841060000002</v>
      </c>
      <c r="MJ14" s="28"/>
      <c r="MK14" s="100">
        <f t="shared" si="78"/>
        <v>1.5000000000000001E-2</v>
      </c>
      <c r="ML14" s="100">
        <f t="shared" si="79"/>
        <v>8.8154010965365473E-2</v>
      </c>
      <c r="MM14" s="100">
        <f t="shared" si="80"/>
        <v>9.0618287056006927E-2</v>
      </c>
      <c r="MN14" s="100">
        <f t="shared" si="36"/>
        <v>9.3224299065420568E-2</v>
      </c>
      <c r="MO14" s="100">
        <f t="shared" si="37"/>
        <v>9.5941652818618259E-2</v>
      </c>
      <c r="MP14" s="100">
        <f t="shared" si="38"/>
        <v>9.8775802162712867E-2</v>
      </c>
      <c r="MQ14" s="100">
        <f t="shared" si="39"/>
        <v>0.10173248111030793</v>
      </c>
      <c r="MR14" s="28"/>
      <c r="MS14" s="28">
        <f t="shared" si="92"/>
        <v>67</v>
      </c>
      <c r="MT14" s="28">
        <f t="shared" si="93"/>
        <v>0.70471496766912267</v>
      </c>
      <c r="MU14" s="28">
        <f t="shared" si="94"/>
        <v>0.71659829539913389</v>
      </c>
      <c r="MV14" s="28">
        <f t="shared" si="95"/>
        <v>0.72864139226681579</v>
      </c>
      <c r="MW14" s="28">
        <f t="shared" si="96"/>
        <v>0.74084586393407192</v>
      </c>
      <c r="MX14" s="28">
        <f t="shared" si="97"/>
        <v>0.75321332678476427</v>
      </c>
      <c r="MY14" s="28">
        <f t="shared" si="98"/>
        <v>0.76574540796038748</v>
      </c>
      <c r="MZ14" s="28"/>
      <c r="NA14" s="28"/>
      <c r="NB14" s="28"/>
      <c r="NC14" s="28"/>
      <c r="ND14" s="28"/>
      <c r="NE14" s="28"/>
      <c r="NF14" s="28"/>
      <c r="NG14" s="28"/>
      <c r="NH14" s="28"/>
      <c r="NI14" s="28"/>
      <c r="NJ14" s="28"/>
      <c r="NK14" s="28"/>
    </row>
    <row r="15" spans="1:375" s="30" customFormat="1" ht="12.75" customHeight="1" x14ac:dyDescent="0.3">
      <c r="A15" s="298">
        <f t="shared" si="99"/>
        <v>2024</v>
      </c>
      <c r="B15" s="348">
        <f t="shared" si="2"/>
        <v>2022</v>
      </c>
      <c r="C15" s="26">
        <v>44743</v>
      </c>
      <c r="D15" s="92">
        <f t="shared" ref="D15:D45" si="156">I15*(1+$DU$61)</f>
        <v>9914.6883164589417</v>
      </c>
      <c r="E15" s="27">
        <f t="shared" si="106"/>
        <v>9914.6883164589417</v>
      </c>
      <c r="F15" s="107">
        <f t="shared" si="21"/>
        <v>0</v>
      </c>
      <c r="G15" s="27">
        <f t="shared" ref="G15:G45" si="157">G14*(1+IF(YEAR(C15)&lt;=2023,$DU$55,$DU$56))</f>
        <v>11533.018978</v>
      </c>
      <c r="H15" s="27">
        <f t="shared" ref="H15:H42" si="158">G15-L15</f>
        <v>11533.018978</v>
      </c>
      <c r="I15" s="289">
        <f t="shared" ref="I15:I42" si="159">H15-O15</f>
        <v>9803.0661313000001</v>
      </c>
      <c r="J15" s="68">
        <v>4975.2087970000002</v>
      </c>
      <c r="K15" s="290">
        <f t="shared" ref="K15:K42" si="160">I15-J15</f>
        <v>4827.8573342999998</v>
      </c>
      <c r="L15" s="290">
        <f t="shared" si="107"/>
        <v>0</v>
      </c>
      <c r="M15" s="290">
        <f t="shared" ref="M15:M42" si="161">L15-P15</f>
        <v>0</v>
      </c>
      <c r="N15" s="27">
        <f t="shared" ref="N15:N45" si="162">N14*(1+$DU$55)</f>
        <v>0</v>
      </c>
      <c r="O15" s="290">
        <f t="shared" ref="O15:O44" si="163">H15*$DU$32</f>
        <v>1729.9528467</v>
      </c>
      <c r="P15" s="290">
        <f t="shared" si="108"/>
        <v>0</v>
      </c>
      <c r="Q15" s="290">
        <f t="shared" ref="Q15:Q45" si="164">(Q14+N14)*(1+IF(YEAR(C15)&lt;=2023,$DU$55,$DU$56))-N15</f>
        <v>443.840644</v>
      </c>
      <c r="R15" s="254">
        <f t="shared" si="3"/>
        <v>1</v>
      </c>
      <c r="S15" s="251">
        <v>0</v>
      </c>
      <c r="T15" s="284">
        <f t="shared" ref="T15:T45" si="165">$DU$23</f>
        <v>7.0000000000000007E-2</v>
      </c>
      <c r="U15" s="284">
        <f t="shared" ref="U15:U45" si="166">$DU$25</f>
        <v>7.0000000000000007E-2</v>
      </c>
      <c r="V15" s="27">
        <f t="shared" si="5"/>
        <v>56480.237941569649</v>
      </c>
      <c r="W15" s="27">
        <f t="shared" ref="W15:W42" si="167">W14*(1+T15)+(Y15+BP15+BR15)*(1+T15)^0.5</f>
        <v>56480.237941569649</v>
      </c>
      <c r="X15" s="27"/>
      <c r="Y15" s="27">
        <f t="shared" ref="Y15:Y44" si="168">J15*$DU$35+K15*$DU$36</f>
        <v>1055.7902223410101</v>
      </c>
      <c r="Z15" s="27"/>
      <c r="AA15" s="111">
        <f t="shared" ref="AA15:AA45" si="169">$DU$24</f>
        <v>7.0000000000000007E-2</v>
      </c>
      <c r="AB15" s="111">
        <f t="shared" ref="AB15:AB45" si="170">$DU$26</f>
        <v>7.0000000000000007E-2</v>
      </c>
      <c r="AC15" s="92">
        <f t="shared" si="7"/>
        <v>56480.237941569649</v>
      </c>
      <c r="AD15" s="27">
        <f t="shared" ref="AD15:AD45" si="171">W15*(1+$DU$57/100)^((T15-AA15)*100)*(1+$DU$60/100)^((((T15-AA15)*100)^2)/2)</f>
        <v>56480.237941569649</v>
      </c>
      <c r="AE15" s="27"/>
      <c r="AF15" s="145">
        <f t="shared" ref="AF15:AF45" si="172">Y15*(1+$DU$58/100)^((T15-AA15)*100)</f>
        <v>1055.7902223410101</v>
      </c>
      <c r="AG15" s="27"/>
      <c r="AH15" s="27">
        <f t="shared" ref="AH15:AH42" si="173">SUM(AI15:AJ15)</f>
        <v>31048.009821565669</v>
      </c>
      <c r="AI15" s="27">
        <f t="shared" ref="AI15:AI44" si="174">AL15-FA15</f>
        <v>31048.009821565669</v>
      </c>
      <c r="AJ15" s="27"/>
      <c r="AK15" s="27">
        <f t="shared" si="11"/>
        <v>33475.88163600149</v>
      </c>
      <c r="AL15" s="27">
        <f t="shared" ref="AL15:AL44" si="175">AL14*(1+AN15)+SUM(BP15,BR15,BT15,BV15,BY15,BZ15,CB15,CF15,CH15,CL15,CJ15,CC15,CG15,CI15)*(1+AN15)^0.5</f>
        <v>33475.88163600149</v>
      </c>
      <c r="AM15" s="27"/>
      <c r="AN15" s="409">
        <f>INDEX(Inv.Returns!$B$2:$E$32,MATCH(B15,Inv.Returns!$A$2:$A$32,0),MATCH(SCRS!$DU$52,Inv.Returns!$B$1:$E$1,0))</f>
        <v>7.0000000000000007E-2</v>
      </c>
      <c r="AO15" s="27">
        <f t="shared" si="41"/>
        <v>25432.22812000398</v>
      </c>
      <c r="AP15" s="223">
        <f t="shared" si="12"/>
        <v>23004.356305568159</v>
      </c>
      <c r="AQ15" s="67">
        <f t="shared" si="22"/>
        <v>0.5497145719124924</v>
      </c>
      <c r="AR15" s="146">
        <f t="shared" si="23"/>
        <v>0.59270078979895946</v>
      </c>
      <c r="AS15" s="346"/>
      <c r="AT15" s="283">
        <f t="shared" ref="AT15:AT42" si="176">AF17/(J17+K17)+$DU$38</f>
        <v>0.1095</v>
      </c>
      <c r="AU15" s="390">
        <f t="shared" si="109"/>
        <v>0.1095</v>
      </c>
      <c r="AV15" s="296">
        <f t="shared" si="110"/>
        <v>0.15330631490993904</v>
      </c>
      <c r="AW15" s="296">
        <f t="shared" si="111"/>
        <v>0</v>
      </c>
      <c r="AX15" s="111">
        <f t="shared" si="82"/>
        <v>0.09</v>
      </c>
      <c r="AY15" s="111">
        <f t="shared" si="112"/>
        <v>0.09</v>
      </c>
      <c r="AZ15" s="111">
        <f t="shared" si="113"/>
        <v>0</v>
      </c>
      <c r="BA15" s="256">
        <f t="shared" si="24"/>
        <v>1.9500000000000003E-2</v>
      </c>
      <c r="BB15" s="111">
        <f t="shared" si="114"/>
        <v>1.9500000000000003E-2</v>
      </c>
      <c r="BC15" s="128">
        <f t="shared" si="83"/>
        <v>0.18560000000000004</v>
      </c>
      <c r="BD15" s="128">
        <f t="shared" si="104"/>
        <v>0.18560000000000004</v>
      </c>
      <c r="BE15" s="402">
        <f t="shared" si="15"/>
        <v>0.16610000000000003</v>
      </c>
      <c r="BF15" s="402">
        <f t="shared" si="115"/>
        <v>0.16610000000000003</v>
      </c>
      <c r="BG15" s="402">
        <f t="shared" ref="BG15:BG42" si="177">IF($DU$43="Yes",BD15-BA15,BD15-$DU$42)</f>
        <v>0.13560000000000005</v>
      </c>
      <c r="BH15" s="402">
        <f t="shared" si="26"/>
        <v>0.18560000000000004</v>
      </c>
      <c r="BI15" s="152">
        <f t="shared" si="42"/>
        <v>658.57724391917657</v>
      </c>
      <c r="BJ15" s="100">
        <f t="shared" si="43"/>
        <v>4.1869522882181265E-2</v>
      </c>
      <c r="BK15" s="27" t="str">
        <f t="shared" si="67"/>
        <v>Inf</v>
      </c>
      <c r="BL15" s="27">
        <f t="shared" si="17"/>
        <v>24</v>
      </c>
      <c r="BM15" s="107">
        <f t="shared" si="31"/>
        <v>999</v>
      </c>
      <c r="BN15" s="27"/>
      <c r="BO15" s="63">
        <f>1+BJ13-BI13*BJ13</f>
        <v>0.38467986192040471</v>
      </c>
      <c r="BP15" s="92">
        <f t="shared" ref="BP15:BP42" si="178">ME15-MD15</f>
        <v>-3219.3200620600001</v>
      </c>
      <c r="BQ15" s="27"/>
      <c r="BR15" s="27">
        <f t="shared" ref="BR15:BR42" si="179">MI15-MH15</f>
        <v>-125.33162439482604</v>
      </c>
      <c r="BS15" s="27">
        <f t="shared" si="116"/>
        <v>0</v>
      </c>
      <c r="BT15" s="27">
        <f t="shared" ref="BT15:BT44" si="180">-$DU$38*I15</f>
        <v>-17.645519036339998</v>
      </c>
      <c r="BU15" s="27"/>
      <c r="BV15" s="297">
        <f t="shared" ref="BV15:BV42" si="181">AX13*I15</f>
        <v>882.27595181699996</v>
      </c>
      <c r="BW15" s="297"/>
      <c r="BX15" s="297"/>
      <c r="BY15" s="297">
        <f t="shared" ref="BY15:BY42" si="182">AX13*(N15+Q15)</f>
        <v>39.945657959999998</v>
      </c>
      <c r="BZ15" s="297">
        <f t="shared" si="84"/>
        <v>159.78997794019017</v>
      </c>
      <c r="CA15" s="297"/>
      <c r="CB15" s="297">
        <f t="shared" ref="CB15:CB45" si="183">IF(OR(AND($DU$71="Statutory",$DU$73="No"),AND($DU$71="Statutory",$DU$73="Yes",AQ14&lt;100%),B15&lt;2022), BE13*I15, AV13*(G15+Q15))</f>
        <v>0</v>
      </c>
      <c r="CC15" s="297"/>
      <c r="CD15" s="297"/>
      <c r="CE15" s="297"/>
      <c r="CF15" s="297">
        <f t="shared" ref="CF15:CF45" si="184">IF(OR(AND($DU$71="Statutory",$DU$73="No"),AND($DU$71="Statutory",$DU$73="Yes",AQ14&lt;100%),B15&lt;2022),MAX(BG13,0)*O15,0)</f>
        <v>0</v>
      </c>
      <c r="CG15" s="297"/>
      <c r="CH15" s="297">
        <f t="shared" ref="CH15:CH45" si="185">IF(OR(AND($DU$71="Statutory",$DU$73="No"),AND($DU$71="Statutory",$DU$73="Yes",AQ14&lt;100%),B15&lt;2022),BH13*Q15,0)</f>
        <v>0</v>
      </c>
      <c r="CI15" s="427">
        <f>IF(AND($DU$74="Yes",MAX($AQ$13:AQ14)&lt;100%),MAX(BD13*(G15+Q15)-SUM(BZ15:CH15,CJ15,CY15),0),0)</f>
        <v>0</v>
      </c>
      <c r="CJ15" s="223">
        <f>DU64</f>
        <v>0</v>
      </c>
      <c r="CK15" s="27">
        <f t="shared" si="44"/>
        <v>0</v>
      </c>
      <c r="CL15" s="27">
        <f t="shared" si="45"/>
        <v>0</v>
      </c>
      <c r="CM15" s="27">
        <f t="shared" si="46"/>
        <v>0</v>
      </c>
      <c r="CN15" s="27">
        <f t="shared" si="47"/>
        <v>1082.0115877171902</v>
      </c>
      <c r="CO15" s="27">
        <f t="shared" si="48"/>
        <v>0</v>
      </c>
      <c r="CP15" s="107">
        <f t="shared" si="4"/>
        <v>1082.0115877171902</v>
      </c>
      <c r="CQ15" s="27">
        <f t="shared" si="117"/>
        <v>0</v>
      </c>
      <c r="CR15" s="27">
        <f t="shared" si="118"/>
        <v>0</v>
      </c>
      <c r="CS15" s="27">
        <f t="shared" ref="CS15:CS44" si="186">SUM(CQ15:CR15)</f>
        <v>0</v>
      </c>
      <c r="CT15" s="27">
        <f>SUM($CS$14:CS15)</f>
        <v>1596.135284</v>
      </c>
      <c r="CU15" s="223">
        <v>1486.6690425039301</v>
      </c>
      <c r="CV15" s="417">
        <v>287.26489662876008</v>
      </c>
      <c r="CW15" s="417">
        <v>1773.9339391326903</v>
      </c>
      <c r="CX15" s="417">
        <v>3376.5647001886905</v>
      </c>
      <c r="CY15" s="103">
        <f t="shared" si="49"/>
        <v>86.497642335000009</v>
      </c>
      <c r="CZ15" s="111">
        <f t="shared" si="101"/>
        <v>2.0563622522784729E-2</v>
      </c>
      <c r="DA15" s="92">
        <f t="shared" si="50"/>
        <v>246.28762027519019</v>
      </c>
      <c r="DB15" s="410">
        <f t="shared" si="51"/>
        <v>240.86808828869457</v>
      </c>
      <c r="DC15" s="307">
        <f t="shared" si="52"/>
        <v>0</v>
      </c>
      <c r="DD15" s="307">
        <f t="shared" si="53"/>
        <v>146.1827979565258</v>
      </c>
      <c r="DE15" s="307">
        <f t="shared" si="54"/>
        <v>0</v>
      </c>
      <c r="DF15" s="307">
        <f t="shared" si="55"/>
        <v>40932.83579660434</v>
      </c>
      <c r="DG15" s="307" t="b">
        <f t="shared" si="68"/>
        <v>0</v>
      </c>
      <c r="DH15" s="27">
        <f t="shared" si="56"/>
        <v>86.497642335000009</v>
      </c>
      <c r="DI15" s="96">
        <f t="shared" si="57"/>
        <v>79.131792470151026</v>
      </c>
      <c r="DJ15" s="101">
        <f t="shared" si="58"/>
        <v>6.9238863807859291E-2</v>
      </c>
      <c r="DK15" s="92">
        <f t="shared" si="59"/>
        <v>0</v>
      </c>
      <c r="DL15" s="96">
        <f t="shared" si="60"/>
        <v>0</v>
      </c>
      <c r="DM15" s="101">
        <f t="shared" si="61"/>
        <v>0</v>
      </c>
      <c r="DN15" s="292">
        <v>2024.1038883283204</v>
      </c>
      <c r="DO15" s="96">
        <f t="shared" si="62"/>
        <v>1979.5637049665727</v>
      </c>
      <c r="DP15" s="294">
        <v>0.54749477334367014</v>
      </c>
      <c r="DQ15" s="29"/>
      <c r="DR15" s="28"/>
      <c r="DS15" s="28"/>
      <c r="DT15" s="28"/>
      <c r="DU15" s="28"/>
      <c r="DV15" s="29"/>
      <c r="DW15" s="320"/>
      <c r="DX15" s="321"/>
      <c r="DY15" s="321"/>
      <c r="DZ15" s="321"/>
      <c r="EA15" s="321"/>
      <c r="EB15" s="321"/>
      <c r="EC15" s="321"/>
      <c r="ED15" s="321"/>
      <c r="EE15" s="321"/>
      <c r="EF15" s="321"/>
      <c r="EG15" s="321"/>
      <c r="EH15" s="321"/>
      <c r="EI15" s="322"/>
      <c r="EJ15" s="323"/>
      <c r="EK15" s="332">
        <f t="shared" si="69"/>
        <v>0.16610000000000003</v>
      </c>
      <c r="EL15" s="332">
        <f t="shared" si="63"/>
        <v>1.9500000000000003E-2</v>
      </c>
      <c r="EM15" s="332" t="e">
        <f t="shared" si="70"/>
        <v>#DIV/0!</v>
      </c>
      <c r="EN15" s="332">
        <f t="shared" si="64"/>
        <v>0</v>
      </c>
      <c r="EO15" s="332">
        <v>0.18560000000000004</v>
      </c>
      <c r="EP15" s="332">
        <v>0.15111503711983915</v>
      </c>
      <c r="EQ15" s="333" t="e">
        <f t="shared" si="71"/>
        <v>#DIV/0!</v>
      </c>
      <c r="ER15" s="277"/>
      <c r="ES15" s="334">
        <v>6</v>
      </c>
      <c r="ET15" s="29">
        <f>AA14*AL14+SUM(BP15,BR15,BT15,BV15,BY15,BZ15,CB15,CF15,CH15,CL15,CJ15,CC15,CG15,CI15)*AA14/2</f>
        <v>2345.3868313556927</v>
      </c>
      <c r="EU15" s="29">
        <f>AL15-AL14-SUM(BP15,BR15,BT15,BV15,BY15,BZ15,CB15,CF15,CH15,CL15,CJ15,CC15,CG15,CI15)</f>
        <v>2265.8612537754689</v>
      </c>
      <c r="EV15" s="29">
        <f t="shared" si="72"/>
        <v>-79.525577580223853</v>
      </c>
      <c r="EW15" s="29">
        <f t="shared" si="73"/>
        <v>-63.62046206417908</v>
      </c>
      <c r="EX15" s="29">
        <f t="shared" si="87"/>
        <v>3528.9730267499981</v>
      </c>
      <c r="EY15" s="29">
        <f t="shared" si="102"/>
        <v>-959.23925299999996</v>
      </c>
      <c r="EZ15" s="29">
        <f t="shared" si="105"/>
        <v>-78.241497249999867</v>
      </c>
      <c r="FA15" s="29">
        <f t="shared" si="74"/>
        <v>2427.871814435819</v>
      </c>
      <c r="FB15" s="29"/>
      <c r="FC15" s="29"/>
      <c r="FD15" s="29"/>
      <c r="FE15" s="29"/>
      <c r="FF15" s="29"/>
      <c r="FG15" s="29"/>
      <c r="FH15" s="29"/>
      <c r="FI15" s="29"/>
      <c r="FJ15" s="29"/>
      <c r="FK15" s="29"/>
      <c r="FL15" s="29"/>
      <c r="FM15" s="27">
        <f t="shared" si="27"/>
        <v>24651.369000000002</v>
      </c>
      <c r="FN15" s="29"/>
      <c r="FO15" s="301">
        <f t="shared" si="119"/>
        <v>0</v>
      </c>
      <c r="FP15" s="89">
        <f>SUM(JW14:LB14)</f>
        <v>0</v>
      </c>
      <c r="FQ15" s="27">
        <f t="shared" si="103"/>
        <v>20</v>
      </c>
      <c r="FR15" s="302">
        <f t="shared" si="88"/>
        <v>13.464518542443937</v>
      </c>
      <c r="FS15" s="89">
        <f t="shared" si="89"/>
        <v>1830.8392477823827</v>
      </c>
      <c r="FT15" s="89">
        <f>FO15+FP15</f>
        <v>0</v>
      </c>
      <c r="FU15" s="29">
        <f t="shared" si="90"/>
        <v>20</v>
      </c>
      <c r="FV15" s="137">
        <f t="shared" si="91"/>
        <v>13.464518542443937</v>
      </c>
      <c r="FW15" s="48">
        <v>1653.0060404927585</v>
      </c>
      <c r="FX15" s="29">
        <f t="shared" si="120"/>
        <v>-1006.3651324960229</v>
      </c>
      <c r="FY15" s="29">
        <f t="shared" si="121"/>
        <v>26438.593252500003</v>
      </c>
      <c r="FZ15" s="29">
        <f t="shared" si="122"/>
        <v>0</v>
      </c>
      <c r="GA15" s="29">
        <f t="shared" si="122"/>
        <v>0</v>
      </c>
      <c r="GB15" s="29">
        <f t="shared" si="122"/>
        <v>0</v>
      </c>
      <c r="GC15" s="29">
        <f t="shared" si="122"/>
        <v>0</v>
      </c>
      <c r="GD15" s="29">
        <f t="shared" si="122"/>
        <v>0</v>
      </c>
      <c r="GE15" s="29">
        <f t="shared" si="122"/>
        <v>0</v>
      </c>
      <c r="GF15" s="29">
        <f t="shared" si="122"/>
        <v>0</v>
      </c>
      <c r="GG15" s="29">
        <f t="shared" si="122"/>
        <v>0</v>
      </c>
      <c r="GH15" s="29">
        <f t="shared" si="122"/>
        <v>0</v>
      </c>
      <c r="GI15" s="29">
        <f t="shared" si="122"/>
        <v>0</v>
      </c>
      <c r="GJ15" s="29">
        <f t="shared" si="122"/>
        <v>0</v>
      </c>
      <c r="GK15" s="29">
        <f t="shared" si="122"/>
        <v>0</v>
      </c>
      <c r="GL15" s="29">
        <f t="shared" si="122"/>
        <v>0</v>
      </c>
      <c r="GM15" s="29">
        <f t="shared" si="122"/>
        <v>0</v>
      </c>
      <c r="GN15" s="29">
        <f t="shared" si="122"/>
        <v>0</v>
      </c>
      <c r="GO15" s="29">
        <f t="shared" si="122"/>
        <v>0</v>
      </c>
      <c r="GP15" s="29">
        <f t="shared" si="122"/>
        <v>0</v>
      </c>
      <c r="GQ15" s="29">
        <f t="shared" si="122"/>
        <v>0</v>
      </c>
      <c r="GR15" s="29">
        <f t="shared" si="122"/>
        <v>0</v>
      </c>
      <c r="GS15" s="29">
        <f t="shared" si="122"/>
        <v>0</v>
      </c>
      <c r="GT15" s="29">
        <f t="shared" si="122"/>
        <v>0</v>
      </c>
      <c r="GU15" s="29">
        <f t="shared" si="122"/>
        <v>0</v>
      </c>
      <c r="GV15" s="29">
        <f t="shared" si="122"/>
        <v>0</v>
      </c>
      <c r="GW15" s="29">
        <f t="shared" si="122"/>
        <v>0</v>
      </c>
      <c r="GX15" s="29">
        <f t="shared" si="122"/>
        <v>0</v>
      </c>
      <c r="GY15" s="29">
        <f t="shared" si="122"/>
        <v>0</v>
      </c>
      <c r="GZ15" s="29">
        <f t="shared" si="122"/>
        <v>0</v>
      </c>
      <c r="HA15" s="29">
        <f t="shared" si="122"/>
        <v>0</v>
      </c>
      <c r="HB15" s="29">
        <f t="shared" si="122"/>
        <v>0</v>
      </c>
      <c r="HC15" s="29">
        <f t="shared" si="122"/>
        <v>0</v>
      </c>
      <c r="HD15" s="29"/>
      <c r="HE15" s="29">
        <f t="shared" si="32"/>
        <v>20</v>
      </c>
      <c r="HF15" s="29">
        <f>IF(HF$3&lt;2,0,FX15/(  -PV((((   1+$AA15   )/(   1+$DU$69   ))-1),   MAX($HE15 - HF$3 + 2,1),1,0,1)/((   1+$AA15   )^0.5)   ))</f>
        <v>0</v>
      </c>
      <c r="HG15" s="29">
        <f t="shared" si="124"/>
        <v>1963.5750932466055</v>
      </c>
      <c r="HH15" s="29">
        <f t="shared" si="125"/>
        <v>0</v>
      </c>
      <c r="HI15" s="29">
        <f t="shared" si="126"/>
        <v>0</v>
      </c>
      <c r="HJ15" s="29">
        <f t="shared" si="127"/>
        <v>0</v>
      </c>
      <c r="HK15" s="29">
        <f t="shared" si="128"/>
        <v>0</v>
      </c>
      <c r="HL15" s="29">
        <f t="shared" si="129"/>
        <v>0</v>
      </c>
      <c r="HM15" s="29">
        <f t="shared" si="130"/>
        <v>0</v>
      </c>
      <c r="HN15" s="29">
        <f t="shared" si="131"/>
        <v>0</v>
      </c>
      <c r="HO15" s="29">
        <f t="shared" si="132"/>
        <v>0</v>
      </c>
      <c r="HP15" s="29">
        <f t="shared" si="133"/>
        <v>0</v>
      </c>
      <c r="HQ15" s="29">
        <f t="shared" si="134"/>
        <v>0</v>
      </c>
      <c r="HR15" s="29">
        <f t="shared" si="135"/>
        <v>0</v>
      </c>
      <c r="HS15" s="29">
        <f t="shared" si="136"/>
        <v>0</v>
      </c>
      <c r="HT15" s="29">
        <f t="shared" si="137"/>
        <v>0</v>
      </c>
      <c r="HU15" s="29">
        <f t="shared" si="138"/>
        <v>0</v>
      </c>
      <c r="HV15" s="29">
        <f t="shared" si="139"/>
        <v>0</v>
      </c>
      <c r="HW15" s="29">
        <f t="shared" si="140"/>
        <v>0</v>
      </c>
      <c r="HX15" s="29">
        <f t="shared" si="141"/>
        <v>0</v>
      </c>
      <c r="HY15" s="29">
        <f t="shared" si="142"/>
        <v>0</v>
      </c>
      <c r="HZ15" s="29">
        <f t="shared" si="143"/>
        <v>0</v>
      </c>
      <c r="IA15" s="29">
        <f t="shared" si="144"/>
        <v>0</v>
      </c>
      <c r="IB15" s="29">
        <f t="shared" si="145"/>
        <v>0</v>
      </c>
      <c r="IC15" s="29">
        <f t="shared" si="146"/>
        <v>0</v>
      </c>
      <c r="ID15" s="29">
        <f t="shared" si="147"/>
        <v>0</v>
      </c>
      <c r="IE15" s="29">
        <f t="shared" si="148"/>
        <v>0</v>
      </c>
      <c r="IF15" s="29">
        <f t="shared" si="149"/>
        <v>0</v>
      </c>
      <c r="IG15" s="29">
        <f t="shared" si="150"/>
        <v>0</v>
      </c>
      <c r="IH15" s="29">
        <f t="shared" si="151"/>
        <v>0</v>
      </c>
      <c r="II15" s="29">
        <f t="shared" si="152"/>
        <v>0</v>
      </c>
      <c r="IJ15" s="29">
        <f t="shared" si="153"/>
        <v>0</v>
      </c>
      <c r="IK15" s="29">
        <f t="shared" si="154"/>
        <v>0</v>
      </c>
      <c r="IL15" s="48"/>
      <c r="IM15" s="48"/>
      <c r="IN15" s="48"/>
      <c r="IO15" s="29"/>
      <c r="IP15" s="29"/>
      <c r="IQ15" s="48"/>
      <c r="IR15" s="48"/>
      <c r="IS15" s="48"/>
      <c r="IT15" s="48"/>
      <c r="IU15" s="48"/>
      <c r="IV15" s="48"/>
      <c r="IW15" s="48"/>
      <c r="IX15" s="48"/>
      <c r="IY15" s="48"/>
      <c r="IZ15" s="48"/>
      <c r="JA15" s="48"/>
      <c r="JB15" s="48"/>
      <c r="JC15" s="48"/>
      <c r="JD15" s="48"/>
      <c r="JE15" s="48"/>
      <c r="JF15" s="48"/>
      <c r="JG15" s="48"/>
      <c r="JH15" s="48"/>
      <c r="JI15" s="48"/>
      <c r="JJ15" s="48"/>
      <c r="JK15" s="48"/>
      <c r="JL15" s="48"/>
      <c r="JM15" s="48"/>
      <c r="JN15" s="48"/>
      <c r="JO15" s="48"/>
      <c r="JP15" s="48"/>
      <c r="JQ15" s="48"/>
      <c r="JR15" s="48"/>
      <c r="JS15" s="48"/>
      <c r="JT15" s="48"/>
      <c r="JU15" s="48"/>
      <c r="JV15" s="48"/>
      <c r="JW15" s="48"/>
      <c r="JX15" s="48"/>
      <c r="JY15" s="48"/>
      <c r="JZ15" s="48"/>
      <c r="KA15" s="48"/>
      <c r="KB15" s="48"/>
      <c r="KC15" s="48"/>
      <c r="KD15" s="48"/>
      <c r="KE15" s="48"/>
      <c r="KF15" s="48"/>
      <c r="KG15" s="48"/>
      <c r="KH15" s="48"/>
      <c r="KI15" s="48"/>
      <c r="KJ15" s="48"/>
      <c r="KK15" s="48"/>
      <c r="KL15" s="48"/>
      <c r="KM15" s="48"/>
      <c r="KN15" s="48"/>
      <c r="KO15" s="48"/>
      <c r="KP15" s="48"/>
      <c r="KQ15" s="48"/>
      <c r="KR15" s="48"/>
      <c r="KS15" s="48"/>
      <c r="KT15" s="48"/>
      <c r="KU15" s="48"/>
      <c r="KV15" s="48"/>
      <c r="KW15" s="48"/>
      <c r="KX15" s="48"/>
      <c r="KY15" s="48"/>
      <c r="KZ15" s="48"/>
      <c r="LA15" s="48"/>
      <c r="LB15" s="48"/>
      <c r="LC15" s="48"/>
      <c r="LD15" s="48"/>
      <c r="LE15" s="48"/>
      <c r="LF15" s="48"/>
      <c r="LG15" s="48"/>
      <c r="LH15" s="48"/>
      <c r="LI15" s="48"/>
      <c r="LJ15" s="48"/>
      <c r="LK15" s="48"/>
      <c r="LL15" s="48"/>
      <c r="LM15" s="48"/>
      <c r="LN15" s="48"/>
      <c r="LO15" s="48"/>
      <c r="LP15" s="46">
        <f t="shared" si="33"/>
        <v>0.52584059657926674</v>
      </c>
      <c r="LQ15" s="47">
        <f t="shared" si="34"/>
        <v>0.80946577585975921</v>
      </c>
      <c r="LR15" s="28"/>
      <c r="LS15" s="48"/>
      <c r="LT15" s="28"/>
      <c r="LU15" s="161">
        <v>9.1000000000000004E-3</v>
      </c>
      <c r="LV15" s="111">
        <f t="shared" si="75"/>
        <v>1.4753255730270041E-18</v>
      </c>
      <c r="LW15" s="152">
        <f t="shared" si="18"/>
        <v>0</v>
      </c>
      <c r="LX15" s="223" t="e">
        <f>LX14*(1+#REF!)</f>
        <v>#REF!</v>
      </c>
      <c r="LY15" s="153"/>
      <c r="LZ15" s="124">
        <f t="shared" si="76"/>
        <v>47.824310828123998</v>
      </c>
      <c r="MA15" s="125">
        <f t="shared" si="77"/>
        <v>0</v>
      </c>
      <c r="MB15" s="28"/>
      <c r="MC15" s="111"/>
      <c r="MD15" s="387">
        <f t="shared" ref="MD15:MD46" si="187">-MC15*L15</f>
        <v>0</v>
      </c>
      <c r="ME15" s="152">
        <f t="shared" ref="ME15:ME46" si="188">ME14*(1+$DU$80-$DU$81-(YEAR($C15)-2020)*$DU$82-MAX(YEAR($C15)-2020-$DU$84,0)*$DU$83   )*(1+$DU$79)</f>
        <v>-3219.3200620600001</v>
      </c>
      <c r="MF15" s="28"/>
      <c r="MG15" s="111"/>
      <c r="MH15" s="387">
        <f t="shared" ref="MH15:MH47" si="189">MD15*MI15/ME15</f>
        <v>0</v>
      </c>
      <c r="MI15" s="152">
        <f t="shared" si="155"/>
        <v>-125.33162439482604</v>
      </c>
      <c r="MJ15" s="28"/>
      <c r="MK15" s="100">
        <f t="shared" si="78"/>
        <v>1.7500000000000002E-2</v>
      </c>
      <c r="ML15" s="100">
        <f t="shared" si="79"/>
        <v>0.10284634612625973</v>
      </c>
      <c r="MM15" s="100">
        <f>ML15*(1+MU$7)</f>
        <v>0.10572133489867476</v>
      </c>
      <c r="MN15" s="100">
        <f>MM15*(1+MV$7)</f>
        <v>0.10876168224299068</v>
      </c>
      <c r="MO15" s="100">
        <f t="shared" si="37"/>
        <v>0.11193192828838799</v>
      </c>
      <c r="MP15" s="100">
        <f t="shared" si="38"/>
        <v>0.11523843585649836</v>
      </c>
      <c r="MQ15" s="100">
        <f t="shared" si="39"/>
        <v>0.1186878946286926</v>
      </c>
      <c r="MR15" s="28"/>
      <c r="MS15" s="28">
        <f t="shared" si="92"/>
        <v>68</v>
      </c>
      <c r="MT15" s="28">
        <f t="shared" si="93"/>
        <v>0.65707689293158289</v>
      </c>
      <c r="MU15" s="28">
        <f t="shared" si="94"/>
        <v>0.67039524446500787</v>
      </c>
      <c r="MV15" s="28">
        <f t="shared" si="95"/>
        <v>0.68393779915618036</v>
      </c>
      <c r="MW15" s="28">
        <f t="shared" si="96"/>
        <v>0.69770756630919284</v>
      </c>
      <c r="MX15" s="28">
        <f t="shared" si="97"/>
        <v>0.7117075854206808</v>
      </c>
      <c r="MY15" s="28">
        <f t="shared" si="98"/>
        <v>0.72594092638109464</v>
      </c>
      <c r="MZ15" s="28"/>
      <c r="NA15" s="28"/>
      <c r="NB15" s="28"/>
      <c r="NC15" s="28"/>
      <c r="ND15" s="28"/>
      <c r="NE15" s="28"/>
      <c r="NF15" s="28"/>
      <c r="NG15" s="28"/>
      <c r="NH15" s="28"/>
      <c r="NI15" s="28"/>
      <c r="NJ15" s="28"/>
      <c r="NK15" s="28"/>
    </row>
    <row r="16" spans="1:375" s="30" customFormat="1" ht="12.75" customHeight="1" x14ac:dyDescent="0.3">
      <c r="A16" s="298">
        <f t="shared" si="99"/>
        <v>2025</v>
      </c>
      <c r="B16" s="348">
        <f t="shared" si="2"/>
        <v>2023</v>
      </c>
      <c r="C16" s="26">
        <v>45108</v>
      </c>
      <c r="D16" s="92">
        <f t="shared" si="156"/>
        <v>9876.913353973232</v>
      </c>
      <c r="E16" s="27">
        <f t="shared" si="106"/>
        <v>9876.913353973232</v>
      </c>
      <c r="F16" s="107">
        <f t="shared" si="21"/>
        <v>359.37829062364693</v>
      </c>
      <c r="G16" s="27">
        <f t="shared" si="157"/>
        <v>11844.410490405999</v>
      </c>
      <c r="H16" s="27">
        <f t="shared" si="158"/>
        <v>11489.07817569382</v>
      </c>
      <c r="I16" s="289">
        <f t="shared" si="159"/>
        <v>9765.7164493397468</v>
      </c>
      <c r="J16" s="68">
        <v>4723.8985620000003</v>
      </c>
      <c r="K16" s="290">
        <f t="shared" si="160"/>
        <v>5041.8178873397464</v>
      </c>
      <c r="L16" s="290">
        <f t="shared" si="107"/>
        <v>355.33231471217994</v>
      </c>
      <c r="M16" s="290">
        <f t="shared" si="161"/>
        <v>302.03246750535294</v>
      </c>
      <c r="N16" s="27">
        <f t="shared" si="162"/>
        <v>0</v>
      </c>
      <c r="O16" s="290">
        <f t="shared" si="163"/>
        <v>1723.361726354073</v>
      </c>
      <c r="P16" s="290">
        <f t="shared" si="108"/>
        <v>53.299847206826989</v>
      </c>
      <c r="Q16" s="290">
        <f t="shared" si="164"/>
        <v>455.82434138799994</v>
      </c>
      <c r="R16" s="254">
        <f t="shared" si="3"/>
        <v>0.97</v>
      </c>
      <c r="S16" s="251">
        <v>0.03</v>
      </c>
      <c r="T16" s="284">
        <f t="shared" si="165"/>
        <v>7.0000000000000007E-2</v>
      </c>
      <c r="U16" s="284">
        <f t="shared" si="166"/>
        <v>7.0000000000000007E-2</v>
      </c>
      <c r="V16" s="27">
        <f t="shared" si="5"/>
        <v>57987.889955750878</v>
      </c>
      <c r="W16" s="27">
        <f t="shared" si="167"/>
        <v>57955.053272940444</v>
      </c>
      <c r="X16" s="27">
        <f t="shared" ref="X16:X44" si="190">X15*(1+U16)+(Z16+BQ16+BS16)*(1+U16)^0.5</f>
        <v>32.836682810436891</v>
      </c>
      <c r="Y16" s="27">
        <f t="shared" si="168"/>
        <v>1051.7676615938908</v>
      </c>
      <c r="Z16" s="27">
        <f t="shared" ref="Z16:Z44" si="191">M16*$DU$37</f>
        <v>32.52889675032651</v>
      </c>
      <c r="AA16" s="111">
        <f t="shared" si="169"/>
        <v>7.0000000000000007E-2</v>
      </c>
      <c r="AB16" s="111">
        <f t="shared" si="170"/>
        <v>7.0000000000000007E-2</v>
      </c>
      <c r="AC16" s="92">
        <f t="shared" si="7"/>
        <v>57987.889955750878</v>
      </c>
      <c r="AD16" s="27">
        <f t="shared" si="171"/>
        <v>57955.053272940444</v>
      </c>
      <c r="AE16" s="27">
        <f t="shared" ref="AE16:AE45" si="192">X16*(1+$DU$57/100)^((U16-AB16)*100)*(1+$DU$60/100)^((((U16-AB16)*100)^2)/2)</f>
        <v>32.836682810436891</v>
      </c>
      <c r="AF16" s="145">
        <f t="shared" si="172"/>
        <v>1051.7676615938908</v>
      </c>
      <c r="AG16" s="27">
        <f t="shared" ref="AG16:AG45" si="193">Z16*(1+$DU$59/100)^((U16-AB16)*100)</f>
        <v>32.52889675032651</v>
      </c>
      <c r="AH16" s="27">
        <f t="shared" si="173"/>
        <v>33621.318134808906</v>
      </c>
      <c r="AI16" s="27">
        <f t="shared" si="174"/>
        <v>33588.466418940508</v>
      </c>
      <c r="AJ16" s="27">
        <f t="shared" ref="AJ16:AJ44" si="194">AM16-FJ16</f>
        <v>32.851715868399559</v>
      </c>
      <c r="AK16" s="27">
        <f t="shared" si="11"/>
        <v>35446.802331684135</v>
      </c>
      <c r="AL16" s="27">
        <f t="shared" si="175"/>
        <v>35413.965648873702</v>
      </c>
      <c r="AM16" s="27">
        <f>AM15*(1+AN16)+SUM(BQ16,BS16,BU16,BW16,BX16,CA16,CD16,CM16)*(1+AN16)^0.5</f>
        <v>32.836682810436884</v>
      </c>
      <c r="AN16" s="409">
        <f>INDEX(Inv.Returns!$B$2:$E$32,MATCH(B16,Inv.Returns!$A$2:$A$32,0),MATCH(SCRS!$DU$52,Inv.Returns!$B$1:$E$1,0))</f>
        <v>7.0000000000000007E-2</v>
      </c>
      <c r="AO16" s="27">
        <f t="shared" si="41"/>
        <v>24366.571820941972</v>
      </c>
      <c r="AP16" s="223">
        <f t="shared" si="12"/>
        <v>22541.087624066742</v>
      </c>
      <c r="AQ16" s="67">
        <f t="shared" si="22"/>
        <v>0.57979895734203302</v>
      </c>
      <c r="AR16" s="146">
        <f t="shared" si="23"/>
        <v>0.6112793957278444</v>
      </c>
      <c r="AS16" s="346"/>
      <c r="AT16" s="283">
        <f t="shared" si="176"/>
        <v>0.10950000000000001</v>
      </c>
      <c r="AU16" s="390">
        <f t="shared" si="109"/>
        <v>0.1095</v>
      </c>
      <c r="AV16" s="296">
        <f t="shared" si="110"/>
        <v>0.14831553958133195</v>
      </c>
      <c r="AW16" s="296">
        <f t="shared" si="111"/>
        <v>-9.5628191692739784E-7</v>
      </c>
      <c r="AX16" s="111">
        <f t="shared" si="82"/>
        <v>0.09</v>
      </c>
      <c r="AY16" s="111">
        <f t="shared" si="112"/>
        <v>0.09</v>
      </c>
      <c r="AZ16" s="111">
        <f t="shared" si="113"/>
        <v>0</v>
      </c>
      <c r="BA16" s="256">
        <f t="shared" si="24"/>
        <v>1.9500000000000017E-2</v>
      </c>
      <c r="BB16" s="111">
        <f t="shared" si="114"/>
        <v>1.9500000000000003E-2</v>
      </c>
      <c r="BC16" s="128">
        <f t="shared" si="83"/>
        <v>0.18560000000000004</v>
      </c>
      <c r="BD16" s="128">
        <f t="shared" si="104"/>
        <v>0.18560000000000004</v>
      </c>
      <c r="BE16" s="402">
        <f t="shared" si="15"/>
        <v>0.16610000000000003</v>
      </c>
      <c r="BF16" s="402">
        <f t="shared" si="115"/>
        <v>0.16610000000000003</v>
      </c>
      <c r="BG16" s="402">
        <f t="shared" si="177"/>
        <v>0.13560000000000005</v>
      </c>
      <c r="BH16" s="402">
        <f t="shared" si="26"/>
        <v>0.18560000000000004</v>
      </c>
      <c r="BI16" s="152">
        <f t="shared" si="42"/>
        <v>12.573574220169393</v>
      </c>
      <c r="BJ16" s="100">
        <f t="shared" si="43"/>
        <v>4.1869522882181265E-2</v>
      </c>
      <c r="BK16" s="27">
        <f t="shared" si="67"/>
        <v>17.158612295315802</v>
      </c>
      <c r="BL16" s="27">
        <f t="shared" si="17"/>
        <v>23</v>
      </c>
      <c r="BM16" s="107">
        <f t="shared" si="31"/>
        <v>15.183200729032794</v>
      </c>
      <c r="BN16" s="27"/>
      <c r="BO16" s="94">
        <f>BI13*BJ13</f>
        <v>0.65962393554794974</v>
      </c>
      <c r="BP16" s="92">
        <f t="shared" si="178"/>
        <v>-3318.9067104101127</v>
      </c>
      <c r="BQ16" s="27">
        <f t="shared" ref="BQ16:BQ44" si="195">-MC16*M16</f>
        <v>-0.75508116876338238</v>
      </c>
      <c r="BR16" s="27">
        <f t="shared" si="179"/>
        <v>-129.20864071042942</v>
      </c>
      <c r="BS16" s="27">
        <f t="shared" si="116"/>
        <v>-2.9396129495276854E-2</v>
      </c>
      <c r="BT16" s="27">
        <f t="shared" si="180"/>
        <v>-17.578289608811545</v>
      </c>
      <c r="BU16" s="27">
        <f t="shared" ref="BU16:BU44" si="196">-$DU$38*M16</f>
        <v>-0.54365844150963527</v>
      </c>
      <c r="BV16" s="297">
        <f t="shared" si="181"/>
        <v>878.91448044057722</v>
      </c>
      <c r="BW16" s="297">
        <f t="shared" ref="BW16:BW42" si="197">AY14*M16</f>
        <v>27.182922075481763</v>
      </c>
      <c r="BX16" s="297">
        <f t="shared" ref="BX16:BX42" si="198">AZ14*M16</f>
        <v>0</v>
      </c>
      <c r="BY16" s="297">
        <f t="shared" si="182"/>
        <v>41.02419072491999</v>
      </c>
      <c r="BZ16" s="297">
        <f t="shared" si="84"/>
        <v>190.43147076212506</v>
      </c>
      <c r="CA16" s="297">
        <f t="shared" ref="CA16:CA42" si="199">AU14*M16-BW16</f>
        <v>5.889633116354382</v>
      </c>
      <c r="CB16" s="297">
        <f t="shared" si="183"/>
        <v>1963.5750932466055</v>
      </c>
      <c r="CC16" s="297">
        <f t="shared" ref="CC16:CC45" si="200">IF(OR(AND($DU$71="Statutory",$DU$73="No"),AND($DU$71="Statutory",$DU$73="Yes",AQ15&lt;100%)), BF14*M16, 0)</f>
        <v>0</v>
      </c>
      <c r="CD16" s="297">
        <f t="shared" ref="CD16:CD45" si="201">IF(OR(AND($DU$72="Statutory",$DU$73="No"),AND($DU$72="Statutory",$DU$73="Yes",AQ15&lt;100%)), 0, MAX(-CA16-BZ16-CB16,AW14*L16-BX16))</f>
        <v>0</v>
      </c>
      <c r="CE16" s="297"/>
      <c r="CF16" s="297">
        <f t="shared" si="184"/>
        <v>0</v>
      </c>
      <c r="CG16" s="297">
        <f t="shared" ref="CG16:CG45" si="202">IF(OR(AND($DU$71="Statutory",$DU$73="No"),AND($DU$71="Statutory",$DU$73="Yes",AQ15&lt;100%),B16&lt;2022),MAX(BG14,0)*P16,0)</f>
        <v>0</v>
      </c>
      <c r="CH16" s="297">
        <f t="shared" si="185"/>
        <v>0</v>
      </c>
      <c r="CI16" s="427">
        <f>IF(AND($DU$74="Yes",MAX($AQ$13:AQ15)&lt;100%),MAX(BD14*(G16+Q16)-SUM(BZ16:CH16,CJ16,CY16),0),0)</f>
        <v>0</v>
      </c>
      <c r="CJ16" s="27"/>
      <c r="CK16" s="27">
        <f t="shared" si="44"/>
        <v>0</v>
      </c>
      <c r="CL16" s="27">
        <f t="shared" si="45"/>
        <v>0</v>
      </c>
      <c r="CM16" s="27">
        <f t="shared" si="46"/>
        <v>0</v>
      </c>
      <c r="CN16" s="27">
        <f t="shared" si="47"/>
        <v>3107.0177903660642</v>
      </c>
      <c r="CO16" s="27">
        <f t="shared" si="48"/>
        <v>0</v>
      </c>
      <c r="CP16" s="107">
        <f t="shared" si="4"/>
        <v>3107.0177903660642</v>
      </c>
      <c r="CQ16" s="27">
        <f t="shared" si="117"/>
        <v>1963.5750932466055</v>
      </c>
      <c r="CR16" s="27">
        <f t="shared" si="118"/>
        <v>0</v>
      </c>
      <c r="CS16" s="27">
        <f t="shared" si="186"/>
        <v>1963.5750932466055</v>
      </c>
      <c r="CT16" s="27">
        <f>SUM($CS$14:CS16)</f>
        <v>3559.7103772466053</v>
      </c>
      <c r="CU16" s="223">
        <v>1643.2925387436217</v>
      </c>
      <c r="CV16" s="417">
        <v>319.21495804975291</v>
      </c>
      <c r="CW16" s="417">
        <v>1962.5074967933747</v>
      </c>
      <c r="CX16" s="417">
        <v>5339.0721969820652</v>
      </c>
      <c r="CY16" s="103">
        <f t="shared" si="49"/>
        <v>88.833078678045013</v>
      </c>
      <c r="CZ16" s="111">
        <f t="shared" si="101"/>
        <v>0.18282002795512084</v>
      </c>
      <c r="DA16" s="92">
        <f t="shared" si="50"/>
        <v>2248.7292758031299</v>
      </c>
      <c r="DB16" s="410">
        <f t="shared" si="51"/>
        <v>2150.8520640628694</v>
      </c>
      <c r="DC16" s="307">
        <f t="shared" si="52"/>
        <v>1756.8348234317589</v>
      </c>
      <c r="DD16" s="307">
        <f t="shared" si="53"/>
        <v>175.65090994203192</v>
      </c>
      <c r="DE16" s="307">
        <f t="shared" si="54"/>
        <v>0</v>
      </c>
      <c r="DF16" s="307">
        <f t="shared" si="55"/>
        <v>40358.683244617379</v>
      </c>
      <c r="DG16" s="307" t="b">
        <f t="shared" si="68"/>
        <v>0</v>
      </c>
      <c r="DH16" s="27">
        <f t="shared" si="56"/>
        <v>88.833078678045013</v>
      </c>
      <c r="DI16" s="96">
        <f t="shared" si="57"/>
        <v>79.480049747525769</v>
      </c>
      <c r="DJ16" s="101">
        <f t="shared" si="58"/>
        <v>5.3260664467584082E-2</v>
      </c>
      <c r="DK16" s="92">
        <f t="shared" si="59"/>
        <v>0</v>
      </c>
      <c r="DL16" s="96">
        <f t="shared" si="60"/>
        <v>0</v>
      </c>
      <c r="DM16" s="101">
        <f t="shared" si="61"/>
        <v>0</v>
      </c>
      <c r="DN16" s="292">
        <v>2210.7223555203304</v>
      </c>
      <c r="DO16" s="96">
        <f t="shared" si="62"/>
        <v>2114.499416450481</v>
      </c>
      <c r="DP16" s="294">
        <v>0.55333232965782631</v>
      </c>
      <c r="DQ16" s="29"/>
      <c r="DR16" s="28"/>
      <c r="DS16" s="28"/>
      <c r="DT16" s="28"/>
      <c r="DU16" s="28"/>
      <c r="DV16" s="29"/>
      <c r="DW16" s="320"/>
      <c r="DX16" s="321"/>
      <c r="DY16" s="321"/>
      <c r="DZ16" s="321"/>
      <c r="EA16" s="321"/>
      <c r="EB16" s="321"/>
      <c r="EC16" s="321"/>
      <c r="ED16" s="321"/>
      <c r="EE16" s="321"/>
      <c r="EF16" s="321"/>
      <c r="EG16" s="321"/>
      <c r="EH16" s="321"/>
      <c r="EI16" s="322"/>
      <c r="EJ16" s="323"/>
      <c r="EK16" s="332">
        <f t="shared" si="69"/>
        <v>0.16610000000000003</v>
      </c>
      <c r="EL16" s="332">
        <f t="shared" si="63"/>
        <v>1.9500000000000017E-2</v>
      </c>
      <c r="EM16" s="332" t="e">
        <f t="shared" si="70"/>
        <v>#DIV/0!</v>
      </c>
      <c r="EN16" s="332">
        <f t="shared" si="64"/>
        <v>0</v>
      </c>
      <c r="EO16" s="332">
        <v>0.18560000000000004</v>
      </c>
      <c r="EP16" s="332">
        <v>0.15087244101547864</v>
      </c>
      <c r="EQ16" s="333" t="e">
        <f t="shared" si="71"/>
        <v>#DIV/0!</v>
      </c>
      <c r="ER16" s="277"/>
      <c r="ES16" s="30">
        <v>7</v>
      </c>
      <c r="ET16" s="29">
        <f t="shared" si="85"/>
        <v>2329.600520325675</v>
      </c>
      <c r="EU16" s="29">
        <f t="shared" si="86"/>
        <v>2329.8324184273379</v>
      </c>
      <c r="EV16" s="29">
        <f t="shared" si="72"/>
        <v>0.23189810166286406</v>
      </c>
      <c r="EW16" s="29">
        <f t="shared" si="73"/>
        <v>0.18551848133029125</v>
      </c>
      <c r="EX16" s="29">
        <f t="shared" si="87"/>
        <v>-47.715346548134306</v>
      </c>
      <c r="EY16" s="29">
        <f t="shared" si="102"/>
        <v>2352.6486844999986</v>
      </c>
      <c r="EZ16" s="29">
        <f t="shared" si="105"/>
        <v>-479.61962649999998</v>
      </c>
      <c r="FA16" s="29">
        <f t="shared" si="74"/>
        <v>1825.4992299331948</v>
      </c>
      <c r="FB16" s="29"/>
      <c r="FC16" s="29">
        <f>AB15*AM15+SUM(BQ16,BS16,BU16,BW16,BX16,CA16,CD16,CM16)*AB15/2</f>
        <v>1.1110546808223749</v>
      </c>
      <c r="FD16" s="29">
        <f>AM16-AM15-SUM(BQ16,BS16,BU16,BW16,BX16,CA16,CD16,CM16)</f>
        <v>1.0922633583690349</v>
      </c>
      <c r="FE16" s="29">
        <f t="shared" ref="FE16:FE42" si="203">FD16-FC16</f>
        <v>-1.8791322453340031E-2</v>
      </c>
      <c r="FF16" s="29">
        <f t="shared" ref="FF16:FF42" si="204">FE16*4/5</f>
        <v>-1.5033057962672024E-2</v>
      </c>
      <c r="FG16" s="29">
        <f t="shared" ref="FG16:FG42" si="205">FF15*(3/4)</f>
        <v>0</v>
      </c>
      <c r="FH16" s="29">
        <f t="shared" ref="FH16:FH42" si="206">FG15*(2/3)</f>
        <v>0</v>
      </c>
      <c r="FI16" s="29">
        <f t="shared" ref="FI16:FI42" si="207">FH15*(1/2)</f>
        <v>0</v>
      </c>
      <c r="FJ16" s="29">
        <f t="shared" ref="FJ16:FJ42" si="208">SUM(FF16:FI16)</f>
        <v>-1.5033057962672024E-2</v>
      </c>
      <c r="FK16" s="29"/>
      <c r="FL16" s="29"/>
      <c r="FM16" s="27">
        <f t="shared" si="27"/>
        <v>25432.22812000398</v>
      </c>
      <c r="FN16" s="29"/>
      <c r="FO16" s="301">
        <f t="shared" si="119"/>
        <v>1963.5750932466055</v>
      </c>
      <c r="FP16" s="89">
        <f t="shared" ref="FP16:FP42" si="209">SUM(JW15:LB15)</f>
        <v>0</v>
      </c>
      <c r="FQ16" s="27">
        <f t="shared" si="103"/>
        <v>20</v>
      </c>
      <c r="FR16" s="302">
        <f t="shared" si="88"/>
        <v>13.464518542443937</v>
      </c>
      <c r="FS16" s="89">
        <f t="shared" si="89"/>
        <v>1888.833086740864</v>
      </c>
      <c r="FT16" s="89">
        <f t="shared" ref="FT16:FT44" si="210">FO16+FP16</f>
        <v>1963.5750932466055</v>
      </c>
      <c r="FU16" s="29">
        <f t="shared" si="90"/>
        <v>20</v>
      </c>
      <c r="FV16" s="137">
        <f t="shared" si="91"/>
        <v>13.464518542443937</v>
      </c>
      <c r="FW16" s="48">
        <v>1658.7487651789693</v>
      </c>
      <c r="FX16" s="29">
        <f t="shared" si="120"/>
        <v>-814.75936436799748</v>
      </c>
      <c r="FY16" s="29">
        <f t="shared" si="121"/>
        <v>-1076.8106917707446</v>
      </c>
      <c r="FZ16" s="29">
        <f t="shared" si="122"/>
        <v>26258.156910138678</v>
      </c>
      <c r="GA16" s="29">
        <f t="shared" si="122"/>
        <v>0</v>
      </c>
      <c r="GB16" s="29">
        <f t="shared" si="122"/>
        <v>0</v>
      </c>
      <c r="GC16" s="29">
        <f t="shared" si="122"/>
        <v>0</v>
      </c>
      <c r="GD16" s="29">
        <f t="shared" si="122"/>
        <v>0</v>
      </c>
      <c r="GE16" s="29">
        <f t="shared" si="122"/>
        <v>0</v>
      </c>
      <c r="GF16" s="29">
        <f t="shared" si="122"/>
        <v>0</v>
      </c>
      <c r="GG16" s="29">
        <f t="shared" si="122"/>
        <v>0</v>
      </c>
      <c r="GH16" s="29">
        <f t="shared" si="122"/>
        <v>0</v>
      </c>
      <c r="GI16" s="29">
        <f t="shared" si="122"/>
        <v>0</v>
      </c>
      <c r="GJ16" s="29">
        <f t="shared" si="122"/>
        <v>0</v>
      </c>
      <c r="GK16" s="29">
        <f t="shared" si="122"/>
        <v>0</v>
      </c>
      <c r="GL16" s="29">
        <f t="shared" si="122"/>
        <v>0</v>
      </c>
      <c r="GM16" s="29">
        <f t="shared" si="122"/>
        <v>0</v>
      </c>
      <c r="GN16" s="29">
        <f t="shared" si="122"/>
        <v>0</v>
      </c>
      <c r="GO16" s="29">
        <f t="shared" si="122"/>
        <v>0</v>
      </c>
      <c r="GP16" s="29">
        <f t="shared" si="122"/>
        <v>0</v>
      </c>
      <c r="GQ16" s="29">
        <f t="shared" si="122"/>
        <v>0</v>
      </c>
      <c r="GR16" s="29">
        <f t="shared" si="122"/>
        <v>0</v>
      </c>
      <c r="GS16" s="29">
        <f t="shared" si="122"/>
        <v>0</v>
      </c>
      <c r="GT16" s="29">
        <f t="shared" si="122"/>
        <v>0</v>
      </c>
      <c r="GU16" s="29">
        <f t="shared" si="122"/>
        <v>0</v>
      </c>
      <c r="GV16" s="29">
        <f t="shared" si="122"/>
        <v>0</v>
      </c>
      <c r="GW16" s="29">
        <f t="shared" si="122"/>
        <v>0</v>
      </c>
      <c r="GX16" s="29">
        <f t="shared" si="122"/>
        <v>0</v>
      </c>
      <c r="GY16" s="29">
        <f t="shared" si="122"/>
        <v>0</v>
      </c>
      <c r="GZ16" s="29">
        <f t="shared" si="122"/>
        <v>0</v>
      </c>
      <c r="HA16" s="29">
        <f t="shared" si="122"/>
        <v>0</v>
      </c>
      <c r="HB16" s="29">
        <f t="shared" si="122"/>
        <v>0</v>
      </c>
      <c r="HC16" s="29">
        <f t="shared" si="122"/>
        <v>0</v>
      </c>
      <c r="HD16" s="29"/>
      <c r="HE16" s="29">
        <f t="shared" si="32"/>
        <v>20</v>
      </c>
      <c r="HF16" s="29">
        <f t="shared" si="123"/>
        <v>0</v>
      </c>
      <c r="HG16" s="29">
        <f t="shared" si="124"/>
        <v>-79.973946961143497</v>
      </c>
      <c r="HH16" s="29">
        <f t="shared" si="125"/>
        <v>2016.5916207642638</v>
      </c>
      <c r="HI16" s="29">
        <f t="shared" si="126"/>
        <v>0</v>
      </c>
      <c r="HJ16" s="29">
        <f t="shared" si="127"/>
        <v>0</v>
      </c>
      <c r="HK16" s="29">
        <f t="shared" si="128"/>
        <v>0</v>
      </c>
      <c r="HL16" s="29">
        <f t="shared" si="129"/>
        <v>0</v>
      </c>
      <c r="HM16" s="29">
        <f t="shared" si="130"/>
        <v>0</v>
      </c>
      <c r="HN16" s="29">
        <f t="shared" si="131"/>
        <v>0</v>
      </c>
      <c r="HO16" s="29">
        <f t="shared" si="132"/>
        <v>0</v>
      </c>
      <c r="HP16" s="29">
        <f t="shared" si="133"/>
        <v>0</v>
      </c>
      <c r="HQ16" s="29">
        <f t="shared" si="134"/>
        <v>0</v>
      </c>
      <c r="HR16" s="29">
        <f t="shared" si="135"/>
        <v>0</v>
      </c>
      <c r="HS16" s="29">
        <f t="shared" si="136"/>
        <v>0</v>
      </c>
      <c r="HT16" s="29">
        <f t="shared" si="137"/>
        <v>0</v>
      </c>
      <c r="HU16" s="29">
        <f t="shared" si="138"/>
        <v>0</v>
      </c>
      <c r="HV16" s="29">
        <f t="shared" si="139"/>
        <v>0</v>
      </c>
      <c r="HW16" s="29">
        <f t="shared" si="140"/>
        <v>0</v>
      </c>
      <c r="HX16" s="29">
        <f t="shared" si="141"/>
        <v>0</v>
      </c>
      <c r="HY16" s="29">
        <f t="shared" si="142"/>
        <v>0</v>
      </c>
      <c r="HZ16" s="29">
        <f t="shared" si="143"/>
        <v>0</v>
      </c>
      <c r="IA16" s="29">
        <f t="shared" si="144"/>
        <v>0</v>
      </c>
      <c r="IB16" s="29">
        <f t="shared" si="145"/>
        <v>0</v>
      </c>
      <c r="IC16" s="29">
        <f t="shared" si="146"/>
        <v>0</v>
      </c>
      <c r="ID16" s="29">
        <f t="shared" si="147"/>
        <v>0</v>
      </c>
      <c r="IE16" s="29">
        <f t="shared" si="148"/>
        <v>0</v>
      </c>
      <c r="IF16" s="29">
        <f t="shared" si="149"/>
        <v>0</v>
      </c>
      <c r="IG16" s="29">
        <f t="shared" si="150"/>
        <v>0</v>
      </c>
      <c r="IH16" s="29">
        <f t="shared" si="151"/>
        <v>0</v>
      </c>
      <c r="II16" s="29">
        <f t="shared" si="152"/>
        <v>0</v>
      </c>
      <c r="IJ16" s="29">
        <f t="shared" si="153"/>
        <v>0</v>
      </c>
      <c r="IK16" s="29">
        <f t="shared" si="154"/>
        <v>0</v>
      </c>
      <c r="IL16" s="48"/>
      <c r="IM16" s="48"/>
      <c r="IN16" s="48"/>
      <c r="IO16" s="29">
        <f t="shared" ref="IO16:IO44" si="211">AE16-AJ16-SUM(IP16:JT16)</f>
        <v>-1.5033057962668295E-2</v>
      </c>
      <c r="IP16" s="29">
        <f>IF(AND($AQ16&gt;=100%,$AQ15&lt;100%),0,IO15*(1+$AB15) - JW15*(1+$AB15)^0.5)</f>
        <v>0</v>
      </c>
      <c r="IQ16" s="29">
        <f t="shared" ref="IQ16:JT24" si="212">IF(AND($AQ16&gt;=100%,$AQ15&lt;100%),0,IP15*(1+$AB15) - JX15*(1+$AB15)^0.5)</f>
        <v>0</v>
      </c>
      <c r="IR16" s="29">
        <f t="shared" si="212"/>
        <v>0</v>
      </c>
      <c r="IS16" s="29">
        <f t="shared" si="212"/>
        <v>0</v>
      </c>
      <c r="IT16" s="29">
        <f t="shared" si="212"/>
        <v>0</v>
      </c>
      <c r="IU16" s="29">
        <f t="shared" si="212"/>
        <v>0</v>
      </c>
      <c r="IV16" s="29">
        <f t="shared" si="212"/>
        <v>0</v>
      </c>
      <c r="IW16" s="29">
        <f t="shared" si="212"/>
        <v>0</v>
      </c>
      <c r="IX16" s="29">
        <f t="shared" si="212"/>
        <v>0</v>
      </c>
      <c r="IY16" s="29">
        <f t="shared" si="212"/>
        <v>0</v>
      </c>
      <c r="IZ16" s="29">
        <f t="shared" si="212"/>
        <v>0</v>
      </c>
      <c r="JA16" s="29">
        <f t="shared" si="212"/>
        <v>0</v>
      </c>
      <c r="JB16" s="29">
        <f t="shared" si="212"/>
        <v>0</v>
      </c>
      <c r="JC16" s="29">
        <f t="shared" si="212"/>
        <v>0</v>
      </c>
      <c r="JD16" s="29">
        <f t="shared" si="212"/>
        <v>0</v>
      </c>
      <c r="JE16" s="29">
        <f t="shared" si="212"/>
        <v>0</v>
      </c>
      <c r="JF16" s="29">
        <f t="shared" si="212"/>
        <v>0</v>
      </c>
      <c r="JG16" s="29">
        <f t="shared" si="212"/>
        <v>0</v>
      </c>
      <c r="JH16" s="29">
        <f t="shared" si="212"/>
        <v>0</v>
      </c>
      <c r="JI16" s="29">
        <f t="shared" si="212"/>
        <v>0</v>
      </c>
      <c r="JJ16" s="29">
        <f t="shared" si="212"/>
        <v>0</v>
      </c>
      <c r="JK16" s="29">
        <f t="shared" si="212"/>
        <v>0</v>
      </c>
      <c r="JL16" s="29">
        <f t="shared" si="212"/>
        <v>0</v>
      </c>
      <c r="JM16" s="29">
        <f t="shared" si="212"/>
        <v>0</v>
      </c>
      <c r="JN16" s="29">
        <f t="shared" si="212"/>
        <v>0</v>
      </c>
      <c r="JO16" s="29">
        <f t="shared" si="212"/>
        <v>0</v>
      </c>
      <c r="JP16" s="29">
        <f t="shared" si="212"/>
        <v>0</v>
      </c>
      <c r="JQ16" s="29">
        <f t="shared" si="212"/>
        <v>0</v>
      </c>
      <c r="JR16" s="29">
        <f t="shared" si="212"/>
        <v>0</v>
      </c>
      <c r="JS16" s="29">
        <f t="shared" si="212"/>
        <v>0</v>
      </c>
      <c r="JT16" s="29">
        <f t="shared" si="212"/>
        <v>0</v>
      </c>
      <c r="JU16" s="48"/>
      <c r="JV16" s="394">
        <f t="shared" ref="JV16:JV45" si="213">$DU$68</f>
        <v>20</v>
      </c>
      <c r="JW16" s="29">
        <f t="shared" ref="JW16:JW45" si="214">IF(JW$3&lt;2,0,IO16/(  -PV((((   1+$AB16   )/(   1+$DU$70   ))-1),   MAX($JV16- JW$3 + 2,1),1,0,1)/((   1+$AB16   )^0.5)   ))</f>
        <v>0</v>
      </c>
      <c r="JX16" s="29">
        <f t="shared" ref="JX16:JX45" si="215">IF(JX$3&lt;2,0,IP16/(  -PV((((   1+$AB16   )/(   1+$DU$70   ))-1),   MAX($JV16- JX$3 + 2,1),1,0,1)/((   1+$AB16   )^0.5)   ))</f>
        <v>0</v>
      </c>
      <c r="JY16" s="29">
        <f t="shared" ref="JY16:JY45" si="216">IF(JY$3&lt;2,0,IQ16/(  -PV((((   1+$AB16   )/(   1+$DU$70   ))-1),   MAX($JV16- JY$3 + 2,1),1,0,1)/((   1+$AB16   )^0.5)   ))</f>
        <v>0</v>
      </c>
      <c r="JZ16" s="29">
        <f t="shared" ref="JZ16:JZ45" si="217">IF(JZ$3&lt;2,0,IR16/(  -PV((((   1+$AB16   )/(   1+$DU$70   ))-1),   MAX($JV16- JZ$3 + 2,1),1,0,1)/((   1+$AB16   )^0.5)   ))</f>
        <v>0</v>
      </c>
      <c r="KA16" s="29">
        <f t="shared" ref="KA16:KA45" si="218">IF(KA$3&lt;2,0,IS16/(  -PV((((   1+$AB16   )/(   1+$DU$70   ))-1),   MAX($JV16- KA$3 + 2,1),1,0,1)/((   1+$AB16   )^0.5)   ))</f>
        <v>0</v>
      </c>
      <c r="KB16" s="29">
        <f t="shared" ref="KB16:KB45" si="219">IF(KB$3&lt;2,0,IT16/(  -PV((((   1+$AB16   )/(   1+$DU$70   ))-1),   MAX($JV16- KB$3 + 2,1),1,0,1)/((   1+$AB16   )^0.5)   ))</f>
        <v>0</v>
      </c>
      <c r="KC16" s="29">
        <f t="shared" ref="KC16:KC45" si="220">IF(KC$3&lt;2,0,IU16/(  -PV((((   1+$AB16   )/(   1+$DU$70   ))-1),   MAX($JV16- KC$3 + 2,1),1,0,1)/((   1+$AB16   )^0.5)   ))</f>
        <v>0</v>
      </c>
      <c r="KD16" s="29">
        <f t="shared" ref="KD16:KD45" si="221">IF(KD$3&lt;2,0,IV16/(  -PV((((   1+$AB16   )/(   1+$DU$70   ))-1),   MAX($JV16- KD$3 + 2,1),1,0,1)/((   1+$AB16   )^0.5)   ))</f>
        <v>0</v>
      </c>
      <c r="KE16" s="29">
        <f t="shared" ref="KE16:KE45" si="222">IF(KE$3&lt;2,0,IW16/(  -PV((((   1+$AB16   )/(   1+$DU$70   ))-1),   MAX($JV16- KE$3 + 2,1),1,0,1)/((   1+$AB16   )^0.5)   ))</f>
        <v>0</v>
      </c>
      <c r="KF16" s="29">
        <f t="shared" ref="KF16:KF45" si="223">IF(KF$3&lt;2,0,IX16/(  -PV((((   1+$AB16   )/(   1+$DU$70   ))-1),   MAX($JV16- KF$3 + 2,1),1,0,1)/((   1+$AB16   )^0.5)   ))</f>
        <v>0</v>
      </c>
      <c r="KG16" s="29">
        <f t="shared" ref="KG16:KG45" si="224">IF(KG$3&lt;2,0,IY16/(  -PV((((   1+$AB16   )/(   1+$DU$70   ))-1),   MAX($JV16- KG$3 + 2,1),1,0,1)/((   1+$AB16   )^0.5)   ))</f>
        <v>0</v>
      </c>
      <c r="KH16" s="29">
        <f t="shared" ref="KH16:KH45" si="225">IF(KH$3&lt;2,0,IZ16/(  -PV((((   1+$AB16   )/(   1+$DU$70   ))-1),   MAX($JV16- KH$3 + 2,1),1,0,1)/((   1+$AB16   )^0.5)   ))</f>
        <v>0</v>
      </c>
      <c r="KI16" s="29">
        <f t="shared" ref="KI16:KI45" si="226">IF(KI$3&lt;2,0,JA16/(  -PV((((   1+$AB16   )/(   1+$DU$70   ))-1),   MAX($JV16- KI$3 + 2,1),1,0,1)/((   1+$AB16   )^0.5)   ))</f>
        <v>0</v>
      </c>
      <c r="KJ16" s="29">
        <f t="shared" ref="KJ16:KJ45" si="227">IF(KJ$3&lt;2,0,JB16/(  -PV((((   1+$AB16   )/(   1+$DU$70   ))-1),   MAX($JV16- KJ$3 + 2,1),1,0,1)/((   1+$AB16   )^0.5)   ))</f>
        <v>0</v>
      </c>
      <c r="KK16" s="29">
        <f t="shared" ref="KK16:KK45" si="228">IF(KK$3&lt;2,0,JC16/(  -PV((((   1+$AB16   )/(   1+$DU$70   ))-1),   MAX($JV16- KK$3 + 2,1),1,0,1)/((   1+$AB16   )^0.5)   ))</f>
        <v>0</v>
      </c>
      <c r="KL16" s="29">
        <f t="shared" ref="KL16:KL45" si="229">IF(KL$3&lt;2,0,JD16/(  -PV((((   1+$AB16   )/(   1+$DU$70   ))-1),   MAX($JV16- KL$3 + 2,1),1,0,1)/((   1+$AB16   )^0.5)   ))</f>
        <v>0</v>
      </c>
      <c r="KM16" s="29">
        <f t="shared" ref="KM16:KM45" si="230">IF(KM$3&lt;2,0,JE16/(  -PV((((   1+$AB16   )/(   1+$DU$70   ))-1),   MAX($JV16- KM$3 + 2,1),1,0,1)/((   1+$AB16   )^0.5)   ))</f>
        <v>0</v>
      </c>
      <c r="KN16" s="29">
        <f t="shared" ref="KN16:KN45" si="231">IF(KN$3&lt;2,0,JF16/(  -PV((((   1+$AB16   )/(   1+$DU$70   ))-1),   MAX($JV16- KN$3 + 2,1),1,0,1)/((   1+$AB16   )^0.5)   ))</f>
        <v>0</v>
      </c>
      <c r="KO16" s="29">
        <f t="shared" ref="KO16:KO45" si="232">IF(KO$3&lt;2,0,JG16/(  -PV((((   1+$AB16   )/(   1+$DU$70   ))-1),   MAX($JV16- KO$3 + 2,1),1,0,1)/((   1+$AB16   )^0.5)   ))</f>
        <v>0</v>
      </c>
      <c r="KP16" s="29">
        <f t="shared" ref="KP16:KP45" si="233">IF(KP$3&lt;2,0,JH16/(  -PV((((   1+$AB16   )/(   1+$DU$70   ))-1),   MAX($JV16- KP$3 + 2,1),1,0,1)/((   1+$AB16   )^0.5)   ))</f>
        <v>0</v>
      </c>
      <c r="KQ16" s="29">
        <f t="shared" ref="KQ16:KQ45" si="234">IF(KQ$3&lt;2,0,JI16/(  -PV((((   1+$AB16   )/(   1+$DU$70   ))-1),   MAX($JV16- KQ$3 + 2,1),1,0,1)/((   1+$AB16   )^0.5)   ))</f>
        <v>0</v>
      </c>
      <c r="KR16" s="29">
        <f t="shared" ref="KR16:KR45" si="235">IF(KR$3&lt;2,0,JJ16/(  -PV((((   1+$AB16   )/(   1+$DU$70   ))-1),   MAX($JV16- KR$3 + 2,1),1,0,1)/((   1+$AB16   )^0.5)   ))</f>
        <v>0</v>
      </c>
      <c r="KS16" s="29">
        <f t="shared" ref="KS16:KS45" si="236">IF(KS$3&lt;2,0,JK16/(  -PV((((   1+$AB16   )/(   1+$DU$70   ))-1),   MAX($JV16- KS$3 + 2,1),1,0,1)/((   1+$AB16   )^0.5)   ))</f>
        <v>0</v>
      </c>
      <c r="KT16" s="29">
        <f t="shared" ref="KT16:KT45" si="237">IF(KT$3&lt;2,0,JL16/(  -PV((((   1+$AB16   )/(   1+$DU$70   ))-1),   MAX($JV16- KT$3 + 2,1),1,0,1)/((   1+$AB16   )^0.5)   ))</f>
        <v>0</v>
      </c>
      <c r="KU16" s="29">
        <f t="shared" ref="KU16:KU45" si="238">IF(KU$3&lt;2,0,JM16/(  -PV((((   1+$AB16   )/(   1+$DU$70   ))-1),   MAX($JV16- KU$3 + 2,1),1,0,1)/((   1+$AB16   )^0.5)   ))</f>
        <v>0</v>
      </c>
      <c r="KV16" s="29">
        <f t="shared" ref="KV16:KV45" si="239">IF(KV$3&lt;2,0,JN16/(  -PV((((   1+$AB16   )/(   1+$DU$70   ))-1),   MAX($JV16- KV$3 + 2,1),1,0,1)/((   1+$AB16   )^0.5)   ))</f>
        <v>0</v>
      </c>
      <c r="KW16" s="29">
        <f t="shared" ref="KW16:KW45" si="240">IF(KW$3&lt;2,0,JO16/(  -PV((((   1+$AB16   )/(   1+$DU$70   ))-1),   MAX($JV16- KW$3 + 2,1),1,0,1)/((   1+$AB16   )^0.5)   ))</f>
        <v>0</v>
      </c>
      <c r="KX16" s="29">
        <f t="shared" ref="KX16:KX45" si="241">IF(KX$3&lt;2,0,JP16/(  -PV((((   1+$AB16   )/(   1+$DU$70   ))-1),   MAX($JV16- KX$3 + 2,1),1,0,1)/((   1+$AB16   )^0.5)   ))</f>
        <v>0</v>
      </c>
      <c r="KY16" s="29">
        <f t="shared" ref="KY16:KY45" si="242">IF(KY$3&lt;2,0,JQ16/(  -PV((((   1+$AB16   )/(   1+$DU$70   ))-1),   MAX($JV16- KY$3 + 2,1),1,0,1)/((   1+$AB16   )^0.5)   ))</f>
        <v>0</v>
      </c>
      <c r="KZ16" s="29">
        <f t="shared" ref="KZ16:KZ45" si="243">IF(KZ$3&lt;2,0,JR16/(  -PV((((   1+$AB16   )/(   1+$DU$70   ))-1),   MAX($JV16- KZ$3 + 2,1),1,0,1)/((   1+$AB16   )^0.5)   ))</f>
        <v>0</v>
      </c>
      <c r="LA16" s="29">
        <f t="shared" ref="LA16:LA45" si="244">IF(LA$3&lt;2,0,JS16/(  -PV((((   1+$AB16   )/(   1+$DU$70   ))-1),   MAX($JV16- LA$3 + 2,1),1,0,1)/((   1+$AB16   )^0.5)   ))</f>
        <v>0</v>
      </c>
      <c r="LB16" s="29">
        <f t="shared" ref="LB16:LB45" si="245">IF(LB$3&lt;2,0,JT16/(  -PV((((   1+$AB16   )/(   1+$DU$70   ))-1),   MAX($JV16- LB$3 + 2,1),1,0,1)/((   1+$AB16   )^0.5)   ))</f>
        <v>0</v>
      </c>
      <c r="LC16" s="48"/>
      <c r="LD16" s="48"/>
      <c r="LE16" s="48"/>
      <c r="LF16" s="48"/>
      <c r="LG16" s="48"/>
      <c r="LH16" s="48"/>
      <c r="LI16" s="48"/>
      <c r="LJ16" s="48"/>
      <c r="LK16" s="48"/>
      <c r="LL16" s="48"/>
      <c r="LM16" s="48"/>
      <c r="LN16" s="48"/>
      <c r="LO16" s="48"/>
      <c r="LP16" s="46">
        <f t="shared" si="33"/>
        <v>0.49143980988716512</v>
      </c>
      <c r="LQ16" s="47">
        <f t="shared" si="34"/>
        <v>0.7916535705229919</v>
      </c>
      <c r="LR16" s="28"/>
      <c r="LS16" s="48"/>
      <c r="LT16" s="28" t="s">
        <v>37</v>
      </c>
      <c r="LU16" s="161">
        <v>1.0616666666666668E-2</v>
      </c>
      <c r="LV16" s="111">
        <f t="shared" si="75"/>
        <v>1.721213168531505E-18</v>
      </c>
      <c r="LW16" s="152">
        <f t="shared" si="18"/>
        <v>6.1856664630576342E-16</v>
      </c>
      <c r="LX16" s="223" t="e">
        <f>LX15*(1+#REF!)</f>
        <v>#REF!</v>
      </c>
      <c r="LY16" s="153"/>
      <c r="LZ16" s="124">
        <f t="shared" si="76"/>
        <v>28.675713619028102</v>
      </c>
      <c r="MA16" s="125">
        <f t="shared" si="77"/>
        <v>-1.3738342917858972</v>
      </c>
      <c r="MB16" s="28"/>
      <c r="MC16" s="111">
        <v>2.5000000000000001E-3</v>
      </c>
      <c r="MD16" s="387">
        <f t="shared" si="187"/>
        <v>-0.88833078678044985</v>
      </c>
      <c r="ME16" s="152">
        <f t="shared" si="188"/>
        <v>-3319.7950411968932</v>
      </c>
      <c r="MF16" s="210"/>
      <c r="MG16" s="111">
        <v>2.5000000000000001E-3</v>
      </c>
      <c r="MH16" s="387">
        <f t="shared" si="189"/>
        <v>-3.4583681759149242E-2</v>
      </c>
      <c r="MI16" s="152">
        <f t="shared" si="155"/>
        <v>-129.24322439218858</v>
      </c>
      <c r="MJ16" s="28"/>
      <c r="MK16" s="100">
        <v>0.02</v>
      </c>
      <c r="ML16" s="100">
        <f t="shared" si="79"/>
        <v>0.11753868128715396</v>
      </c>
      <c r="MM16" s="100">
        <f>ML16*(1+MU$7)</f>
        <v>0.12082438274134256</v>
      </c>
      <c r="MN16" s="100">
        <f>MM16*(1+MV$7)</f>
        <v>0.12429906542056077</v>
      </c>
      <c r="MO16" s="100">
        <f>MN16*(1+MW$7)</f>
        <v>0.12792220375815769</v>
      </c>
      <c r="MP16" s="100">
        <f t="shared" si="38"/>
        <v>0.13170106955028382</v>
      </c>
      <c r="MQ16" s="100">
        <f t="shared" si="39"/>
        <v>0.13564330814707723</v>
      </c>
      <c r="MR16" s="28"/>
      <c r="MS16" s="28">
        <f t="shared" si="92"/>
        <v>69</v>
      </c>
      <c r="MT16" s="28">
        <f t="shared" si="93"/>
        <v>0.6126591076285155</v>
      </c>
      <c r="MU16" s="28">
        <f t="shared" si="94"/>
        <v>0.62717115947222901</v>
      </c>
      <c r="MV16" s="28">
        <f t="shared" si="95"/>
        <v>0.64197686005643517</v>
      </c>
      <c r="MW16" s="28">
        <f t="shared" si="96"/>
        <v>0.65708114438284393</v>
      </c>
      <c r="MX16" s="28">
        <f t="shared" si="97"/>
        <v>0.672489013580716</v>
      </c>
      <c r="MY16" s="28">
        <f t="shared" si="98"/>
        <v>0.68820553556921027</v>
      </c>
      <c r="MZ16" s="28"/>
      <c r="NA16" s="28"/>
      <c r="NB16" s="28"/>
      <c r="NC16" s="28"/>
      <c r="ND16" s="28"/>
      <c r="NE16" s="28"/>
      <c r="NF16" s="28"/>
      <c r="NG16" s="28"/>
      <c r="NH16" s="28"/>
      <c r="NI16" s="28"/>
      <c r="NJ16" s="28"/>
      <c r="NK16" s="28"/>
    </row>
    <row r="17" spans="1:375" s="30" customFormat="1" ht="12.75" customHeight="1" x14ac:dyDescent="0.3">
      <c r="A17" s="298">
        <f t="shared" si="99"/>
        <v>2026</v>
      </c>
      <c r="B17" s="348">
        <f t="shared" si="2"/>
        <v>2024</v>
      </c>
      <c r="C17" s="26">
        <v>45474</v>
      </c>
      <c r="D17" s="92">
        <f t="shared" si="156"/>
        <v>9725.2976427972899</v>
      </c>
      <c r="E17" s="27">
        <f t="shared" si="106"/>
        <v>9725.2976427972899</v>
      </c>
      <c r="F17" s="107">
        <f t="shared" si="21"/>
        <v>861.19017709779939</v>
      </c>
      <c r="G17" s="27">
        <f t="shared" si="157"/>
        <v>12164.20957364696</v>
      </c>
      <c r="H17" s="27">
        <f t="shared" si="158"/>
        <v>11312.714903491673</v>
      </c>
      <c r="I17" s="289">
        <f t="shared" si="159"/>
        <v>9615.8076679679216</v>
      </c>
      <c r="J17" s="68">
        <v>4481.5625659999996</v>
      </c>
      <c r="K17" s="290">
        <f t="shared" si="160"/>
        <v>5134.245101967922</v>
      </c>
      <c r="L17" s="290">
        <f t="shared" si="107"/>
        <v>851.49467015528728</v>
      </c>
      <c r="M17" s="290">
        <f t="shared" si="161"/>
        <v>723.77046963199416</v>
      </c>
      <c r="N17" s="27">
        <f t="shared" si="162"/>
        <v>0</v>
      </c>
      <c r="O17" s="290">
        <f t="shared" si="163"/>
        <v>1696.9072355237508</v>
      </c>
      <c r="P17" s="290">
        <f t="shared" si="108"/>
        <v>127.72420052329309</v>
      </c>
      <c r="Q17" s="290">
        <f t="shared" si="164"/>
        <v>468.13159860547592</v>
      </c>
      <c r="R17" s="254">
        <f t="shared" si="3"/>
        <v>0.92999999999999994</v>
      </c>
      <c r="S17" s="251">
        <v>7.0000000000000007E-2</v>
      </c>
      <c r="T17" s="284">
        <f t="shared" si="165"/>
        <v>7.0000000000000007E-2</v>
      </c>
      <c r="U17" s="284">
        <f t="shared" si="166"/>
        <v>7.0000000000000007E-2</v>
      </c>
      <c r="V17" s="27">
        <f t="shared" si="5"/>
        <v>59520.555739624142</v>
      </c>
      <c r="W17" s="27">
        <f t="shared" si="167"/>
        <v>59408.67740315861</v>
      </c>
      <c r="X17" s="27">
        <f t="shared" si="190"/>
        <v>111.87833646553153</v>
      </c>
      <c r="Y17" s="27">
        <f t="shared" si="168"/>
        <v>1035.6224858401451</v>
      </c>
      <c r="Z17" s="27">
        <f t="shared" si="191"/>
        <v>77.950079579365777</v>
      </c>
      <c r="AA17" s="111">
        <f t="shared" si="169"/>
        <v>7.0000000000000007E-2</v>
      </c>
      <c r="AB17" s="111">
        <f t="shared" si="170"/>
        <v>7.0000000000000007E-2</v>
      </c>
      <c r="AC17" s="92">
        <f t="shared" si="7"/>
        <v>59520.555739624142</v>
      </c>
      <c r="AD17" s="27">
        <f t="shared" si="171"/>
        <v>59408.67740315861</v>
      </c>
      <c r="AE17" s="27">
        <f t="shared" si="192"/>
        <v>111.87833646553153</v>
      </c>
      <c r="AF17" s="145">
        <f t="shared" si="172"/>
        <v>1035.6224858401451</v>
      </c>
      <c r="AG17" s="27">
        <f t="shared" si="193"/>
        <v>77.950079579365777</v>
      </c>
      <c r="AH17" s="27">
        <f t="shared" si="173"/>
        <v>36303.564832375676</v>
      </c>
      <c r="AI17" s="27">
        <f t="shared" si="174"/>
        <v>36191.640087139691</v>
      </c>
      <c r="AJ17" s="27">
        <f t="shared" si="194"/>
        <v>111.92474523598294</v>
      </c>
      <c r="AK17" s="27">
        <f t="shared" si="11"/>
        <v>37448.426398592608</v>
      </c>
      <c r="AL17" s="27">
        <f t="shared" si="175"/>
        <v>37336.548062127076</v>
      </c>
      <c r="AM17" s="27">
        <f t="shared" ref="AM17:AM44" si="246">AM16*(1+AN17)+SUM(BQ17,BS17,BU17,BW17,BX17,CA17,CD17,CM17)*(1+AN17)^0.5</f>
        <v>111.8783364655315</v>
      </c>
      <c r="AN17" s="409">
        <f>INDEX(Inv.Returns!$B$2:$E$32,MATCH(B17,Inv.Returns!$A$2:$A$32,0),MATCH(SCRS!$DU$52,Inv.Returns!$B$1:$E$1,0))</f>
        <v>7.0000000000000007E-2</v>
      </c>
      <c r="AO17" s="27">
        <f t="shared" si="41"/>
        <v>23216.990907248466</v>
      </c>
      <c r="AP17" s="223">
        <f t="shared" si="12"/>
        <v>22072.129341031534</v>
      </c>
      <c r="AQ17" s="67">
        <f t="shared" si="22"/>
        <v>0.60993323031437352</v>
      </c>
      <c r="AR17" s="146">
        <f t="shared" si="23"/>
        <v>0.62916795606567844</v>
      </c>
      <c r="AS17" s="346"/>
      <c r="AT17" s="283">
        <f t="shared" si="176"/>
        <v>0.10949999999999999</v>
      </c>
      <c r="AU17" s="390">
        <f t="shared" si="109"/>
        <v>0.1095</v>
      </c>
      <c r="AV17" s="296">
        <f t="shared" si="110"/>
        <v>0.14323410595189665</v>
      </c>
      <c r="AW17" s="296">
        <f t="shared" si="111"/>
        <v>-2.1803846908666118E-6</v>
      </c>
      <c r="AX17" s="111">
        <f t="shared" si="82"/>
        <v>0.09</v>
      </c>
      <c r="AY17" s="111">
        <f t="shared" si="112"/>
        <v>0.09</v>
      </c>
      <c r="AZ17" s="111">
        <f t="shared" si="113"/>
        <v>0</v>
      </c>
      <c r="BA17" s="256">
        <f t="shared" si="24"/>
        <v>1.949999999999999E-2</v>
      </c>
      <c r="BB17" s="111">
        <f t="shared" si="114"/>
        <v>1.9500000000000003E-2</v>
      </c>
      <c r="BC17" s="128">
        <f t="shared" si="83"/>
        <v>0.18560000000000004</v>
      </c>
      <c r="BD17" s="128">
        <f t="shared" si="104"/>
        <v>0.18560000000000004</v>
      </c>
      <c r="BE17" s="402">
        <f t="shared" si="15"/>
        <v>0.16610000000000005</v>
      </c>
      <c r="BF17" s="402">
        <f t="shared" si="115"/>
        <v>0.16610000000000003</v>
      </c>
      <c r="BG17" s="402">
        <f t="shared" si="177"/>
        <v>0.13560000000000005</v>
      </c>
      <c r="BH17" s="402">
        <f t="shared" si="26"/>
        <v>0.18560000000000004</v>
      </c>
      <c r="BI17" s="152">
        <f t="shared" si="42"/>
        <v>12.136878326760881</v>
      </c>
      <c r="BJ17" s="100">
        <f t="shared" si="43"/>
        <v>4.1869522882181265E-2</v>
      </c>
      <c r="BK17" s="27">
        <f t="shared" si="67"/>
        <v>16.308721177460978</v>
      </c>
      <c r="BL17" s="27">
        <f t="shared" si="17"/>
        <v>22</v>
      </c>
      <c r="BM17" s="107">
        <f t="shared" si="31"/>
        <v>14.391487047661027</v>
      </c>
      <c r="BN17" s="27"/>
      <c r="BO17" s="27"/>
      <c r="BP17" s="92">
        <f t="shared" si="178"/>
        <v>-3419.1483710818725</v>
      </c>
      <c r="BQ17" s="27">
        <f t="shared" si="195"/>
        <v>-3.618852348159971</v>
      </c>
      <c r="BR17" s="27">
        <f t="shared" si="179"/>
        <v>-133.11115736669112</v>
      </c>
      <c r="BS17" s="27">
        <f t="shared" si="116"/>
        <v>-0.14088584996103021</v>
      </c>
      <c r="BT17" s="27">
        <f t="shared" si="180"/>
        <v>-17.308453802342257</v>
      </c>
      <c r="BU17" s="27">
        <f t="shared" si="196"/>
        <v>-1.3027868453375895</v>
      </c>
      <c r="BV17" s="297">
        <f t="shared" si="181"/>
        <v>865.42269011711289</v>
      </c>
      <c r="BW17" s="297">
        <f t="shared" si="197"/>
        <v>65.139342266879467</v>
      </c>
      <c r="BX17" s="297">
        <f t="shared" si="198"/>
        <v>0</v>
      </c>
      <c r="BY17" s="297">
        <f t="shared" si="182"/>
        <v>42.13184387449283</v>
      </c>
      <c r="BZ17" s="297">
        <f t="shared" si="84"/>
        <v>187.50824952537448</v>
      </c>
      <c r="CA17" s="297">
        <f t="shared" si="199"/>
        <v>14.113524157823889</v>
      </c>
      <c r="CB17" s="297">
        <f t="shared" si="183"/>
        <v>1936.6176738031204</v>
      </c>
      <c r="CC17" s="297">
        <f t="shared" si="200"/>
        <v>0</v>
      </c>
      <c r="CD17" s="297">
        <f t="shared" si="201"/>
        <v>0</v>
      </c>
      <c r="CE17" s="297"/>
      <c r="CF17" s="297">
        <f t="shared" si="184"/>
        <v>0</v>
      </c>
      <c r="CG17" s="297">
        <f t="shared" si="202"/>
        <v>0</v>
      </c>
      <c r="CH17" s="297">
        <f t="shared" si="185"/>
        <v>0</v>
      </c>
      <c r="CI17" s="427">
        <f>IF(AND($DU$74="Yes",MAX($AQ$13:AQ16)&lt;100%),MAX(BD15*(G17+Q17)-SUM(BZ17:CH17,CJ17,CY17),0),0)</f>
        <v>0</v>
      </c>
      <c r="CJ17" s="27"/>
      <c r="CK17" s="27">
        <f t="shared" si="44"/>
        <v>0</v>
      </c>
      <c r="CL17" s="27">
        <f t="shared" si="45"/>
        <v>0</v>
      </c>
      <c r="CM17" s="27">
        <f t="shared" si="46"/>
        <v>0</v>
      </c>
      <c r="CN17" s="27">
        <f t="shared" si="47"/>
        <v>3110.9333237448036</v>
      </c>
      <c r="CO17" s="27">
        <f t="shared" si="48"/>
        <v>0</v>
      </c>
      <c r="CP17" s="107">
        <f t="shared" si="4"/>
        <v>3110.9333237448036</v>
      </c>
      <c r="CQ17" s="27">
        <f t="shared" si="117"/>
        <v>1936.6176738031204</v>
      </c>
      <c r="CR17" s="27">
        <f t="shared" si="118"/>
        <v>0</v>
      </c>
      <c r="CS17" s="27">
        <f t="shared" si="186"/>
        <v>1936.6176738031204</v>
      </c>
      <c r="CT17" s="27">
        <f>SUM($CS$14:CS17)</f>
        <v>5496.3280510497261</v>
      </c>
      <c r="CU17" s="223">
        <v>1807.3016361242694</v>
      </c>
      <c r="CV17" s="417">
        <v>352.82348474903944</v>
      </c>
      <c r="CW17" s="417">
        <v>2160.1251208733088</v>
      </c>
      <c r="CX17" s="417">
        <v>7499.1973178553744</v>
      </c>
      <c r="CY17" s="103">
        <f t="shared" si="49"/>
        <v>91.231571802352207</v>
      </c>
      <c r="CZ17" s="111">
        <f t="shared" si="101"/>
        <v>0.17648913917760664</v>
      </c>
      <c r="DA17" s="92">
        <f t="shared" si="50"/>
        <v>2229.471019288671</v>
      </c>
      <c r="DB17" s="410">
        <f t="shared" si="51"/>
        <v>2085.508101750273</v>
      </c>
      <c r="DC17" s="307">
        <f t="shared" si="52"/>
        <v>1694.5874701140601</v>
      </c>
      <c r="DD17" s="307">
        <f t="shared" si="53"/>
        <v>176.42394573150784</v>
      </c>
      <c r="DE17" s="307">
        <f t="shared" si="54"/>
        <v>0</v>
      </c>
      <c r="DF17" s="307">
        <f t="shared" si="55"/>
        <v>39790.853743804451</v>
      </c>
      <c r="DG17" s="307" t="b">
        <f t="shared" si="68"/>
        <v>0</v>
      </c>
      <c r="DH17" s="27">
        <f t="shared" si="56"/>
        <v>91.231571802352207</v>
      </c>
      <c r="DI17" s="96">
        <f t="shared" si="57"/>
        <v>79.829839697514871</v>
      </c>
      <c r="DJ17" s="101">
        <f t="shared" si="58"/>
        <v>4.327428987991206E-2</v>
      </c>
      <c r="DK17" s="92">
        <f t="shared" si="59"/>
        <v>0</v>
      </c>
      <c r="DL17" s="96">
        <f t="shared" si="60"/>
        <v>0</v>
      </c>
      <c r="DM17" s="101">
        <f t="shared" si="61"/>
        <v>0</v>
      </c>
      <c r="DN17" s="292">
        <v>2406.7162372443654</v>
      </c>
      <c r="DO17" s="96">
        <f t="shared" si="62"/>
        <v>2251.3081210575583</v>
      </c>
      <c r="DP17" s="294">
        <v>0.56418490765484375</v>
      </c>
      <c r="DQ17" s="29"/>
      <c r="DR17" s="28"/>
      <c r="DS17" s="28"/>
      <c r="DT17" s="28"/>
      <c r="DU17" s="28"/>
      <c r="DV17" s="29"/>
      <c r="DW17" s="320"/>
      <c r="DX17" s="321"/>
      <c r="DY17" s="321"/>
      <c r="DZ17" s="321"/>
      <c r="EA17" s="321"/>
      <c r="EB17" s="321"/>
      <c r="EC17" s="321"/>
      <c r="ED17" s="321"/>
      <c r="EE17" s="321"/>
      <c r="EF17" s="321"/>
      <c r="EG17" s="321"/>
      <c r="EH17" s="321"/>
      <c r="EI17" s="322"/>
      <c r="EJ17" s="323"/>
      <c r="EK17" s="332">
        <f t="shared" si="69"/>
        <v>0.16610000000000005</v>
      </c>
      <c r="EL17" s="332">
        <f t="shared" si="63"/>
        <v>1.949999999999999E-2</v>
      </c>
      <c r="EM17" s="332" t="e">
        <f t="shared" si="70"/>
        <v>#DIV/0!</v>
      </c>
      <c r="EN17" s="332">
        <f t="shared" si="64"/>
        <v>0</v>
      </c>
      <c r="EO17" s="332">
        <v>0.18560000000000004</v>
      </c>
      <c r="EP17" s="332">
        <v>0.15036851340602203</v>
      </c>
      <c r="EQ17" s="333" t="e">
        <f t="shared" si="71"/>
        <v>#DIV/0!</v>
      </c>
      <c r="ER17" s="277"/>
      <c r="ES17" s="334">
        <v>8</v>
      </c>
      <c r="ET17" s="29">
        <f t="shared" si="85"/>
        <v>2460.1515320485814</v>
      </c>
      <c r="EU17" s="29">
        <f t="shared" si="86"/>
        <v>2460.4699381841797</v>
      </c>
      <c r="EV17" s="29">
        <f t="shared" si="72"/>
        <v>0.31840613559825215</v>
      </c>
      <c r="EW17" s="29">
        <f t="shared" si="73"/>
        <v>0.25472490847860174</v>
      </c>
      <c r="EX17" s="29">
        <f t="shared" si="87"/>
        <v>0.13913886099771844</v>
      </c>
      <c r="EY17" s="29">
        <f t="shared" si="102"/>
        <v>-31.810231032089536</v>
      </c>
      <c r="EZ17" s="29">
        <f t="shared" si="105"/>
        <v>1176.3243422499993</v>
      </c>
      <c r="FA17" s="29">
        <f t="shared" si="74"/>
        <v>1144.9079749873861</v>
      </c>
      <c r="FB17" s="29"/>
      <c r="FC17" s="29">
        <f t="shared" ref="FC17:FC44" si="247">AB16*AM16+SUM(BQ17,BS17,BU17,BW17,BX17,CA17,CD17,CM17)*AB16/2</f>
        <v>4.8952297450741487</v>
      </c>
      <c r="FD17" s="29">
        <f t="shared" ref="FD17:FD44" si="248">AM17-AM16-SUM(BQ17,BS17,BU17,BW17,BX17,CA17,CD17,CM17)</f>
        <v>4.8513122738498566</v>
      </c>
      <c r="FE17" s="29">
        <f t="shared" si="203"/>
        <v>-4.3917471224292015E-2</v>
      </c>
      <c r="FF17" s="29">
        <f t="shared" si="204"/>
        <v>-3.5133976979433615E-2</v>
      </c>
      <c r="FG17" s="29">
        <f t="shared" si="205"/>
        <v>-1.1274793472004017E-2</v>
      </c>
      <c r="FH17" s="29">
        <f t="shared" si="206"/>
        <v>0</v>
      </c>
      <c r="FI17" s="29">
        <f t="shared" si="207"/>
        <v>0</v>
      </c>
      <c r="FJ17" s="29">
        <f t="shared" si="208"/>
        <v>-4.6408770451437632E-2</v>
      </c>
      <c r="FK17" s="29"/>
      <c r="FL17" s="29"/>
      <c r="FM17" s="27">
        <f t="shared" si="27"/>
        <v>24366.571820941972</v>
      </c>
      <c r="FN17" s="29"/>
      <c r="FO17" s="301">
        <f t="shared" si="119"/>
        <v>1936.6176738031204</v>
      </c>
      <c r="FP17" s="89">
        <f t="shared" si="209"/>
        <v>0</v>
      </c>
      <c r="FQ17" s="27">
        <f t="shared" si="103"/>
        <v>20</v>
      </c>
      <c r="FR17" s="302">
        <f t="shared" si="88"/>
        <v>13.464518542443937</v>
      </c>
      <c r="FS17" s="89">
        <f t="shared" si="89"/>
        <v>1809.6875684141032</v>
      </c>
      <c r="FT17" s="89">
        <f t="shared" si="210"/>
        <v>1936.6176738031204</v>
      </c>
      <c r="FU17" s="29">
        <f t="shared" si="90"/>
        <v>20</v>
      </c>
      <c r="FV17" s="137">
        <f t="shared" si="91"/>
        <v>13.464518542443937</v>
      </c>
      <c r="FW17" s="48">
        <v>1793.1071083064753</v>
      </c>
      <c r="FX17" s="29">
        <f t="shared" si="120"/>
        <v>-851.95771922307176</v>
      </c>
      <c r="FY17" s="29">
        <f t="shared" si="121"/>
        <v>-871.79251987375733</v>
      </c>
      <c r="FZ17" s="29">
        <f t="shared" si="122"/>
        <v>-1069.4617462053329</v>
      </c>
      <c r="GA17" s="29">
        <f t="shared" si="122"/>
        <v>26010.249301321081</v>
      </c>
      <c r="GB17" s="29">
        <f t="shared" si="122"/>
        <v>0</v>
      </c>
      <c r="GC17" s="29">
        <f t="shared" si="122"/>
        <v>0</v>
      </c>
      <c r="GD17" s="29">
        <f t="shared" si="122"/>
        <v>0</v>
      </c>
      <c r="GE17" s="29">
        <f t="shared" si="122"/>
        <v>0</v>
      </c>
      <c r="GF17" s="29">
        <f t="shared" si="122"/>
        <v>0</v>
      </c>
      <c r="GG17" s="29">
        <f t="shared" si="122"/>
        <v>0</v>
      </c>
      <c r="GH17" s="29">
        <f t="shared" si="122"/>
        <v>0</v>
      </c>
      <c r="GI17" s="29">
        <f t="shared" si="122"/>
        <v>0</v>
      </c>
      <c r="GJ17" s="29">
        <f t="shared" si="122"/>
        <v>0</v>
      </c>
      <c r="GK17" s="29">
        <f t="shared" si="122"/>
        <v>0</v>
      </c>
      <c r="GL17" s="29">
        <f t="shared" si="122"/>
        <v>0</v>
      </c>
      <c r="GM17" s="29">
        <f t="shared" si="122"/>
        <v>0</v>
      </c>
      <c r="GN17" s="29">
        <f t="shared" si="122"/>
        <v>0</v>
      </c>
      <c r="GO17" s="29">
        <f t="shared" si="122"/>
        <v>0</v>
      </c>
      <c r="GP17" s="29">
        <f t="shared" si="122"/>
        <v>0</v>
      </c>
      <c r="GQ17" s="29">
        <f t="shared" si="122"/>
        <v>0</v>
      </c>
      <c r="GR17" s="29">
        <f t="shared" si="122"/>
        <v>0</v>
      </c>
      <c r="GS17" s="29">
        <f t="shared" si="122"/>
        <v>0</v>
      </c>
      <c r="GT17" s="29">
        <f t="shared" si="122"/>
        <v>0</v>
      </c>
      <c r="GU17" s="29">
        <f t="shared" si="122"/>
        <v>0</v>
      </c>
      <c r="GV17" s="29">
        <f t="shared" si="122"/>
        <v>0</v>
      </c>
      <c r="GW17" s="29">
        <f t="shared" si="122"/>
        <v>0</v>
      </c>
      <c r="GX17" s="29">
        <f t="shared" si="122"/>
        <v>0</v>
      </c>
      <c r="GY17" s="29">
        <f t="shared" si="122"/>
        <v>0</v>
      </c>
      <c r="GZ17" s="29">
        <f t="shared" si="122"/>
        <v>0</v>
      </c>
      <c r="HA17" s="29">
        <f t="shared" si="122"/>
        <v>0</v>
      </c>
      <c r="HB17" s="29">
        <f t="shared" si="122"/>
        <v>0</v>
      </c>
      <c r="HC17" s="29">
        <f t="shared" si="122"/>
        <v>0</v>
      </c>
      <c r="HD17" s="29"/>
      <c r="HE17" s="29">
        <f t="shared" si="32"/>
        <v>20</v>
      </c>
      <c r="HF17" s="29">
        <f t="shared" si="123"/>
        <v>0</v>
      </c>
      <c r="HG17" s="29">
        <f t="shared" si="124"/>
        <v>-64.747396434980047</v>
      </c>
      <c r="HH17" s="29">
        <f t="shared" si="125"/>
        <v>-82.133243529094372</v>
      </c>
      <c r="HI17" s="29">
        <f t="shared" si="126"/>
        <v>2071.0395945248983</v>
      </c>
      <c r="HJ17" s="29">
        <f t="shared" si="127"/>
        <v>0</v>
      </c>
      <c r="HK17" s="29">
        <f t="shared" si="128"/>
        <v>0</v>
      </c>
      <c r="HL17" s="29">
        <f t="shared" si="129"/>
        <v>0</v>
      </c>
      <c r="HM17" s="29">
        <f t="shared" si="130"/>
        <v>0</v>
      </c>
      <c r="HN17" s="29">
        <f t="shared" si="131"/>
        <v>0</v>
      </c>
      <c r="HO17" s="29">
        <f t="shared" si="132"/>
        <v>0</v>
      </c>
      <c r="HP17" s="29">
        <f t="shared" si="133"/>
        <v>0</v>
      </c>
      <c r="HQ17" s="29">
        <f t="shared" si="134"/>
        <v>0</v>
      </c>
      <c r="HR17" s="29">
        <f t="shared" si="135"/>
        <v>0</v>
      </c>
      <c r="HS17" s="29">
        <f t="shared" si="136"/>
        <v>0</v>
      </c>
      <c r="HT17" s="29">
        <f t="shared" si="137"/>
        <v>0</v>
      </c>
      <c r="HU17" s="29">
        <f t="shared" si="138"/>
        <v>0</v>
      </c>
      <c r="HV17" s="29">
        <f t="shared" si="139"/>
        <v>0</v>
      </c>
      <c r="HW17" s="29">
        <f t="shared" si="140"/>
        <v>0</v>
      </c>
      <c r="HX17" s="29">
        <f t="shared" si="141"/>
        <v>0</v>
      </c>
      <c r="HY17" s="29">
        <f t="shared" si="142"/>
        <v>0</v>
      </c>
      <c r="HZ17" s="29">
        <f t="shared" si="143"/>
        <v>0</v>
      </c>
      <c r="IA17" s="29">
        <f t="shared" si="144"/>
        <v>0</v>
      </c>
      <c r="IB17" s="29">
        <f t="shared" si="145"/>
        <v>0</v>
      </c>
      <c r="IC17" s="29">
        <f t="shared" si="146"/>
        <v>0</v>
      </c>
      <c r="ID17" s="29">
        <f t="shared" si="147"/>
        <v>0</v>
      </c>
      <c r="IE17" s="29">
        <f t="shared" si="148"/>
        <v>0</v>
      </c>
      <c r="IF17" s="29">
        <f t="shared" si="149"/>
        <v>0</v>
      </c>
      <c r="IG17" s="29">
        <f t="shared" si="150"/>
        <v>0</v>
      </c>
      <c r="IH17" s="29">
        <f t="shared" si="151"/>
        <v>0</v>
      </c>
      <c r="II17" s="29">
        <f t="shared" si="152"/>
        <v>0</v>
      </c>
      <c r="IJ17" s="29">
        <f t="shared" si="153"/>
        <v>0</v>
      </c>
      <c r="IK17" s="29">
        <f t="shared" si="154"/>
        <v>0</v>
      </c>
      <c r="IL17" s="48"/>
      <c r="IM17" s="48"/>
      <c r="IN17" s="48"/>
      <c r="IO17" s="29">
        <f t="shared" si="211"/>
        <v>-3.0323398431352046E-2</v>
      </c>
      <c r="IP17" s="29">
        <f t="shared" ref="IP17:IP44" si="249">IF(AND($AQ17&gt;=100%,$AQ16&lt;100%),0,IO16*(1+$AB16) - JW16*(1+$AB16)^0.5)</f>
        <v>-1.6085372020055076E-2</v>
      </c>
      <c r="IQ17" s="29">
        <f t="shared" si="212"/>
        <v>0</v>
      </c>
      <c r="IR17" s="29">
        <f t="shared" si="212"/>
        <v>0</v>
      </c>
      <c r="IS17" s="29">
        <f t="shared" si="212"/>
        <v>0</v>
      </c>
      <c r="IT17" s="29">
        <f t="shared" si="212"/>
        <v>0</v>
      </c>
      <c r="IU17" s="29">
        <f t="shared" si="212"/>
        <v>0</v>
      </c>
      <c r="IV17" s="29">
        <f t="shared" si="212"/>
        <v>0</v>
      </c>
      <c r="IW17" s="29">
        <f t="shared" si="212"/>
        <v>0</v>
      </c>
      <c r="IX17" s="29">
        <f t="shared" si="212"/>
        <v>0</v>
      </c>
      <c r="IY17" s="29">
        <f t="shared" si="212"/>
        <v>0</v>
      </c>
      <c r="IZ17" s="29">
        <f t="shared" si="212"/>
        <v>0</v>
      </c>
      <c r="JA17" s="29">
        <f t="shared" si="212"/>
        <v>0</v>
      </c>
      <c r="JB17" s="29">
        <f t="shared" si="212"/>
        <v>0</v>
      </c>
      <c r="JC17" s="29">
        <f t="shared" si="212"/>
        <v>0</v>
      </c>
      <c r="JD17" s="29">
        <f t="shared" si="212"/>
        <v>0</v>
      </c>
      <c r="JE17" s="29">
        <f t="shared" si="212"/>
        <v>0</v>
      </c>
      <c r="JF17" s="29">
        <f t="shared" si="212"/>
        <v>0</v>
      </c>
      <c r="JG17" s="29">
        <f t="shared" si="212"/>
        <v>0</v>
      </c>
      <c r="JH17" s="29">
        <f t="shared" si="212"/>
        <v>0</v>
      </c>
      <c r="JI17" s="29">
        <f t="shared" si="212"/>
        <v>0</v>
      </c>
      <c r="JJ17" s="29">
        <f t="shared" si="212"/>
        <v>0</v>
      </c>
      <c r="JK17" s="29">
        <f t="shared" si="212"/>
        <v>0</v>
      </c>
      <c r="JL17" s="29">
        <f t="shared" si="212"/>
        <v>0</v>
      </c>
      <c r="JM17" s="29">
        <f t="shared" si="212"/>
        <v>0</v>
      </c>
      <c r="JN17" s="29">
        <f t="shared" si="212"/>
        <v>0</v>
      </c>
      <c r="JO17" s="29">
        <f t="shared" si="212"/>
        <v>0</v>
      </c>
      <c r="JP17" s="29">
        <f t="shared" si="212"/>
        <v>0</v>
      </c>
      <c r="JQ17" s="29">
        <f t="shared" si="212"/>
        <v>0</v>
      </c>
      <c r="JR17" s="29">
        <f t="shared" si="212"/>
        <v>0</v>
      </c>
      <c r="JS17" s="29">
        <f t="shared" si="212"/>
        <v>0</v>
      </c>
      <c r="JT17" s="29">
        <f t="shared" si="212"/>
        <v>0</v>
      </c>
      <c r="JU17" s="48"/>
      <c r="JV17" s="394">
        <f t="shared" si="213"/>
        <v>20</v>
      </c>
      <c r="JW17" s="29">
        <f t="shared" si="214"/>
        <v>0</v>
      </c>
      <c r="JX17" s="29">
        <f t="shared" si="215"/>
        <v>-1.1946488817516552E-3</v>
      </c>
      <c r="JY17" s="29">
        <f t="shared" si="216"/>
        <v>0</v>
      </c>
      <c r="JZ17" s="29">
        <f t="shared" si="217"/>
        <v>0</v>
      </c>
      <c r="KA17" s="29">
        <f t="shared" si="218"/>
        <v>0</v>
      </c>
      <c r="KB17" s="29">
        <f t="shared" si="219"/>
        <v>0</v>
      </c>
      <c r="KC17" s="29">
        <f t="shared" si="220"/>
        <v>0</v>
      </c>
      <c r="KD17" s="29">
        <f t="shared" si="221"/>
        <v>0</v>
      </c>
      <c r="KE17" s="29">
        <f t="shared" si="222"/>
        <v>0</v>
      </c>
      <c r="KF17" s="29">
        <f t="shared" si="223"/>
        <v>0</v>
      </c>
      <c r="KG17" s="29">
        <f t="shared" si="224"/>
        <v>0</v>
      </c>
      <c r="KH17" s="29">
        <f t="shared" si="225"/>
        <v>0</v>
      </c>
      <c r="KI17" s="29">
        <f t="shared" si="226"/>
        <v>0</v>
      </c>
      <c r="KJ17" s="29">
        <f t="shared" si="227"/>
        <v>0</v>
      </c>
      <c r="KK17" s="29">
        <f t="shared" si="228"/>
        <v>0</v>
      </c>
      <c r="KL17" s="29">
        <f t="shared" si="229"/>
        <v>0</v>
      </c>
      <c r="KM17" s="29">
        <f t="shared" si="230"/>
        <v>0</v>
      </c>
      <c r="KN17" s="29">
        <f t="shared" si="231"/>
        <v>0</v>
      </c>
      <c r="KO17" s="29">
        <f t="shared" si="232"/>
        <v>0</v>
      </c>
      <c r="KP17" s="29">
        <f t="shared" si="233"/>
        <v>0</v>
      </c>
      <c r="KQ17" s="29">
        <f t="shared" si="234"/>
        <v>0</v>
      </c>
      <c r="KR17" s="29">
        <f t="shared" si="235"/>
        <v>0</v>
      </c>
      <c r="KS17" s="29">
        <f t="shared" si="236"/>
        <v>0</v>
      </c>
      <c r="KT17" s="29">
        <f t="shared" si="237"/>
        <v>0</v>
      </c>
      <c r="KU17" s="29">
        <f t="shared" si="238"/>
        <v>0</v>
      </c>
      <c r="KV17" s="29">
        <f t="shared" si="239"/>
        <v>0</v>
      </c>
      <c r="KW17" s="29">
        <f t="shared" si="240"/>
        <v>0</v>
      </c>
      <c r="KX17" s="29">
        <f t="shared" si="241"/>
        <v>0</v>
      </c>
      <c r="KY17" s="29">
        <f t="shared" si="242"/>
        <v>0</v>
      </c>
      <c r="KZ17" s="29">
        <f t="shared" si="243"/>
        <v>0</v>
      </c>
      <c r="LA17" s="29">
        <f t="shared" si="244"/>
        <v>0</v>
      </c>
      <c r="LB17" s="29">
        <f t="shared" si="245"/>
        <v>0</v>
      </c>
      <c r="LC17" s="48"/>
      <c r="LD17" s="48"/>
      <c r="LE17" s="48"/>
      <c r="LF17" s="48"/>
      <c r="LG17" s="48"/>
      <c r="LH17" s="48"/>
      <c r="LI17" s="48"/>
      <c r="LJ17" s="48"/>
      <c r="LK17" s="48"/>
      <c r="LL17" s="48"/>
      <c r="LM17" s="48"/>
      <c r="LN17" s="48"/>
      <c r="LO17" s="48"/>
      <c r="LP17" s="46">
        <f t="shared" si="33"/>
        <v>0.4592895419506216</v>
      </c>
      <c r="LQ17" s="47">
        <f t="shared" si="34"/>
        <v>0.77423332080488205</v>
      </c>
      <c r="LR17" s="28"/>
      <c r="LS17" s="48"/>
      <c r="LT17" s="28" t="s">
        <v>208</v>
      </c>
      <c r="LU17" s="161">
        <v>1.2133333333333335E-2</v>
      </c>
      <c r="LV17" s="111">
        <f t="shared" si="75"/>
        <v>1.9671007640360054E-18</v>
      </c>
      <c r="LW17" s="152">
        <f t="shared" si="18"/>
        <v>1.6940478553493839E-15</v>
      </c>
      <c r="LX17" s="223" t="e">
        <f>LX16*(1+#REF!)</f>
        <v>#REF!</v>
      </c>
      <c r="LY17" s="153"/>
      <c r="LZ17" s="124">
        <f t="shared" si="76"/>
        <v>26.394233761013311</v>
      </c>
      <c r="MA17" s="125">
        <f t="shared" si="77"/>
        <v>-5.2367166242474923</v>
      </c>
      <c r="MB17" s="28"/>
      <c r="MC17" s="111">
        <v>5.0000000000000001E-3</v>
      </c>
      <c r="MD17" s="387">
        <f t="shared" si="187"/>
        <v>-4.2574733507764364</v>
      </c>
      <c r="ME17" s="152">
        <f t="shared" si="188"/>
        <v>-3423.4058444326488</v>
      </c>
      <c r="MF17" s="208"/>
      <c r="MG17" s="111">
        <v>5.0000000000000001E-3</v>
      </c>
      <c r="MH17" s="387">
        <f t="shared" si="189"/>
        <v>-0.16574805877768262</v>
      </c>
      <c r="MI17" s="152">
        <f t="shared" si="155"/>
        <v>-133.27690542546881</v>
      </c>
      <c r="MJ17" s="28"/>
      <c r="MK17" s="144">
        <v>2.1399999999999999E-2</v>
      </c>
      <c r="ML17" s="100">
        <f>MM17/(1+MU$7)</f>
        <v>0.12576638897725473</v>
      </c>
      <c r="MM17" s="100">
        <f>MN17/(1+MV$7)</f>
        <v>0.12928208953323653</v>
      </c>
      <c r="MN17" s="230">
        <v>0.13300000000000001</v>
      </c>
      <c r="MO17" s="100">
        <f t="shared" si="37"/>
        <v>0.13687675802122873</v>
      </c>
      <c r="MP17" s="100">
        <f t="shared" si="38"/>
        <v>0.14092014441880368</v>
      </c>
      <c r="MQ17" s="100">
        <f>MP17*(1+MY$7)</f>
        <v>0.14513833971737264</v>
      </c>
      <c r="MR17" s="28"/>
      <c r="MS17" s="28">
        <f t="shared" si="92"/>
        <v>70</v>
      </c>
      <c r="MT17" s="28">
        <f t="shared" si="93"/>
        <v>0.57124392319675099</v>
      </c>
      <c r="MU17" s="28">
        <f t="shared" si="94"/>
        <v>0.58673397002933414</v>
      </c>
      <c r="MV17" s="28">
        <f t="shared" si="95"/>
        <v>0.60259030770984912</v>
      </c>
      <c r="MW17" s="28">
        <f t="shared" si="96"/>
        <v>0.61882033555607596</v>
      </c>
      <c r="MX17" s="28">
        <f t="shared" si="97"/>
        <v>0.63543157702815634</v>
      </c>
      <c r="MY17" s="28">
        <f t="shared" si="98"/>
        <v>0.65243168138927232</v>
      </c>
      <c r="MZ17" s="28"/>
      <c r="NA17" s="28"/>
      <c r="NB17" s="28"/>
      <c r="NC17" s="28"/>
      <c r="ND17" s="28"/>
      <c r="NE17" s="28"/>
      <c r="NF17" s="28"/>
      <c r="NG17" s="28"/>
      <c r="NH17" s="28"/>
      <c r="NI17" s="28"/>
      <c r="NJ17" s="28"/>
      <c r="NK17" s="28"/>
    </row>
    <row r="18" spans="1:375" s="30" customFormat="1" ht="12.75" customHeight="1" x14ac:dyDescent="0.3">
      <c r="A18" s="298">
        <f t="shared" si="99"/>
        <v>2027</v>
      </c>
      <c r="B18" s="348">
        <f t="shared" si="2"/>
        <v>2025</v>
      </c>
      <c r="C18" s="26">
        <v>45839</v>
      </c>
      <c r="D18" s="92">
        <f t="shared" si="156"/>
        <v>9665.6909798253055</v>
      </c>
      <c r="E18" s="27">
        <f t="shared" si="106"/>
        <v>9665.6909798253055</v>
      </c>
      <c r="F18" s="107">
        <f t="shared" si="21"/>
        <v>1263.4890169706284</v>
      </c>
      <c r="G18" s="27">
        <f t="shared" si="157"/>
        <v>12492.643232135428</v>
      </c>
      <c r="H18" s="27">
        <f t="shared" si="158"/>
        <v>11243.378908921884</v>
      </c>
      <c r="I18" s="289">
        <f t="shared" si="159"/>
        <v>9556.872072583601</v>
      </c>
      <c r="J18" s="68">
        <v>4248.1291760000004</v>
      </c>
      <c r="K18" s="290">
        <f t="shared" si="160"/>
        <v>5308.7428965836007</v>
      </c>
      <c r="L18" s="290">
        <f t="shared" si="107"/>
        <v>1249.2643232135429</v>
      </c>
      <c r="M18" s="290">
        <f t="shared" si="161"/>
        <v>1061.8746747315115</v>
      </c>
      <c r="N18" s="27">
        <f t="shared" si="162"/>
        <v>0</v>
      </c>
      <c r="O18" s="290">
        <f t="shared" si="163"/>
        <v>1686.5068363382827</v>
      </c>
      <c r="P18" s="290">
        <f t="shared" si="108"/>
        <v>187.38964848203142</v>
      </c>
      <c r="Q18" s="290">
        <f t="shared" si="164"/>
        <v>480.77115176782371</v>
      </c>
      <c r="R18" s="254">
        <f t="shared" si="3"/>
        <v>0.9</v>
      </c>
      <c r="S18" s="251">
        <v>0.1</v>
      </c>
      <c r="T18" s="284">
        <f t="shared" si="165"/>
        <v>7.0000000000000007E-2</v>
      </c>
      <c r="U18" s="284">
        <f t="shared" si="166"/>
        <v>7.0000000000000007E-2</v>
      </c>
      <c r="V18" s="27">
        <f t="shared" si="5"/>
        <v>61077.609679313857</v>
      </c>
      <c r="W18" s="27">
        <f t="shared" si="167"/>
        <v>60848.159724204568</v>
      </c>
      <c r="X18" s="27">
        <f t="shared" si="190"/>
        <v>229.4499551092874</v>
      </c>
      <c r="Y18" s="27">
        <f t="shared" si="168"/>
        <v>1029.275122217254</v>
      </c>
      <c r="Z18" s="27">
        <f t="shared" si="191"/>
        <v>114.36390246858379</v>
      </c>
      <c r="AA18" s="111">
        <f t="shared" si="169"/>
        <v>7.0000000000000007E-2</v>
      </c>
      <c r="AB18" s="111">
        <f t="shared" si="170"/>
        <v>7.0000000000000007E-2</v>
      </c>
      <c r="AC18" s="92">
        <f t="shared" si="7"/>
        <v>61077.609679313857</v>
      </c>
      <c r="AD18" s="27">
        <f t="shared" si="171"/>
        <v>60848.159724204568</v>
      </c>
      <c r="AE18" s="27">
        <f t="shared" si="192"/>
        <v>229.4499551092874</v>
      </c>
      <c r="AF18" s="145">
        <f t="shared" si="172"/>
        <v>1029.275122217254</v>
      </c>
      <c r="AG18" s="27">
        <f t="shared" si="193"/>
        <v>114.36390246858379</v>
      </c>
      <c r="AH18" s="27">
        <f t="shared" si="173"/>
        <v>39510.946041790827</v>
      </c>
      <c r="AI18" s="27">
        <f t="shared" si="174"/>
        <v>39281.413215537214</v>
      </c>
      <c r="AJ18" s="27">
        <f t="shared" si="194"/>
        <v>229.53282625361052</v>
      </c>
      <c r="AK18" s="27">
        <f t="shared" si="11"/>
        <v>39495.553766973324</v>
      </c>
      <c r="AL18" s="27">
        <f t="shared" si="175"/>
        <v>39266.105047618446</v>
      </c>
      <c r="AM18" s="27">
        <f t="shared" si="246"/>
        <v>229.44871935487521</v>
      </c>
      <c r="AN18" s="409">
        <f>INDEX(Inv.Returns!$B$2:$E$32,MATCH(B18,Inv.Returns!$A$2:$A$32,0),MATCH(SCRS!$DU$52,Inv.Returns!$B$1:$E$1,0))</f>
        <v>7.0000000000000007E-2</v>
      </c>
      <c r="AO18" s="27">
        <f t="shared" si="41"/>
        <v>21566.66363752303</v>
      </c>
      <c r="AP18" s="223">
        <f t="shared" si="12"/>
        <v>21582.055912340533</v>
      </c>
      <c r="AQ18" s="67">
        <f t="shared" si="22"/>
        <v>0.64689738595275514</v>
      </c>
      <c r="AR18" s="146">
        <f t="shared" si="23"/>
        <v>0.64664537421067292</v>
      </c>
      <c r="AS18" s="346"/>
      <c r="AT18" s="283">
        <f t="shared" si="176"/>
        <v>0.1095</v>
      </c>
      <c r="AU18" s="390">
        <f t="shared" si="109"/>
        <v>0.1095</v>
      </c>
      <c r="AV18" s="296">
        <f t="shared" si="110"/>
        <v>0.13577063664252093</v>
      </c>
      <c r="AW18" s="296">
        <f t="shared" si="111"/>
        <v>-3.0701190464924759E-6</v>
      </c>
      <c r="AX18" s="111">
        <f t="shared" si="82"/>
        <v>0.09</v>
      </c>
      <c r="AY18" s="111">
        <f t="shared" si="112"/>
        <v>0.09</v>
      </c>
      <c r="AZ18" s="111">
        <f t="shared" si="113"/>
        <v>0</v>
      </c>
      <c r="BA18" s="256">
        <f t="shared" si="24"/>
        <v>1.9500000000000003E-2</v>
      </c>
      <c r="BB18" s="111">
        <f t="shared" si="114"/>
        <v>1.9500000000000003E-2</v>
      </c>
      <c r="BC18" s="128">
        <f t="shared" si="83"/>
        <v>0.18560000000000004</v>
      </c>
      <c r="BD18" s="128">
        <f t="shared" si="104"/>
        <v>0.18560000000000004</v>
      </c>
      <c r="BE18" s="402">
        <f t="shared" si="15"/>
        <v>0.16610000000000003</v>
      </c>
      <c r="BF18" s="402">
        <f t="shared" si="115"/>
        <v>0.16610000000000003</v>
      </c>
      <c r="BG18" s="402">
        <f t="shared" si="177"/>
        <v>0.13560000000000005</v>
      </c>
      <c r="BH18" s="402">
        <f t="shared" si="26"/>
        <v>0.18560000000000004</v>
      </c>
      <c r="BI18" s="152">
        <f t="shared" si="42"/>
        <v>11.339037473108437</v>
      </c>
      <c r="BJ18" s="100">
        <f t="shared" si="43"/>
        <v>4.1869522882181265E-2</v>
      </c>
      <c r="BK18" s="27">
        <f t="shared" si="67"/>
        <v>14.828580707697137</v>
      </c>
      <c r="BL18" s="27">
        <f t="shared" si="17"/>
        <v>21</v>
      </c>
      <c r="BM18" s="107">
        <f t="shared" si="31"/>
        <v>13.082293740637388</v>
      </c>
      <c r="BN18" s="27"/>
      <c r="BO18" s="27">
        <f>SUM(BV14:CJ14)</f>
        <v>2694.3980000000001</v>
      </c>
      <c r="BP18" s="92">
        <f t="shared" si="178"/>
        <v>-3520.8808584132908</v>
      </c>
      <c r="BQ18" s="27">
        <f t="shared" si="195"/>
        <v>-7.9640600604863359</v>
      </c>
      <c r="BR18" s="27">
        <f t="shared" si="179"/>
        <v>-137.07171352301629</v>
      </c>
      <c r="BS18" s="27">
        <f t="shared" si="116"/>
        <v>-0.3100495026642387</v>
      </c>
      <c r="BT18" s="27">
        <f t="shared" si="180"/>
        <v>-17.202369730650481</v>
      </c>
      <c r="BU18" s="27">
        <f t="shared" si="196"/>
        <v>-1.9113744145167206</v>
      </c>
      <c r="BV18" s="297">
        <f t="shared" si="181"/>
        <v>860.11848653252412</v>
      </c>
      <c r="BW18" s="297">
        <f t="shared" si="197"/>
        <v>95.56872072583603</v>
      </c>
      <c r="BX18" s="297">
        <f t="shared" si="198"/>
        <v>0</v>
      </c>
      <c r="BY18" s="297">
        <f t="shared" si="182"/>
        <v>43.269403659104135</v>
      </c>
      <c r="BZ18" s="297">
        <f t="shared" si="84"/>
        <v>186.35900541538024</v>
      </c>
      <c r="CA18" s="297">
        <f t="shared" si="199"/>
        <v>20.706556157264473</v>
      </c>
      <c r="CB18" s="297">
        <f t="shared" si="183"/>
        <v>1924.158954560824</v>
      </c>
      <c r="CC18" s="297">
        <f t="shared" si="200"/>
        <v>0</v>
      </c>
      <c r="CD18" s="297">
        <f t="shared" si="201"/>
        <v>-1.1946488817516552E-3</v>
      </c>
      <c r="CE18" s="297"/>
      <c r="CF18" s="297">
        <f t="shared" si="184"/>
        <v>0</v>
      </c>
      <c r="CG18" s="297">
        <f t="shared" si="202"/>
        <v>0</v>
      </c>
      <c r="CH18" s="297">
        <f t="shared" si="185"/>
        <v>0</v>
      </c>
      <c r="CI18" s="427">
        <f>IF(AND($DU$74="Yes",MAX($AQ$13:AQ17)&lt;100%),MAX(BD16*(G18+Q18)-SUM(BZ18:CH18,CJ18,CY18),0),0)</f>
        <v>0</v>
      </c>
      <c r="CJ18" s="27"/>
      <c r="CK18" s="27">
        <f t="shared" si="44"/>
        <v>0</v>
      </c>
      <c r="CL18" s="27">
        <f t="shared" si="45"/>
        <v>0</v>
      </c>
      <c r="CM18" s="27">
        <f t="shared" si="46"/>
        <v>0</v>
      </c>
      <c r="CN18" s="27">
        <f>SUM(BV18:CK18)</f>
        <v>3130.1799324020512</v>
      </c>
      <c r="CO18" s="27">
        <f t="shared" si="48"/>
        <v>0</v>
      </c>
      <c r="CP18" s="107">
        <f t="shared" si="4"/>
        <v>3130.1799324020512</v>
      </c>
      <c r="CQ18" s="27">
        <f t="shared" si="117"/>
        <v>1924.1577599119423</v>
      </c>
      <c r="CR18" s="27">
        <f t="shared" si="118"/>
        <v>0</v>
      </c>
      <c r="CS18" s="27">
        <f t="shared" si="186"/>
        <v>1924.1577599119423</v>
      </c>
      <c r="CT18" s="27">
        <f>SUM($CS$14:CS18)</f>
        <v>7420.4858109616689</v>
      </c>
      <c r="CU18" s="223">
        <v>1979.0182596956133</v>
      </c>
      <c r="CV18" s="417">
        <v>388.1612295880384</v>
      </c>
      <c r="CW18" s="417">
        <v>2367.1794892836515</v>
      </c>
      <c r="CX18" s="417">
        <v>9866.3768071390259</v>
      </c>
      <c r="CY18" s="103">
        <f t="shared" si="49"/>
        <v>93.694824241015709</v>
      </c>
      <c r="CZ18" s="111">
        <f t="shared" si="101"/>
        <v>0.17149827176461482</v>
      </c>
      <c r="DA18" s="92">
        <f t="shared" si="50"/>
        <v>2224.9181457256027</v>
      </c>
      <c r="DB18" s="410">
        <f t="shared" si="51"/>
        <v>2035.451559347194</v>
      </c>
      <c r="DC18" s="307">
        <f t="shared" si="52"/>
        <v>1646.6354455086134</v>
      </c>
      <c r="DD18" s="307">
        <f t="shared" si="53"/>
        <v>177.20038363448271</v>
      </c>
      <c r="DE18" s="307">
        <f t="shared" si="54"/>
        <v>0</v>
      </c>
      <c r="DF18" s="307">
        <f t="shared" si="55"/>
        <v>39227.616237726594</v>
      </c>
      <c r="DG18" s="307" t="b">
        <f t="shared" si="68"/>
        <v>0</v>
      </c>
      <c r="DH18" s="27">
        <f t="shared" si="56"/>
        <v>93.694824241015709</v>
      </c>
      <c r="DI18" s="96">
        <f t="shared" si="57"/>
        <v>80.181169065376793</v>
      </c>
      <c r="DJ18" s="101">
        <f t="shared" si="58"/>
        <v>3.6441507267294365E-2</v>
      </c>
      <c r="DK18" s="92">
        <f t="shared" si="59"/>
        <v>0</v>
      </c>
      <c r="DL18" s="96">
        <f t="shared" si="60"/>
        <v>0</v>
      </c>
      <c r="DM18" s="101">
        <f t="shared" si="61"/>
        <v>0</v>
      </c>
      <c r="DN18" s="292">
        <v>2478.9177243616964</v>
      </c>
      <c r="DO18" s="96">
        <f t="shared" si="62"/>
        <v>2267.8213835592028</v>
      </c>
      <c r="DP18" s="294">
        <v>0.58448884230369069</v>
      </c>
      <c r="DQ18" s="29"/>
      <c r="DR18" s="33"/>
      <c r="DS18" s="28"/>
      <c r="DT18" s="28"/>
      <c r="DU18" s="28"/>
      <c r="DV18" s="29"/>
      <c r="DW18" s="320"/>
      <c r="DX18" s="321"/>
      <c r="DY18" s="321"/>
      <c r="DZ18" s="321"/>
      <c r="EA18" s="321"/>
      <c r="EB18" s="321"/>
      <c r="EC18" s="321"/>
      <c r="ED18" s="321"/>
      <c r="EE18" s="321"/>
      <c r="EF18" s="321"/>
      <c r="EG18" s="321"/>
      <c r="EH18" s="321"/>
      <c r="EI18" s="322"/>
      <c r="EJ18" s="323"/>
      <c r="EK18" s="332">
        <f t="shared" si="69"/>
        <v>0.16610000000000003</v>
      </c>
      <c r="EL18" s="332">
        <f t="shared" si="63"/>
        <v>1.9500000000000003E-2</v>
      </c>
      <c r="EM18" s="332" t="e">
        <f t="shared" si="70"/>
        <v>#DIV/0!</v>
      </c>
      <c r="EN18" s="332">
        <f t="shared" si="64"/>
        <v>0</v>
      </c>
      <c r="EO18" s="332">
        <v>0.18560000000000004</v>
      </c>
      <c r="EP18" s="332">
        <v>0.15001201000079967</v>
      </c>
      <c r="EQ18" s="333" t="e">
        <f t="shared" si="71"/>
        <v>#DIV/0!</v>
      </c>
      <c r="ER18" s="277"/>
      <c r="ES18" s="30">
        <v>9</v>
      </c>
      <c r="ET18" s="29">
        <f t="shared" si="85"/>
        <v>2590.4146461464265</v>
      </c>
      <c r="EU18" s="29">
        <f t="shared" si="86"/>
        <v>2590.8060769904951</v>
      </c>
      <c r="EV18" s="29">
        <f t="shared" si="72"/>
        <v>0.39143084406850903</v>
      </c>
      <c r="EW18" s="29">
        <f t="shared" si="73"/>
        <v>0.31314467525480721</v>
      </c>
      <c r="EX18" s="29">
        <f t="shared" si="87"/>
        <v>0.19104368135895131</v>
      </c>
      <c r="EY18" s="29">
        <f t="shared" si="102"/>
        <v>9.2759240665145626E-2</v>
      </c>
      <c r="EZ18" s="29">
        <f t="shared" si="105"/>
        <v>-15.905115516044768</v>
      </c>
      <c r="FA18" s="29">
        <f t="shared" si="74"/>
        <v>-15.308167918765864</v>
      </c>
      <c r="FB18" s="29"/>
      <c r="FC18" s="29">
        <f t="shared" si="247"/>
        <v>11.544584491566507</v>
      </c>
      <c r="FD18" s="29">
        <f t="shared" si="248"/>
        <v>11.481784632792241</v>
      </c>
      <c r="FE18" s="29">
        <f t="shared" si="203"/>
        <v>-6.2799858774265971E-2</v>
      </c>
      <c r="FF18" s="29">
        <f t="shared" si="204"/>
        <v>-5.0239887019412774E-2</v>
      </c>
      <c r="FG18" s="29">
        <f t="shared" si="205"/>
        <v>-2.6350482734575211E-2</v>
      </c>
      <c r="FH18" s="29">
        <f t="shared" si="206"/>
        <v>-7.5165289813360113E-3</v>
      </c>
      <c r="FI18" s="29">
        <f t="shared" si="207"/>
        <v>0</v>
      </c>
      <c r="FJ18" s="29">
        <f t="shared" si="208"/>
        <v>-8.4106898735323996E-2</v>
      </c>
      <c r="FK18" s="29"/>
      <c r="FL18" s="29"/>
      <c r="FM18" s="27">
        <f t="shared" si="27"/>
        <v>23216.990907248466</v>
      </c>
      <c r="FN18" s="29"/>
      <c r="FO18" s="301">
        <f t="shared" si="119"/>
        <v>1924.158954560824</v>
      </c>
      <c r="FP18" s="89">
        <f t="shared" si="209"/>
        <v>-1.1946488817516552E-3</v>
      </c>
      <c r="FQ18" s="27">
        <f t="shared" si="103"/>
        <v>20</v>
      </c>
      <c r="FR18" s="302">
        <f t="shared" si="88"/>
        <v>13.464518542443937</v>
      </c>
      <c r="FS18" s="89">
        <f t="shared" si="89"/>
        <v>1724.3090299933119</v>
      </c>
      <c r="FT18" s="89">
        <f t="shared" si="210"/>
        <v>1924.1577599119423</v>
      </c>
      <c r="FU18" s="29">
        <f t="shared" si="90"/>
        <v>20</v>
      </c>
      <c r="FV18" s="137">
        <f t="shared" si="91"/>
        <v>13.464518542443937</v>
      </c>
      <c r="FW18" s="48">
        <v>1930.150376658399</v>
      </c>
      <c r="FX18" s="29">
        <f t="shared" si="120"/>
        <v>-1285.1179203281317</v>
      </c>
      <c r="FY18" s="29">
        <f t="shared" si="121"/>
        <v>-911.59475956868687</v>
      </c>
      <c r="FZ18" s="29">
        <f t="shared" si="122"/>
        <v>-865.84276861121202</v>
      </c>
      <c r="GA18" s="29">
        <f t="shared" si="122"/>
        <v>-1059.3647807126297</v>
      </c>
      <c r="GB18" s="29">
        <f t="shared" si="122"/>
        <v>25688.666737888016</v>
      </c>
      <c r="GC18" s="29">
        <f t="shared" si="122"/>
        <v>0</v>
      </c>
      <c r="GD18" s="29">
        <f t="shared" si="122"/>
        <v>0</v>
      </c>
      <c r="GE18" s="29">
        <f t="shared" si="122"/>
        <v>0</v>
      </c>
      <c r="GF18" s="29">
        <f t="shared" si="122"/>
        <v>0</v>
      </c>
      <c r="GG18" s="29">
        <f t="shared" si="122"/>
        <v>0</v>
      </c>
      <c r="GH18" s="29">
        <f t="shared" si="122"/>
        <v>0</v>
      </c>
      <c r="GI18" s="29">
        <f t="shared" si="122"/>
        <v>0</v>
      </c>
      <c r="GJ18" s="29">
        <f t="shared" si="122"/>
        <v>0</v>
      </c>
      <c r="GK18" s="29">
        <f t="shared" si="122"/>
        <v>0</v>
      </c>
      <c r="GL18" s="29">
        <f t="shared" si="122"/>
        <v>0</v>
      </c>
      <c r="GM18" s="29">
        <f t="shared" si="122"/>
        <v>0</v>
      </c>
      <c r="GN18" s="29">
        <f t="shared" si="122"/>
        <v>0</v>
      </c>
      <c r="GO18" s="29">
        <f t="shared" si="122"/>
        <v>0</v>
      </c>
      <c r="GP18" s="29">
        <f t="shared" si="122"/>
        <v>0</v>
      </c>
      <c r="GQ18" s="29">
        <f t="shared" si="122"/>
        <v>0</v>
      </c>
      <c r="GR18" s="29">
        <f t="shared" si="122"/>
        <v>0</v>
      </c>
      <c r="GS18" s="29">
        <f t="shared" si="122"/>
        <v>0</v>
      </c>
      <c r="GT18" s="29">
        <f t="shared" si="122"/>
        <v>0</v>
      </c>
      <c r="GU18" s="29">
        <f t="shared" si="122"/>
        <v>0</v>
      </c>
      <c r="GV18" s="29">
        <f t="shared" si="122"/>
        <v>0</v>
      </c>
      <c r="GW18" s="29">
        <f t="shared" si="122"/>
        <v>0</v>
      </c>
      <c r="GX18" s="29">
        <f t="shared" si="122"/>
        <v>0</v>
      </c>
      <c r="GY18" s="29">
        <f t="shared" si="122"/>
        <v>0</v>
      </c>
      <c r="GZ18" s="29">
        <f t="shared" si="122"/>
        <v>0</v>
      </c>
      <c r="HA18" s="29">
        <f t="shared" si="122"/>
        <v>0</v>
      </c>
      <c r="HB18" s="29">
        <f t="shared" si="122"/>
        <v>0</v>
      </c>
      <c r="HC18" s="29">
        <f t="shared" si="122"/>
        <v>0</v>
      </c>
      <c r="HD18" s="29"/>
      <c r="HE18" s="29">
        <f t="shared" si="32"/>
        <v>20</v>
      </c>
      <c r="HF18" s="29">
        <f t="shared" si="123"/>
        <v>0</v>
      </c>
      <c r="HG18" s="29">
        <f t="shared" si="124"/>
        <v>-67.703479830718393</v>
      </c>
      <c r="HH18" s="29">
        <f t="shared" si="125"/>
        <v>-66.495576138724502</v>
      </c>
      <c r="HI18" s="29">
        <f t="shared" si="126"/>
        <v>-84.350841104379882</v>
      </c>
      <c r="HJ18" s="29">
        <f t="shared" si="127"/>
        <v>2126.9576635770709</v>
      </c>
      <c r="HK18" s="29">
        <f t="shared" si="128"/>
        <v>0</v>
      </c>
      <c r="HL18" s="29">
        <f t="shared" si="129"/>
        <v>0</v>
      </c>
      <c r="HM18" s="29">
        <f t="shared" si="130"/>
        <v>0</v>
      </c>
      <c r="HN18" s="29">
        <f t="shared" si="131"/>
        <v>0</v>
      </c>
      <c r="HO18" s="29">
        <f t="shared" si="132"/>
        <v>0</v>
      </c>
      <c r="HP18" s="29">
        <f t="shared" si="133"/>
        <v>0</v>
      </c>
      <c r="HQ18" s="29">
        <f t="shared" si="134"/>
        <v>0</v>
      </c>
      <c r="HR18" s="29">
        <f t="shared" si="135"/>
        <v>0</v>
      </c>
      <c r="HS18" s="29">
        <f t="shared" si="136"/>
        <v>0</v>
      </c>
      <c r="HT18" s="29">
        <f t="shared" si="137"/>
        <v>0</v>
      </c>
      <c r="HU18" s="29">
        <f t="shared" si="138"/>
        <v>0</v>
      </c>
      <c r="HV18" s="29">
        <f t="shared" si="139"/>
        <v>0</v>
      </c>
      <c r="HW18" s="29">
        <f t="shared" si="140"/>
        <v>0</v>
      </c>
      <c r="HX18" s="29">
        <f t="shared" si="141"/>
        <v>0</v>
      </c>
      <c r="HY18" s="29">
        <f t="shared" si="142"/>
        <v>0</v>
      </c>
      <c r="HZ18" s="29">
        <f t="shared" si="143"/>
        <v>0</v>
      </c>
      <c r="IA18" s="29">
        <f t="shared" si="144"/>
        <v>0</v>
      </c>
      <c r="IB18" s="29">
        <f t="shared" si="145"/>
        <v>0</v>
      </c>
      <c r="IC18" s="29">
        <f t="shared" si="146"/>
        <v>0</v>
      </c>
      <c r="ID18" s="29">
        <f t="shared" si="147"/>
        <v>0</v>
      </c>
      <c r="IE18" s="29">
        <f t="shared" si="148"/>
        <v>0</v>
      </c>
      <c r="IF18" s="29">
        <f t="shared" si="149"/>
        <v>0</v>
      </c>
      <c r="IG18" s="29">
        <f t="shared" si="150"/>
        <v>0</v>
      </c>
      <c r="IH18" s="29">
        <f t="shared" si="151"/>
        <v>0</v>
      </c>
      <c r="II18" s="29">
        <f t="shared" si="152"/>
        <v>0</v>
      </c>
      <c r="IJ18" s="29">
        <f t="shared" si="153"/>
        <v>0</v>
      </c>
      <c r="IK18" s="29">
        <f t="shared" si="154"/>
        <v>0</v>
      </c>
      <c r="IL18" s="48"/>
      <c r="IM18" s="48"/>
      <c r="IN18" s="48"/>
      <c r="IO18" s="29">
        <f t="shared" si="211"/>
        <v>-3.4449514352293757E-2</v>
      </c>
      <c r="IP18" s="29">
        <f t="shared" si="249"/>
        <v>-3.244603632154669E-2</v>
      </c>
      <c r="IQ18" s="29">
        <f t="shared" si="212"/>
        <v>-1.5975593649280924E-2</v>
      </c>
      <c r="IR18" s="29">
        <f t="shared" si="212"/>
        <v>0</v>
      </c>
      <c r="IS18" s="29">
        <f t="shared" si="212"/>
        <v>0</v>
      </c>
      <c r="IT18" s="29">
        <f t="shared" si="212"/>
        <v>0</v>
      </c>
      <c r="IU18" s="29">
        <f t="shared" si="212"/>
        <v>0</v>
      </c>
      <c r="IV18" s="29">
        <f t="shared" si="212"/>
        <v>0</v>
      </c>
      <c r="IW18" s="29">
        <f t="shared" si="212"/>
        <v>0</v>
      </c>
      <c r="IX18" s="29">
        <f t="shared" si="212"/>
        <v>0</v>
      </c>
      <c r="IY18" s="29">
        <f t="shared" si="212"/>
        <v>0</v>
      </c>
      <c r="IZ18" s="29">
        <f t="shared" si="212"/>
        <v>0</v>
      </c>
      <c r="JA18" s="29">
        <f t="shared" si="212"/>
        <v>0</v>
      </c>
      <c r="JB18" s="29">
        <f t="shared" si="212"/>
        <v>0</v>
      </c>
      <c r="JC18" s="29">
        <f t="shared" si="212"/>
        <v>0</v>
      </c>
      <c r="JD18" s="29">
        <f t="shared" si="212"/>
        <v>0</v>
      </c>
      <c r="JE18" s="29">
        <f t="shared" si="212"/>
        <v>0</v>
      </c>
      <c r="JF18" s="29">
        <f t="shared" si="212"/>
        <v>0</v>
      </c>
      <c r="JG18" s="29">
        <f t="shared" si="212"/>
        <v>0</v>
      </c>
      <c r="JH18" s="29">
        <f t="shared" si="212"/>
        <v>0</v>
      </c>
      <c r="JI18" s="29">
        <f t="shared" si="212"/>
        <v>0</v>
      </c>
      <c r="JJ18" s="29">
        <f t="shared" si="212"/>
        <v>0</v>
      </c>
      <c r="JK18" s="29">
        <f t="shared" si="212"/>
        <v>0</v>
      </c>
      <c r="JL18" s="29">
        <f t="shared" si="212"/>
        <v>0</v>
      </c>
      <c r="JM18" s="29">
        <f t="shared" si="212"/>
        <v>0</v>
      </c>
      <c r="JN18" s="29">
        <f t="shared" si="212"/>
        <v>0</v>
      </c>
      <c r="JO18" s="29">
        <f t="shared" si="212"/>
        <v>0</v>
      </c>
      <c r="JP18" s="29">
        <f t="shared" si="212"/>
        <v>0</v>
      </c>
      <c r="JQ18" s="29">
        <f t="shared" si="212"/>
        <v>0</v>
      </c>
      <c r="JR18" s="29">
        <f t="shared" si="212"/>
        <v>0</v>
      </c>
      <c r="JS18" s="29">
        <f t="shared" si="212"/>
        <v>0</v>
      </c>
      <c r="JT18" s="29">
        <f t="shared" si="212"/>
        <v>0</v>
      </c>
      <c r="JU18" s="48"/>
      <c r="JV18" s="394">
        <f t="shared" si="213"/>
        <v>20</v>
      </c>
      <c r="JW18" s="29">
        <f t="shared" si="214"/>
        <v>0</v>
      </c>
      <c r="JX18" s="29">
        <f t="shared" si="215"/>
        <v>-2.4097435210377323E-3</v>
      </c>
      <c r="JY18" s="29">
        <f t="shared" si="216"/>
        <v>-1.2269044015589497E-3</v>
      </c>
      <c r="JZ18" s="29">
        <f t="shared" si="217"/>
        <v>0</v>
      </c>
      <c r="KA18" s="29">
        <f t="shared" si="218"/>
        <v>0</v>
      </c>
      <c r="KB18" s="29">
        <f t="shared" si="219"/>
        <v>0</v>
      </c>
      <c r="KC18" s="29">
        <f t="shared" si="220"/>
        <v>0</v>
      </c>
      <c r="KD18" s="29">
        <f t="shared" si="221"/>
        <v>0</v>
      </c>
      <c r="KE18" s="29">
        <f t="shared" si="222"/>
        <v>0</v>
      </c>
      <c r="KF18" s="29">
        <f t="shared" si="223"/>
        <v>0</v>
      </c>
      <c r="KG18" s="29">
        <f t="shared" si="224"/>
        <v>0</v>
      </c>
      <c r="KH18" s="29">
        <f t="shared" si="225"/>
        <v>0</v>
      </c>
      <c r="KI18" s="29">
        <f t="shared" si="226"/>
        <v>0</v>
      </c>
      <c r="KJ18" s="29">
        <f t="shared" si="227"/>
        <v>0</v>
      </c>
      <c r="KK18" s="29">
        <f t="shared" si="228"/>
        <v>0</v>
      </c>
      <c r="KL18" s="29">
        <f t="shared" si="229"/>
        <v>0</v>
      </c>
      <c r="KM18" s="29">
        <f t="shared" si="230"/>
        <v>0</v>
      </c>
      <c r="KN18" s="29">
        <f t="shared" si="231"/>
        <v>0</v>
      </c>
      <c r="KO18" s="29">
        <f t="shared" si="232"/>
        <v>0</v>
      </c>
      <c r="KP18" s="29">
        <f t="shared" si="233"/>
        <v>0</v>
      </c>
      <c r="KQ18" s="29">
        <f t="shared" si="234"/>
        <v>0</v>
      </c>
      <c r="KR18" s="29">
        <f t="shared" si="235"/>
        <v>0</v>
      </c>
      <c r="KS18" s="29">
        <f t="shared" si="236"/>
        <v>0</v>
      </c>
      <c r="KT18" s="29">
        <f t="shared" si="237"/>
        <v>0</v>
      </c>
      <c r="KU18" s="29">
        <f t="shared" si="238"/>
        <v>0</v>
      </c>
      <c r="KV18" s="29">
        <f t="shared" si="239"/>
        <v>0</v>
      </c>
      <c r="KW18" s="29">
        <f t="shared" si="240"/>
        <v>0</v>
      </c>
      <c r="KX18" s="29">
        <f t="shared" si="241"/>
        <v>0</v>
      </c>
      <c r="KY18" s="29">
        <f t="shared" si="242"/>
        <v>0</v>
      </c>
      <c r="KZ18" s="29">
        <f t="shared" si="243"/>
        <v>0</v>
      </c>
      <c r="LA18" s="29">
        <f t="shared" si="244"/>
        <v>0</v>
      </c>
      <c r="LB18" s="29">
        <f t="shared" si="245"/>
        <v>0</v>
      </c>
      <c r="LC18" s="48"/>
      <c r="LD18" s="48"/>
      <c r="LE18" s="48"/>
      <c r="LF18" s="48"/>
      <c r="LG18" s="48"/>
      <c r="LH18" s="48"/>
      <c r="LI18" s="48"/>
      <c r="LJ18" s="48"/>
      <c r="LK18" s="48"/>
      <c r="LL18" s="48"/>
      <c r="LM18" s="48"/>
      <c r="LN18" s="48"/>
      <c r="LO18" s="48"/>
      <c r="LP18" s="46">
        <f t="shared" si="33"/>
        <v>0.42924256257067439</v>
      </c>
      <c r="LQ18" s="47">
        <f t="shared" si="34"/>
        <v>0.75719640176516589</v>
      </c>
      <c r="LR18" s="28"/>
      <c r="LS18" s="48"/>
      <c r="LT18" s="28" t="s">
        <v>208</v>
      </c>
      <c r="LU18" s="161">
        <v>1.3650000000000002E-2</v>
      </c>
      <c r="LV18" s="111">
        <f t="shared" si="75"/>
        <v>2.2129883595405062E-18</v>
      </c>
      <c r="LW18" s="152">
        <f t="shared" si="18"/>
        <v>2.7960864869632779E-15</v>
      </c>
      <c r="LX18" s="223" t="e">
        <f>LX17*(1+#REF!)</f>
        <v>#REF!</v>
      </c>
      <c r="LY18" s="153"/>
      <c r="LZ18" s="124">
        <f t="shared" si="76"/>
        <v>22.542181814918877</v>
      </c>
      <c r="MA18" s="125">
        <f t="shared" si="77"/>
        <v>-10.535946551171946</v>
      </c>
      <c r="MB18" s="28"/>
      <c r="MC18" s="111">
        <v>7.4999999999999997E-3</v>
      </c>
      <c r="MD18" s="387">
        <f t="shared" si="187"/>
        <v>-9.3694824241015713</v>
      </c>
      <c r="ME18" s="152">
        <f t="shared" si="188"/>
        <v>-3530.2503408373923</v>
      </c>
      <c r="MF18" s="209"/>
      <c r="MG18" s="111">
        <v>7.4999999999999997E-3</v>
      </c>
      <c r="MH18" s="387">
        <f t="shared" si="189"/>
        <v>-0.36476412078145731</v>
      </c>
      <c r="MI18" s="152">
        <f t="shared" si="155"/>
        <v>-137.43647764379773</v>
      </c>
      <c r="MJ18" s="28"/>
      <c r="MK18" s="100">
        <v>2.2499999999999999E-2</v>
      </c>
      <c r="ML18" s="100">
        <f>$ML$17*($MK18/$MK$17)</f>
        <v>0.13223101644804819</v>
      </c>
      <c r="MM18" s="100">
        <f t="shared" si="80"/>
        <v>0.13592743058401038</v>
      </c>
      <c r="MN18" s="100">
        <f t="shared" si="36"/>
        <v>0.13983644859813085</v>
      </c>
      <c r="MO18" s="100">
        <f t="shared" si="37"/>
        <v>0.14391247922792738</v>
      </c>
      <c r="MP18" s="100">
        <f t="shared" si="38"/>
        <v>0.14816370324406927</v>
      </c>
      <c r="MQ18" s="100">
        <f t="shared" si="39"/>
        <v>0.15259872166546187</v>
      </c>
      <c r="MR18" s="28"/>
      <c r="MS18" s="28">
        <f t="shared" si="92"/>
        <v>71</v>
      </c>
      <c r="MT18" s="28">
        <f t="shared" si="93"/>
        <v>0.53262836661701729</v>
      </c>
      <c r="MU18" s="28">
        <f t="shared" si="94"/>
        <v>0.54890398958408615</v>
      </c>
      <c r="MV18" s="28">
        <f t="shared" si="95"/>
        <v>0.56562019838834965</v>
      </c>
      <c r="MW18" s="28">
        <f t="shared" si="96"/>
        <v>0.58278739387264755</v>
      </c>
      <c r="MX18" s="28">
        <f t="shared" si="97"/>
        <v>0.60041618662968177</v>
      </c>
      <c r="MY18" s="28">
        <f t="shared" si="98"/>
        <v>0.61851740051519122</v>
      </c>
      <c r="MZ18" s="28"/>
      <c r="NA18" s="28"/>
      <c r="NB18" s="28"/>
      <c r="NC18" s="28"/>
      <c r="ND18" s="28"/>
      <c r="NE18" s="28"/>
      <c r="NF18" s="28"/>
      <c r="NG18" s="28"/>
      <c r="NH18" s="28"/>
      <c r="NI18" s="28"/>
      <c r="NJ18" s="28"/>
      <c r="NK18" s="28"/>
    </row>
    <row r="19" spans="1:375" s="30" customFormat="1" ht="12.75" customHeight="1" x14ac:dyDescent="0.3">
      <c r="A19" s="298">
        <f t="shared" si="99"/>
        <v>2028</v>
      </c>
      <c r="B19" s="348">
        <f t="shared" si="2"/>
        <v>2026</v>
      </c>
      <c r="C19" s="26">
        <v>46204</v>
      </c>
      <c r="D19" s="92">
        <f t="shared" si="156"/>
        <v>9595.775815071238</v>
      </c>
      <c r="E19" s="27">
        <f t="shared" si="106"/>
        <v>9595.775815071238</v>
      </c>
      <c r="F19" s="107">
        <f t="shared" si="21"/>
        <v>1686.8841865574859</v>
      </c>
      <c r="G19" s="27">
        <f t="shared" si="157"/>
        <v>12829.944599403083</v>
      </c>
      <c r="H19" s="27">
        <f t="shared" si="158"/>
        <v>11162.051801480682</v>
      </c>
      <c r="I19" s="289">
        <f t="shared" si="159"/>
        <v>9487.7440312585804</v>
      </c>
      <c r="J19" s="68">
        <v>4023.5093459999998</v>
      </c>
      <c r="K19" s="290">
        <f t="shared" si="160"/>
        <v>5464.2346852585806</v>
      </c>
      <c r="L19" s="290">
        <f t="shared" si="107"/>
        <v>1667.8927979224009</v>
      </c>
      <c r="M19" s="290">
        <f t="shared" si="161"/>
        <v>1417.7088782340406</v>
      </c>
      <c r="N19" s="27">
        <f t="shared" si="162"/>
        <v>0</v>
      </c>
      <c r="O19" s="290">
        <f t="shared" si="163"/>
        <v>1674.3077702221024</v>
      </c>
      <c r="P19" s="290">
        <f t="shared" si="108"/>
        <v>250.18391968836011</v>
      </c>
      <c r="Q19" s="290">
        <f t="shared" si="164"/>
        <v>493.75197286555493</v>
      </c>
      <c r="R19" s="254">
        <f t="shared" si="3"/>
        <v>0.87</v>
      </c>
      <c r="S19" s="251">
        <v>0.13</v>
      </c>
      <c r="T19" s="284">
        <f t="shared" si="165"/>
        <v>7.0000000000000007E-2</v>
      </c>
      <c r="U19" s="284">
        <f t="shared" si="166"/>
        <v>7.0000000000000007E-2</v>
      </c>
      <c r="V19" s="27">
        <f t="shared" si="5"/>
        <v>62658.369261622633</v>
      </c>
      <c r="W19" s="27">
        <f t="shared" si="167"/>
        <v>62270.152709028967</v>
      </c>
      <c r="X19" s="27">
        <f t="shared" si="190"/>
        <v>388.21655259366406</v>
      </c>
      <c r="Y19" s="27">
        <f t="shared" si="168"/>
        <v>1021.830032166549</v>
      </c>
      <c r="Z19" s="27">
        <f t="shared" si="191"/>
        <v>152.68724618580617</v>
      </c>
      <c r="AA19" s="111">
        <f t="shared" si="169"/>
        <v>7.0000000000000007E-2</v>
      </c>
      <c r="AB19" s="111">
        <f t="shared" si="170"/>
        <v>7.0000000000000007E-2</v>
      </c>
      <c r="AC19" s="92">
        <f t="shared" si="7"/>
        <v>62658.369261622633</v>
      </c>
      <c r="AD19" s="27">
        <f t="shared" si="171"/>
        <v>62270.152709028967</v>
      </c>
      <c r="AE19" s="27">
        <f t="shared" si="192"/>
        <v>388.21655259366406</v>
      </c>
      <c r="AF19" s="145">
        <f t="shared" si="172"/>
        <v>1021.830032166549</v>
      </c>
      <c r="AG19" s="27">
        <f t="shared" si="193"/>
        <v>152.68724618580617</v>
      </c>
      <c r="AH19" s="27">
        <f t="shared" si="173"/>
        <v>41584.946254926923</v>
      </c>
      <c r="AI19" s="27">
        <f t="shared" si="174"/>
        <v>41196.61045068207</v>
      </c>
      <c r="AJ19" s="27">
        <f t="shared" si="194"/>
        <v>388.33580424485234</v>
      </c>
      <c r="AK19" s="27">
        <f t="shared" si="11"/>
        <v>41585.604708257728</v>
      </c>
      <c r="AL19" s="27">
        <f t="shared" si="175"/>
        <v>41197.393239699144</v>
      </c>
      <c r="AM19" s="27">
        <f t="shared" si="246"/>
        <v>388.21146855858126</v>
      </c>
      <c r="AN19" s="409">
        <f>INDEX(Inv.Returns!$B$2:$E$32,MATCH(B19,Inv.Returns!$A$2:$A$32,0),MATCH(SCRS!$DU$52,Inv.Returns!$B$1:$E$1,0))</f>
        <v>7.0000000000000007E-2</v>
      </c>
      <c r="AO19" s="27">
        <f t="shared" si="41"/>
        <v>21073.42300669571</v>
      </c>
      <c r="AP19" s="223">
        <f t="shared" si="12"/>
        <v>21072.764553364905</v>
      </c>
      <c r="AQ19" s="67">
        <f t="shared" si="22"/>
        <v>0.66367744237475901</v>
      </c>
      <c r="AR19" s="146">
        <f t="shared" si="23"/>
        <v>0.66368795100015987</v>
      </c>
      <c r="AS19" s="346"/>
      <c r="AT19" s="283">
        <f t="shared" si="176"/>
        <v>0.10950000000000001</v>
      </c>
      <c r="AU19" s="390">
        <f t="shared" si="109"/>
        <v>0.1095</v>
      </c>
      <c r="AV19" s="296">
        <f t="shared" si="110"/>
        <v>0.1356077510849216</v>
      </c>
      <c r="AW19" s="296">
        <f t="shared" si="111"/>
        <v>-3.6467912358911651E-6</v>
      </c>
      <c r="AX19" s="111">
        <f t="shared" si="82"/>
        <v>0.09</v>
      </c>
      <c r="AY19" s="111">
        <f t="shared" si="112"/>
        <v>0.09</v>
      </c>
      <c r="AZ19" s="111">
        <f t="shared" si="113"/>
        <v>0</v>
      </c>
      <c r="BA19" s="256">
        <f t="shared" si="24"/>
        <v>1.9500000000000017E-2</v>
      </c>
      <c r="BB19" s="111">
        <f t="shared" si="114"/>
        <v>1.9500000000000003E-2</v>
      </c>
      <c r="BC19" s="128">
        <f t="shared" si="83"/>
        <v>0.18560000000000004</v>
      </c>
      <c r="BD19" s="128">
        <f t="shared" si="104"/>
        <v>0.18560000000000004</v>
      </c>
      <c r="BE19" s="402">
        <f t="shared" si="15"/>
        <v>0.16610000000000003</v>
      </c>
      <c r="BF19" s="402">
        <f t="shared" si="115"/>
        <v>0.16610000000000003</v>
      </c>
      <c r="BG19" s="402">
        <f t="shared" si="177"/>
        <v>0.13560000000000005</v>
      </c>
      <c r="BH19" s="402">
        <f t="shared" si="26"/>
        <v>0.18560000000000004</v>
      </c>
      <c r="BI19" s="152">
        <f t="shared" si="42"/>
        <v>11.162459844312011</v>
      </c>
      <c r="BJ19" s="100">
        <f t="shared" si="43"/>
        <v>4.1869522882181265E-2</v>
      </c>
      <c r="BK19" s="27">
        <f t="shared" si="67"/>
        <v>14.512796578801733</v>
      </c>
      <c r="BL19" s="27">
        <f t="shared" si="17"/>
        <v>20</v>
      </c>
      <c r="BM19" s="107">
        <f t="shared" si="31"/>
        <v>12.758737718817045</v>
      </c>
      <c r="BN19" s="27"/>
      <c r="BO19" s="55"/>
      <c r="BP19" s="92">
        <f t="shared" si="178"/>
        <v>-3623.7505259957038</v>
      </c>
      <c r="BQ19" s="27">
        <f t="shared" si="195"/>
        <v>-14.177088782340407</v>
      </c>
      <c r="BR19" s="27">
        <f t="shared" si="179"/>
        <v>-141.07654134085359</v>
      </c>
      <c r="BS19" s="27">
        <f t="shared" si="116"/>
        <v>-0.55192945467603349</v>
      </c>
      <c r="BT19" s="27">
        <f t="shared" si="180"/>
        <v>-17.077939256265445</v>
      </c>
      <c r="BU19" s="27">
        <f t="shared" si="196"/>
        <v>-2.551875980821273</v>
      </c>
      <c r="BV19" s="297">
        <f t="shared" si="181"/>
        <v>853.89696281327224</v>
      </c>
      <c r="BW19" s="297">
        <f t="shared" si="197"/>
        <v>127.59379904106365</v>
      </c>
      <c r="BX19" s="297">
        <f t="shared" si="198"/>
        <v>0</v>
      </c>
      <c r="BY19" s="297">
        <f t="shared" si="182"/>
        <v>44.437677557899946</v>
      </c>
      <c r="BZ19" s="297">
        <f t="shared" si="84"/>
        <v>185.01100860954216</v>
      </c>
      <c r="CA19" s="297">
        <f t="shared" si="199"/>
        <v>27.645323125563806</v>
      </c>
      <c r="CB19" s="297">
        <f t="shared" si="183"/>
        <v>1908.4077665032482</v>
      </c>
      <c r="CC19" s="297">
        <f t="shared" si="200"/>
        <v>0</v>
      </c>
      <c r="CD19" s="297">
        <f t="shared" si="201"/>
        <v>-3.636647922596682E-3</v>
      </c>
      <c r="CE19" s="297"/>
      <c r="CF19" s="297">
        <f t="shared" si="184"/>
        <v>0</v>
      </c>
      <c r="CG19" s="297">
        <f t="shared" si="202"/>
        <v>0</v>
      </c>
      <c r="CH19" s="297">
        <f t="shared" si="185"/>
        <v>0</v>
      </c>
      <c r="CI19" s="427">
        <f>IF(AND($DU$74="Yes",MAX($AQ$13:AQ18)&lt;100%),MAX(BD17*(G19+Q19)-SUM(BZ19:CH19,CJ19,CY19),0),0)</f>
        <v>0</v>
      </c>
      <c r="CJ19" s="27"/>
      <c r="CK19" s="27">
        <f t="shared" si="44"/>
        <v>0</v>
      </c>
      <c r="CL19" s="27">
        <f t="shared" si="45"/>
        <v>0</v>
      </c>
      <c r="CM19" s="27">
        <f t="shared" si="46"/>
        <v>0</v>
      </c>
      <c r="CN19" s="27">
        <f t="shared" si="47"/>
        <v>3146.9889010026673</v>
      </c>
      <c r="CO19" s="27">
        <f t="shared" si="48"/>
        <v>0</v>
      </c>
      <c r="CP19" s="107">
        <f t="shared" si="4"/>
        <v>3146.9889010026673</v>
      </c>
      <c r="CQ19" s="27">
        <f t="shared" si="117"/>
        <v>1908.4041298553257</v>
      </c>
      <c r="CR19" s="27">
        <f t="shared" si="118"/>
        <v>0</v>
      </c>
      <c r="CS19" s="27">
        <f t="shared" si="186"/>
        <v>1908.4041298553257</v>
      </c>
      <c r="CT19" s="27">
        <f>SUM($CS$14:CS19)</f>
        <v>9328.8899408169946</v>
      </c>
      <c r="CU19" s="223">
        <v>2158.7771219567608</v>
      </c>
      <c r="CV19" s="417">
        <v>425.30169798110308</v>
      </c>
      <c r="CW19" s="417">
        <v>2584.078819937864</v>
      </c>
      <c r="CX19" s="417">
        <v>12450.45562707689</v>
      </c>
      <c r="CY19" s="103">
        <f t="shared" si="49"/>
        <v>96.224584495523118</v>
      </c>
      <c r="CZ19" s="111">
        <f t="shared" si="101"/>
        <v>0.16641665727369651</v>
      </c>
      <c r="DA19" s="92">
        <f t="shared" si="50"/>
        <v>2217.2850460859549</v>
      </c>
      <c r="DB19" s="410">
        <f t="shared" si="51"/>
        <v>1983.8322434603597</v>
      </c>
      <c r="DC19" s="307">
        <f t="shared" si="52"/>
        <v>1597.2165966117357</v>
      </c>
      <c r="DD19" s="307">
        <f t="shared" si="53"/>
        <v>177.98023862358301</v>
      </c>
      <c r="DE19" s="307">
        <f t="shared" si="54"/>
        <v>0</v>
      </c>
      <c r="DF19" s="307">
        <f t="shared" si="55"/>
        <v>38669.899354830661</v>
      </c>
      <c r="DG19" s="307" t="b">
        <f t="shared" si="68"/>
        <v>0</v>
      </c>
      <c r="DH19" s="27">
        <f t="shared" si="56"/>
        <v>96.224584495523118</v>
      </c>
      <c r="DI19" s="96">
        <f t="shared" si="57"/>
        <v>80.534044626055717</v>
      </c>
      <c r="DJ19" s="101">
        <f t="shared" si="58"/>
        <v>3.1472210821754228E-2</v>
      </c>
      <c r="DK19" s="92">
        <f t="shared" si="59"/>
        <v>0</v>
      </c>
      <c r="DL19" s="96">
        <f t="shared" si="60"/>
        <v>0</v>
      </c>
      <c r="DM19" s="101">
        <f t="shared" si="61"/>
        <v>0</v>
      </c>
      <c r="DN19" s="292">
        <v>2553.2852560925467</v>
      </c>
      <c r="DO19" s="96">
        <f t="shared" si="62"/>
        <v>2284.4557702356756</v>
      </c>
      <c r="DP19" s="294">
        <v>0.60582205265646216</v>
      </c>
      <c r="DQ19" s="29"/>
      <c r="DR19" s="28"/>
      <c r="DS19" s="28"/>
      <c r="DT19" s="28"/>
      <c r="DU19" s="28"/>
      <c r="DV19" s="29"/>
      <c r="DW19" s="320"/>
      <c r="DX19" s="321"/>
      <c r="DY19" s="321"/>
      <c r="DZ19" s="321"/>
      <c r="EA19" s="321"/>
      <c r="EB19" s="321"/>
      <c r="EC19" s="321"/>
      <c r="ED19" s="321"/>
      <c r="EE19" s="321"/>
      <c r="EF19" s="321"/>
      <c r="EG19" s="321"/>
      <c r="EH19" s="321"/>
      <c r="EI19" s="322"/>
      <c r="EJ19" s="323"/>
      <c r="EK19" s="332">
        <f t="shared" si="69"/>
        <v>0.16610000000000003</v>
      </c>
      <c r="EL19" s="332">
        <f t="shared" si="63"/>
        <v>1.9500000000000017E-2</v>
      </c>
      <c r="EM19" s="332" t="e">
        <f t="shared" si="70"/>
        <v>#DIV/0!</v>
      </c>
      <c r="EN19" s="332">
        <f t="shared" si="64"/>
        <v>0</v>
      </c>
      <c r="EO19" s="332">
        <v>0.18560000000000004</v>
      </c>
      <c r="EP19" s="332">
        <v>0.14961702432319526</v>
      </c>
      <c r="EQ19" s="333" t="e">
        <f t="shared" si="71"/>
        <v>#DIV/0!</v>
      </c>
      <c r="ER19" s="277"/>
      <c r="ES19" s="334">
        <v>10</v>
      </c>
      <c r="ET19" s="29">
        <f t="shared" si="85"/>
        <v>2720.9720476444813</v>
      </c>
      <c r="EU19" s="29">
        <f t="shared" si="86"/>
        <v>2721.4397831895576</v>
      </c>
      <c r="EV19" s="29">
        <f t="shared" si="72"/>
        <v>0.46773554507626613</v>
      </c>
      <c r="EW19" s="29">
        <f t="shared" si="73"/>
        <v>0.37418843606101293</v>
      </c>
      <c r="EX19" s="29">
        <f t="shared" si="87"/>
        <v>0.2348585064411054</v>
      </c>
      <c r="EY19" s="29">
        <f t="shared" si="102"/>
        <v>0.12736245423930087</v>
      </c>
      <c r="EZ19" s="29">
        <f t="shared" si="105"/>
        <v>4.6379620332572813E-2</v>
      </c>
      <c r="FA19" s="29">
        <f t="shared" si="74"/>
        <v>0.78278901707399196</v>
      </c>
      <c r="FB19" s="29"/>
      <c r="FC19" s="29">
        <f t="shared" si="247"/>
        <v>20.889821050371616</v>
      </c>
      <c r="FD19" s="29">
        <f t="shared" si="248"/>
        <v>20.808157902838929</v>
      </c>
      <c r="FE19" s="29">
        <f t="shared" si="203"/>
        <v>-8.1663147532687219E-2</v>
      </c>
      <c r="FF19" s="29">
        <f t="shared" si="204"/>
        <v>-6.5330518026149781E-2</v>
      </c>
      <c r="FG19" s="29">
        <f t="shared" si="205"/>
        <v>-3.7679915264559577E-2</v>
      </c>
      <c r="FH19" s="29">
        <f t="shared" si="206"/>
        <v>-1.7566988489716807E-2</v>
      </c>
      <c r="FI19" s="29">
        <f t="shared" si="207"/>
        <v>-3.7582644906680057E-3</v>
      </c>
      <c r="FJ19" s="29">
        <f t="shared" si="208"/>
        <v>-0.12433568627109416</v>
      </c>
      <c r="FK19" s="29"/>
      <c r="FL19" s="29"/>
      <c r="FM19" s="27">
        <f t="shared" si="27"/>
        <v>21566.66363752303</v>
      </c>
      <c r="FN19" s="29"/>
      <c r="FO19" s="301">
        <f t="shared" si="119"/>
        <v>1908.4077665032482</v>
      </c>
      <c r="FP19" s="89">
        <f t="shared" si="209"/>
        <v>-3.636647922596682E-3</v>
      </c>
      <c r="FQ19" s="27">
        <f t="shared" si="103"/>
        <v>20</v>
      </c>
      <c r="FR19" s="302">
        <f t="shared" si="88"/>
        <v>13.464518542443937</v>
      </c>
      <c r="FS19" s="89">
        <f t="shared" si="89"/>
        <v>1601.7404238806505</v>
      </c>
      <c r="FT19" s="89">
        <f t="shared" si="210"/>
        <v>1908.4041298553257</v>
      </c>
      <c r="FU19" s="29">
        <f t="shared" si="90"/>
        <v>20</v>
      </c>
      <c r="FV19" s="137">
        <f t="shared" si="91"/>
        <v>13.464518542443937</v>
      </c>
      <c r="FW19" s="48">
        <v>2073.9182897416172</v>
      </c>
      <c r="FX19" s="29">
        <f t="shared" si="120"/>
        <v>-28.804162400370842</v>
      </c>
      <c r="FY19" s="29">
        <f t="shared" si="121"/>
        <v>-1375.076174751101</v>
      </c>
      <c r="FZ19" s="29">
        <f t="shared" si="122"/>
        <v>-905.37336864363181</v>
      </c>
      <c r="GA19" s="29">
        <f t="shared" si="122"/>
        <v>-857.66820361363841</v>
      </c>
      <c r="GB19" s="29">
        <f t="shared" si="122"/>
        <v>-1046.2671268668062</v>
      </c>
      <c r="GC19" s="29">
        <f t="shared" si="122"/>
        <v>25286.731294622445</v>
      </c>
      <c r="GD19" s="29">
        <f t="shared" si="122"/>
        <v>0</v>
      </c>
      <c r="GE19" s="29">
        <f t="shared" si="122"/>
        <v>0</v>
      </c>
      <c r="GF19" s="29">
        <f t="shared" si="122"/>
        <v>0</v>
      </c>
      <c r="GG19" s="29">
        <f t="shared" si="122"/>
        <v>0</v>
      </c>
      <c r="GH19" s="29">
        <f t="shared" si="122"/>
        <v>0</v>
      </c>
      <c r="GI19" s="29">
        <f t="shared" si="122"/>
        <v>0</v>
      </c>
      <c r="GJ19" s="29">
        <f t="shared" si="122"/>
        <v>0</v>
      </c>
      <c r="GK19" s="29">
        <f t="shared" si="122"/>
        <v>0</v>
      </c>
      <c r="GL19" s="29">
        <f t="shared" si="122"/>
        <v>0</v>
      </c>
      <c r="GM19" s="29">
        <f t="shared" si="122"/>
        <v>0</v>
      </c>
      <c r="GN19" s="29">
        <f t="shared" si="122"/>
        <v>0</v>
      </c>
      <c r="GO19" s="29">
        <f t="shared" si="122"/>
        <v>0</v>
      </c>
      <c r="GP19" s="29">
        <f t="shared" si="122"/>
        <v>0</v>
      </c>
      <c r="GQ19" s="29">
        <f t="shared" si="122"/>
        <v>0</v>
      </c>
      <c r="GR19" s="29">
        <f t="shared" si="122"/>
        <v>0</v>
      </c>
      <c r="GS19" s="29">
        <f t="shared" si="122"/>
        <v>0</v>
      </c>
      <c r="GT19" s="29">
        <f t="shared" si="122"/>
        <v>0</v>
      </c>
      <c r="GU19" s="29">
        <f t="shared" si="122"/>
        <v>0</v>
      </c>
      <c r="GV19" s="29">
        <f t="shared" si="122"/>
        <v>0</v>
      </c>
      <c r="GW19" s="29">
        <f t="shared" si="122"/>
        <v>0</v>
      </c>
      <c r="GX19" s="29">
        <f t="shared" si="122"/>
        <v>0</v>
      </c>
      <c r="GY19" s="29">
        <f t="shared" si="122"/>
        <v>0</v>
      </c>
      <c r="GZ19" s="29">
        <f t="shared" si="122"/>
        <v>0</v>
      </c>
      <c r="HA19" s="29">
        <f t="shared" si="122"/>
        <v>0</v>
      </c>
      <c r="HB19" s="29">
        <f t="shared" si="122"/>
        <v>0</v>
      </c>
      <c r="HC19" s="29">
        <f t="shared" si="122"/>
        <v>0</v>
      </c>
      <c r="HD19" s="29"/>
      <c r="HE19" s="29">
        <f t="shared" si="32"/>
        <v>20</v>
      </c>
      <c r="HF19" s="29">
        <f t="shared" si="123"/>
        <v>0</v>
      </c>
      <c r="HG19" s="29">
        <f t="shared" si="124"/>
        <v>-102.12590746683406</v>
      </c>
      <c r="HH19" s="29">
        <f t="shared" si="125"/>
        <v>-69.531473786147785</v>
      </c>
      <c r="HI19" s="29">
        <f t="shared" si="126"/>
        <v>-68.29095669447004</v>
      </c>
      <c r="HJ19" s="29">
        <f t="shared" si="127"/>
        <v>-86.628313814198137</v>
      </c>
      <c r="HK19" s="29">
        <f t="shared" si="128"/>
        <v>2184.3855204936513</v>
      </c>
      <c r="HL19" s="29">
        <f t="shared" si="129"/>
        <v>0</v>
      </c>
      <c r="HM19" s="29">
        <f t="shared" si="130"/>
        <v>0</v>
      </c>
      <c r="HN19" s="29">
        <f t="shared" si="131"/>
        <v>0</v>
      </c>
      <c r="HO19" s="29">
        <f t="shared" si="132"/>
        <v>0</v>
      </c>
      <c r="HP19" s="29">
        <f t="shared" si="133"/>
        <v>0</v>
      </c>
      <c r="HQ19" s="29">
        <f t="shared" si="134"/>
        <v>0</v>
      </c>
      <c r="HR19" s="29">
        <f t="shared" si="135"/>
        <v>0</v>
      </c>
      <c r="HS19" s="29">
        <f t="shared" si="136"/>
        <v>0</v>
      </c>
      <c r="HT19" s="29">
        <f t="shared" si="137"/>
        <v>0</v>
      </c>
      <c r="HU19" s="29">
        <f t="shared" si="138"/>
        <v>0</v>
      </c>
      <c r="HV19" s="29">
        <f t="shared" si="139"/>
        <v>0</v>
      </c>
      <c r="HW19" s="29">
        <f t="shared" si="140"/>
        <v>0</v>
      </c>
      <c r="HX19" s="29">
        <f t="shared" si="141"/>
        <v>0</v>
      </c>
      <c r="HY19" s="29">
        <f t="shared" si="142"/>
        <v>0</v>
      </c>
      <c r="HZ19" s="29">
        <f t="shared" si="143"/>
        <v>0</v>
      </c>
      <c r="IA19" s="29">
        <f t="shared" si="144"/>
        <v>0</v>
      </c>
      <c r="IB19" s="29">
        <f t="shared" si="145"/>
        <v>0</v>
      </c>
      <c r="IC19" s="29">
        <f t="shared" si="146"/>
        <v>0</v>
      </c>
      <c r="ID19" s="29">
        <f t="shared" si="147"/>
        <v>0</v>
      </c>
      <c r="IE19" s="29">
        <f t="shared" si="148"/>
        <v>0</v>
      </c>
      <c r="IF19" s="29">
        <f t="shared" si="149"/>
        <v>0</v>
      </c>
      <c r="IG19" s="29">
        <f t="shared" si="150"/>
        <v>0</v>
      </c>
      <c r="IH19" s="29">
        <f t="shared" si="151"/>
        <v>0</v>
      </c>
      <c r="II19" s="29">
        <f t="shared" si="152"/>
        <v>0</v>
      </c>
      <c r="IJ19" s="29">
        <f t="shared" si="153"/>
        <v>0</v>
      </c>
      <c r="IK19" s="29">
        <f t="shared" si="154"/>
        <v>0</v>
      </c>
      <c r="IL19" s="48"/>
      <c r="IM19" s="48"/>
      <c r="IN19" s="48"/>
      <c r="IO19" s="29">
        <f t="shared" si="211"/>
        <v>-3.434130462424613E-2</v>
      </c>
      <c r="IP19" s="29">
        <f t="shared" si="249"/>
        <v>-3.6860980356954322E-2</v>
      </c>
      <c r="IQ19" s="29">
        <f t="shared" si="212"/>
        <v>-3.2224600783654411E-2</v>
      </c>
      <c r="IR19" s="29">
        <f t="shared" si="212"/>
        <v>-1.5824765423423776E-2</v>
      </c>
      <c r="IS19" s="29">
        <f t="shared" si="212"/>
        <v>0</v>
      </c>
      <c r="IT19" s="29">
        <f t="shared" si="212"/>
        <v>0</v>
      </c>
      <c r="IU19" s="29">
        <f t="shared" si="212"/>
        <v>0</v>
      </c>
      <c r="IV19" s="29">
        <f t="shared" si="212"/>
        <v>0</v>
      </c>
      <c r="IW19" s="29">
        <f t="shared" si="212"/>
        <v>0</v>
      </c>
      <c r="IX19" s="29">
        <f t="shared" si="212"/>
        <v>0</v>
      </c>
      <c r="IY19" s="29">
        <f t="shared" si="212"/>
        <v>0</v>
      </c>
      <c r="IZ19" s="29">
        <f t="shared" si="212"/>
        <v>0</v>
      </c>
      <c r="JA19" s="29">
        <f t="shared" si="212"/>
        <v>0</v>
      </c>
      <c r="JB19" s="29">
        <f t="shared" si="212"/>
        <v>0</v>
      </c>
      <c r="JC19" s="29">
        <f t="shared" si="212"/>
        <v>0</v>
      </c>
      <c r="JD19" s="29">
        <f t="shared" si="212"/>
        <v>0</v>
      </c>
      <c r="JE19" s="29">
        <f t="shared" si="212"/>
        <v>0</v>
      </c>
      <c r="JF19" s="29">
        <f t="shared" si="212"/>
        <v>0</v>
      </c>
      <c r="JG19" s="29">
        <f t="shared" si="212"/>
        <v>0</v>
      </c>
      <c r="JH19" s="29">
        <f t="shared" si="212"/>
        <v>0</v>
      </c>
      <c r="JI19" s="29">
        <f t="shared" si="212"/>
        <v>0</v>
      </c>
      <c r="JJ19" s="29">
        <f t="shared" si="212"/>
        <v>0</v>
      </c>
      <c r="JK19" s="29">
        <f t="shared" si="212"/>
        <v>0</v>
      </c>
      <c r="JL19" s="29">
        <f t="shared" si="212"/>
        <v>0</v>
      </c>
      <c r="JM19" s="29">
        <f t="shared" si="212"/>
        <v>0</v>
      </c>
      <c r="JN19" s="29">
        <f t="shared" si="212"/>
        <v>0</v>
      </c>
      <c r="JO19" s="29">
        <f t="shared" si="212"/>
        <v>0</v>
      </c>
      <c r="JP19" s="29">
        <f t="shared" si="212"/>
        <v>0</v>
      </c>
      <c r="JQ19" s="29">
        <f t="shared" si="212"/>
        <v>0</v>
      </c>
      <c r="JR19" s="29">
        <f t="shared" si="212"/>
        <v>0</v>
      </c>
      <c r="JS19" s="29">
        <f t="shared" si="212"/>
        <v>0</v>
      </c>
      <c r="JT19" s="29">
        <f t="shared" si="212"/>
        <v>0</v>
      </c>
      <c r="JU19" s="48"/>
      <c r="JV19" s="394">
        <f t="shared" si="213"/>
        <v>20</v>
      </c>
      <c r="JW19" s="29">
        <f t="shared" si="214"/>
        <v>0</v>
      </c>
      <c r="JX19" s="29">
        <f t="shared" si="215"/>
        <v>-2.7376382037544215E-3</v>
      </c>
      <c r="JY19" s="29">
        <f t="shared" si="216"/>
        <v>-2.4748065961057511E-3</v>
      </c>
      <c r="JZ19" s="29">
        <f t="shared" si="217"/>
        <v>-1.2600308204010412E-3</v>
      </c>
      <c r="KA19" s="29">
        <f t="shared" si="218"/>
        <v>0</v>
      </c>
      <c r="KB19" s="29">
        <f t="shared" si="219"/>
        <v>0</v>
      </c>
      <c r="KC19" s="29">
        <f t="shared" si="220"/>
        <v>0</v>
      </c>
      <c r="KD19" s="29">
        <f t="shared" si="221"/>
        <v>0</v>
      </c>
      <c r="KE19" s="29">
        <f t="shared" si="222"/>
        <v>0</v>
      </c>
      <c r="KF19" s="29">
        <f t="shared" si="223"/>
        <v>0</v>
      </c>
      <c r="KG19" s="29">
        <f t="shared" si="224"/>
        <v>0</v>
      </c>
      <c r="KH19" s="29">
        <f t="shared" si="225"/>
        <v>0</v>
      </c>
      <c r="KI19" s="29">
        <f t="shared" si="226"/>
        <v>0</v>
      </c>
      <c r="KJ19" s="29">
        <f t="shared" si="227"/>
        <v>0</v>
      </c>
      <c r="KK19" s="29">
        <f t="shared" si="228"/>
        <v>0</v>
      </c>
      <c r="KL19" s="29">
        <f t="shared" si="229"/>
        <v>0</v>
      </c>
      <c r="KM19" s="29">
        <f t="shared" si="230"/>
        <v>0</v>
      </c>
      <c r="KN19" s="29">
        <f t="shared" si="231"/>
        <v>0</v>
      </c>
      <c r="KO19" s="29">
        <f t="shared" si="232"/>
        <v>0</v>
      </c>
      <c r="KP19" s="29">
        <f t="shared" si="233"/>
        <v>0</v>
      </c>
      <c r="KQ19" s="29">
        <f t="shared" si="234"/>
        <v>0</v>
      </c>
      <c r="KR19" s="29">
        <f t="shared" si="235"/>
        <v>0</v>
      </c>
      <c r="KS19" s="29">
        <f t="shared" si="236"/>
        <v>0</v>
      </c>
      <c r="KT19" s="29">
        <f t="shared" si="237"/>
        <v>0</v>
      </c>
      <c r="KU19" s="29">
        <f t="shared" si="238"/>
        <v>0</v>
      </c>
      <c r="KV19" s="29">
        <f t="shared" si="239"/>
        <v>0</v>
      </c>
      <c r="KW19" s="29">
        <f t="shared" si="240"/>
        <v>0</v>
      </c>
      <c r="KX19" s="29">
        <f t="shared" si="241"/>
        <v>0</v>
      </c>
      <c r="KY19" s="29">
        <f t="shared" si="242"/>
        <v>0</v>
      </c>
      <c r="KZ19" s="29">
        <f t="shared" si="243"/>
        <v>0</v>
      </c>
      <c r="LA19" s="29">
        <f t="shared" si="244"/>
        <v>0</v>
      </c>
      <c r="LB19" s="29">
        <f t="shared" si="245"/>
        <v>0</v>
      </c>
      <c r="LC19" s="48"/>
      <c r="LD19" s="48"/>
      <c r="LE19" s="48"/>
      <c r="LF19" s="48"/>
      <c r="LG19" s="48"/>
      <c r="LH19" s="48"/>
      <c r="LI19" s="48"/>
      <c r="LJ19" s="48"/>
      <c r="LK19" s="48"/>
      <c r="LL19" s="48"/>
      <c r="LM19" s="48"/>
      <c r="LN19" s="48"/>
      <c r="LO19" s="48"/>
      <c r="LP19" s="46">
        <f t="shared" si="33"/>
        <v>0.40116127343053681</v>
      </c>
      <c r="LQ19" s="47">
        <f t="shared" si="34"/>
        <v>0.74053437825444102</v>
      </c>
      <c r="LR19" s="28"/>
      <c r="LS19" s="48"/>
      <c r="LT19" s="28"/>
      <c r="LU19" s="161">
        <v>1.5166666666666667E-2</v>
      </c>
      <c r="LV19" s="111">
        <f t="shared" si="75"/>
        <v>2.4588759550450066E-18</v>
      </c>
      <c r="LW19" s="152">
        <f t="shared" si="18"/>
        <v>4.1478389652718574E-15</v>
      </c>
      <c r="LX19" s="223" t="e">
        <f>LX18*(1+#REF!)</f>
        <v>#REF!</v>
      </c>
      <c r="LY19" s="153"/>
      <c r="LZ19" s="124">
        <f t="shared" si="76"/>
        <v>16.704899021075107</v>
      </c>
      <c r="MA19" s="125">
        <f t="shared" si="77"/>
        <v>-17.875495973981742</v>
      </c>
      <c r="MB19" s="28"/>
      <c r="MC19" s="111">
        <v>0.01</v>
      </c>
      <c r="MD19" s="387">
        <f t="shared" si="187"/>
        <v>-16.67892797922401</v>
      </c>
      <c r="ME19" s="152">
        <f t="shared" si="188"/>
        <v>-3640.429453974928</v>
      </c>
      <c r="MF19" s="209"/>
      <c r="MG19" s="111">
        <v>0.01</v>
      </c>
      <c r="MH19" s="387">
        <f t="shared" si="189"/>
        <v>-0.64932877020709812</v>
      </c>
      <c r="MI19" s="152">
        <f t="shared" si="155"/>
        <v>-141.72587011106069</v>
      </c>
      <c r="MJ19" s="28"/>
      <c r="MK19" s="100">
        <f t="shared" si="78"/>
        <v>2.4999999999999998E-2</v>
      </c>
      <c r="ML19" s="100">
        <f t="shared" ref="ML19:ML21" si="250">$ML$17*($MK19/$MK$17)</f>
        <v>0.14692335160894243</v>
      </c>
      <c r="MM19" s="100">
        <f t="shared" si="80"/>
        <v>0.15103047842667819</v>
      </c>
      <c r="MN19" s="100">
        <f t="shared" si="36"/>
        <v>0.15537383177570094</v>
      </c>
      <c r="MO19" s="100">
        <f t="shared" si="37"/>
        <v>0.1599027546976971</v>
      </c>
      <c r="MP19" s="100">
        <f t="shared" si="38"/>
        <v>0.16462633693785478</v>
      </c>
      <c r="MQ19" s="100">
        <f t="shared" si="39"/>
        <v>0.16955413518384654</v>
      </c>
      <c r="MR19" s="28"/>
      <c r="MS19" s="28">
        <f t="shared" si="92"/>
        <v>72</v>
      </c>
      <c r="MT19" s="28">
        <f t="shared" si="93"/>
        <v>0.49662318565689256</v>
      </c>
      <c r="MU19" s="28">
        <f t="shared" si="94"/>
        <v>0.51351311696894431</v>
      </c>
      <c r="MV19" s="28">
        <f t="shared" si="95"/>
        <v>0.53091827852452367</v>
      </c>
      <c r="MW19" s="28">
        <f t="shared" si="96"/>
        <v>0.54885259410822151</v>
      </c>
      <c r="MX19" s="28">
        <f t="shared" si="97"/>
        <v>0.56733031564617198</v>
      </c>
      <c r="MY19" s="28">
        <f t="shared" si="98"/>
        <v>0.58636602981242025</v>
      </c>
      <c r="MZ19" s="28"/>
      <c r="NA19" s="28"/>
      <c r="NB19" s="28"/>
      <c r="NC19" s="28"/>
      <c r="ND19" s="28"/>
      <c r="NE19" s="28"/>
      <c r="NF19" s="28"/>
      <c r="NG19" s="28"/>
      <c r="NH19" s="28"/>
      <c r="NI19" s="28"/>
      <c r="NJ19" s="28"/>
      <c r="NK19" s="28"/>
    </row>
    <row r="20" spans="1:375" s="30" customFormat="1" ht="12.75" customHeight="1" x14ac:dyDescent="0.3">
      <c r="A20" s="298">
        <f t="shared" si="99"/>
        <v>2029</v>
      </c>
      <c r="B20" s="348">
        <f t="shared" si="2"/>
        <v>2027</v>
      </c>
      <c r="C20" s="26">
        <v>46569</v>
      </c>
      <c r="D20" s="92">
        <f t="shared" si="156"/>
        <v>9515.0389426961556</v>
      </c>
      <c r="E20" s="27">
        <f t="shared" si="106"/>
        <v>9515.0389426961556</v>
      </c>
      <c r="F20" s="107">
        <f t="shared" si="21"/>
        <v>2132.2216118086617</v>
      </c>
      <c r="G20" s="27">
        <f t="shared" si="157"/>
        <v>13176.353103586966</v>
      </c>
      <c r="H20" s="27">
        <f t="shared" si="158"/>
        <v>11068.136607013052</v>
      </c>
      <c r="I20" s="289">
        <f t="shared" si="159"/>
        <v>9407.916115961094</v>
      </c>
      <c r="J20" s="68">
        <v>3807.5977750000002</v>
      </c>
      <c r="K20" s="290">
        <f t="shared" si="160"/>
        <v>5600.3183409610938</v>
      </c>
      <c r="L20" s="290">
        <f t="shared" si="107"/>
        <v>2108.2164965739144</v>
      </c>
      <c r="M20" s="290">
        <f t="shared" si="161"/>
        <v>1791.9840220878273</v>
      </c>
      <c r="N20" s="27">
        <f t="shared" si="162"/>
        <v>0</v>
      </c>
      <c r="O20" s="290">
        <f t="shared" si="163"/>
        <v>1660.2204910519577</v>
      </c>
      <c r="P20" s="290">
        <f t="shared" si="108"/>
        <v>316.23247448608714</v>
      </c>
      <c r="Q20" s="290">
        <f t="shared" si="164"/>
        <v>507.08327613292488</v>
      </c>
      <c r="R20" s="254">
        <f t="shared" si="3"/>
        <v>0.84</v>
      </c>
      <c r="S20" s="251">
        <v>0.16</v>
      </c>
      <c r="T20" s="284">
        <f t="shared" si="165"/>
        <v>7.0000000000000007E-2</v>
      </c>
      <c r="U20" s="284">
        <f t="shared" si="166"/>
        <v>7.0000000000000007E-2</v>
      </c>
      <c r="V20" s="27">
        <f t="shared" si="5"/>
        <v>64262.041928564962</v>
      </c>
      <c r="W20" s="27">
        <f t="shared" si="167"/>
        <v>63671.085487616692</v>
      </c>
      <c r="X20" s="27">
        <f t="shared" si="190"/>
        <v>590.95644094826821</v>
      </c>
      <c r="Y20" s="27">
        <f t="shared" si="168"/>
        <v>1013.2325656890099</v>
      </c>
      <c r="Z20" s="27">
        <f t="shared" si="191"/>
        <v>192.99667917885901</v>
      </c>
      <c r="AA20" s="111">
        <f t="shared" si="169"/>
        <v>7.0000000000000007E-2</v>
      </c>
      <c r="AB20" s="111">
        <f t="shared" si="170"/>
        <v>7.0000000000000007E-2</v>
      </c>
      <c r="AC20" s="291">
        <f t="shared" si="7"/>
        <v>64262.041928564962</v>
      </c>
      <c r="AD20" s="27">
        <f t="shared" si="171"/>
        <v>63671.085487616692</v>
      </c>
      <c r="AE20" s="27">
        <f t="shared" si="192"/>
        <v>590.95644094826821</v>
      </c>
      <c r="AF20" s="145">
        <f t="shared" si="172"/>
        <v>1013.2325656890099</v>
      </c>
      <c r="AG20" s="27">
        <f t="shared" si="193"/>
        <v>192.99667917885901</v>
      </c>
      <c r="AH20" s="27">
        <f t="shared" si="173"/>
        <v>43682.326974658252</v>
      </c>
      <c r="AI20" s="27">
        <f t="shared" si="174"/>
        <v>43091.219394743966</v>
      </c>
      <c r="AJ20" s="27">
        <f t="shared" si="194"/>
        <v>591.10757991428466</v>
      </c>
      <c r="AK20" s="27">
        <f t="shared" si="11"/>
        <v>43683.117389724815</v>
      </c>
      <c r="AL20" s="27">
        <f t="shared" si="175"/>
        <v>43092.173083874928</v>
      </c>
      <c r="AM20" s="27">
        <f t="shared" si="246"/>
        <v>590.944305849888</v>
      </c>
      <c r="AN20" s="409">
        <f>INDEX(Inv.Returns!$B$2:$E$32,MATCH(B20,Inv.Returns!$A$2:$A$32,0),MATCH(SCRS!$DU$52,Inv.Returns!$B$1:$E$1,0))</f>
        <v>7.0000000000000007E-2</v>
      </c>
      <c r="AO20" s="27">
        <f t="shared" si="41"/>
        <v>20579.71495390671</v>
      </c>
      <c r="AP20" s="223">
        <f t="shared" si="12"/>
        <v>20578.924538840147</v>
      </c>
      <c r="AQ20" s="67">
        <f t="shared" si="22"/>
        <v>0.67975317409329206</v>
      </c>
      <c r="AR20" s="146">
        <f t="shared" si="23"/>
        <v>0.67976547396803677</v>
      </c>
      <c r="AS20" s="346"/>
      <c r="AT20" s="283">
        <f t="shared" si="176"/>
        <v>0.10950000000000001</v>
      </c>
      <c r="AU20" s="390">
        <f t="shared" si="109"/>
        <v>0.1095</v>
      </c>
      <c r="AV20" s="296">
        <f t="shared" si="110"/>
        <v>0.13534845191171602</v>
      </c>
      <c r="AW20" s="296">
        <f t="shared" si="111"/>
        <v>-3.9353564966864535E-6</v>
      </c>
      <c r="AX20" s="111">
        <f t="shared" si="82"/>
        <v>0.09</v>
      </c>
      <c r="AY20" s="111">
        <f t="shared" si="112"/>
        <v>0.09</v>
      </c>
      <c r="AZ20" s="111">
        <f t="shared" si="113"/>
        <v>0</v>
      </c>
      <c r="BA20" s="256">
        <f t="shared" si="24"/>
        <v>1.9500000000000017E-2</v>
      </c>
      <c r="BB20" s="111">
        <f t="shared" si="114"/>
        <v>1.9500000000000003E-2</v>
      </c>
      <c r="BC20" s="128">
        <f t="shared" si="83"/>
        <v>0.18560000000000004</v>
      </c>
      <c r="BD20" s="128">
        <f t="shared" si="104"/>
        <v>0.18560000000000004</v>
      </c>
      <c r="BE20" s="402">
        <f t="shared" si="15"/>
        <v>0.16610000000000003</v>
      </c>
      <c r="BF20" s="402">
        <f t="shared" si="115"/>
        <v>0.16610000000000003</v>
      </c>
      <c r="BG20" s="402">
        <f t="shared" si="177"/>
        <v>0.13560000000000005</v>
      </c>
      <c r="BH20" s="402">
        <f t="shared" si="26"/>
        <v>0.18560000000000004</v>
      </c>
      <c r="BI20" s="152">
        <f t="shared" si="42"/>
        <v>11.183869149822092</v>
      </c>
      <c r="BJ20" s="100">
        <f t="shared" si="43"/>
        <v>4.1869522882181265E-2</v>
      </c>
      <c r="BK20" s="27">
        <f t="shared" si="67"/>
        <v>14.550866912652781</v>
      </c>
      <c r="BL20" s="27">
        <f t="shared" si="17"/>
        <v>20</v>
      </c>
      <c r="BM20" s="107">
        <f t="shared" si="31"/>
        <v>12.702917772247424</v>
      </c>
      <c r="BN20" s="27">
        <f>NPER(BJ20,SUM(BX20:BY20,CB20:CK20),-AO20*(1+7%)^0.5,,1)</f>
        <v>14.550866912652783</v>
      </c>
      <c r="BO20" s="27"/>
      <c r="BP20" s="92">
        <f t="shared" si="178"/>
        <v>-3727.6945510263122</v>
      </c>
      <c r="BQ20" s="27">
        <f t="shared" si="195"/>
        <v>-22.399800276097842</v>
      </c>
      <c r="BR20" s="27">
        <f t="shared" si="179"/>
        <v>-145.12319506029971</v>
      </c>
      <c r="BS20" s="27">
        <f t="shared" si="116"/>
        <v>-0.87204853838813279</v>
      </c>
      <c r="BT20" s="27">
        <f t="shared" si="180"/>
        <v>-16.934249008729967</v>
      </c>
      <c r="BU20" s="27">
        <f t="shared" si="196"/>
        <v>-3.2255712397580889</v>
      </c>
      <c r="BV20" s="297">
        <f t="shared" si="181"/>
        <v>846.71245043649844</v>
      </c>
      <c r="BW20" s="297">
        <f t="shared" si="197"/>
        <v>161.27856198790445</v>
      </c>
      <c r="BX20" s="297">
        <f t="shared" si="198"/>
        <v>0</v>
      </c>
      <c r="BY20" s="297">
        <f t="shared" si="182"/>
        <v>45.63749485196324</v>
      </c>
      <c r="BZ20" s="297">
        <f t="shared" si="84"/>
        <v>183.45436426124127</v>
      </c>
      <c r="CA20" s="297">
        <f t="shared" si="199"/>
        <v>34.943688430712626</v>
      </c>
      <c r="CB20" s="297">
        <f t="shared" si="183"/>
        <v>1857.8088687320014</v>
      </c>
      <c r="CC20" s="297">
        <f t="shared" si="200"/>
        <v>0</v>
      </c>
      <c r="CD20" s="297">
        <f t="shared" si="201"/>
        <v>-6.472475620261214E-3</v>
      </c>
      <c r="CE20" s="297"/>
      <c r="CF20" s="297">
        <f t="shared" si="184"/>
        <v>0</v>
      </c>
      <c r="CG20" s="297">
        <f t="shared" si="202"/>
        <v>0</v>
      </c>
      <c r="CH20" s="297">
        <f t="shared" si="185"/>
        <v>0</v>
      </c>
      <c r="CI20" s="427">
        <f>IF(AND($DU$74="Yes",MAX($AQ$13:AQ19)&lt;100%),MAX(BD18*(G20+Q20)-SUM(BZ20:CH20,CJ20,CY20),0),0)</f>
        <v>0</v>
      </c>
      <c r="CJ20" s="27"/>
      <c r="CK20" s="27">
        <f t="shared" si="44"/>
        <v>0</v>
      </c>
      <c r="CL20" s="27">
        <f t="shared" si="45"/>
        <v>0</v>
      </c>
      <c r="CM20" s="27">
        <f t="shared" si="46"/>
        <v>0</v>
      </c>
      <c r="CN20" s="27">
        <f t="shared" si="47"/>
        <v>3129.828956224701</v>
      </c>
      <c r="CO20" s="27">
        <f t="shared" si="48"/>
        <v>0</v>
      </c>
      <c r="CP20" s="107">
        <f t="shared" si="4"/>
        <v>3129.828956224701</v>
      </c>
      <c r="CQ20" s="27">
        <f t="shared" si="117"/>
        <v>1857.8023962563811</v>
      </c>
      <c r="CR20" s="27">
        <f t="shared" si="118"/>
        <v>0</v>
      </c>
      <c r="CS20" s="27">
        <f t="shared" si="186"/>
        <v>1857.8023962563811</v>
      </c>
      <c r="CT20" s="27">
        <f>SUM($CS$14:CS20)</f>
        <v>11186.692337073375</v>
      </c>
      <c r="CU20" s="223">
        <v>2346.9261498700771</v>
      </c>
      <c r="CV20" s="417">
        <v>464.32124937112241</v>
      </c>
      <c r="CW20" s="417">
        <v>2811.2473992411997</v>
      </c>
      <c r="CX20" s="417">
        <v>15261.70302631809</v>
      </c>
      <c r="CY20" s="103">
        <f t="shared" si="49"/>
        <v>98.822648276902243</v>
      </c>
      <c r="CZ20" s="111">
        <f t="shared" si="101"/>
        <v>0.15895298789482601</v>
      </c>
      <c r="DA20" s="92">
        <f t="shared" si="50"/>
        <v>2175.0230972252375</v>
      </c>
      <c r="DB20" s="410">
        <f t="shared" si="51"/>
        <v>1903.1980021789595</v>
      </c>
      <c r="DC20" s="307">
        <f t="shared" si="52"/>
        <v>1520.6514086757061</v>
      </c>
      <c r="DD20" s="307">
        <f t="shared" si="53"/>
        <v>178.76352573732993</v>
      </c>
      <c r="DE20" s="307">
        <f t="shared" si="54"/>
        <v>0</v>
      </c>
      <c r="DF20" s="307">
        <f t="shared" si="55"/>
        <v>38117.732861857228</v>
      </c>
      <c r="DG20" s="307" t="b">
        <f t="shared" si="68"/>
        <v>0</v>
      </c>
      <c r="DH20" s="27">
        <f t="shared" si="56"/>
        <v>98.822648276902243</v>
      </c>
      <c r="DI20" s="96">
        <f t="shared" si="57"/>
        <v>80.888473184312204</v>
      </c>
      <c r="DJ20" s="101">
        <f t="shared" si="58"/>
        <v>2.7695545523143721E-2</v>
      </c>
      <c r="DK20" s="92">
        <f t="shared" si="59"/>
        <v>0</v>
      </c>
      <c r="DL20" s="96">
        <f t="shared" si="60"/>
        <v>0</v>
      </c>
      <c r="DM20" s="101">
        <f t="shared" si="61"/>
        <v>0</v>
      </c>
      <c r="DN20" s="292">
        <v>2629.8838137753237</v>
      </c>
      <c r="DO20" s="96">
        <f t="shared" si="62"/>
        <v>2301.2121695283586</v>
      </c>
      <c r="DP20" s="294">
        <v>0.62824917064618702</v>
      </c>
      <c r="DQ20" s="29"/>
      <c r="DR20" s="28"/>
      <c r="DS20" s="28"/>
      <c r="DT20" s="28"/>
      <c r="DU20" s="28"/>
      <c r="DV20" s="29"/>
      <c r="DW20" s="320"/>
      <c r="DX20" s="321"/>
      <c r="DY20" s="321"/>
      <c r="DZ20" s="321"/>
      <c r="EA20" s="321"/>
      <c r="EB20" s="321"/>
      <c r="EC20" s="321"/>
      <c r="ED20" s="321"/>
      <c r="EE20" s="321"/>
      <c r="EF20" s="321"/>
      <c r="EG20" s="321"/>
      <c r="EH20" s="321"/>
      <c r="EI20" s="322"/>
      <c r="EJ20" s="323"/>
      <c r="EK20" s="332">
        <f t="shared" si="69"/>
        <v>0.16610000000000003</v>
      </c>
      <c r="EL20" s="332">
        <f t="shared" si="63"/>
        <v>1.9500000000000017E-2</v>
      </c>
      <c r="EM20" s="332" t="e">
        <f t="shared" si="70"/>
        <v>#DIV/0!</v>
      </c>
      <c r="EN20" s="332">
        <f t="shared" si="64"/>
        <v>0</v>
      </c>
      <c r="EO20" s="332">
        <v>0.18560000000000004</v>
      </c>
      <c r="EP20" s="332">
        <v>0.14913082589908561</v>
      </c>
      <c r="EQ20" s="333" t="e">
        <f t="shared" si="71"/>
        <v>#DIV/0!</v>
      </c>
      <c r="ER20" s="277"/>
      <c r="ES20" s="30">
        <v>11</v>
      </c>
      <c r="ET20" s="29">
        <f t="shared" si="85"/>
        <v>2850.3526681904627</v>
      </c>
      <c r="EU20" s="29">
        <f t="shared" si="86"/>
        <v>2850.9186609894218</v>
      </c>
      <c r="EV20" s="29">
        <f t="shared" si="72"/>
        <v>0.56599279895908694</v>
      </c>
      <c r="EW20" s="29">
        <f t="shared" si="73"/>
        <v>0.45279423916726957</v>
      </c>
      <c r="EX20" s="29">
        <f t="shared" si="87"/>
        <v>0.28064132704575973</v>
      </c>
      <c r="EY20" s="29">
        <f t="shared" si="102"/>
        <v>0.15657233762740358</v>
      </c>
      <c r="EZ20" s="29">
        <f t="shared" si="105"/>
        <v>6.3681227119650435E-2</v>
      </c>
      <c r="FA20" s="29">
        <f t="shared" si="74"/>
        <v>0.95368913096008334</v>
      </c>
      <c r="FB20" s="29"/>
      <c r="FC20" s="29">
        <f t="shared" si="247"/>
        <v>33.114945325207039</v>
      </c>
      <c r="FD20" s="29">
        <f t="shared" si="248"/>
        <v>33.014479402553974</v>
      </c>
      <c r="FE20" s="29">
        <f t="shared" si="203"/>
        <v>-0.10046592265306487</v>
      </c>
      <c r="FF20" s="29">
        <f t="shared" si="204"/>
        <v>-8.0372738122451895E-2</v>
      </c>
      <c r="FG20" s="29">
        <f t="shared" si="205"/>
        <v>-4.8997888519612336E-2</v>
      </c>
      <c r="FH20" s="29">
        <f t="shared" si="206"/>
        <v>-2.5119943509706383E-2</v>
      </c>
      <c r="FI20" s="29">
        <f t="shared" si="207"/>
        <v>-8.7834942448584037E-3</v>
      </c>
      <c r="FJ20" s="29">
        <f t="shared" si="208"/>
        <v>-0.16327406439662903</v>
      </c>
      <c r="FK20" s="29"/>
      <c r="FL20" s="29"/>
      <c r="FM20" s="27">
        <f t="shared" si="27"/>
        <v>21073.42300669571</v>
      </c>
      <c r="FN20" s="29"/>
      <c r="FO20" s="301">
        <f t="shared" si="119"/>
        <v>1857.8088687320012</v>
      </c>
      <c r="FP20" s="89">
        <f t="shared" si="209"/>
        <v>-6.472475620261214E-3</v>
      </c>
      <c r="FQ20" s="27">
        <f t="shared" si="103"/>
        <v>20</v>
      </c>
      <c r="FR20" s="302">
        <f t="shared" si="88"/>
        <v>13.464518542443937</v>
      </c>
      <c r="FS20" s="89">
        <f t="shared" si="89"/>
        <v>1565.1078009411456</v>
      </c>
      <c r="FT20" s="89">
        <f t="shared" si="210"/>
        <v>1857.8023962563809</v>
      </c>
      <c r="FU20" s="29">
        <f t="shared" si="90"/>
        <v>20</v>
      </c>
      <c r="FV20" s="137">
        <f t="shared" si="91"/>
        <v>13.464518542443937</v>
      </c>
      <c r="FW20" s="48">
        <v>2209.0302965899987</v>
      </c>
      <c r="FX20" s="29">
        <f t="shared" si="120"/>
        <v>-47.091686867272074</v>
      </c>
      <c r="FY20" s="29">
        <f t="shared" si="121"/>
        <v>-30.820453768396803</v>
      </c>
      <c r="FZ20" s="29">
        <f t="shared" si="122"/>
        <v>-1365.6916468728323</v>
      </c>
      <c r="GA20" s="29">
        <f t="shared" si="122"/>
        <v>-896.8255887032617</v>
      </c>
      <c r="GB20" s="29">
        <f t="shared" si="122"/>
        <v>-847.06426297862504</v>
      </c>
      <c r="GC20" s="29">
        <f t="shared" si="122"/>
        <v>-1029.8968011623911</v>
      </c>
      <c r="GD20" s="29">
        <f t="shared" si="122"/>
        <v>24797.256533225507</v>
      </c>
      <c r="GE20" s="29">
        <f t="shared" si="122"/>
        <v>0</v>
      </c>
      <c r="GF20" s="29">
        <f t="shared" si="122"/>
        <v>0</v>
      </c>
      <c r="GG20" s="29">
        <f t="shared" si="122"/>
        <v>0</v>
      </c>
      <c r="GH20" s="29">
        <f t="shared" si="122"/>
        <v>0</v>
      </c>
      <c r="GI20" s="29">
        <f t="shared" si="122"/>
        <v>0</v>
      </c>
      <c r="GJ20" s="29">
        <f t="shared" si="122"/>
        <v>0</v>
      </c>
      <c r="GK20" s="29">
        <f t="shared" si="122"/>
        <v>0</v>
      </c>
      <c r="GL20" s="29">
        <f t="shared" si="122"/>
        <v>0</v>
      </c>
      <c r="GM20" s="29">
        <f t="shared" si="122"/>
        <v>0</v>
      </c>
      <c r="GN20" s="29">
        <f t="shared" si="122"/>
        <v>0</v>
      </c>
      <c r="GO20" s="29">
        <f t="shared" si="122"/>
        <v>0</v>
      </c>
      <c r="GP20" s="29">
        <f t="shared" si="122"/>
        <v>0</v>
      </c>
      <c r="GQ20" s="29">
        <f t="shared" si="122"/>
        <v>0</v>
      </c>
      <c r="GR20" s="29">
        <f t="shared" si="122"/>
        <v>0</v>
      </c>
      <c r="GS20" s="29">
        <f t="shared" si="122"/>
        <v>0</v>
      </c>
      <c r="GT20" s="29">
        <f t="shared" si="122"/>
        <v>0</v>
      </c>
      <c r="GU20" s="29">
        <f t="shared" si="122"/>
        <v>0</v>
      </c>
      <c r="GV20" s="29">
        <f t="shared" si="122"/>
        <v>0</v>
      </c>
      <c r="GW20" s="29">
        <f t="shared" si="122"/>
        <v>0</v>
      </c>
      <c r="GX20" s="29">
        <f t="shared" si="122"/>
        <v>0</v>
      </c>
      <c r="GY20" s="29">
        <f t="shared" si="122"/>
        <v>0</v>
      </c>
      <c r="GZ20" s="29">
        <f t="shared" si="122"/>
        <v>0</v>
      </c>
      <c r="HA20" s="29">
        <f t="shared" si="122"/>
        <v>0</v>
      </c>
      <c r="HB20" s="29">
        <f t="shared" si="122"/>
        <v>0</v>
      </c>
      <c r="HC20" s="29">
        <f t="shared" si="122"/>
        <v>0</v>
      </c>
      <c r="HD20" s="29"/>
      <c r="HE20" s="29">
        <f t="shared" si="32"/>
        <v>20</v>
      </c>
      <c r="HF20" s="29">
        <f t="shared" si="123"/>
        <v>0</v>
      </c>
      <c r="HG20" s="29">
        <f t="shared" si="124"/>
        <v>-2.2890126870294019</v>
      </c>
      <c r="HH20" s="29">
        <f t="shared" si="125"/>
        <v>-104.88330696843857</v>
      </c>
      <c r="HI20" s="29">
        <f t="shared" si="126"/>
        <v>-71.408823578373756</v>
      </c>
      <c r="HJ20" s="29">
        <f t="shared" si="127"/>
        <v>-70.134812525220738</v>
      </c>
      <c r="HK20" s="29">
        <f t="shared" si="128"/>
        <v>-88.9672782871815</v>
      </c>
      <c r="HL20" s="29">
        <f t="shared" si="129"/>
        <v>2243.3639295469798</v>
      </c>
      <c r="HM20" s="29">
        <f t="shared" si="130"/>
        <v>0</v>
      </c>
      <c r="HN20" s="29">
        <f t="shared" si="131"/>
        <v>0</v>
      </c>
      <c r="HO20" s="29">
        <f t="shared" si="132"/>
        <v>0</v>
      </c>
      <c r="HP20" s="29">
        <f t="shared" si="133"/>
        <v>0</v>
      </c>
      <c r="HQ20" s="29">
        <f t="shared" si="134"/>
        <v>0</v>
      </c>
      <c r="HR20" s="29">
        <f t="shared" si="135"/>
        <v>0</v>
      </c>
      <c r="HS20" s="29">
        <f t="shared" si="136"/>
        <v>0</v>
      </c>
      <c r="HT20" s="29">
        <f t="shared" si="137"/>
        <v>0</v>
      </c>
      <c r="HU20" s="29">
        <f t="shared" si="138"/>
        <v>0</v>
      </c>
      <c r="HV20" s="29">
        <f t="shared" si="139"/>
        <v>0</v>
      </c>
      <c r="HW20" s="29">
        <f t="shared" si="140"/>
        <v>0</v>
      </c>
      <c r="HX20" s="29">
        <f t="shared" si="141"/>
        <v>0</v>
      </c>
      <c r="HY20" s="29">
        <f t="shared" si="142"/>
        <v>0</v>
      </c>
      <c r="HZ20" s="29">
        <f t="shared" si="143"/>
        <v>0</v>
      </c>
      <c r="IA20" s="29">
        <f t="shared" si="144"/>
        <v>0</v>
      </c>
      <c r="IB20" s="29">
        <f t="shared" si="145"/>
        <v>0</v>
      </c>
      <c r="IC20" s="29">
        <f t="shared" si="146"/>
        <v>0</v>
      </c>
      <c r="ID20" s="29">
        <f t="shared" si="147"/>
        <v>0</v>
      </c>
      <c r="IE20" s="29">
        <f t="shared" si="148"/>
        <v>0</v>
      </c>
      <c r="IF20" s="29">
        <f t="shared" si="149"/>
        <v>0</v>
      </c>
      <c r="IG20" s="29">
        <f t="shared" si="150"/>
        <v>0</v>
      </c>
      <c r="IH20" s="29">
        <f t="shared" si="151"/>
        <v>0</v>
      </c>
      <c r="II20" s="29">
        <f t="shared" si="152"/>
        <v>0</v>
      </c>
      <c r="IJ20" s="29">
        <f t="shared" si="153"/>
        <v>0</v>
      </c>
      <c r="IK20" s="29">
        <f t="shared" si="154"/>
        <v>0</v>
      </c>
      <c r="IL20" s="48"/>
      <c r="IM20" s="48"/>
      <c r="IN20" s="48"/>
      <c r="IO20" s="29">
        <f t="shared" si="211"/>
        <v>-3.0234880086513205E-2</v>
      </c>
      <c r="IP20" s="29">
        <f t="shared" si="249"/>
        <v>-3.6745195947943364E-2</v>
      </c>
      <c r="IQ20" s="29">
        <f t="shared" si="212"/>
        <v>-3.6609414004390058E-2</v>
      </c>
      <c r="IR20" s="29">
        <f t="shared" si="212"/>
        <v>-3.1920362989938854E-2</v>
      </c>
      <c r="IS20" s="29">
        <f t="shared" si="212"/>
        <v>-1.5629112987661346E-2</v>
      </c>
      <c r="IT20" s="29">
        <f t="shared" si="212"/>
        <v>0</v>
      </c>
      <c r="IU20" s="29">
        <f t="shared" si="212"/>
        <v>0</v>
      </c>
      <c r="IV20" s="29">
        <f t="shared" si="212"/>
        <v>0</v>
      </c>
      <c r="IW20" s="29">
        <f t="shared" si="212"/>
        <v>0</v>
      </c>
      <c r="IX20" s="29">
        <f t="shared" si="212"/>
        <v>0</v>
      </c>
      <c r="IY20" s="29">
        <f t="shared" si="212"/>
        <v>0</v>
      </c>
      <c r="IZ20" s="29">
        <f t="shared" si="212"/>
        <v>0</v>
      </c>
      <c r="JA20" s="29">
        <f t="shared" si="212"/>
        <v>0</v>
      </c>
      <c r="JB20" s="29">
        <f t="shared" si="212"/>
        <v>0</v>
      </c>
      <c r="JC20" s="29">
        <f t="shared" si="212"/>
        <v>0</v>
      </c>
      <c r="JD20" s="29">
        <f t="shared" si="212"/>
        <v>0</v>
      </c>
      <c r="JE20" s="29">
        <f t="shared" si="212"/>
        <v>0</v>
      </c>
      <c r="JF20" s="29">
        <f t="shared" si="212"/>
        <v>0</v>
      </c>
      <c r="JG20" s="29">
        <f t="shared" si="212"/>
        <v>0</v>
      </c>
      <c r="JH20" s="29">
        <f t="shared" si="212"/>
        <v>0</v>
      </c>
      <c r="JI20" s="29">
        <f t="shared" si="212"/>
        <v>0</v>
      </c>
      <c r="JJ20" s="29">
        <f t="shared" si="212"/>
        <v>0</v>
      </c>
      <c r="JK20" s="29">
        <f t="shared" si="212"/>
        <v>0</v>
      </c>
      <c r="JL20" s="29">
        <f t="shared" si="212"/>
        <v>0</v>
      </c>
      <c r="JM20" s="29">
        <f t="shared" si="212"/>
        <v>0</v>
      </c>
      <c r="JN20" s="29">
        <f t="shared" si="212"/>
        <v>0</v>
      </c>
      <c r="JO20" s="29">
        <f t="shared" si="212"/>
        <v>0</v>
      </c>
      <c r="JP20" s="29">
        <f t="shared" si="212"/>
        <v>0</v>
      </c>
      <c r="JQ20" s="29">
        <f t="shared" si="212"/>
        <v>0</v>
      </c>
      <c r="JR20" s="29">
        <f t="shared" si="212"/>
        <v>0</v>
      </c>
      <c r="JS20" s="29">
        <f t="shared" si="212"/>
        <v>0</v>
      </c>
      <c r="JT20" s="29">
        <f t="shared" si="212"/>
        <v>0</v>
      </c>
      <c r="JU20" s="48"/>
      <c r="JV20" s="394">
        <f t="shared" si="213"/>
        <v>20</v>
      </c>
      <c r="JW20" s="29">
        <f t="shared" si="214"/>
        <v>0</v>
      </c>
      <c r="JX20" s="29">
        <f t="shared" si="215"/>
        <v>-2.7290389799020445E-3</v>
      </c>
      <c r="JY20" s="29">
        <f t="shared" si="216"/>
        <v>-2.8115544352557906E-3</v>
      </c>
      <c r="JZ20" s="29">
        <f t="shared" si="217"/>
        <v>-2.5416263742006058E-3</v>
      </c>
      <c r="KA20" s="29">
        <f t="shared" si="218"/>
        <v>-1.2940516525518694E-3</v>
      </c>
      <c r="KB20" s="29">
        <f t="shared" si="219"/>
        <v>0</v>
      </c>
      <c r="KC20" s="29">
        <f t="shared" si="220"/>
        <v>0</v>
      </c>
      <c r="KD20" s="29">
        <f t="shared" si="221"/>
        <v>0</v>
      </c>
      <c r="KE20" s="29">
        <f t="shared" si="222"/>
        <v>0</v>
      </c>
      <c r="KF20" s="29">
        <f t="shared" si="223"/>
        <v>0</v>
      </c>
      <c r="KG20" s="29">
        <f t="shared" si="224"/>
        <v>0</v>
      </c>
      <c r="KH20" s="29">
        <f t="shared" si="225"/>
        <v>0</v>
      </c>
      <c r="KI20" s="29">
        <f t="shared" si="226"/>
        <v>0</v>
      </c>
      <c r="KJ20" s="29">
        <f t="shared" si="227"/>
        <v>0</v>
      </c>
      <c r="KK20" s="29">
        <f t="shared" si="228"/>
        <v>0</v>
      </c>
      <c r="KL20" s="29">
        <f t="shared" si="229"/>
        <v>0</v>
      </c>
      <c r="KM20" s="29">
        <f t="shared" si="230"/>
        <v>0</v>
      </c>
      <c r="KN20" s="29">
        <f t="shared" si="231"/>
        <v>0</v>
      </c>
      <c r="KO20" s="29">
        <f t="shared" si="232"/>
        <v>0</v>
      </c>
      <c r="KP20" s="29">
        <f t="shared" si="233"/>
        <v>0</v>
      </c>
      <c r="KQ20" s="29">
        <f t="shared" si="234"/>
        <v>0</v>
      </c>
      <c r="KR20" s="29">
        <f t="shared" si="235"/>
        <v>0</v>
      </c>
      <c r="KS20" s="29">
        <f t="shared" si="236"/>
        <v>0</v>
      </c>
      <c r="KT20" s="29">
        <f t="shared" si="237"/>
        <v>0</v>
      </c>
      <c r="KU20" s="29">
        <f t="shared" si="238"/>
        <v>0</v>
      </c>
      <c r="KV20" s="29">
        <f t="shared" si="239"/>
        <v>0</v>
      </c>
      <c r="KW20" s="29">
        <f t="shared" si="240"/>
        <v>0</v>
      </c>
      <c r="KX20" s="29">
        <f t="shared" si="241"/>
        <v>0</v>
      </c>
      <c r="KY20" s="29">
        <f t="shared" si="242"/>
        <v>0</v>
      </c>
      <c r="KZ20" s="29">
        <f t="shared" si="243"/>
        <v>0</v>
      </c>
      <c r="LA20" s="29">
        <f t="shared" si="244"/>
        <v>0</v>
      </c>
      <c r="LB20" s="29">
        <f t="shared" si="245"/>
        <v>0</v>
      </c>
      <c r="LC20" s="48"/>
      <c r="LD20" s="48"/>
      <c r="LE20" s="48"/>
      <c r="LF20" s="48"/>
      <c r="LG20" s="48"/>
      <c r="LH20" s="48"/>
      <c r="LI20" s="48"/>
      <c r="LJ20" s="48"/>
      <c r="LK20" s="48"/>
      <c r="LL20" s="48"/>
      <c r="LM20" s="48"/>
      <c r="LN20" s="48"/>
      <c r="LO20" s="48"/>
      <c r="LP20" s="46">
        <f t="shared" si="33"/>
        <v>0.37491707797246426</v>
      </c>
      <c r="LQ20" s="47">
        <f t="shared" si="34"/>
        <v>0.72423900073783964</v>
      </c>
      <c r="LR20" s="28"/>
      <c r="LS20" s="48"/>
      <c r="LT20" s="28" t="s">
        <v>8</v>
      </c>
      <c r="LU20" s="161">
        <v>1.6683333333333335E-2</v>
      </c>
      <c r="LV20" s="111">
        <f t="shared" si="75"/>
        <v>2.7047635505495075E-18</v>
      </c>
      <c r="LW20" s="152">
        <f t="shared" si="18"/>
        <v>5.767155297313989E-15</v>
      </c>
      <c r="LX20" s="223" t="e">
        <f>LX19*(1+#REF!)</f>
        <v>#REF!</v>
      </c>
      <c r="LY20" s="153"/>
      <c r="LZ20" s="124">
        <f t="shared" si="76"/>
        <v>8.7305256361723877</v>
      </c>
      <c r="MA20" s="125">
        <f t="shared" si="77"/>
        <v>-27.409144430253946</v>
      </c>
      <c r="MB20" s="28"/>
      <c r="MC20" s="111">
        <v>1.2500000000000001E-2</v>
      </c>
      <c r="MD20" s="387">
        <f t="shared" si="187"/>
        <v>-26.352706207173931</v>
      </c>
      <c r="ME20" s="152">
        <f t="shared" si="188"/>
        <v>-3754.0472572334861</v>
      </c>
      <c r="MF20" s="209"/>
      <c r="MG20" s="111">
        <v>1.2500000000000001E-2</v>
      </c>
      <c r="MH20" s="387">
        <f t="shared" si="189"/>
        <v>-1.0259394569272149</v>
      </c>
      <c r="MI20" s="152">
        <f t="shared" si="155"/>
        <v>-146.14913451722691</v>
      </c>
      <c r="MJ20" s="28"/>
      <c r="MK20" s="100">
        <f t="shared" si="78"/>
        <v>2.7499999999999997E-2</v>
      </c>
      <c r="ML20" s="100">
        <f t="shared" si="250"/>
        <v>0.16161568676983668</v>
      </c>
      <c r="MM20" s="100">
        <f t="shared" si="80"/>
        <v>0.16613352626934602</v>
      </c>
      <c r="MN20" s="100">
        <f t="shared" si="36"/>
        <v>0.17091121495327105</v>
      </c>
      <c r="MO20" s="100">
        <f t="shared" si="37"/>
        <v>0.17589303016746682</v>
      </c>
      <c r="MP20" s="100">
        <f t="shared" si="38"/>
        <v>0.18108897063164026</v>
      </c>
      <c r="MQ20" s="100">
        <f t="shared" si="39"/>
        <v>0.18650954870223121</v>
      </c>
      <c r="MR20" s="28"/>
      <c r="MS20" s="28">
        <f t="shared" si="92"/>
        <v>73</v>
      </c>
      <c r="MT20" s="28">
        <f t="shared" si="93"/>
        <v>0.463051921358408</v>
      </c>
      <c r="MU20" s="28">
        <f t="shared" si="94"/>
        <v>0.48040408942731028</v>
      </c>
      <c r="MV20" s="28">
        <f t="shared" si="95"/>
        <v>0.49834539020106106</v>
      </c>
      <c r="MW20" s="28">
        <f t="shared" si="96"/>
        <v>0.51689376473567283</v>
      </c>
      <c r="MX20" s="28">
        <f t="shared" si="97"/>
        <v>0.53606763811266267</v>
      </c>
      <c r="MY20" s="28">
        <f t="shared" si="98"/>
        <v>0.55588593082683291</v>
      </c>
      <c r="MZ20" s="28"/>
      <c r="NA20" s="28"/>
      <c r="NB20" s="28"/>
      <c r="NC20" s="28"/>
      <c r="ND20" s="28"/>
      <c r="NE20" s="28"/>
      <c r="NF20" s="28"/>
      <c r="NG20" s="28"/>
      <c r="NH20" s="28"/>
      <c r="NI20" s="28"/>
      <c r="NJ20" s="28"/>
      <c r="NK20" s="28"/>
    </row>
    <row r="21" spans="1:375" s="30" customFormat="1" ht="12.45" customHeight="1" x14ac:dyDescent="0.3">
      <c r="A21" s="298">
        <f t="shared" si="99"/>
        <v>2030</v>
      </c>
      <c r="B21" s="348">
        <f t="shared" si="2"/>
        <v>2028</v>
      </c>
      <c r="C21" s="26">
        <v>46935</v>
      </c>
      <c r="D21" s="92">
        <f t="shared" si="156"/>
        <v>9422.946958643628</v>
      </c>
      <c r="E21" s="27">
        <f t="shared" si="106"/>
        <v>9422.946958643628</v>
      </c>
      <c r="F21" s="107">
        <f t="shared" si="21"/>
        <v>2600.3775194514014</v>
      </c>
      <c r="G21" s="27">
        <f t="shared" si="157"/>
        <v>13532.114637383813</v>
      </c>
      <c r="H21" s="27">
        <f t="shared" si="158"/>
        <v>10961.012856280888</v>
      </c>
      <c r="I21" s="289">
        <f t="shared" si="159"/>
        <v>9316.8609278387539</v>
      </c>
      <c r="J21" s="68">
        <v>3600.274077</v>
      </c>
      <c r="K21" s="290">
        <f t="shared" si="160"/>
        <v>5716.5868508387539</v>
      </c>
      <c r="L21" s="290">
        <f t="shared" si="107"/>
        <v>2571.1017811029246</v>
      </c>
      <c r="M21" s="290">
        <f t="shared" si="161"/>
        <v>2185.4365139374859</v>
      </c>
      <c r="N21" s="27">
        <f t="shared" si="162"/>
        <v>0</v>
      </c>
      <c r="O21" s="290">
        <f t="shared" si="163"/>
        <v>1644.1519284421331</v>
      </c>
      <c r="P21" s="290">
        <f t="shared" si="108"/>
        <v>385.66526716543871</v>
      </c>
      <c r="Q21" s="290">
        <f t="shared" si="164"/>
        <v>520.77452458851383</v>
      </c>
      <c r="R21" s="254">
        <f t="shared" si="3"/>
        <v>0.81</v>
      </c>
      <c r="S21" s="251">
        <v>0.19</v>
      </c>
      <c r="T21" s="284">
        <f t="shared" si="165"/>
        <v>7.0000000000000007E-2</v>
      </c>
      <c r="U21" s="284">
        <f t="shared" si="166"/>
        <v>7.0000000000000007E-2</v>
      </c>
      <c r="V21" s="27">
        <f t="shared" si="5"/>
        <v>65887.715916435031</v>
      </c>
      <c r="W21" s="27">
        <f t="shared" si="167"/>
        <v>65047.151969010425</v>
      </c>
      <c r="X21" s="27">
        <f t="shared" si="190"/>
        <v>840.56394742460327</v>
      </c>
      <c r="Y21" s="27">
        <f t="shared" si="168"/>
        <v>1003.4259219282339</v>
      </c>
      <c r="Z21" s="27">
        <f t="shared" si="191"/>
        <v>235.37151255106724</v>
      </c>
      <c r="AA21" s="111">
        <f t="shared" si="169"/>
        <v>7.0000000000000007E-2</v>
      </c>
      <c r="AB21" s="111">
        <f t="shared" si="170"/>
        <v>7.0000000000000007E-2</v>
      </c>
      <c r="AC21" s="92">
        <f t="shared" si="7"/>
        <v>65887.715916435031</v>
      </c>
      <c r="AD21" s="27">
        <f t="shared" si="171"/>
        <v>65047.151969010425</v>
      </c>
      <c r="AE21" s="27">
        <f t="shared" si="192"/>
        <v>840.56394742460327</v>
      </c>
      <c r="AF21" s="145">
        <f t="shared" si="172"/>
        <v>1003.4259219282339</v>
      </c>
      <c r="AG21" s="27">
        <f t="shared" si="193"/>
        <v>235.37151255106724</v>
      </c>
      <c r="AH21" s="27">
        <f t="shared" si="173"/>
        <v>45887.10084201811</v>
      </c>
      <c r="AI21" s="27">
        <f t="shared" si="174"/>
        <v>45046.358742476419</v>
      </c>
      <c r="AJ21" s="27">
        <f t="shared" si="194"/>
        <v>840.74209954169214</v>
      </c>
      <c r="AK21" s="27">
        <f t="shared" si="11"/>
        <v>45887.990802459899</v>
      </c>
      <c r="AL21" s="27">
        <f t="shared" si="175"/>
        <v>45047.44953848116</v>
      </c>
      <c r="AM21" s="27">
        <f t="shared" si="246"/>
        <v>840.54126397874097</v>
      </c>
      <c r="AN21" s="409">
        <f>INDEX(Inv.Returns!$B$2:$E$32,MATCH(B21,Inv.Returns!$A$2:$A$32,0),MATCH(SCRS!$DU$52,Inv.Returns!$B$1:$E$1,0))</f>
        <v>7.0000000000000007E-2</v>
      </c>
      <c r="AO21" s="27">
        <f t="shared" si="41"/>
        <v>20000.615074416921</v>
      </c>
      <c r="AP21" s="223">
        <f t="shared" si="12"/>
        <v>19999.725113975132</v>
      </c>
      <c r="AQ21" s="67">
        <f t="shared" si="22"/>
        <v>0.6964439456395245</v>
      </c>
      <c r="AR21" s="146">
        <f t="shared" si="23"/>
        <v>0.6964574528681392</v>
      </c>
      <c r="AS21" s="346"/>
      <c r="AT21" s="283">
        <f t="shared" si="176"/>
        <v>0.1095</v>
      </c>
      <c r="AU21" s="390">
        <f t="shared" si="109"/>
        <v>0.1095</v>
      </c>
      <c r="AV21" s="296">
        <f t="shared" si="110"/>
        <v>0.13508889060890672</v>
      </c>
      <c r="AW21" s="296">
        <f t="shared" si="111"/>
        <v>-4.0451154175193912E-6</v>
      </c>
      <c r="AX21" s="111">
        <f t="shared" si="82"/>
        <v>0.09</v>
      </c>
      <c r="AY21" s="111">
        <f t="shared" si="112"/>
        <v>0.09</v>
      </c>
      <c r="AZ21" s="111">
        <f t="shared" si="113"/>
        <v>0</v>
      </c>
      <c r="BA21" s="256">
        <f t="shared" si="24"/>
        <v>1.9500000000000003E-2</v>
      </c>
      <c r="BB21" s="111">
        <f t="shared" si="114"/>
        <v>1.9500000000000003E-2</v>
      </c>
      <c r="BC21" s="128">
        <f t="shared" si="83"/>
        <v>0.18560000000000004</v>
      </c>
      <c r="BD21" s="128">
        <f t="shared" si="104"/>
        <v>0.18560000000000004</v>
      </c>
      <c r="BE21" s="402">
        <f t="shared" si="15"/>
        <v>0.16610000000000003</v>
      </c>
      <c r="BF21" s="402">
        <f t="shared" si="115"/>
        <v>0.16610000000000003</v>
      </c>
      <c r="BG21" s="402">
        <f t="shared" si="177"/>
        <v>0.13560000000000005</v>
      </c>
      <c r="BH21" s="402">
        <f t="shared" si="26"/>
        <v>0.18560000000000004</v>
      </c>
      <c r="BI21" s="152">
        <f t="shared" si="42"/>
        <v>10.595832212139733</v>
      </c>
      <c r="BJ21" s="100">
        <f t="shared" si="43"/>
        <v>4.1869522882181265E-2</v>
      </c>
      <c r="BK21" s="27">
        <f t="shared" si="67"/>
        <v>13.526230512604739</v>
      </c>
      <c r="BL21" s="27">
        <f t="shared" si="17"/>
        <v>20</v>
      </c>
      <c r="BM21" s="107">
        <f t="shared" si="31"/>
        <v>11.839952053839806</v>
      </c>
      <c r="BN21" s="27"/>
      <c r="BO21" s="27"/>
      <c r="BP21" s="92">
        <f t="shared" si="178"/>
        <v>-3832.6445454151999</v>
      </c>
      <c r="BQ21" s="27">
        <f t="shared" si="195"/>
        <v>-32.781547709062288</v>
      </c>
      <c r="BR21" s="27">
        <f t="shared" si="179"/>
        <v>-149.20901225878302</v>
      </c>
      <c r="BS21" s="27">
        <f t="shared" si="116"/>
        <v>-1.2762212347175725</v>
      </c>
      <c r="BT21" s="27">
        <f t="shared" si="180"/>
        <v>-16.770349670109756</v>
      </c>
      <c r="BU21" s="27">
        <f t="shared" si="196"/>
        <v>-3.9337857250874744</v>
      </c>
      <c r="BV21" s="297">
        <f t="shared" si="181"/>
        <v>838.5174835054878</v>
      </c>
      <c r="BW21" s="297">
        <f t="shared" si="197"/>
        <v>196.68928625437371</v>
      </c>
      <c r="BX21" s="297">
        <f t="shared" si="198"/>
        <v>0</v>
      </c>
      <c r="BY21" s="297">
        <f t="shared" si="182"/>
        <v>46.86970721296624</v>
      </c>
      <c r="BZ21" s="297">
        <f t="shared" si="84"/>
        <v>181.67878809285583</v>
      </c>
      <c r="CA21" s="297">
        <f t="shared" si="199"/>
        <v>42.616012021780989</v>
      </c>
      <c r="CB21" s="297">
        <f t="shared" si="183"/>
        <v>1905.6806955007357</v>
      </c>
      <c r="CC21" s="297">
        <f t="shared" si="200"/>
        <v>0</v>
      </c>
      <c r="CD21" s="297">
        <f t="shared" si="201"/>
        <v>-9.3762714419103107E-3</v>
      </c>
      <c r="CE21" s="297"/>
      <c r="CF21" s="297">
        <f t="shared" si="184"/>
        <v>0</v>
      </c>
      <c r="CG21" s="297">
        <f t="shared" si="202"/>
        <v>0</v>
      </c>
      <c r="CH21" s="297">
        <f t="shared" si="185"/>
        <v>0</v>
      </c>
      <c r="CI21" s="427">
        <f>IF(AND($DU$74="Yes",MAX($AQ$13:AQ20)&lt;100%),MAX(BD19*(G21+Q21)-SUM(BZ21:CH21,CJ21,CY21),0),0)</f>
        <v>0</v>
      </c>
      <c r="CJ21" s="27"/>
      <c r="CK21" s="27">
        <f t="shared" si="44"/>
        <v>0</v>
      </c>
      <c r="CL21" s="27">
        <f t="shared" si="45"/>
        <v>0</v>
      </c>
      <c r="CM21" s="27">
        <f t="shared" si="46"/>
        <v>0</v>
      </c>
      <c r="CN21" s="27">
        <f t="shared" si="47"/>
        <v>3212.0425963167586</v>
      </c>
      <c r="CO21" s="27">
        <f t="shared" si="48"/>
        <v>0</v>
      </c>
      <c r="CP21" s="107">
        <f t="shared" si="4"/>
        <v>3212.0425963167586</v>
      </c>
      <c r="CQ21" s="27">
        <f t="shared" si="117"/>
        <v>1905.6713192292939</v>
      </c>
      <c r="CR21" s="27">
        <f t="shared" si="118"/>
        <v>0</v>
      </c>
      <c r="CS21" s="27">
        <f t="shared" si="186"/>
        <v>1905.6713192292939</v>
      </c>
      <c r="CT21" s="27">
        <f>SUM($CS$14:CS21)</f>
        <v>13092.363656302668</v>
      </c>
      <c r="CU21" s="223">
        <v>1889.8829749959987</v>
      </c>
      <c r="CV21" s="417">
        <v>397.10594045994452</v>
      </c>
      <c r="CW21" s="417">
        <v>2286.9889154559432</v>
      </c>
      <c r="CX21" s="417">
        <v>17548.691941774032</v>
      </c>
      <c r="CY21" s="103">
        <f t="shared" si="49"/>
        <v>101.4908597803786</v>
      </c>
      <c r="CZ21" s="111">
        <f t="shared" si="101"/>
        <v>0.15878990813951055</v>
      </c>
      <c r="DA21" s="92">
        <f t="shared" si="50"/>
        <v>2231.4569791243093</v>
      </c>
      <c r="DB21" s="410">
        <f t="shared" si="51"/>
        <v>1909.6127321295205</v>
      </c>
      <c r="DC21" s="307">
        <f t="shared" si="52"/>
        <v>1525.5091995915784</v>
      </c>
      <c r="DD21" s="307">
        <f t="shared" si="53"/>
        <v>179.55026008042833</v>
      </c>
      <c r="DE21" s="307">
        <f t="shared" si="54"/>
        <v>0</v>
      </c>
      <c r="DF21" s="307">
        <f t="shared" si="55"/>
        <v>37571.943052481714</v>
      </c>
      <c r="DG21" s="307" t="b">
        <f t="shared" si="68"/>
        <v>0</v>
      </c>
      <c r="DH21" s="27">
        <f t="shared" si="56"/>
        <v>101.4908597803786</v>
      </c>
      <c r="DI21" s="96">
        <f t="shared" si="57"/>
        <v>81.244461574854412</v>
      </c>
      <c r="DJ21" s="101">
        <f t="shared" si="58"/>
        <v>2.3875470278572175E-2</v>
      </c>
      <c r="DK21" s="92">
        <f t="shared" si="59"/>
        <v>0</v>
      </c>
      <c r="DL21" s="96">
        <f t="shared" si="60"/>
        <v>0</v>
      </c>
      <c r="DM21" s="101">
        <f t="shared" si="61"/>
        <v>0</v>
      </c>
      <c r="DN21" s="292">
        <v>2708.7803281885831</v>
      </c>
      <c r="DO21" s="96">
        <f t="shared" si="62"/>
        <v>2318.0914763953147</v>
      </c>
      <c r="DP21" s="294">
        <v>0.65183943336430827</v>
      </c>
      <c r="DQ21" s="29"/>
      <c r="DR21" s="28"/>
      <c r="DS21" s="28"/>
      <c r="DT21" s="28"/>
      <c r="DU21" s="28"/>
      <c r="DV21" s="29"/>
      <c r="DW21" s="320"/>
      <c r="DX21" s="321"/>
      <c r="DY21" s="321"/>
      <c r="DZ21" s="321"/>
      <c r="EA21" s="321"/>
      <c r="EB21" s="321"/>
      <c r="EC21" s="321"/>
      <c r="ED21" s="321"/>
      <c r="EE21" s="321"/>
      <c r="EF21" s="321"/>
      <c r="EG21" s="321"/>
      <c r="EH21" s="321"/>
      <c r="EI21" s="322"/>
      <c r="EJ21" s="323"/>
      <c r="EK21" s="332">
        <f t="shared" si="69"/>
        <v>0.16610000000000003</v>
      </c>
      <c r="EL21" s="332">
        <f t="shared" si="63"/>
        <v>1.9500000000000003E-2</v>
      </c>
      <c r="EM21" s="332" t="e">
        <f t="shared" si="70"/>
        <v>#DIV/0!</v>
      </c>
      <c r="EN21" s="332">
        <f t="shared" si="64"/>
        <v>0</v>
      </c>
      <c r="EO21" s="332">
        <v>0.18560000000000004</v>
      </c>
      <c r="EP21" s="332">
        <v>0.14878371111218719</v>
      </c>
      <c r="EQ21" s="333" t="e">
        <f t="shared" si="71"/>
        <v>#DIV/0!</v>
      </c>
      <c r="ER21" s="277"/>
      <c r="ES21" s="334">
        <v>12</v>
      </c>
      <c r="ET21" s="29">
        <f t="shared" si="85"/>
        <v>2980.5464127151236</v>
      </c>
      <c r="EU21" s="29">
        <f t="shared" si="86"/>
        <v>2981.1536876382788</v>
      </c>
      <c r="EV21" s="29">
        <f t="shared" si="72"/>
        <v>0.60727492315527343</v>
      </c>
      <c r="EW21" s="29">
        <f t="shared" si="73"/>
        <v>0.48581993852421873</v>
      </c>
      <c r="EX21" s="29">
        <f t="shared" si="87"/>
        <v>0.33959567937545221</v>
      </c>
      <c r="EY21" s="29">
        <f t="shared" si="102"/>
        <v>0.18709421803050647</v>
      </c>
      <c r="EZ21" s="29">
        <f t="shared" si="105"/>
        <v>7.828616881370179E-2</v>
      </c>
      <c r="FA21" s="29">
        <f t="shared" si="74"/>
        <v>1.0907960047438792</v>
      </c>
      <c r="FB21" s="29"/>
      <c r="FC21" s="29">
        <f t="shared" si="247"/>
        <v>48.41175426624676</v>
      </c>
      <c r="FD21" s="29">
        <f t="shared" si="248"/>
        <v>48.29259079300752</v>
      </c>
      <c r="FE21" s="29">
        <f t="shared" si="203"/>
        <v>-0.11916347323924015</v>
      </c>
      <c r="FF21" s="29">
        <f t="shared" si="204"/>
        <v>-9.5330778591392121E-2</v>
      </c>
      <c r="FG21" s="29">
        <f t="shared" si="205"/>
        <v>-6.0279553591838925E-2</v>
      </c>
      <c r="FH21" s="29">
        <f t="shared" si="206"/>
        <v>-3.266525901307489E-2</v>
      </c>
      <c r="FI21" s="29">
        <f t="shared" si="207"/>
        <v>-1.2559971754853192E-2</v>
      </c>
      <c r="FJ21" s="29">
        <f t="shared" si="208"/>
        <v>-0.20083556295115912</v>
      </c>
      <c r="FK21" s="29"/>
      <c r="FL21" s="29"/>
      <c r="FM21" s="27">
        <f t="shared" si="27"/>
        <v>20579.71495390671</v>
      </c>
      <c r="FN21" s="29"/>
      <c r="FO21" s="301">
        <f t="shared" si="119"/>
        <v>1905.6806955007357</v>
      </c>
      <c r="FP21" s="89">
        <f t="shared" si="209"/>
        <v>-9.3762714419103107E-3</v>
      </c>
      <c r="FQ21" s="27">
        <f t="shared" si="103"/>
        <v>20</v>
      </c>
      <c r="FR21" s="302">
        <f t="shared" si="88"/>
        <v>13.464518542443937</v>
      </c>
      <c r="FS21" s="89">
        <f t="shared" si="89"/>
        <v>1528.4404629124822</v>
      </c>
      <c r="FT21" s="89">
        <f t="shared" si="210"/>
        <v>1905.6713192292939</v>
      </c>
      <c r="FU21" s="29">
        <f t="shared" si="90"/>
        <v>20</v>
      </c>
      <c r="FV21" s="137">
        <f t="shared" si="91"/>
        <v>13.464518542443937</v>
      </c>
      <c r="FW21" s="48">
        <v>2251.7488568859617</v>
      </c>
      <c r="FX21" s="29">
        <f t="shared" si="120"/>
        <v>-48.412053492600535</v>
      </c>
      <c r="FY21" s="29">
        <f t="shared" si="121"/>
        <v>-50.38810494798112</v>
      </c>
      <c r="FZ21" s="29">
        <f t="shared" si="122"/>
        <v>-30.610112397554012</v>
      </c>
      <c r="GA21" s="29">
        <f t="shared" si="122"/>
        <v>-1352.7979258200921</v>
      </c>
      <c r="GB21" s="29">
        <f t="shared" si="122"/>
        <v>-885.73751844193907</v>
      </c>
      <c r="GC21" s="29">
        <f t="shared" si="122"/>
        <v>-833.81074719718561</v>
      </c>
      <c r="GD21" s="29">
        <f t="shared" si="122"/>
        <v>-1009.9611089948693</v>
      </c>
      <c r="GE21" s="29">
        <f t="shared" si="122"/>
        <v>24212.510797826228</v>
      </c>
      <c r="GF21" s="29">
        <f t="shared" si="122"/>
        <v>0</v>
      </c>
      <c r="GG21" s="29">
        <f t="shared" si="122"/>
        <v>0</v>
      </c>
      <c r="GH21" s="29">
        <f t="shared" si="122"/>
        <v>0</v>
      </c>
      <c r="GI21" s="29">
        <f t="shared" si="122"/>
        <v>0</v>
      </c>
      <c r="GJ21" s="29">
        <f t="shared" si="122"/>
        <v>0</v>
      </c>
      <c r="GK21" s="29">
        <f t="shared" si="122"/>
        <v>0</v>
      </c>
      <c r="GL21" s="29">
        <f t="shared" si="122"/>
        <v>0</v>
      </c>
      <c r="GM21" s="29">
        <f t="shared" si="122"/>
        <v>0</v>
      </c>
      <c r="GN21" s="29">
        <f t="shared" si="122"/>
        <v>0</v>
      </c>
      <c r="GO21" s="29">
        <f t="shared" ref="GO21:GO44" si="251">IF(AND($AQ21&gt;=100%,$AQ20&lt;100%),0,GN20*(1+$AA20) - HV20*(1+$AA20)^0.5)</f>
        <v>0</v>
      </c>
      <c r="GP21" s="29">
        <f t="shared" ref="GP21:GP44" si="252">IF(AND($AQ21&gt;=100%,$AQ20&lt;100%),0,GO20*(1+$AA20) - HW20*(1+$AA20)^0.5)</f>
        <v>0</v>
      </c>
      <c r="GQ21" s="29">
        <f t="shared" ref="GQ21:GQ44" si="253">IF(AND($AQ21&gt;=100%,$AQ20&lt;100%),0,GP20*(1+$AA20) - HX20*(1+$AA20)^0.5)</f>
        <v>0</v>
      </c>
      <c r="GR21" s="29">
        <f t="shared" ref="GR21:GR44" si="254">IF(AND($AQ21&gt;=100%,$AQ20&lt;100%),0,GQ20*(1+$AA20) - HY20*(1+$AA20)^0.5)</f>
        <v>0</v>
      </c>
      <c r="GS21" s="29">
        <f t="shared" ref="GS21:GS44" si="255">IF(AND($AQ21&gt;=100%,$AQ20&lt;100%),0,GR20*(1+$AA20) - HZ20*(1+$AA20)^0.5)</f>
        <v>0</v>
      </c>
      <c r="GT21" s="29">
        <f t="shared" ref="GT21:GT44" si="256">IF(AND($AQ21&gt;=100%,$AQ20&lt;100%),0,GS20*(1+$AA20) - IA20*(1+$AA20)^0.5)</f>
        <v>0</v>
      </c>
      <c r="GU21" s="29">
        <f t="shared" ref="GU21:GU44" si="257">IF(AND($AQ21&gt;=100%,$AQ20&lt;100%),0,GT20*(1+$AA20) - IB20*(1+$AA20)^0.5)</f>
        <v>0</v>
      </c>
      <c r="GV21" s="29">
        <f t="shared" ref="GV21:GV44" si="258">IF(AND($AQ21&gt;=100%,$AQ20&lt;100%),0,GU20*(1+$AA20) - IC20*(1+$AA20)^0.5)</f>
        <v>0</v>
      </c>
      <c r="GW21" s="29">
        <f t="shared" ref="GW21:GW44" si="259">IF(AND($AQ21&gt;=100%,$AQ20&lt;100%),0,GV20*(1+$AA20) - ID20*(1+$AA20)^0.5)</f>
        <v>0</v>
      </c>
      <c r="GX21" s="29">
        <f t="shared" ref="GX21:GX44" si="260">IF(AND($AQ21&gt;=100%,$AQ20&lt;100%),0,GW20*(1+$AA20) - IE20*(1+$AA20)^0.5)</f>
        <v>0</v>
      </c>
      <c r="GY21" s="29">
        <f t="shared" ref="GY21:GY44" si="261">IF(AND($AQ21&gt;=100%,$AQ20&lt;100%),0,GX20*(1+$AA20) - IF20*(1+$AA20)^0.5)</f>
        <v>0</v>
      </c>
      <c r="GZ21" s="29">
        <f t="shared" ref="GZ21:GZ44" si="262">IF(AND($AQ21&gt;=100%,$AQ20&lt;100%),0,GY20*(1+$AA20) - IG20*(1+$AA20)^0.5)</f>
        <v>0</v>
      </c>
      <c r="HA21" s="29">
        <f t="shared" ref="HA21:HA44" si="263">IF(AND($AQ21&gt;=100%,$AQ20&lt;100%),0,GZ20*(1+$AA20) - IH20*(1+$AA20)^0.5)</f>
        <v>0</v>
      </c>
      <c r="HB21" s="29">
        <f t="shared" ref="HB21:HB44" si="264">IF(AND($AQ21&gt;=100%,$AQ20&lt;100%),0,HA20*(1+$AA20) - II20*(1+$AA20)^0.5)</f>
        <v>0</v>
      </c>
      <c r="HC21" s="29">
        <f t="shared" ref="HC21:HC44" si="265">IF(AND($AQ21&gt;=100%,$AQ20&lt;100%),0,HB20*(1+$AA20) - IJ20*(1+$AA20)^0.5)</f>
        <v>0</v>
      </c>
      <c r="HD21" s="29"/>
      <c r="HE21" s="29">
        <f t="shared" si="32"/>
        <v>20</v>
      </c>
      <c r="HF21" s="29">
        <f t="shared" si="123"/>
        <v>0</v>
      </c>
      <c r="HG21" s="29">
        <f t="shared" si="124"/>
        <v>-3.7422879094520676</v>
      </c>
      <c r="HH21" s="29">
        <f t="shared" si="125"/>
        <v>-2.3508160295791956</v>
      </c>
      <c r="HI21" s="29">
        <f t="shared" si="126"/>
        <v>-107.71515625658638</v>
      </c>
      <c r="HJ21" s="29">
        <f t="shared" si="127"/>
        <v>-73.336861814989845</v>
      </c>
      <c r="HK21" s="29">
        <f t="shared" si="128"/>
        <v>-72.028452463401692</v>
      </c>
      <c r="HL21" s="29">
        <f t="shared" si="129"/>
        <v>-91.369394800935382</v>
      </c>
      <c r="HM21" s="29">
        <f t="shared" si="130"/>
        <v>2303.9347556447483</v>
      </c>
      <c r="HN21" s="29">
        <f t="shared" si="131"/>
        <v>0</v>
      </c>
      <c r="HO21" s="29">
        <f t="shared" si="132"/>
        <v>0</v>
      </c>
      <c r="HP21" s="29">
        <f t="shared" si="133"/>
        <v>0</v>
      </c>
      <c r="HQ21" s="29">
        <f t="shared" si="134"/>
        <v>0</v>
      </c>
      <c r="HR21" s="29">
        <f t="shared" si="135"/>
        <v>0</v>
      </c>
      <c r="HS21" s="29">
        <f t="shared" si="136"/>
        <v>0</v>
      </c>
      <c r="HT21" s="29">
        <f t="shared" si="137"/>
        <v>0</v>
      </c>
      <c r="HU21" s="29">
        <f t="shared" si="138"/>
        <v>0</v>
      </c>
      <c r="HV21" s="29">
        <f t="shared" si="139"/>
        <v>0</v>
      </c>
      <c r="HW21" s="29">
        <f t="shared" si="140"/>
        <v>0</v>
      </c>
      <c r="HX21" s="29">
        <f t="shared" si="141"/>
        <v>0</v>
      </c>
      <c r="HY21" s="29">
        <f t="shared" si="142"/>
        <v>0</v>
      </c>
      <c r="HZ21" s="29">
        <f t="shared" si="143"/>
        <v>0</v>
      </c>
      <c r="IA21" s="29">
        <f t="shared" si="144"/>
        <v>0</v>
      </c>
      <c r="IB21" s="29">
        <f t="shared" si="145"/>
        <v>0</v>
      </c>
      <c r="IC21" s="29">
        <f t="shared" si="146"/>
        <v>0</v>
      </c>
      <c r="ID21" s="29">
        <f t="shared" si="147"/>
        <v>0</v>
      </c>
      <c r="IE21" s="29">
        <f t="shared" si="148"/>
        <v>0</v>
      </c>
      <c r="IF21" s="29">
        <f t="shared" si="149"/>
        <v>0</v>
      </c>
      <c r="IG21" s="29">
        <f t="shared" si="150"/>
        <v>0</v>
      </c>
      <c r="IH21" s="29">
        <f t="shared" si="151"/>
        <v>0</v>
      </c>
      <c r="II21" s="29">
        <f t="shared" si="152"/>
        <v>0</v>
      </c>
      <c r="IJ21" s="29">
        <f t="shared" si="153"/>
        <v>0</v>
      </c>
      <c r="IK21" s="29">
        <f t="shared" si="154"/>
        <v>0</v>
      </c>
      <c r="IL21" s="48"/>
      <c r="IM21" s="48"/>
      <c r="IN21" s="48"/>
      <c r="IO21" s="29">
        <f t="shared" si="211"/>
        <v>-2.6132314046750676E-2</v>
      </c>
      <c r="IP21" s="29">
        <f t="shared" si="249"/>
        <v>-3.2351321692569129E-2</v>
      </c>
      <c r="IQ21" s="29">
        <f t="shared" si="212"/>
        <v>-3.6494419793067195E-2</v>
      </c>
      <c r="IR21" s="29">
        <f t="shared" si="212"/>
        <v>-3.6263778462752416E-2</v>
      </c>
      <c r="IS21" s="29">
        <f t="shared" si="212"/>
        <v>-3.1525709634751785E-2</v>
      </c>
      <c r="IT21" s="29">
        <f t="shared" si="212"/>
        <v>-1.5384573458979688E-2</v>
      </c>
      <c r="IU21" s="29">
        <f t="shared" si="212"/>
        <v>0</v>
      </c>
      <c r="IV21" s="29">
        <f t="shared" si="212"/>
        <v>0</v>
      </c>
      <c r="IW21" s="29">
        <f t="shared" si="212"/>
        <v>0</v>
      </c>
      <c r="IX21" s="29">
        <f t="shared" si="212"/>
        <v>0</v>
      </c>
      <c r="IY21" s="29">
        <f t="shared" si="212"/>
        <v>0</v>
      </c>
      <c r="IZ21" s="29">
        <f t="shared" si="212"/>
        <v>0</v>
      </c>
      <c r="JA21" s="29">
        <f t="shared" si="212"/>
        <v>0</v>
      </c>
      <c r="JB21" s="29">
        <f t="shared" si="212"/>
        <v>0</v>
      </c>
      <c r="JC21" s="29">
        <f t="shared" si="212"/>
        <v>0</v>
      </c>
      <c r="JD21" s="29">
        <f t="shared" si="212"/>
        <v>0</v>
      </c>
      <c r="JE21" s="29">
        <f t="shared" si="212"/>
        <v>0</v>
      </c>
      <c r="JF21" s="29">
        <f t="shared" si="212"/>
        <v>0</v>
      </c>
      <c r="JG21" s="29">
        <f t="shared" si="212"/>
        <v>0</v>
      </c>
      <c r="JH21" s="29">
        <f t="shared" si="212"/>
        <v>0</v>
      </c>
      <c r="JI21" s="29">
        <f t="shared" si="212"/>
        <v>0</v>
      </c>
      <c r="JJ21" s="29">
        <f t="shared" si="212"/>
        <v>0</v>
      </c>
      <c r="JK21" s="29">
        <f t="shared" si="212"/>
        <v>0</v>
      </c>
      <c r="JL21" s="29">
        <f t="shared" si="212"/>
        <v>0</v>
      </c>
      <c r="JM21" s="29">
        <f t="shared" si="212"/>
        <v>0</v>
      </c>
      <c r="JN21" s="29">
        <f t="shared" si="212"/>
        <v>0</v>
      </c>
      <c r="JO21" s="29">
        <f t="shared" si="212"/>
        <v>0</v>
      </c>
      <c r="JP21" s="29">
        <f t="shared" si="212"/>
        <v>0</v>
      </c>
      <c r="JQ21" s="29">
        <f t="shared" si="212"/>
        <v>0</v>
      </c>
      <c r="JR21" s="29">
        <f t="shared" si="212"/>
        <v>0</v>
      </c>
      <c r="JS21" s="29">
        <f t="shared" si="212"/>
        <v>0</v>
      </c>
      <c r="JT21" s="29">
        <f t="shared" si="212"/>
        <v>0</v>
      </c>
      <c r="JU21" s="48"/>
      <c r="JV21" s="394">
        <f t="shared" si="213"/>
        <v>20</v>
      </c>
      <c r="JW21" s="29">
        <f t="shared" si="214"/>
        <v>0</v>
      </c>
      <c r="JX21" s="29">
        <f t="shared" si="215"/>
        <v>-2.4027091344253188E-3</v>
      </c>
      <c r="JY21" s="29">
        <f t="shared" si="216"/>
        <v>-2.8027230323593999E-3</v>
      </c>
      <c r="JZ21" s="29">
        <f t="shared" si="217"/>
        <v>-2.8874664050076953E-3</v>
      </c>
      <c r="KA21" s="29">
        <f t="shared" si="218"/>
        <v>-2.6102502863040223E-3</v>
      </c>
      <c r="KB21" s="29">
        <f t="shared" si="219"/>
        <v>-1.32899104717077E-3</v>
      </c>
      <c r="KC21" s="29">
        <f t="shared" si="220"/>
        <v>0</v>
      </c>
      <c r="KD21" s="29">
        <f t="shared" si="221"/>
        <v>0</v>
      </c>
      <c r="KE21" s="29">
        <f t="shared" si="222"/>
        <v>0</v>
      </c>
      <c r="KF21" s="29">
        <f t="shared" si="223"/>
        <v>0</v>
      </c>
      <c r="KG21" s="29">
        <f t="shared" si="224"/>
        <v>0</v>
      </c>
      <c r="KH21" s="29">
        <f t="shared" si="225"/>
        <v>0</v>
      </c>
      <c r="KI21" s="29">
        <f t="shared" si="226"/>
        <v>0</v>
      </c>
      <c r="KJ21" s="29">
        <f t="shared" si="227"/>
        <v>0</v>
      </c>
      <c r="KK21" s="29">
        <f t="shared" si="228"/>
        <v>0</v>
      </c>
      <c r="KL21" s="29">
        <f t="shared" si="229"/>
        <v>0</v>
      </c>
      <c r="KM21" s="29">
        <f t="shared" si="230"/>
        <v>0</v>
      </c>
      <c r="KN21" s="29">
        <f t="shared" si="231"/>
        <v>0</v>
      </c>
      <c r="KO21" s="29">
        <f t="shared" si="232"/>
        <v>0</v>
      </c>
      <c r="KP21" s="29">
        <f t="shared" si="233"/>
        <v>0</v>
      </c>
      <c r="KQ21" s="29">
        <f t="shared" si="234"/>
        <v>0</v>
      </c>
      <c r="KR21" s="29">
        <f t="shared" si="235"/>
        <v>0</v>
      </c>
      <c r="KS21" s="29">
        <f t="shared" si="236"/>
        <v>0</v>
      </c>
      <c r="KT21" s="29">
        <f t="shared" si="237"/>
        <v>0</v>
      </c>
      <c r="KU21" s="29">
        <f t="shared" si="238"/>
        <v>0</v>
      </c>
      <c r="KV21" s="29">
        <f t="shared" si="239"/>
        <v>0</v>
      </c>
      <c r="KW21" s="29">
        <f t="shared" si="240"/>
        <v>0</v>
      </c>
      <c r="KX21" s="29">
        <f t="shared" si="241"/>
        <v>0</v>
      </c>
      <c r="KY21" s="29">
        <f t="shared" si="242"/>
        <v>0</v>
      </c>
      <c r="KZ21" s="29">
        <f t="shared" si="243"/>
        <v>0</v>
      </c>
      <c r="LA21" s="29">
        <f t="shared" si="244"/>
        <v>0</v>
      </c>
      <c r="LB21" s="29">
        <f t="shared" si="245"/>
        <v>0</v>
      </c>
      <c r="LC21" s="48"/>
      <c r="LD21" s="48"/>
      <c r="LE21" s="48"/>
      <c r="LF21" s="48"/>
      <c r="LG21" s="48"/>
      <c r="LH21" s="48"/>
      <c r="LI21" s="48"/>
      <c r="LJ21" s="48"/>
      <c r="LK21" s="48"/>
      <c r="LL21" s="48"/>
      <c r="LM21" s="48"/>
      <c r="LN21" s="48"/>
      <c r="LO21" s="48"/>
      <c r="LP21" s="46">
        <f t="shared" si="33"/>
        <v>0.35038979249763014</v>
      </c>
      <c r="LQ21" s="47">
        <f t="shared" si="34"/>
        <v>0.70830220121060117</v>
      </c>
      <c r="LR21" s="28"/>
      <c r="LS21" s="48"/>
      <c r="LT21" s="28" t="s">
        <v>37</v>
      </c>
      <c r="LU21" s="161">
        <v>1.8200000000000001E-2</v>
      </c>
      <c r="LV21" s="111">
        <f t="shared" si="75"/>
        <v>2.9506511460540083E-18</v>
      </c>
      <c r="LW21" s="152">
        <f t="shared" si="18"/>
        <v>7.6728069079423572E-15</v>
      </c>
      <c r="LX21" s="223" t="e">
        <f>LX20*(1+#REF!)</f>
        <v>#REF!</v>
      </c>
      <c r="LY21" s="153"/>
      <c r="LZ21" s="124">
        <f t="shared" si="76"/>
        <v>-1.5408328424673527</v>
      </c>
      <c r="MA21" s="125">
        <f t="shared" si="77"/>
        <v>-39.298769726156024</v>
      </c>
      <c r="MB21" s="28"/>
      <c r="MC21" s="374">
        <f>MC20+0.25%</f>
        <v>1.5000000000000001E-2</v>
      </c>
      <c r="MD21" s="387">
        <f t="shared" si="187"/>
        <v>-38.566526716543869</v>
      </c>
      <c r="ME21" s="152">
        <f t="shared" si="188"/>
        <v>-3871.2110721317435</v>
      </c>
      <c r="MF21" s="209"/>
      <c r="MG21" s="374">
        <f>MG20+0.25%</f>
        <v>1.5000000000000001E-2</v>
      </c>
      <c r="MH21" s="387">
        <f t="shared" si="189"/>
        <v>-1.5014367467265559</v>
      </c>
      <c r="MI21" s="152">
        <f t="shared" si="155"/>
        <v>-150.71044900550959</v>
      </c>
      <c r="MJ21" s="28"/>
      <c r="MK21" s="100">
        <f t="shared" si="78"/>
        <v>2.9999999999999995E-2</v>
      </c>
      <c r="ML21" s="100">
        <f t="shared" si="250"/>
        <v>0.17630802193073092</v>
      </c>
      <c r="MM21" s="100">
        <f t="shared" si="80"/>
        <v>0.18123657411201383</v>
      </c>
      <c r="MN21" s="100">
        <f t="shared" si="36"/>
        <v>0.18644859813084111</v>
      </c>
      <c r="MO21" s="100">
        <f t="shared" si="37"/>
        <v>0.19188330563723649</v>
      </c>
      <c r="MP21" s="100">
        <f t="shared" si="38"/>
        <v>0.19755160432542568</v>
      </c>
      <c r="MQ21" s="100">
        <f t="shared" si="39"/>
        <v>0.2034649622206158</v>
      </c>
      <c r="MR21" s="28"/>
      <c r="MS21" s="28">
        <f t="shared" si="92"/>
        <v>74</v>
      </c>
      <c r="MT21" s="28">
        <f t="shared" si="93"/>
        <v>0.43175004322462285</v>
      </c>
      <c r="MU21" s="28">
        <f t="shared" si="94"/>
        <v>0.44942978380129767</v>
      </c>
      <c r="MV21" s="28">
        <f t="shared" si="95"/>
        <v>0.46777091311459962</v>
      </c>
      <c r="MW21" s="28">
        <f t="shared" si="96"/>
        <v>0.48679584808509674</v>
      </c>
      <c r="MX21" s="28">
        <f t="shared" si="97"/>
        <v>0.50652768714533558</v>
      </c>
      <c r="MY21" s="28">
        <f t="shared" si="98"/>
        <v>0.52699022859504185</v>
      </c>
      <c r="MZ21" s="28"/>
      <c r="NA21" s="28"/>
      <c r="NB21" s="28"/>
      <c r="NC21" s="28"/>
      <c r="ND21" s="28"/>
      <c r="NE21" s="28"/>
      <c r="NF21" s="28"/>
      <c r="NG21" s="28"/>
      <c r="NH21" s="28"/>
      <c r="NI21" s="28"/>
      <c r="NJ21" s="28"/>
      <c r="NK21" s="28"/>
    </row>
    <row r="22" spans="1:375" s="30" customFormat="1" ht="12.75" customHeight="1" x14ac:dyDescent="0.3">
      <c r="A22" s="298">
        <f t="shared" si="99"/>
        <v>2031</v>
      </c>
      <c r="B22" s="348">
        <f t="shared" si="2"/>
        <v>2029</v>
      </c>
      <c r="C22" s="26">
        <v>47300</v>
      </c>
      <c r="D22" s="92">
        <f t="shared" si="156"/>
        <v>9318.9455440630427</v>
      </c>
      <c r="E22" s="27">
        <f t="shared" si="106"/>
        <v>9318.9455440630427</v>
      </c>
      <c r="F22" s="107">
        <f t="shared" si="21"/>
        <v>3092.2594565518393</v>
      </c>
      <c r="G22" s="27">
        <f t="shared" si="157"/>
        <v>13897.481732593174</v>
      </c>
      <c r="H22" s="27">
        <f t="shared" si="158"/>
        <v>10840.035751422676</v>
      </c>
      <c r="I22" s="289">
        <f t="shared" si="159"/>
        <v>9214.0303887092741</v>
      </c>
      <c r="J22" s="68">
        <v>3401.403937</v>
      </c>
      <c r="K22" s="290">
        <f t="shared" si="160"/>
        <v>5812.6264517092741</v>
      </c>
      <c r="L22" s="290">
        <f t="shared" si="107"/>
        <v>3057.4459811704983</v>
      </c>
      <c r="M22" s="290">
        <f t="shared" si="161"/>
        <v>2598.8290839949236</v>
      </c>
      <c r="N22" s="27">
        <f t="shared" si="162"/>
        <v>0</v>
      </c>
      <c r="O22" s="290">
        <f t="shared" si="163"/>
        <v>1626.0053627134014</v>
      </c>
      <c r="P22" s="290">
        <f t="shared" si="108"/>
        <v>458.61689717557471</v>
      </c>
      <c r="Q22" s="290">
        <f t="shared" si="164"/>
        <v>534.83543675240367</v>
      </c>
      <c r="R22" s="254">
        <f t="shared" si="3"/>
        <v>0.78</v>
      </c>
      <c r="S22" s="251">
        <v>0.22</v>
      </c>
      <c r="T22" s="284">
        <f t="shared" si="165"/>
        <v>7.0000000000000007E-2</v>
      </c>
      <c r="U22" s="284">
        <f t="shared" si="166"/>
        <v>7.0000000000000007E-2</v>
      </c>
      <c r="V22" s="27">
        <f t="shared" si="5"/>
        <v>67534.350424406221</v>
      </c>
      <c r="W22" s="27">
        <f t="shared" si="167"/>
        <v>66394.298365420531</v>
      </c>
      <c r="X22" s="27">
        <f t="shared" si="190"/>
        <v>1140.0520589856872</v>
      </c>
      <c r="Y22" s="27">
        <f t="shared" si="168"/>
        <v>992.35107286398897</v>
      </c>
      <c r="Z22" s="27">
        <f t="shared" si="191"/>
        <v>279.89389234625327</v>
      </c>
      <c r="AA22" s="111">
        <f t="shared" si="169"/>
        <v>7.0000000000000007E-2</v>
      </c>
      <c r="AB22" s="111">
        <f t="shared" si="170"/>
        <v>7.0000000000000007E-2</v>
      </c>
      <c r="AC22" s="92">
        <f t="shared" si="7"/>
        <v>67534.350424406221</v>
      </c>
      <c r="AD22" s="27">
        <f t="shared" si="171"/>
        <v>66394.298365420531</v>
      </c>
      <c r="AE22" s="27">
        <f t="shared" si="192"/>
        <v>1140.0520589856872</v>
      </c>
      <c r="AF22" s="145">
        <f t="shared" si="172"/>
        <v>992.35107286398897</v>
      </c>
      <c r="AG22" s="27">
        <f t="shared" si="193"/>
        <v>279.89389234625327</v>
      </c>
      <c r="AH22" s="27">
        <f t="shared" si="173"/>
        <v>48204.061618059677</v>
      </c>
      <c r="AI22" s="27">
        <f t="shared" si="174"/>
        <v>47063.8080930621</v>
      </c>
      <c r="AJ22" s="27">
        <f t="shared" si="194"/>
        <v>1140.2535249975795</v>
      </c>
      <c r="AK22" s="27">
        <f t="shared" si="11"/>
        <v>48205.027708790956</v>
      </c>
      <c r="AL22" s="27">
        <f t="shared" si="175"/>
        <v>47065.012367234638</v>
      </c>
      <c r="AM22" s="27">
        <f t="shared" si="246"/>
        <v>1140.0153415563184</v>
      </c>
      <c r="AN22" s="409">
        <f>INDEX(Inv.Returns!$B$2:$E$32,MATCH(B22,Inv.Returns!$A$2:$A$32,0),MATCH(SCRS!$DU$52,Inv.Returns!$B$1:$E$1,0))</f>
        <v>7.0000000000000007E-2</v>
      </c>
      <c r="AO22" s="27">
        <f t="shared" si="41"/>
        <v>19330.288806346543</v>
      </c>
      <c r="AP22" s="223">
        <f t="shared" si="12"/>
        <v>19329.322715615264</v>
      </c>
      <c r="AQ22" s="67">
        <f t="shared" si="22"/>
        <v>0.71377101156864353</v>
      </c>
      <c r="AR22" s="146">
        <f t="shared" si="23"/>
        <v>0.71378531674408696</v>
      </c>
      <c r="AS22" s="346"/>
      <c r="AT22" s="283">
        <f t="shared" si="176"/>
        <v>0.1095</v>
      </c>
      <c r="AU22" s="390">
        <f t="shared" si="109"/>
        <v>0.1095</v>
      </c>
      <c r="AV22" s="296">
        <f t="shared" si="110"/>
        <v>0.13482914593125575</v>
      </c>
      <c r="AW22" s="296">
        <f t="shared" si="111"/>
        <v>-3.922556052440755E-6</v>
      </c>
      <c r="AX22" s="111">
        <f t="shared" si="82"/>
        <v>0.09</v>
      </c>
      <c r="AY22" s="111">
        <f t="shared" si="112"/>
        <v>0.09</v>
      </c>
      <c r="AZ22" s="111">
        <f t="shared" si="113"/>
        <v>0</v>
      </c>
      <c r="BA22" s="256">
        <f t="shared" si="24"/>
        <v>1.9500000000000003E-2</v>
      </c>
      <c r="BB22" s="111">
        <f t="shared" si="114"/>
        <v>1.9500000000000003E-2</v>
      </c>
      <c r="BC22" s="128">
        <f t="shared" si="83"/>
        <v>0.18560000000000004</v>
      </c>
      <c r="BD22" s="128">
        <f t="shared" si="104"/>
        <v>0.18560000000000004</v>
      </c>
      <c r="BE22" s="402">
        <f t="shared" si="15"/>
        <v>0.16610000000000003</v>
      </c>
      <c r="BF22" s="402">
        <f t="shared" si="115"/>
        <v>0.16610000000000003</v>
      </c>
      <c r="BG22" s="402">
        <f t="shared" si="177"/>
        <v>0.13560000000000005</v>
      </c>
      <c r="BH22" s="402">
        <f t="shared" si="26"/>
        <v>0.18560000000000004</v>
      </c>
      <c r="BI22" s="152">
        <f t="shared" si="42"/>
        <v>9.9901358642104015</v>
      </c>
      <c r="BJ22" s="100">
        <f t="shared" si="43"/>
        <v>4.1869522882181265E-2</v>
      </c>
      <c r="BK22" s="27">
        <f t="shared" si="67"/>
        <v>12.514000508588367</v>
      </c>
      <c r="BL22" s="27">
        <f t="shared" si="17"/>
        <v>20</v>
      </c>
      <c r="BM22" s="107">
        <f t="shared" si="31"/>
        <v>10.981154843010975</v>
      </c>
      <c r="BN22" s="27"/>
      <c r="BO22" s="27"/>
      <c r="BP22" s="92">
        <f t="shared" si="178"/>
        <v>-3938.5262650224918</v>
      </c>
      <c r="BQ22" s="27">
        <f t="shared" si="195"/>
        <v>-45.479508969911166</v>
      </c>
      <c r="BR22" s="27">
        <f t="shared" si="179"/>
        <v>-153.33110253135069</v>
      </c>
      <c r="BS22" s="27">
        <f t="shared" si="116"/>
        <v>-1.7705666494777355</v>
      </c>
      <c r="BT22" s="27">
        <f t="shared" si="180"/>
        <v>-16.585254699676693</v>
      </c>
      <c r="BU22" s="27">
        <f t="shared" si="196"/>
        <v>-4.6778923511908621</v>
      </c>
      <c r="BV22" s="297">
        <f t="shared" si="181"/>
        <v>829.26273498383466</v>
      </c>
      <c r="BW22" s="297">
        <f t="shared" si="197"/>
        <v>233.89461755954312</v>
      </c>
      <c r="BX22" s="297">
        <f t="shared" si="198"/>
        <v>0</v>
      </c>
      <c r="BY22" s="297">
        <f t="shared" si="182"/>
        <v>48.135189307716331</v>
      </c>
      <c r="BZ22" s="297">
        <f t="shared" si="84"/>
        <v>179.67359257983094</v>
      </c>
      <c r="CA22" s="297">
        <f t="shared" si="199"/>
        <v>50.677167137900994</v>
      </c>
      <c r="CB22" s="297">
        <f t="shared" si="183"/>
        <v>1953.3917863698034</v>
      </c>
      <c r="CC22" s="297">
        <f t="shared" si="200"/>
        <v>0</v>
      </c>
      <c r="CD22" s="297">
        <f t="shared" si="201"/>
        <v>-1.2032139905267209E-2</v>
      </c>
      <c r="CE22" s="297"/>
      <c r="CF22" s="297">
        <f t="shared" si="184"/>
        <v>0</v>
      </c>
      <c r="CG22" s="297">
        <f t="shared" si="202"/>
        <v>0</v>
      </c>
      <c r="CH22" s="297">
        <f t="shared" si="185"/>
        <v>0</v>
      </c>
      <c r="CI22" s="427">
        <f>IF(AND($DU$74="Yes",MAX($AQ$13:AQ21)&lt;100%),MAX(BD20*(G22+Q22)-SUM(BZ22:CH22,CJ22,CY22),0),0)</f>
        <v>0</v>
      </c>
      <c r="CJ22" s="27"/>
      <c r="CK22" s="27">
        <f t="shared" si="44"/>
        <v>0</v>
      </c>
      <c r="CL22" s="27">
        <f t="shared" si="45"/>
        <v>0</v>
      </c>
      <c r="CM22" s="27">
        <f t="shared" si="46"/>
        <v>0</v>
      </c>
      <c r="CN22" s="27">
        <f t="shared" si="47"/>
        <v>3295.0230557987243</v>
      </c>
      <c r="CO22" s="27">
        <f t="shared" si="48"/>
        <v>0</v>
      </c>
      <c r="CP22" s="107">
        <f t="shared" si="4"/>
        <v>3295.0230557987243</v>
      </c>
      <c r="CQ22" s="27">
        <f t="shared" si="117"/>
        <v>1953.3797542298983</v>
      </c>
      <c r="CR22" s="27">
        <f t="shared" si="118"/>
        <v>0</v>
      </c>
      <c r="CS22" s="27">
        <f t="shared" si="186"/>
        <v>1953.3797542298983</v>
      </c>
      <c r="CT22" s="27">
        <f>SUM($CS$14:CS22)</f>
        <v>15045.743410532566</v>
      </c>
      <c r="CU22" s="223">
        <v>1953.8270181435323</v>
      </c>
      <c r="CV22" s="417">
        <v>409.01911867374287</v>
      </c>
      <c r="CW22" s="417">
        <v>2362.8461368172752</v>
      </c>
      <c r="CX22" s="417">
        <v>19911.538078591308</v>
      </c>
      <c r="CY22" s="103">
        <f t="shared" si="49"/>
        <v>104.23111299444882</v>
      </c>
      <c r="CZ22" s="111">
        <f t="shared" si="101"/>
        <v>0.15853044248512896</v>
      </c>
      <c r="DA22" s="92">
        <f t="shared" si="50"/>
        <v>2287.9616269420785</v>
      </c>
      <c r="DB22" s="410">
        <f t="shared" si="51"/>
        <v>1914.8828205688858</v>
      </c>
      <c r="DC22" s="307">
        <f t="shared" si="52"/>
        <v>1529.2912324680722</v>
      </c>
      <c r="DD22" s="307">
        <f t="shared" si="53"/>
        <v>180.34045682405852</v>
      </c>
      <c r="DE22" s="307">
        <f t="shared" si="54"/>
        <v>0</v>
      </c>
      <c r="DF22" s="307">
        <f t="shared" si="55"/>
        <v>37030.933252534604</v>
      </c>
      <c r="DG22" s="307" t="b">
        <f t="shared" si="68"/>
        <v>0</v>
      </c>
      <c r="DH22" s="27">
        <f t="shared" si="56"/>
        <v>104.23111299444882</v>
      </c>
      <c r="DI22" s="96">
        <f t="shared" si="57"/>
        <v>81.602016662469907</v>
      </c>
      <c r="DJ22" s="101">
        <f t="shared" si="58"/>
        <v>2.1637144939956034E-2</v>
      </c>
      <c r="DK22" s="92">
        <f t="shared" si="59"/>
        <v>0</v>
      </c>
      <c r="DL22" s="96">
        <f t="shared" si="60"/>
        <v>0</v>
      </c>
      <c r="DM22" s="101">
        <f t="shared" si="61"/>
        <v>0</v>
      </c>
      <c r="DN22" s="292">
        <v>2790.0437380342405</v>
      </c>
      <c r="DO22" s="96">
        <f t="shared" si="62"/>
        <v>2335.0945923590948</v>
      </c>
      <c r="DP22" s="294">
        <v>0.67666709084471877</v>
      </c>
      <c r="DQ22" s="29"/>
      <c r="DR22" s="28"/>
      <c r="DS22" s="28"/>
      <c r="DT22" s="28"/>
      <c r="DU22" s="28"/>
      <c r="DV22" s="29"/>
      <c r="DW22" s="320"/>
      <c r="DX22" s="321"/>
      <c r="DY22" s="321"/>
      <c r="DZ22" s="321"/>
      <c r="EA22" s="321"/>
      <c r="EB22" s="321"/>
      <c r="EC22" s="321"/>
      <c r="ED22" s="321"/>
      <c r="EE22" s="321"/>
      <c r="EF22" s="321"/>
      <c r="EG22" s="321"/>
      <c r="EH22" s="321"/>
      <c r="EI22" s="322"/>
      <c r="EJ22" s="323"/>
      <c r="EK22" s="332">
        <f t="shared" si="69"/>
        <v>0.16610000000000003</v>
      </c>
      <c r="EL22" s="332">
        <f t="shared" si="63"/>
        <v>1.9500000000000003E-2</v>
      </c>
      <c r="EM22" s="332" t="e">
        <f t="shared" si="70"/>
        <v>#DIV/0!</v>
      </c>
      <c r="EN22" s="332">
        <f t="shared" si="64"/>
        <v>0</v>
      </c>
      <c r="EO22" s="332">
        <v>0.18560000000000004</v>
      </c>
      <c r="EP22" s="332">
        <v>0.14836793068126636</v>
      </c>
      <c r="EQ22" s="333" t="e">
        <f t="shared" si="71"/>
        <v>#DIV/0!</v>
      </c>
      <c r="ER22" s="277"/>
      <c r="ES22" s="30">
        <v>13</v>
      </c>
      <c r="ET22" s="29">
        <f t="shared" si="85"/>
        <v>3114.8921915282499</v>
      </c>
      <c r="EU22" s="29">
        <f t="shared" si="86"/>
        <v>3115.5421477658119</v>
      </c>
      <c r="EV22" s="29">
        <f t="shared" si="72"/>
        <v>0.64995623756203713</v>
      </c>
      <c r="EW22" s="29">
        <f t="shared" si="73"/>
        <v>0.51996499004962971</v>
      </c>
      <c r="EX22" s="29">
        <f t="shared" si="87"/>
        <v>0.36436495389316403</v>
      </c>
      <c r="EY22" s="29">
        <f t="shared" si="102"/>
        <v>0.22639711958363479</v>
      </c>
      <c r="EZ22" s="29">
        <f t="shared" si="105"/>
        <v>9.3547109015253233E-2</v>
      </c>
      <c r="FA22" s="29">
        <f t="shared" si="74"/>
        <v>1.2042741725416819</v>
      </c>
      <c r="FB22" s="29"/>
      <c r="FC22" s="29">
        <f t="shared" si="247"/>
        <v>66.980000939055444</v>
      </c>
      <c r="FD22" s="29">
        <f t="shared" si="248"/>
        <v>66.842292990618347</v>
      </c>
      <c r="FE22" s="29">
        <f t="shared" si="203"/>
        <v>-0.13770794843709666</v>
      </c>
      <c r="FF22" s="29">
        <f t="shared" si="204"/>
        <v>-0.11016635874967733</v>
      </c>
      <c r="FG22" s="29">
        <f t="shared" si="205"/>
        <v>-7.1498083943544094E-2</v>
      </c>
      <c r="FH22" s="29">
        <f t="shared" si="206"/>
        <v>-4.0186369061225947E-2</v>
      </c>
      <c r="FI22" s="29">
        <f t="shared" si="207"/>
        <v>-1.6332629506537445E-2</v>
      </c>
      <c r="FJ22" s="29">
        <f t="shared" si="208"/>
        <v>-0.23818344126098479</v>
      </c>
      <c r="FK22" s="29"/>
      <c r="FL22" s="29"/>
      <c r="FM22" s="27">
        <f t="shared" si="27"/>
        <v>20000.615074416921</v>
      </c>
      <c r="FN22" s="29"/>
      <c r="FO22" s="301">
        <f t="shared" si="119"/>
        <v>1953.3917863698036</v>
      </c>
      <c r="FP22" s="89">
        <f t="shared" si="209"/>
        <v>-1.2032139905267207E-2</v>
      </c>
      <c r="FQ22" s="27">
        <f t="shared" si="103"/>
        <v>20</v>
      </c>
      <c r="FR22" s="302">
        <f t="shared" si="88"/>
        <v>13.464518542443937</v>
      </c>
      <c r="FS22" s="89">
        <f t="shared" si="89"/>
        <v>1485.4311360164402</v>
      </c>
      <c r="FT22" s="89">
        <f t="shared" si="210"/>
        <v>1953.3797542298985</v>
      </c>
      <c r="FU22" s="29">
        <f t="shared" si="90"/>
        <v>20</v>
      </c>
      <c r="FV22" s="137">
        <f t="shared" si="91"/>
        <v>13.464518542443937</v>
      </c>
      <c r="FW22" s="48">
        <v>2300.383327832752</v>
      </c>
      <c r="FX22" s="29">
        <f t="shared" si="120"/>
        <v>-49.754304537171265</v>
      </c>
      <c r="FY22" s="29">
        <f t="shared" si="121"/>
        <v>-51.800897237082573</v>
      </c>
      <c r="FZ22" s="29">
        <f t="shared" ref="FZ22:FZ44" si="266">IF(AND($AQ22&gt;=100%,$AQ21&lt;100%),0,FY21*(1+$AA21) - HG21*(1+$AA21)^0.5)</f>
        <v>-50.044219580537352</v>
      </c>
      <c r="GA22" s="29">
        <f t="shared" ref="GA22:GA44" si="267">IF(AND($AQ22&gt;=100%,$AQ21&lt;100%),0,FZ21*(1+$AA21) - HH21*(1+$AA21)^0.5)</f>
        <v>-30.321117256117201</v>
      </c>
      <c r="GB22" s="29">
        <f t="shared" ref="GB22:GB44" si="268">IF(AND($AQ22&gt;=100%,$AQ21&lt;100%),0,GA21*(1+$AA21) - HI21*(1+$AA21)^0.5)</f>
        <v>-1336.0723566126464</v>
      </c>
      <c r="GC22" s="29">
        <f t="shared" ref="GC22:GC44" si="269">IF(AND($AQ22&gt;=100%,$AQ21&lt;100%),0,GB21*(1+$AA21) - HJ21*(1+$AA21)^0.5)</f>
        <v>-871.87890500261904</v>
      </c>
      <c r="GD22" s="29">
        <f t="shared" ref="GD22:GD44" si="270">IF(AND($AQ22&gt;=100%,$AQ21&lt;100%),0,GC21*(1+$AA21) - HK21*(1+$AA21)^0.5)</f>
        <v>-817.6706889279169</v>
      </c>
      <c r="GE22" s="29">
        <f t="shared" ref="GE22:GE44" si="271">IF(AND($AQ22&gt;=100%,$AQ21&lt;100%),0,GD21*(1+$AA21) - HL21*(1+$AA21)^0.5)</f>
        <v>-986.14514973290102</v>
      </c>
      <c r="GF22" s="29">
        <f t="shared" ref="GF22:GF44" si="272">IF(AND($AQ22&gt;=100%,$AQ21&lt;100%),0,GE21*(1+$AA21) - HM21*(1+$AA21)^0.5)</f>
        <v>23524.177911245424</v>
      </c>
      <c r="GG22" s="29">
        <f t="shared" ref="GG22:GG44" si="273">IF(AND($AQ22&gt;=100%,$AQ21&lt;100%),0,GF21*(1+$AA21) - HN21*(1+$AA21)^0.5)</f>
        <v>0</v>
      </c>
      <c r="GH22" s="29">
        <f t="shared" ref="GH22:GH44" si="274">IF(AND($AQ22&gt;=100%,$AQ21&lt;100%),0,GG21*(1+$AA21) - HO21*(1+$AA21)^0.5)</f>
        <v>0</v>
      </c>
      <c r="GI22" s="29">
        <f t="shared" ref="GI22:GI44" si="275">IF(AND($AQ22&gt;=100%,$AQ21&lt;100%),0,GH21*(1+$AA21) - HP21*(1+$AA21)^0.5)</f>
        <v>0</v>
      </c>
      <c r="GJ22" s="29">
        <f t="shared" ref="GJ22:GJ44" si="276">IF(AND($AQ22&gt;=100%,$AQ21&lt;100%),0,GI21*(1+$AA21) - HQ21*(1+$AA21)^0.5)</f>
        <v>0</v>
      </c>
      <c r="GK22" s="29">
        <f t="shared" ref="GK22:GK44" si="277">IF(AND($AQ22&gt;=100%,$AQ21&lt;100%),0,GJ21*(1+$AA21) - HR21*(1+$AA21)^0.5)</f>
        <v>0</v>
      </c>
      <c r="GL22" s="29">
        <f t="shared" ref="GL22:GL44" si="278">IF(AND($AQ22&gt;=100%,$AQ21&lt;100%),0,GK21*(1+$AA21) - HS21*(1+$AA21)^0.5)</f>
        <v>0</v>
      </c>
      <c r="GM22" s="29">
        <f t="shared" ref="GM22:GM44" si="279">IF(AND($AQ22&gt;=100%,$AQ21&lt;100%),0,GL21*(1+$AA21) - HT21*(1+$AA21)^0.5)</f>
        <v>0</v>
      </c>
      <c r="GN22" s="29">
        <f t="shared" ref="GN22:GN44" si="280">IF(AND($AQ22&gt;=100%,$AQ21&lt;100%),0,GM21*(1+$AA21) - HU21*(1+$AA21)^0.5)</f>
        <v>0</v>
      </c>
      <c r="GO22" s="29">
        <f t="shared" si="251"/>
        <v>0</v>
      </c>
      <c r="GP22" s="29">
        <f t="shared" si="252"/>
        <v>0</v>
      </c>
      <c r="GQ22" s="29">
        <f t="shared" si="253"/>
        <v>0</v>
      </c>
      <c r="GR22" s="29">
        <f t="shared" si="254"/>
        <v>0</v>
      </c>
      <c r="GS22" s="29">
        <f t="shared" si="255"/>
        <v>0</v>
      </c>
      <c r="GT22" s="29">
        <f t="shared" si="256"/>
        <v>0</v>
      </c>
      <c r="GU22" s="29">
        <f t="shared" si="257"/>
        <v>0</v>
      </c>
      <c r="GV22" s="29">
        <f t="shared" si="258"/>
        <v>0</v>
      </c>
      <c r="GW22" s="29">
        <f t="shared" si="259"/>
        <v>0</v>
      </c>
      <c r="GX22" s="29">
        <f t="shared" si="260"/>
        <v>0</v>
      </c>
      <c r="GY22" s="29">
        <f t="shared" si="261"/>
        <v>0</v>
      </c>
      <c r="GZ22" s="29">
        <f t="shared" si="262"/>
        <v>0</v>
      </c>
      <c r="HA22" s="29">
        <f t="shared" si="263"/>
        <v>0</v>
      </c>
      <c r="HB22" s="29">
        <f t="shared" si="264"/>
        <v>0</v>
      </c>
      <c r="HC22" s="29">
        <f t="shared" si="265"/>
        <v>0</v>
      </c>
      <c r="HD22" s="29"/>
      <c r="HE22" s="29">
        <f t="shared" si="32"/>
        <v>20</v>
      </c>
      <c r="HF22" s="29">
        <f t="shared" si="123"/>
        <v>0</v>
      </c>
      <c r="HG22" s="29">
        <f t="shared" si="124"/>
        <v>-3.8472149653024448</v>
      </c>
      <c r="HH22" s="29">
        <f t="shared" si="125"/>
        <v>-3.8433296830072732</v>
      </c>
      <c r="HI22" s="29">
        <f t="shared" si="126"/>
        <v>-2.4142880623778336</v>
      </c>
      <c r="HJ22" s="29">
        <f t="shared" si="127"/>
        <v>-110.62346547551422</v>
      </c>
      <c r="HK22" s="29">
        <f t="shared" si="128"/>
        <v>-75.316957083994566</v>
      </c>
      <c r="HL22" s="29">
        <f t="shared" si="129"/>
        <v>-73.973220679913524</v>
      </c>
      <c r="HM22" s="29">
        <f t="shared" si="130"/>
        <v>-93.836368460560649</v>
      </c>
      <c r="HN22" s="29">
        <f t="shared" si="131"/>
        <v>2366.1409940471563</v>
      </c>
      <c r="HO22" s="29">
        <f t="shared" si="132"/>
        <v>0</v>
      </c>
      <c r="HP22" s="29">
        <f t="shared" si="133"/>
        <v>0</v>
      </c>
      <c r="HQ22" s="29">
        <f t="shared" si="134"/>
        <v>0</v>
      </c>
      <c r="HR22" s="29">
        <f t="shared" si="135"/>
        <v>0</v>
      </c>
      <c r="HS22" s="29">
        <f t="shared" si="136"/>
        <v>0</v>
      </c>
      <c r="HT22" s="29">
        <f t="shared" si="137"/>
        <v>0</v>
      </c>
      <c r="HU22" s="29">
        <f t="shared" si="138"/>
        <v>0</v>
      </c>
      <c r="HV22" s="29">
        <f t="shared" si="139"/>
        <v>0</v>
      </c>
      <c r="HW22" s="29">
        <f t="shared" si="140"/>
        <v>0</v>
      </c>
      <c r="HX22" s="29">
        <f t="shared" si="141"/>
        <v>0</v>
      </c>
      <c r="HY22" s="29">
        <f t="shared" si="142"/>
        <v>0</v>
      </c>
      <c r="HZ22" s="29">
        <f t="shared" si="143"/>
        <v>0</v>
      </c>
      <c r="IA22" s="29">
        <f t="shared" si="144"/>
        <v>0</v>
      </c>
      <c r="IB22" s="29">
        <f t="shared" si="145"/>
        <v>0</v>
      </c>
      <c r="IC22" s="29">
        <f t="shared" si="146"/>
        <v>0</v>
      </c>
      <c r="ID22" s="29">
        <f t="shared" si="147"/>
        <v>0</v>
      </c>
      <c r="IE22" s="29">
        <f t="shared" si="148"/>
        <v>0</v>
      </c>
      <c r="IF22" s="29">
        <f t="shared" si="149"/>
        <v>0</v>
      </c>
      <c r="IG22" s="29">
        <f t="shared" si="150"/>
        <v>0</v>
      </c>
      <c r="IH22" s="29">
        <f t="shared" si="151"/>
        <v>0</v>
      </c>
      <c r="II22" s="29">
        <f t="shared" si="152"/>
        <v>0</v>
      </c>
      <c r="IJ22" s="29">
        <f t="shared" si="153"/>
        <v>0</v>
      </c>
      <c r="IK22" s="29">
        <f t="shared" si="154"/>
        <v>0</v>
      </c>
      <c r="IL22" s="48"/>
      <c r="IM22" s="48"/>
      <c r="IN22" s="48"/>
      <c r="IO22" s="29">
        <f t="shared" si="211"/>
        <v>-2.3289388903080577E-2</v>
      </c>
      <c r="IP22" s="29">
        <f t="shared" si="249"/>
        <v>-2.7961576030023225E-2</v>
      </c>
      <c r="IQ22" s="29">
        <f t="shared" si="212"/>
        <v>-3.2130532556739831E-2</v>
      </c>
      <c r="IR22" s="29">
        <f t="shared" si="212"/>
        <v>-3.6149869930826417E-2</v>
      </c>
      <c r="IS22" s="29">
        <f t="shared" si="212"/>
        <v>-3.5815424481107631E-2</v>
      </c>
      <c r="IT22" s="29">
        <f t="shared" si="212"/>
        <v>-3.1032445418060588E-2</v>
      </c>
      <c r="IU22" s="29">
        <f t="shared" si="212"/>
        <v>-1.5086774572469229E-2</v>
      </c>
      <c r="IV22" s="29">
        <f t="shared" si="212"/>
        <v>0</v>
      </c>
      <c r="IW22" s="29">
        <f t="shared" si="212"/>
        <v>0</v>
      </c>
      <c r="IX22" s="29">
        <f t="shared" si="212"/>
        <v>0</v>
      </c>
      <c r="IY22" s="29">
        <f t="shared" si="212"/>
        <v>0</v>
      </c>
      <c r="IZ22" s="29">
        <f t="shared" si="212"/>
        <v>0</v>
      </c>
      <c r="JA22" s="29">
        <f t="shared" si="212"/>
        <v>0</v>
      </c>
      <c r="JB22" s="29">
        <f t="shared" si="212"/>
        <v>0</v>
      </c>
      <c r="JC22" s="29">
        <f t="shared" si="212"/>
        <v>0</v>
      </c>
      <c r="JD22" s="29">
        <f t="shared" si="212"/>
        <v>0</v>
      </c>
      <c r="JE22" s="29">
        <f t="shared" si="212"/>
        <v>0</v>
      </c>
      <c r="JF22" s="29">
        <f t="shared" si="212"/>
        <v>0</v>
      </c>
      <c r="JG22" s="29">
        <f t="shared" si="212"/>
        <v>0</v>
      </c>
      <c r="JH22" s="29">
        <f t="shared" si="212"/>
        <v>0</v>
      </c>
      <c r="JI22" s="29">
        <f t="shared" si="212"/>
        <v>0</v>
      </c>
      <c r="JJ22" s="29">
        <f t="shared" si="212"/>
        <v>0</v>
      </c>
      <c r="JK22" s="29">
        <f t="shared" si="212"/>
        <v>0</v>
      </c>
      <c r="JL22" s="29">
        <f t="shared" si="212"/>
        <v>0</v>
      </c>
      <c r="JM22" s="29">
        <f t="shared" si="212"/>
        <v>0</v>
      </c>
      <c r="JN22" s="29">
        <f t="shared" si="212"/>
        <v>0</v>
      </c>
      <c r="JO22" s="29">
        <f t="shared" si="212"/>
        <v>0</v>
      </c>
      <c r="JP22" s="29">
        <f t="shared" si="212"/>
        <v>0</v>
      </c>
      <c r="JQ22" s="29">
        <f t="shared" si="212"/>
        <v>0</v>
      </c>
      <c r="JR22" s="29">
        <f t="shared" si="212"/>
        <v>0</v>
      </c>
      <c r="JS22" s="29">
        <f t="shared" si="212"/>
        <v>0</v>
      </c>
      <c r="JT22" s="29">
        <f t="shared" si="212"/>
        <v>0</v>
      </c>
      <c r="JU22" s="48"/>
      <c r="JV22" s="394">
        <f t="shared" si="213"/>
        <v>20</v>
      </c>
      <c r="JW22" s="29">
        <f t="shared" si="214"/>
        <v>0</v>
      </c>
      <c r="JX22" s="29">
        <f t="shared" si="215"/>
        <v>-2.0766859165354114E-3</v>
      </c>
      <c r="JY22" s="29">
        <f t="shared" si="216"/>
        <v>-2.4675822810548025E-3</v>
      </c>
      <c r="JZ22" s="29">
        <f t="shared" si="217"/>
        <v>-2.8783965542331022E-3</v>
      </c>
      <c r="KA22" s="29">
        <f t="shared" si="218"/>
        <v>-2.9654279979429033E-3</v>
      </c>
      <c r="KB22" s="29">
        <f t="shared" si="219"/>
        <v>-2.6807270440342311E-3</v>
      </c>
      <c r="KC22" s="29">
        <f t="shared" si="220"/>
        <v>-1.3648738054443806E-3</v>
      </c>
      <c r="KD22" s="29">
        <f t="shared" si="221"/>
        <v>0</v>
      </c>
      <c r="KE22" s="29">
        <f t="shared" si="222"/>
        <v>0</v>
      </c>
      <c r="KF22" s="29">
        <f t="shared" si="223"/>
        <v>0</v>
      </c>
      <c r="KG22" s="29">
        <f t="shared" si="224"/>
        <v>0</v>
      </c>
      <c r="KH22" s="29">
        <f t="shared" si="225"/>
        <v>0</v>
      </c>
      <c r="KI22" s="29">
        <f t="shared" si="226"/>
        <v>0</v>
      </c>
      <c r="KJ22" s="29">
        <f t="shared" si="227"/>
        <v>0</v>
      </c>
      <c r="KK22" s="29">
        <f t="shared" si="228"/>
        <v>0</v>
      </c>
      <c r="KL22" s="29">
        <f t="shared" si="229"/>
        <v>0</v>
      </c>
      <c r="KM22" s="29">
        <f t="shared" si="230"/>
        <v>0</v>
      </c>
      <c r="KN22" s="29">
        <f t="shared" si="231"/>
        <v>0</v>
      </c>
      <c r="KO22" s="29">
        <f t="shared" si="232"/>
        <v>0</v>
      </c>
      <c r="KP22" s="29">
        <f t="shared" si="233"/>
        <v>0</v>
      </c>
      <c r="KQ22" s="29">
        <f t="shared" si="234"/>
        <v>0</v>
      </c>
      <c r="KR22" s="29">
        <f t="shared" si="235"/>
        <v>0</v>
      </c>
      <c r="KS22" s="29">
        <f t="shared" si="236"/>
        <v>0</v>
      </c>
      <c r="KT22" s="29">
        <f t="shared" si="237"/>
        <v>0</v>
      </c>
      <c r="KU22" s="29">
        <f t="shared" si="238"/>
        <v>0</v>
      </c>
      <c r="KV22" s="29">
        <f t="shared" si="239"/>
        <v>0</v>
      </c>
      <c r="KW22" s="29">
        <f t="shared" si="240"/>
        <v>0</v>
      </c>
      <c r="KX22" s="29">
        <f t="shared" si="241"/>
        <v>0</v>
      </c>
      <c r="KY22" s="29">
        <f t="shared" si="242"/>
        <v>0</v>
      </c>
      <c r="KZ22" s="29">
        <f t="shared" si="243"/>
        <v>0</v>
      </c>
      <c r="LA22" s="29">
        <f t="shared" si="244"/>
        <v>0</v>
      </c>
      <c r="LB22" s="29">
        <f t="shared" si="245"/>
        <v>0</v>
      </c>
      <c r="LC22" s="48"/>
      <c r="LD22" s="48"/>
      <c r="LE22" s="48"/>
      <c r="LF22" s="48"/>
      <c r="LG22" s="48"/>
      <c r="LH22" s="48"/>
      <c r="LI22" s="48"/>
      <c r="LJ22" s="48"/>
      <c r="LK22" s="48"/>
      <c r="LL22" s="48"/>
      <c r="LM22" s="48"/>
      <c r="LN22" s="48"/>
      <c r="LO22" s="48"/>
      <c r="LP22" s="46">
        <f t="shared" si="33"/>
        <v>0.3274670957921777</v>
      </c>
      <c r="LQ22" s="47">
        <f t="shared" si="34"/>
        <v>0.6927160892035219</v>
      </c>
      <c r="LR22" s="28"/>
      <c r="LS22" s="48"/>
      <c r="LT22" s="28"/>
      <c r="LU22" s="161">
        <v>1.9716666666666667E-2</v>
      </c>
      <c r="LV22" s="111">
        <f t="shared" si="75"/>
        <v>3.1965387415585087E-18</v>
      </c>
      <c r="LW22" s="152">
        <f t="shared" si="18"/>
        <v>9.8845271518186149E-15</v>
      </c>
      <c r="LX22" s="223" t="e">
        <f>LX21*(1+#REF!)</f>
        <v>#REF!</v>
      </c>
      <c r="LY22" s="153"/>
      <c r="LZ22" s="124">
        <f t="shared" si="76"/>
        <v>-14.277463450314826</v>
      </c>
      <c r="MA22" s="125">
        <f t="shared" si="77"/>
        <v>-53.714707739898586</v>
      </c>
      <c r="MB22" s="28"/>
      <c r="MC22" s="374">
        <f>MC21+0.25%</f>
        <v>1.7500000000000002E-2</v>
      </c>
      <c r="MD22" s="387">
        <f t="shared" si="187"/>
        <v>-53.505304670483724</v>
      </c>
      <c r="ME22" s="152">
        <f t="shared" si="188"/>
        <v>-3992.0315696929756</v>
      </c>
      <c r="MF22" s="209"/>
      <c r="MG22" s="374">
        <f>MG21+0.25%</f>
        <v>1.7500000000000002E-2</v>
      </c>
      <c r="MH22" s="387">
        <f t="shared" si="189"/>
        <v>-2.0830195876208655</v>
      </c>
      <c r="MI22" s="152">
        <f t="shared" si="155"/>
        <v>-155.41412211897156</v>
      </c>
      <c r="MJ22" s="28"/>
      <c r="MK22" s="129"/>
      <c r="ML22" s="130"/>
      <c r="MM22" s="28"/>
      <c r="MN22" s="28"/>
      <c r="MO22" s="28"/>
      <c r="MP22" s="28"/>
      <c r="MQ22" s="28"/>
      <c r="MR22" s="28"/>
      <c r="MS22" s="28">
        <f t="shared" si="92"/>
        <v>75</v>
      </c>
      <c r="MT22" s="28">
        <f t="shared" si="93"/>
        <v>0.40256414286678122</v>
      </c>
      <c r="MU22" s="28">
        <f t="shared" si="94"/>
        <v>0.42045256277578741</v>
      </c>
      <c r="MV22" s="28">
        <f t="shared" si="95"/>
        <v>0.43907224077619339</v>
      </c>
      <c r="MW22" s="28">
        <f t="shared" si="96"/>
        <v>0.45845048611501343</v>
      </c>
      <c r="MX22" s="28">
        <f t="shared" si="97"/>
        <v>0.47861553207746682</v>
      </c>
      <c r="MY22" s="28">
        <f t="shared" si="98"/>
        <v>0.49959656403170988</v>
      </c>
      <c r="MZ22" s="28"/>
      <c r="NA22" s="28"/>
      <c r="NB22" s="28"/>
      <c r="NC22" s="28"/>
      <c r="ND22" s="28"/>
      <c r="NE22" s="28"/>
      <c r="NF22" s="28"/>
      <c r="NG22" s="28"/>
      <c r="NH22" s="28"/>
      <c r="NI22" s="28"/>
      <c r="NJ22" s="28"/>
      <c r="NK22" s="28"/>
    </row>
    <row r="23" spans="1:375" s="30" customFormat="1" ht="12.75" customHeight="1" x14ac:dyDescent="0.3">
      <c r="A23" s="298">
        <f t="shared" si="99"/>
        <v>2032</v>
      </c>
      <c r="B23" s="348">
        <f t="shared" si="2"/>
        <v>2030</v>
      </c>
      <c r="C23" s="26">
        <v>47665</v>
      </c>
      <c r="D23" s="92">
        <f t="shared" si="156"/>
        <v>9202.4587247622549</v>
      </c>
      <c r="E23" s="27">
        <f t="shared" si="106"/>
        <v>9202.4587247622549</v>
      </c>
      <c r="F23" s="107">
        <f t="shared" si="21"/>
        <v>3608.8073430440213</v>
      </c>
      <c r="G23" s="27">
        <f t="shared" si="157"/>
        <v>14272.713739373188</v>
      </c>
      <c r="H23" s="27">
        <f t="shared" si="158"/>
        <v>10704.535304529891</v>
      </c>
      <c r="I23" s="289">
        <f t="shared" si="159"/>
        <v>9098.8550088504071</v>
      </c>
      <c r="J23" s="68">
        <v>3210.8402820000001</v>
      </c>
      <c r="K23" s="290">
        <f t="shared" si="160"/>
        <v>5888.014726850407</v>
      </c>
      <c r="L23" s="290">
        <f t="shared" si="107"/>
        <v>3568.1784348432971</v>
      </c>
      <c r="M23" s="290">
        <f t="shared" si="161"/>
        <v>3032.9516696168025</v>
      </c>
      <c r="N23" s="27">
        <f t="shared" si="162"/>
        <v>0</v>
      </c>
      <c r="O23" s="290">
        <f t="shared" si="163"/>
        <v>1605.6802956794836</v>
      </c>
      <c r="P23" s="290">
        <f t="shared" si="108"/>
        <v>535.22676522649454</v>
      </c>
      <c r="Q23" s="290">
        <f t="shared" si="164"/>
        <v>549.27599354471852</v>
      </c>
      <c r="R23" s="254">
        <f t="shared" si="3"/>
        <v>0.75</v>
      </c>
      <c r="S23" s="251">
        <v>0.25</v>
      </c>
      <c r="T23" s="284">
        <f t="shared" si="165"/>
        <v>7.0000000000000007E-2</v>
      </c>
      <c r="U23" s="284">
        <f t="shared" si="166"/>
        <v>7.0000000000000007E-2</v>
      </c>
      <c r="V23" s="27">
        <f t="shared" si="5"/>
        <v>69200.765065318148</v>
      </c>
      <c r="W23" s="27">
        <f t="shared" si="167"/>
        <v>67708.210087477695</v>
      </c>
      <c r="X23" s="27">
        <f t="shared" si="190"/>
        <v>1492.5549778404531</v>
      </c>
      <c r="Y23" s="27">
        <f t="shared" si="168"/>
        <v>979.94668445318882</v>
      </c>
      <c r="Z23" s="27">
        <f t="shared" si="191"/>
        <v>326.64889481772963</v>
      </c>
      <c r="AA23" s="111">
        <f t="shared" si="169"/>
        <v>7.0000000000000007E-2</v>
      </c>
      <c r="AB23" s="111">
        <f t="shared" si="170"/>
        <v>7.0000000000000007E-2</v>
      </c>
      <c r="AC23" s="92">
        <f t="shared" si="7"/>
        <v>69200.765065318148</v>
      </c>
      <c r="AD23" s="27">
        <f t="shared" si="171"/>
        <v>67708.210087477695</v>
      </c>
      <c r="AE23" s="27">
        <f t="shared" si="192"/>
        <v>1492.5549778404531</v>
      </c>
      <c r="AF23" s="145">
        <f t="shared" si="172"/>
        <v>979.94668445318882</v>
      </c>
      <c r="AG23" s="27">
        <f t="shared" si="193"/>
        <v>326.64889481772963</v>
      </c>
      <c r="AH23" s="27">
        <f t="shared" si="173"/>
        <v>50639.666080434537</v>
      </c>
      <c r="AI23" s="27">
        <f t="shared" si="174"/>
        <v>49146.890098810749</v>
      </c>
      <c r="AJ23" s="27">
        <f t="shared" si="194"/>
        <v>1492.7759816237854</v>
      </c>
      <c r="AK23" s="27">
        <f t="shared" si="11"/>
        <v>50640.691522924142</v>
      </c>
      <c r="AL23" s="27">
        <f t="shared" si="175"/>
        <v>49148.190763061866</v>
      </c>
      <c r="AM23" s="27">
        <f t="shared" si="246"/>
        <v>1492.5007598622751</v>
      </c>
      <c r="AN23" s="409">
        <f>INDEX(Inv.Returns!$B$2:$E$32,MATCH(B23,Inv.Returns!$A$2:$A$32,0),MATCH(SCRS!$DU$52,Inv.Returns!$B$1:$E$1,0))</f>
        <v>7.0000000000000007E-2</v>
      </c>
      <c r="AO23" s="27">
        <f t="shared" si="41"/>
        <v>18561.098984883611</v>
      </c>
      <c r="AP23" s="223">
        <f t="shared" si="12"/>
        <v>18560.073542394006</v>
      </c>
      <c r="AQ23" s="67">
        <f t="shared" si="22"/>
        <v>0.73177899164317173</v>
      </c>
      <c r="AR23" s="146">
        <f t="shared" si="23"/>
        <v>0.73179381001242871</v>
      </c>
      <c r="AS23" s="346"/>
      <c r="AT23" s="283">
        <f t="shared" si="176"/>
        <v>0.1095</v>
      </c>
      <c r="AU23" s="390">
        <f t="shared" si="109"/>
        <v>0.1095</v>
      </c>
      <c r="AV23" s="296">
        <f t="shared" si="110"/>
        <v>0.13456926891570536</v>
      </c>
      <c r="AW23" s="296">
        <f t="shared" si="111"/>
        <v>-3.8907784278835586E-6</v>
      </c>
      <c r="AX23" s="111">
        <f t="shared" si="82"/>
        <v>0.09</v>
      </c>
      <c r="AY23" s="111">
        <f t="shared" si="112"/>
        <v>0.09</v>
      </c>
      <c r="AZ23" s="111">
        <f t="shared" si="113"/>
        <v>0</v>
      </c>
      <c r="BA23" s="256">
        <f t="shared" si="24"/>
        <v>1.9500000000000003E-2</v>
      </c>
      <c r="BB23" s="111">
        <f t="shared" si="114"/>
        <v>1.9500000000000003E-2</v>
      </c>
      <c r="BC23" s="128">
        <f t="shared" si="83"/>
        <v>0.18560000000000004</v>
      </c>
      <c r="BD23" s="128">
        <f t="shared" si="104"/>
        <v>0.18560000000000004</v>
      </c>
      <c r="BE23" s="402">
        <f t="shared" si="15"/>
        <v>0.16610000000000003</v>
      </c>
      <c r="BF23" s="402">
        <f t="shared" si="115"/>
        <v>0.16610000000000003</v>
      </c>
      <c r="BG23" s="402">
        <f t="shared" si="177"/>
        <v>0.13560000000000005</v>
      </c>
      <c r="BH23" s="402">
        <f t="shared" si="26"/>
        <v>0.18560000000000004</v>
      </c>
      <c r="BI23" s="152">
        <f t="shared" si="42"/>
        <v>9.3579415788686919</v>
      </c>
      <c r="BJ23" s="100">
        <f t="shared" si="43"/>
        <v>4.1869522882181265E-2</v>
      </c>
      <c r="BK23" s="27">
        <f t="shared" si="67"/>
        <v>11.500481117778014</v>
      </c>
      <c r="BL23" s="27">
        <f t="shared" si="17"/>
        <v>20</v>
      </c>
      <c r="BM23" s="107">
        <f t="shared" si="31"/>
        <v>10.116356026962173</v>
      </c>
      <c r="BN23" s="27"/>
      <c r="BO23" s="27"/>
      <c r="BP23" s="92">
        <f t="shared" si="178"/>
        <v>-4045.2593062862284</v>
      </c>
      <c r="BQ23" s="27">
        <f t="shared" si="195"/>
        <v>-60.659033392336049</v>
      </c>
      <c r="BR23" s="27">
        <f t="shared" si="179"/>
        <v>-157.4863356800623</v>
      </c>
      <c r="BS23" s="27">
        <f t="shared" si="116"/>
        <v>-2.3615220117060174</v>
      </c>
      <c r="BT23" s="27">
        <f t="shared" si="180"/>
        <v>-16.377939015930732</v>
      </c>
      <c r="BU23" s="27">
        <f t="shared" si="196"/>
        <v>-5.4593130053102445</v>
      </c>
      <c r="BV23" s="297">
        <f t="shared" si="181"/>
        <v>818.89695079653666</v>
      </c>
      <c r="BW23" s="297">
        <f t="shared" si="197"/>
        <v>272.96565026551224</v>
      </c>
      <c r="BX23" s="297">
        <f t="shared" si="198"/>
        <v>0</v>
      </c>
      <c r="BY23" s="297">
        <f t="shared" si="182"/>
        <v>49.434839419024662</v>
      </c>
      <c r="BZ23" s="297">
        <f t="shared" si="84"/>
        <v>177.42767267258296</v>
      </c>
      <c r="CA23" s="297">
        <f t="shared" si="199"/>
        <v>59.142557557527653</v>
      </c>
      <c r="CB23" s="297">
        <f t="shared" si="183"/>
        <v>2002.2861496364858</v>
      </c>
      <c r="CC23" s="297">
        <f t="shared" si="200"/>
        <v>0</v>
      </c>
      <c r="CD23" s="297">
        <f t="shared" si="201"/>
        <v>-1.4433693599244832E-2</v>
      </c>
      <c r="CE23" s="297"/>
      <c r="CF23" s="297">
        <f t="shared" si="184"/>
        <v>0</v>
      </c>
      <c r="CG23" s="297">
        <f t="shared" si="202"/>
        <v>0</v>
      </c>
      <c r="CH23" s="297">
        <f t="shared" si="185"/>
        <v>0</v>
      </c>
      <c r="CI23" s="427">
        <f>IF(AND($DU$74="Yes",MAX($AQ$13:AQ22)&lt;100%),MAX(BD21*(G23+Q23)-SUM(BZ23:CH23,CJ23,CY23),0),0)</f>
        <v>0</v>
      </c>
      <c r="CJ23" s="27"/>
      <c r="CK23" s="27">
        <f t="shared" si="44"/>
        <v>0</v>
      </c>
      <c r="CL23" s="27">
        <f t="shared" si="45"/>
        <v>0</v>
      </c>
      <c r="CM23" s="27">
        <f t="shared" si="46"/>
        <v>0</v>
      </c>
      <c r="CN23" s="27">
        <f t="shared" si="47"/>
        <v>3380.1393866540711</v>
      </c>
      <c r="CO23" s="27">
        <f t="shared" si="48"/>
        <v>0</v>
      </c>
      <c r="CP23" s="107">
        <f t="shared" si="4"/>
        <v>3380.1393866540711</v>
      </c>
      <c r="CQ23" s="27">
        <f t="shared" si="117"/>
        <v>2002.2717159428864</v>
      </c>
      <c r="CR23" s="27">
        <f t="shared" si="118"/>
        <v>0</v>
      </c>
      <c r="CS23" s="27">
        <f t="shared" si="186"/>
        <v>2002.2717159428864</v>
      </c>
      <c r="CT23" s="27">
        <f>SUM($CS$14:CS23)</f>
        <v>17048.015126475453</v>
      </c>
      <c r="CU23" s="223">
        <v>2208.5620717938482</v>
      </c>
      <c r="CV23" s="417">
        <v>449.98525010982303</v>
      </c>
      <c r="CW23" s="417">
        <v>2658.5473219036712</v>
      </c>
      <c r="CX23" s="417">
        <v>22570.08540049498</v>
      </c>
      <c r="CY23" s="103">
        <f t="shared" si="49"/>
        <v>107.04535304529891</v>
      </c>
      <c r="CZ23" s="111">
        <f t="shared" si="101"/>
        <v>0.15827074107387581</v>
      </c>
      <c r="DA23" s="92">
        <f t="shared" si="50"/>
        <v>2345.887299218296</v>
      </c>
      <c r="DB23" s="410">
        <f t="shared" si="51"/>
        <v>1920.1594493252321</v>
      </c>
      <c r="DC23" s="307">
        <f t="shared" si="52"/>
        <v>1533.0743321052007</v>
      </c>
      <c r="DD23" s="307">
        <f t="shared" si="53"/>
        <v>181.13413120616923</v>
      </c>
      <c r="DE23" s="307">
        <f t="shared" si="54"/>
        <v>0</v>
      </c>
      <c r="DF23" s="307">
        <f t="shared" si="55"/>
        <v>36495.54026955989</v>
      </c>
      <c r="DG23" s="307" t="b">
        <f t="shared" si="68"/>
        <v>0</v>
      </c>
      <c r="DH23" s="27">
        <f t="shared" si="56"/>
        <v>107.04535304529891</v>
      </c>
      <c r="DI23" s="96">
        <f t="shared" si="57"/>
        <v>81.961145342158019</v>
      </c>
      <c r="DJ23" s="101">
        <f t="shared" si="58"/>
        <v>1.923301772440536E-2</v>
      </c>
      <c r="DK23" s="92">
        <f t="shared" si="59"/>
        <v>0</v>
      </c>
      <c r="DL23" s="96">
        <f t="shared" si="60"/>
        <v>0</v>
      </c>
      <c r="DM23" s="101">
        <f t="shared" si="61"/>
        <v>0</v>
      </c>
      <c r="DN23" s="292">
        <v>2873.7450501752687</v>
      </c>
      <c r="DO23" s="96">
        <f t="shared" si="62"/>
        <v>2352.2224255548836</v>
      </c>
      <c r="DP23" s="294">
        <v>0.70281160621792638</v>
      </c>
      <c r="DQ23" s="29"/>
      <c r="DR23" s="388" t="s">
        <v>254</v>
      </c>
      <c r="DS23" s="28"/>
      <c r="DT23" s="28"/>
      <c r="DU23" s="242">
        <v>7.0000000000000007E-2</v>
      </c>
      <c r="DV23" s="29"/>
      <c r="DW23" s="320"/>
      <c r="DX23" s="321"/>
      <c r="DY23" s="321"/>
      <c r="DZ23" s="321"/>
      <c r="EA23" s="321"/>
      <c r="EB23" s="321"/>
      <c r="EC23" s="321"/>
      <c r="ED23" s="321"/>
      <c r="EE23" s="321"/>
      <c r="EF23" s="321"/>
      <c r="EG23" s="321"/>
      <c r="EH23" s="321"/>
      <c r="EI23" s="322"/>
      <c r="EJ23" s="323"/>
      <c r="EK23" s="332">
        <f t="shared" si="69"/>
        <v>0.16610000000000003</v>
      </c>
      <c r="EL23" s="332">
        <f t="shared" si="63"/>
        <v>1.9500000000000003E-2</v>
      </c>
      <c r="EM23" s="332" t="e">
        <f t="shared" si="70"/>
        <v>#DIV/0!</v>
      </c>
      <c r="EN23" s="332">
        <f t="shared" si="64"/>
        <v>0</v>
      </c>
      <c r="EO23" s="332">
        <v>0.18560000000000004</v>
      </c>
      <c r="EP23" s="332">
        <v>0.14797773225750099</v>
      </c>
      <c r="EQ23" s="333" t="e">
        <f t="shared" si="71"/>
        <v>#DIV/0!</v>
      </c>
      <c r="ER23" s="277"/>
      <c r="ES23" s="334">
        <v>14</v>
      </c>
      <c r="ET23" s="29">
        <f t="shared" si="85"/>
        <v>3253.5631368104096</v>
      </c>
      <c r="EU23" s="29">
        <f t="shared" si="86"/>
        <v>3254.256364284819</v>
      </c>
      <c r="EV23" s="29">
        <f t="shared" si="72"/>
        <v>0.69322747440946841</v>
      </c>
      <c r="EW23" s="29">
        <f t="shared" si="73"/>
        <v>0.55458197952757471</v>
      </c>
      <c r="EX23" s="29">
        <f t="shared" si="87"/>
        <v>0.38997374253722228</v>
      </c>
      <c r="EY23" s="29">
        <f t="shared" si="102"/>
        <v>0.24290996926210934</v>
      </c>
      <c r="EZ23" s="29">
        <f t="shared" si="105"/>
        <v>0.11319855979181739</v>
      </c>
      <c r="FA23" s="29">
        <f t="shared" si="74"/>
        <v>1.3006642511187239</v>
      </c>
      <c r="FB23" s="29"/>
      <c r="FC23" s="29">
        <f t="shared" si="247"/>
        <v>89.027560609145397</v>
      </c>
      <c r="FD23" s="29">
        <f t="shared" si="248"/>
        <v>88.871512585868402</v>
      </c>
      <c r="FE23" s="29">
        <f t="shared" si="203"/>
        <v>-0.15604802327699474</v>
      </c>
      <c r="FF23" s="29">
        <f t="shared" si="204"/>
        <v>-0.1248384186215958</v>
      </c>
      <c r="FG23" s="29">
        <f t="shared" si="205"/>
        <v>-8.2624769062257991E-2</v>
      </c>
      <c r="FH23" s="29">
        <f t="shared" si="206"/>
        <v>-4.766538929569606E-2</v>
      </c>
      <c r="FI23" s="29">
        <f t="shared" si="207"/>
        <v>-2.0093184530612974E-2</v>
      </c>
      <c r="FJ23" s="29">
        <f t="shared" si="208"/>
        <v>-0.27522176151016287</v>
      </c>
      <c r="FK23" s="29"/>
      <c r="FL23" s="29"/>
      <c r="FM23" s="27">
        <f t="shared" si="27"/>
        <v>19330.288806346543</v>
      </c>
      <c r="FN23" s="29"/>
      <c r="FO23" s="301">
        <f t="shared" si="119"/>
        <v>2002.2861496364858</v>
      </c>
      <c r="FP23" s="89">
        <f t="shared" si="209"/>
        <v>-1.4433693599244832E-2</v>
      </c>
      <c r="FQ23" s="27">
        <f t="shared" si="103"/>
        <v>20</v>
      </c>
      <c r="FR23" s="302">
        <f t="shared" si="88"/>
        <v>13.464518542443937</v>
      </c>
      <c r="FS23" s="89">
        <f t="shared" si="89"/>
        <v>1435.6464915854253</v>
      </c>
      <c r="FT23" s="89">
        <f t="shared" si="210"/>
        <v>2002.2717159428864</v>
      </c>
      <c r="FU23" s="29">
        <f t="shared" si="90"/>
        <v>20</v>
      </c>
      <c r="FV23" s="137">
        <f t="shared" si="91"/>
        <v>13.464518542443937</v>
      </c>
      <c r="FW23" s="48">
        <v>2347.3505679890536</v>
      </c>
      <c r="FX23" s="29">
        <f t="shared" si="120"/>
        <v>-51.12370462673789</v>
      </c>
      <c r="FY23" s="29">
        <f t="shared" si="121"/>
        <v>-53.237105854773255</v>
      </c>
      <c r="FZ23" s="29">
        <f t="shared" si="266"/>
        <v>-51.447369939346707</v>
      </c>
      <c r="GA23" s="29">
        <f t="shared" si="267"/>
        <v>-49.571743814099854</v>
      </c>
      <c r="GB23" s="29">
        <f t="shared" si="268"/>
        <v>-29.946236473529645</v>
      </c>
      <c r="GC23" s="29">
        <f t="shared" si="269"/>
        <v>-1315.1676191122785</v>
      </c>
      <c r="GD23" s="29">
        <f t="shared" si="270"/>
        <v>-855.00196214982975</v>
      </c>
      <c r="GE23" s="29">
        <f t="shared" si="271"/>
        <v>-798.38914269432655</v>
      </c>
      <c r="GF23" s="29">
        <f t="shared" si="272"/>
        <v>-958.11021592652139</v>
      </c>
      <c r="GG23" s="29">
        <f t="shared" si="273"/>
        <v>22723.315089258391</v>
      </c>
      <c r="GH23" s="29">
        <f t="shared" si="274"/>
        <v>0</v>
      </c>
      <c r="GI23" s="29">
        <f t="shared" si="275"/>
        <v>0</v>
      </c>
      <c r="GJ23" s="29">
        <f t="shared" si="276"/>
        <v>0</v>
      </c>
      <c r="GK23" s="29">
        <f t="shared" si="277"/>
        <v>0</v>
      </c>
      <c r="GL23" s="29">
        <f t="shared" si="278"/>
        <v>0</v>
      </c>
      <c r="GM23" s="29">
        <f t="shared" si="279"/>
        <v>0</v>
      </c>
      <c r="GN23" s="29">
        <f t="shared" si="280"/>
        <v>0</v>
      </c>
      <c r="GO23" s="29">
        <f t="shared" si="251"/>
        <v>0</v>
      </c>
      <c r="GP23" s="29">
        <f t="shared" si="252"/>
        <v>0</v>
      </c>
      <c r="GQ23" s="29">
        <f t="shared" si="253"/>
        <v>0</v>
      </c>
      <c r="GR23" s="29">
        <f t="shared" si="254"/>
        <v>0</v>
      </c>
      <c r="GS23" s="29">
        <f t="shared" si="255"/>
        <v>0</v>
      </c>
      <c r="GT23" s="29">
        <f t="shared" si="256"/>
        <v>0</v>
      </c>
      <c r="GU23" s="29">
        <f t="shared" si="257"/>
        <v>0</v>
      </c>
      <c r="GV23" s="29">
        <f t="shared" si="258"/>
        <v>0</v>
      </c>
      <c r="GW23" s="29">
        <f t="shared" si="259"/>
        <v>0</v>
      </c>
      <c r="GX23" s="29">
        <f t="shared" si="260"/>
        <v>0</v>
      </c>
      <c r="GY23" s="29">
        <f t="shared" si="261"/>
        <v>0</v>
      </c>
      <c r="GZ23" s="29">
        <f t="shared" si="262"/>
        <v>0</v>
      </c>
      <c r="HA23" s="29">
        <f t="shared" si="263"/>
        <v>0</v>
      </c>
      <c r="HB23" s="29">
        <f t="shared" si="264"/>
        <v>0</v>
      </c>
      <c r="HC23" s="29">
        <f t="shared" si="265"/>
        <v>0</v>
      </c>
      <c r="HD23" s="29"/>
      <c r="HE23" s="29">
        <f t="shared" si="32"/>
        <v>20</v>
      </c>
      <c r="HF23" s="29">
        <f t="shared" ref="HF23:HF26" si="281">IF(HF$3&lt;2,0,FX23/(  -PV((((   1+$AA23   )/(   1+$DU$69   ))-1),   MAX($HE23 - HF$3 + 2,1),1,0,1)/((   1+$AA23   )^0.5)   ))</f>
        <v>0</v>
      </c>
      <c r="HG23" s="29">
        <f t="shared" ref="HG23:HG26" si="282">IF(HG$3&lt;2,0,FY23/(  -PV((((   1+$AA23   )/(   1+$DU$69   ))-1),   MAX($HE23 - HG$3 + 2,1),1,0,1)/((   1+$AA23   )^0.5)   ))</f>
        <v>-3.953881134847486</v>
      </c>
      <c r="HH23" s="29">
        <f t="shared" ref="HH23:HH26" si="283">IF(HH$3&lt;2,0,FZ23/(  -PV((((   1+$AA23   )/(   1+$DU$69   ))-1),   MAX($HE23 - HH$3 + 2,1),1,0,1)/((   1+$AA23   )^0.5)   ))</f>
        <v>-3.9510897693656104</v>
      </c>
      <c r="HI23" s="29">
        <f t="shared" ref="HI23:HI26" si="284">IF(HI$3&lt;2,0,GA23/(  -PV((((   1+$AA23   )/(   1+$DU$69   ))-1),   MAX($HE23 - HI$3 + 2,1),1,0,1)/((   1+$AA23   )^0.5)   ))</f>
        <v>-3.947099584448468</v>
      </c>
      <c r="HJ23" s="29">
        <f t="shared" si="127"/>
        <v>-2.4794738400620351</v>
      </c>
      <c r="HK23" s="29">
        <f t="shared" si="128"/>
        <v>-113.61029904335308</v>
      </c>
      <c r="HL23" s="29">
        <f t="shared" si="129"/>
        <v>-77.350514925262402</v>
      </c>
      <c r="HM23" s="29">
        <f t="shared" si="130"/>
        <v>-75.970497638271198</v>
      </c>
      <c r="HN23" s="29">
        <f t="shared" si="131"/>
        <v>-96.369950408995763</v>
      </c>
      <c r="HO23" s="29">
        <f t="shared" si="132"/>
        <v>2430.02680088643</v>
      </c>
      <c r="HP23" s="29">
        <f t="shared" si="133"/>
        <v>0</v>
      </c>
      <c r="HQ23" s="29">
        <f t="shared" si="134"/>
        <v>0</v>
      </c>
      <c r="HR23" s="29">
        <f t="shared" si="135"/>
        <v>0</v>
      </c>
      <c r="HS23" s="29">
        <f t="shared" si="136"/>
        <v>0</v>
      </c>
      <c r="HT23" s="29">
        <f t="shared" si="137"/>
        <v>0</v>
      </c>
      <c r="HU23" s="29">
        <f t="shared" si="138"/>
        <v>0</v>
      </c>
      <c r="HV23" s="29">
        <f t="shared" si="139"/>
        <v>0</v>
      </c>
      <c r="HW23" s="29">
        <f t="shared" si="140"/>
        <v>0</v>
      </c>
      <c r="HX23" s="29">
        <f t="shared" si="141"/>
        <v>0</v>
      </c>
      <c r="HY23" s="29">
        <f t="shared" si="142"/>
        <v>0</v>
      </c>
      <c r="HZ23" s="29">
        <f t="shared" si="143"/>
        <v>0</v>
      </c>
      <c r="IA23" s="29">
        <f t="shared" si="144"/>
        <v>0</v>
      </c>
      <c r="IB23" s="29">
        <f t="shared" si="145"/>
        <v>0</v>
      </c>
      <c r="IC23" s="29">
        <f t="shared" si="146"/>
        <v>0</v>
      </c>
      <c r="ID23" s="29">
        <f t="shared" si="147"/>
        <v>0</v>
      </c>
      <c r="IE23" s="29">
        <f t="shared" si="148"/>
        <v>0</v>
      </c>
      <c r="IF23" s="29">
        <f t="shared" si="149"/>
        <v>0</v>
      </c>
      <c r="IG23" s="29">
        <f t="shared" si="150"/>
        <v>0</v>
      </c>
      <c r="IH23" s="29">
        <f t="shared" si="151"/>
        <v>0</v>
      </c>
      <c r="II23" s="29">
        <f t="shared" si="152"/>
        <v>0</v>
      </c>
      <c r="IJ23" s="29">
        <f t="shared" si="153"/>
        <v>0</v>
      </c>
      <c r="IK23" s="29">
        <f t="shared" si="154"/>
        <v>0</v>
      </c>
      <c r="IL23" s="48"/>
      <c r="IM23" s="48"/>
      <c r="IN23" s="48"/>
      <c r="IO23" s="29">
        <f t="shared" si="211"/>
        <v>-2.0365479360720029E-2</v>
      </c>
      <c r="IP23" s="29">
        <f t="shared" si="249"/>
        <v>-2.491964612629622E-2</v>
      </c>
      <c r="IQ23" s="29">
        <f t="shared" si="212"/>
        <v>-2.7770745736696693E-2</v>
      </c>
      <c r="IR23" s="29">
        <f t="shared" si="212"/>
        <v>-3.1827182876736138E-2</v>
      </c>
      <c r="IS23" s="29">
        <f t="shared" si="212"/>
        <v>-3.5702924278539397E-2</v>
      </c>
      <c r="IT23" s="29">
        <f t="shared" si="212"/>
        <v>-3.5255041621948702E-2</v>
      </c>
      <c r="IU23" s="29">
        <f t="shared" si="212"/>
        <v>-3.0431750981140659E-2</v>
      </c>
      <c r="IV23" s="29">
        <f t="shared" si="212"/>
        <v>-1.4731012350129781E-2</v>
      </c>
      <c r="IW23" s="29">
        <f t="shared" si="212"/>
        <v>0</v>
      </c>
      <c r="IX23" s="29">
        <f t="shared" si="212"/>
        <v>0</v>
      </c>
      <c r="IY23" s="29">
        <f t="shared" si="212"/>
        <v>0</v>
      </c>
      <c r="IZ23" s="29">
        <f t="shared" si="212"/>
        <v>0</v>
      </c>
      <c r="JA23" s="29">
        <f t="shared" si="212"/>
        <v>0</v>
      </c>
      <c r="JB23" s="29">
        <f t="shared" si="212"/>
        <v>0</v>
      </c>
      <c r="JC23" s="29">
        <f t="shared" si="212"/>
        <v>0</v>
      </c>
      <c r="JD23" s="29">
        <f t="shared" si="212"/>
        <v>0</v>
      </c>
      <c r="JE23" s="29">
        <f t="shared" si="212"/>
        <v>0</v>
      </c>
      <c r="JF23" s="29">
        <f t="shared" si="212"/>
        <v>0</v>
      </c>
      <c r="JG23" s="29">
        <f t="shared" si="212"/>
        <v>0</v>
      </c>
      <c r="JH23" s="29">
        <f t="shared" si="212"/>
        <v>0</v>
      </c>
      <c r="JI23" s="29">
        <f t="shared" si="212"/>
        <v>0</v>
      </c>
      <c r="JJ23" s="29">
        <f t="shared" si="212"/>
        <v>0</v>
      </c>
      <c r="JK23" s="29">
        <f t="shared" si="212"/>
        <v>0</v>
      </c>
      <c r="JL23" s="29">
        <f t="shared" si="212"/>
        <v>0</v>
      </c>
      <c r="JM23" s="29">
        <f t="shared" si="212"/>
        <v>0</v>
      </c>
      <c r="JN23" s="29">
        <f t="shared" si="212"/>
        <v>0</v>
      </c>
      <c r="JO23" s="29">
        <f t="shared" si="212"/>
        <v>0</v>
      </c>
      <c r="JP23" s="29">
        <f t="shared" si="212"/>
        <v>0</v>
      </c>
      <c r="JQ23" s="29">
        <f t="shared" si="212"/>
        <v>0</v>
      </c>
      <c r="JR23" s="29">
        <f t="shared" si="212"/>
        <v>0</v>
      </c>
      <c r="JS23" s="29">
        <f t="shared" si="212"/>
        <v>0</v>
      </c>
      <c r="JT23" s="29">
        <f t="shared" si="212"/>
        <v>0</v>
      </c>
      <c r="JU23" s="48"/>
      <c r="JV23" s="394">
        <f t="shared" si="213"/>
        <v>20</v>
      </c>
      <c r="JW23" s="29">
        <f t="shared" si="214"/>
        <v>0</v>
      </c>
      <c r="JX23" s="29">
        <f t="shared" si="215"/>
        <v>-1.8507639948463445E-3</v>
      </c>
      <c r="JY23" s="29">
        <f t="shared" si="216"/>
        <v>-2.1327564362818674E-3</v>
      </c>
      <c r="JZ23" s="29">
        <f t="shared" si="217"/>
        <v>-2.5342070026432811E-3</v>
      </c>
      <c r="KA23" s="29">
        <f t="shared" si="218"/>
        <v>-2.9561132611973964E-3</v>
      </c>
      <c r="KB23" s="29">
        <f t="shared" si="219"/>
        <v>-3.0454945538873615E-3</v>
      </c>
      <c r="KC23" s="29">
        <f t="shared" si="220"/>
        <v>-2.7531066742231547E-3</v>
      </c>
      <c r="KD23" s="29">
        <f t="shared" si="221"/>
        <v>-1.4017253981913787E-3</v>
      </c>
      <c r="KE23" s="29">
        <f t="shared" si="222"/>
        <v>0</v>
      </c>
      <c r="KF23" s="29">
        <f t="shared" si="223"/>
        <v>0</v>
      </c>
      <c r="KG23" s="29">
        <f t="shared" si="224"/>
        <v>0</v>
      </c>
      <c r="KH23" s="29">
        <f t="shared" si="225"/>
        <v>0</v>
      </c>
      <c r="KI23" s="29">
        <f t="shared" si="226"/>
        <v>0</v>
      </c>
      <c r="KJ23" s="29">
        <f t="shared" si="227"/>
        <v>0</v>
      </c>
      <c r="KK23" s="29">
        <f t="shared" si="228"/>
        <v>0</v>
      </c>
      <c r="KL23" s="29">
        <f t="shared" si="229"/>
        <v>0</v>
      </c>
      <c r="KM23" s="29">
        <f t="shared" si="230"/>
        <v>0</v>
      </c>
      <c r="KN23" s="29">
        <f t="shared" si="231"/>
        <v>0</v>
      </c>
      <c r="KO23" s="29">
        <f t="shared" si="232"/>
        <v>0</v>
      </c>
      <c r="KP23" s="29">
        <f t="shared" si="233"/>
        <v>0</v>
      </c>
      <c r="KQ23" s="29">
        <f t="shared" si="234"/>
        <v>0</v>
      </c>
      <c r="KR23" s="29">
        <f t="shared" si="235"/>
        <v>0</v>
      </c>
      <c r="KS23" s="29">
        <f t="shared" si="236"/>
        <v>0</v>
      </c>
      <c r="KT23" s="29">
        <f t="shared" si="237"/>
        <v>0</v>
      </c>
      <c r="KU23" s="29">
        <f t="shared" si="238"/>
        <v>0</v>
      </c>
      <c r="KV23" s="29">
        <f t="shared" si="239"/>
        <v>0</v>
      </c>
      <c r="KW23" s="29">
        <f t="shared" si="240"/>
        <v>0</v>
      </c>
      <c r="KX23" s="29">
        <f t="shared" si="241"/>
        <v>0</v>
      </c>
      <c r="KY23" s="29">
        <f t="shared" si="242"/>
        <v>0</v>
      </c>
      <c r="KZ23" s="29">
        <f t="shared" si="243"/>
        <v>0</v>
      </c>
      <c r="LA23" s="29">
        <f t="shared" si="244"/>
        <v>0</v>
      </c>
      <c r="LB23" s="29">
        <f t="shared" si="245"/>
        <v>0</v>
      </c>
      <c r="LC23" s="48"/>
      <c r="LD23" s="48"/>
      <c r="LE23" s="48"/>
      <c r="LF23" s="48"/>
      <c r="LG23" s="48"/>
      <c r="LH23" s="48"/>
      <c r="LI23" s="48"/>
      <c r="LJ23" s="48"/>
      <c r="LK23" s="48"/>
      <c r="LL23" s="48"/>
      <c r="LM23" s="48"/>
      <c r="LN23" s="48"/>
      <c r="LO23" s="48"/>
      <c r="LP23" s="46">
        <f t="shared" si="33"/>
        <v>0.30604401475904458</v>
      </c>
      <c r="LQ23" s="47">
        <f t="shared" si="34"/>
        <v>0.67747294787630508</v>
      </c>
      <c r="LR23" s="28"/>
      <c r="LS23" s="48"/>
      <c r="LT23" s="28"/>
      <c r="LU23" s="161">
        <v>2.1233333333333337E-2</v>
      </c>
      <c r="LV23" s="111">
        <f t="shared" si="75"/>
        <v>3.4424263370630099E-18</v>
      </c>
      <c r="LW23" s="152">
        <f t="shared" si="18"/>
        <v>1.2423053443081123E-14</v>
      </c>
      <c r="LX23" s="223" t="e">
        <f>LX22*(1+#REF!)</f>
        <v>#REF!</v>
      </c>
      <c r="LY23" s="153"/>
      <c r="LZ23" s="124">
        <f t="shared" si="76"/>
        <v>-29.656417925914866</v>
      </c>
      <c r="MA23" s="125">
        <f t="shared" si="77"/>
        <v>-70.83612668531714</v>
      </c>
      <c r="MB23" s="28"/>
      <c r="MC23" s="374">
        <f>MC22+0.25%</f>
        <v>0.02</v>
      </c>
      <c r="MD23" s="387">
        <f t="shared" si="187"/>
        <v>-71.36356869686594</v>
      </c>
      <c r="ME23" s="152">
        <f t="shared" si="188"/>
        <v>-4116.6228749830943</v>
      </c>
      <c r="MF23" s="209"/>
      <c r="MG23" s="374">
        <f>MG22+0.25%</f>
        <v>0.02</v>
      </c>
      <c r="MH23" s="387">
        <f t="shared" si="189"/>
        <v>-2.7782611902423735</v>
      </c>
      <c r="MI23" s="152">
        <f t="shared" si="155"/>
        <v>-160.26459687030467</v>
      </c>
      <c r="MJ23" s="28"/>
      <c r="MK23" s="129"/>
      <c r="ML23" s="28"/>
      <c r="MM23" s="28"/>
      <c r="MN23" s="28"/>
      <c r="MO23" s="28"/>
      <c r="MP23" s="28"/>
      <c r="MQ23" s="28"/>
      <c r="MR23" s="28"/>
      <c r="MS23" s="28">
        <f t="shared" si="92"/>
        <v>76</v>
      </c>
      <c r="MT23" s="28">
        <f t="shared" si="93"/>
        <v>0.37535118216016894</v>
      </c>
      <c r="MU23" s="28">
        <f t="shared" si="94"/>
        <v>0.3933436632737401</v>
      </c>
      <c r="MV23" s="28">
        <f t="shared" si="95"/>
        <v>0.41213428884791964</v>
      </c>
      <c r="MW23" s="28">
        <f t="shared" si="96"/>
        <v>0.43175563030346786</v>
      </c>
      <c r="MX23" s="28">
        <f t="shared" si="97"/>
        <v>0.45224147338676446</v>
      </c>
      <c r="MY23" s="28">
        <f t="shared" si="98"/>
        <v>0.47362685918810354</v>
      </c>
      <c r="MZ23" s="28"/>
      <c r="NA23" s="28"/>
      <c r="NB23" s="28"/>
      <c r="NC23" s="28"/>
      <c r="ND23" s="28"/>
      <c r="NE23" s="28"/>
      <c r="NF23" s="28"/>
      <c r="NG23" s="28"/>
      <c r="NH23" s="28"/>
      <c r="NI23" s="28"/>
      <c r="NJ23" s="28"/>
      <c r="NK23" s="28"/>
    </row>
    <row r="24" spans="1:375" s="30" customFormat="1" ht="12.75" customHeight="1" x14ac:dyDescent="0.3">
      <c r="A24" s="298">
        <f t="shared" si="99"/>
        <v>2033</v>
      </c>
      <c r="B24" s="348">
        <f t="shared" si="2"/>
        <v>2031</v>
      </c>
      <c r="C24" s="26">
        <v>48030</v>
      </c>
      <c r="D24" s="92">
        <f t="shared" si="156"/>
        <v>8946.8757711131911</v>
      </c>
      <c r="E24" s="27">
        <f t="shared" si="106"/>
        <v>8946.8757711131911</v>
      </c>
      <c r="F24" s="107">
        <f t="shared" si="21"/>
        <v>4299.2443639152025</v>
      </c>
      <c r="G24" s="27">
        <f t="shared" si="157"/>
        <v>14658.077010336263</v>
      </c>
      <c r="H24" s="27">
        <f t="shared" si="158"/>
        <v>10407.234677338747</v>
      </c>
      <c r="I24" s="289">
        <f t="shared" si="159"/>
        <v>8846.1494757379351</v>
      </c>
      <c r="J24" s="68">
        <v>3028.4244180000001</v>
      </c>
      <c r="K24" s="290">
        <f t="shared" si="160"/>
        <v>5817.7250577379345</v>
      </c>
      <c r="L24" s="290">
        <f t="shared" si="107"/>
        <v>4250.8423329975158</v>
      </c>
      <c r="M24" s="290">
        <f t="shared" si="161"/>
        <v>3613.2159830478886</v>
      </c>
      <c r="N24" s="27">
        <f t="shared" si="162"/>
        <v>0</v>
      </c>
      <c r="O24" s="290">
        <f t="shared" si="163"/>
        <v>1561.0852016008121</v>
      </c>
      <c r="P24" s="290">
        <f t="shared" si="108"/>
        <v>637.6263499496273</v>
      </c>
      <c r="Q24" s="290">
        <f t="shared" si="164"/>
        <v>564.10644537042583</v>
      </c>
      <c r="R24" s="254">
        <f t="shared" si="3"/>
        <v>0.71</v>
      </c>
      <c r="S24" s="251">
        <v>0.28999999999999998</v>
      </c>
      <c r="T24" s="284">
        <f t="shared" si="165"/>
        <v>7.0000000000000007E-2</v>
      </c>
      <c r="U24" s="284">
        <f t="shared" si="166"/>
        <v>7.0000000000000007E-2</v>
      </c>
      <c r="V24" s="27">
        <f t="shared" si="5"/>
        <v>70886.160202386891</v>
      </c>
      <c r="W24" s="27">
        <f t="shared" si="167"/>
        <v>68973.961891509782</v>
      </c>
      <c r="X24" s="27">
        <f t="shared" si="190"/>
        <v>1912.198310877111</v>
      </c>
      <c r="Y24" s="27">
        <f t="shared" si="168"/>
        <v>952.73029853697562</v>
      </c>
      <c r="Z24" s="27">
        <f t="shared" si="191"/>
        <v>389.14336137425761</v>
      </c>
      <c r="AA24" s="111">
        <f t="shared" si="169"/>
        <v>7.0000000000000007E-2</v>
      </c>
      <c r="AB24" s="111">
        <f t="shared" si="170"/>
        <v>7.0000000000000007E-2</v>
      </c>
      <c r="AC24" s="92">
        <f t="shared" si="7"/>
        <v>70886.160202386891</v>
      </c>
      <c r="AD24" s="27">
        <f t="shared" si="171"/>
        <v>68973.961891509782</v>
      </c>
      <c r="AE24" s="27">
        <f t="shared" si="192"/>
        <v>1912.198310877111</v>
      </c>
      <c r="AF24" s="145">
        <f t="shared" si="172"/>
        <v>952.73029853697562</v>
      </c>
      <c r="AG24" s="27">
        <f t="shared" si="193"/>
        <v>389.14336137425761</v>
      </c>
      <c r="AH24" s="27">
        <f t="shared" si="173"/>
        <v>53201.318655669813</v>
      </c>
      <c r="AI24" s="27">
        <f t="shared" si="174"/>
        <v>51288.8787827544</v>
      </c>
      <c r="AJ24" s="27">
        <f t="shared" si="194"/>
        <v>1912.4398729154102</v>
      </c>
      <c r="AK24" s="27">
        <f t="shared" si="11"/>
        <v>53202.393582055898</v>
      </c>
      <c r="AL24" s="27">
        <f t="shared" si="175"/>
        <v>51290.270532308226</v>
      </c>
      <c r="AM24" s="27">
        <f t="shared" si="246"/>
        <v>1912.1230497476686</v>
      </c>
      <c r="AN24" s="409">
        <f>INDEX(Inv.Returns!$B$2:$E$32,MATCH(B24,Inv.Returns!$A$2:$A$32,0),MATCH(SCRS!$DU$52,Inv.Returns!$B$1:$E$1,0))</f>
        <v>7.0000000000000007E-2</v>
      </c>
      <c r="AO24" s="27">
        <f t="shared" si="41"/>
        <v>17684.841546717078</v>
      </c>
      <c r="AP24" s="223">
        <f t="shared" si="12"/>
        <v>17683.766620330993</v>
      </c>
      <c r="AQ24" s="67">
        <f t="shared" si="22"/>
        <v>0.75051771042153881</v>
      </c>
      <c r="AR24" s="146">
        <f t="shared" si="23"/>
        <v>0.75053287454360462</v>
      </c>
      <c r="AS24" s="346"/>
      <c r="AT24" s="283">
        <f t="shared" si="176"/>
        <v>0.1095</v>
      </c>
      <c r="AU24" s="390">
        <f t="shared" si="109"/>
        <v>0.1095</v>
      </c>
      <c r="AV24" s="296">
        <f t="shared" si="110"/>
        <v>0.13430933063065031</v>
      </c>
      <c r="AW24" s="296">
        <f t="shared" si="111"/>
        <v>-3.7773852570621966E-6</v>
      </c>
      <c r="AX24" s="111">
        <f t="shared" si="82"/>
        <v>0.09</v>
      </c>
      <c r="AY24" s="111">
        <f t="shared" si="112"/>
        <v>0.09</v>
      </c>
      <c r="AZ24" s="111">
        <f t="shared" si="113"/>
        <v>0</v>
      </c>
      <c r="BA24" s="256">
        <f t="shared" si="24"/>
        <v>1.9500000000000003E-2</v>
      </c>
      <c r="BB24" s="111">
        <f t="shared" si="114"/>
        <v>1.9500000000000003E-2</v>
      </c>
      <c r="BC24" s="128">
        <f t="shared" si="83"/>
        <v>0.18560000000000004</v>
      </c>
      <c r="BD24" s="128">
        <f t="shared" si="104"/>
        <v>0.18560000000000004</v>
      </c>
      <c r="BE24" s="402">
        <f t="shared" si="15"/>
        <v>0.16610000000000003</v>
      </c>
      <c r="BF24" s="402">
        <f t="shared" si="115"/>
        <v>0.16610000000000003</v>
      </c>
      <c r="BG24" s="402">
        <f t="shared" si="177"/>
        <v>0.13560000000000005</v>
      </c>
      <c r="BH24" s="402">
        <f t="shared" si="26"/>
        <v>0.18560000000000004</v>
      </c>
      <c r="BI24" s="152">
        <f t="shared" si="42"/>
        <v>8.6980811164707319</v>
      </c>
      <c r="BJ24" s="100">
        <f t="shared" si="43"/>
        <v>4.1869522882181265E-2</v>
      </c>
      <c r="BK24" s="27">
        <f t="shared" si="67"/>
        <v>10.485709725518337</v>
      </c>
      <c r="BL24" s="27">
        <f t="shared" si="17"/>
        <v>20</v>
      </c>
      <c r="BM24" s="107">
        <f t="shared" si="31"/>
        <v>9.2457054048934406</v>
      </c>
      <c r="BN24" s="27"/>
      <c r="BO24" s="27"/>
      <c r="BP24" s="92">
        <f t="shared" si="178"/>
        <v>-4149.4587224188726</v>
      </c>
      <c r="BQ24" s="27">
        <f t="shared" si="195"/>
        <v>-81.297359618577488</v>
      </c>
      <c r="BR24" s="27">
        <f t="shared" si="179"/>
        <v>-161.54293205232239</v>
      </c>
      <c r="BS24" s="27">
        <f t="shared" si="116"/>
        <v>-3.1649944533588137</v>
      </c>
      <c r="BT24" s="27">
        <f t="shared" si="180"/>
        <v>-15.923069056328282</v>
      </c>
      <c r="BU24" s="27">
        <f t="shared" si="196"/>
        <v>-6.5037887694861993</v>
      </c>
      <c r="BV24" s="297">
        <f t="shared" si="181"/>
        <v>796.15345281641407</v>
      </c>
      <c r="BW24" s="297">
        <f t="shared" si="197"/>
        <v>325.18943847430995</v>
      </c>
      <c r="BX24" s="297">
        <f t="shared" si="198"/>
        <v>0</v>
      </c>
      <c r="BY24" s="297">
        <f t="shared" si="182"/>
        <v>50.769580083338326</v>
      </c>
      <c r="BZ24" s="297">
        <f t="shared" si="84"/>
        <v>172.4999147768898</v>
      </c>
      <c r="CA24" s="297">
        <f t="shared" si="199"/>
        <v>70.45771166943382</v>
      </c>
      <c r="CB24" s="297">
        <f t="shared" si="183"/>
        <v>2052.3939945418242</v>
      </c>
      <c r="CC24" s="297">
        <f t="shared" si="200"/>
        <v>0</v>
      </c>
      <c r="CD24" s="297">
        <f t="shared" si="201"/>
        <v>-1.6674167321270784E-2</v>
      </c>
      <c r="CE24" s="297"/>
      <c r="CF24" s="297">
        <f t="shared" si="184"/>
        <v>0</v>
      </c>
      <c r="CG24" s="297">
        <f t="shared" si="202"/>
        <v>0</v>
      </c>
      <c r="CH24" s="297">
        <f t="shared" si="185"/>
        <v>0</v>
      </c>
      <c r="CI24" s="427">
        <f>IF(AND($DU$74="Yes",MAX($AQ$13:AQ23)&lt;100%),MAX(BD22*(G24+Q24)-SUM(BZ24:CH24,CJ24,CY24),0),0)</f>
        <v>0</v>
      </c>
      <c r="CJ24" s="27"/>
      <c r="CK24" s="27">
        <f t="shared" si="44"/>
        <v>0</v>
      </c>
      <c r="CL24" s="27">
        <f t="shared" si="45"/>
        <v>0</v>
      </c>
      <c r="CM24" s="27">
        <f t="shared" si="46"/>
        <v>0</v>
      </c>
      <c r="CN24" s="27">
        <f t="shared" si="47"/>
        <v>3467.447418194889</v>
      </c>
      <c r="CO24" s="27">
        <f t="shared" si="48"/>
        <v>0</v>
      </c>
      <c r="CP24" s="107">
        <f t="shared" si="4"/>
        <v>3467.447418194889</v>
      </c>
      <c r="CQ24" s="27">
        <f t="shared" si="117"/>
        <v>2052.3773203745031</v>
      </c>
      <c r="CR24" s="27">
        <f t="shared" si="118"/>
        <v>0</v>
      </c>
      <c r="CS24" s="27">
        <f t="shared" si="186"/>
        <v>2052.3773203745031</v>
      </c>
      <c r="CT24" s="27">
        <f>SUM($CS$14:CS24)</f>
        <v>19100.392446849957</v>
      </c>
      <c r="CU24" s="223">
        <v>2476.2880270334276</v>
      </c>
      <c r="CV24" s="417">
        <v>493.04123222526147</v>
      </c>
      <c r="CW24" s="417">
        <v>2969.329259258689</v>
      </c>
      <c r="CX24" s="417">
        <v>25539.414659753667</v>
      </c>
      <c r="CY24" s="103">
        <f t="shared" si="49"/>
        <v>109.93557757752197</v>
      </c>
      <c r="CZ24" s="111">
        <f t="shared" si="101"/>
        <v>0.15801087481287909</v>
      </c>
      <c r="DA24" s="92">
        <f t="shared" si="50"/>
        <v>2405.2705243983487</v>
      </c>
      <c r="DB24" s="410">
        <f t="shared" si="51"/>
        <v>1925.4434253437219</v>
      </c>
      <c r="DC24" s="307">
        <f t="shared" si="52"/>
        <v>1536.8592311111622</v>
      </c>
      <c r="DD24" s="307">
        <f t="shared" si="53"/>
        <v>181.93129853177098</v>
      </c>
      <c r="DE24" s="307">
        <f t="shared" si="54"/>
        <v>0</v>
      </c>
      <c r="DF24" s="307">
        <f t="shared" si="55"/>
        <v>35965.778873837793</v>
      </c>
      <c r="DG24" s="307" t="b">
        <f t="shared" si="68"/>
        <v>0</v>
      </c>
      <c r="DH24" s="27">
        <f t="shared" si="56"/>
        <v>109.93557757752197</v>
      </c>
      <c r="DI24" s="96">
        <f t="shared" si="57"/>
        <v>82.321854539262858</v>
      </c>
      <c r="DJ24" s="101">
        <f t="shared" si="58"/>
        <v>1.7309715951964819E-2</v>
      </c>
      <c r="DK24" s="92">
        <f t="shared" si="59"/>
        <v>0</v>
      </c>
      <c r="DL24" s="96">
        <f t="shared" si="60"/>
        <v>0</v>
      </c>
      <c r="DM24" s="101">
        <f t="shared" si="61"/>
        <v>0</v>
      </c>
      <c r="DN24" s="292">
        <v>2959.9574016805259</v>
      </c>
      <c r="DO24" s="96">
        <f t="shared" si="62"/>
        <v>2369.4758907790019</v>
      </c>
      <c r="DP24" s="294">
        <v>0.7303605718563011</v>
      </c>
      <c r="DQ24" s="29"/>
      <c r="DR24" s="389" t="s">
        <v>361</v>
      </c>
      <c r="DS24" s="28"/>
      <c r="DT24" s="28"/>
      <c r="DU24" s="243">
        <v>7.0000000000000007E-2</v>
      </c>
      <c r="DV24" s="29"/>
      <c r="DW24" s="320"/>
      <c r="DX24" s="321"/>
      <c r="DY24" s="321"/>
      <c r="DZ24" s="321"/>
      <c r="EA24" s="321"/>
      <c r="EB24" s="321"/>
      <c r="EC24" s="321"/>
      <c r="ED24" s="321"/>
      <c r="EE24" s="321"/>
      <c r="EF24" s="321"/>
      <c r="EG24" s="321"/>
      <c r="EH24" s="321"/>
      <c r="EI24" s="322"/>
      <c r="EJ24" s="323"/>
      <c r="EK24" s="332">
        <f t="shared" si="69"/>
        <v>0.16610000000000003</v>
      </c>
      <c r="EL24" s="332">
        <f t="shared" si="63"/>
        <v>1.9500000000000003E-2</v>
      </c>
      <c r="EM24" s="332" t="e">
        <f t="shared" si="70"/>
        <v>#DIV/0!</v>
      </c>
      <c r="EN24" s="332">
        <f t="shared" si="64"/>
        <v>0</v>
      </c>
      <c r="EO24" s="332">
        <v>0.18560000000000004</v>
      </c>
      <c r="EP24" s="332">
        <v>0.14767126975694481</v>
      </c>
      <c r="EQ24" s="333" t="e">
        <f t="shared" si="71"/>
        <v>#DIV/0!</v>
      </c>
      <c r="ER24" s="277"/>
      <c r="ES24" s="30">
        <v>15</v>
      </c>
      <c r="ET24" s="29">
        <f t="shared" si="85"/>
        <v>3396.4445810685143</v>
      </c>
      <c r="EU24" s="29">
        <f t="shared" si="86"/>
        <v>3397.1875505554171</v>
      </c>
      <c r="EV24" s="29">
        <f t="shared" si="72"/>
        <v>0.74296948690289355</v>
      </c>
      <c r="EW24" s="29">
        <f t="shared" si="73"/>
        <v>0.59437558952231484</v>
      </c>
      <c r="EX24" s="29">
        <f t="shared" si="87"/>
        <v>0.415936484645681</v>
      </c>
      <c r="EY24" s="29">
        <f t="shared" si="102"/>
        <v>0.25998249502481485</v>
      </c>
      <c r="EZ24" s="29">
        <f t="shared" si="105"/>
        <v>0.12145498463105467</v>
      </c>
      <c r="FA24" s="29">
        <f t="shared" si="74"/>
        <v>1.3917495538238653</v>
      </c>
      <c r="FB24" s="29"/>
      <c r="FC24" s="29">
        <f t="shared" si="247"/>
        <v>115.13830485008427</v>
      </c>
      <c r="FD24" s="29">
        <f t="shared" si="248"/>
        <v>114.95795675039346</v>
      </c>
      <c r="FE24" s="29">
        <f t="shared" si="203"/>
        <v>-0.18034809969080356</v>
      </c>
      <c r="FF24" s="29">
        <f t="shared" si="204"/>
        <v>-0.14427847975264285</v>
      </c>
      <c r="FG24" s="29">
        <f t="shared" si="205"/>
        <v>-9.362881396619685E-2</v>
      </c>
      <c r="FH24" s="29">
        <f t="shared" si="206"/>
        <v>-5.5083179374838656E-2</v>
      </c>
      <c r="FI24" s="29">
        <f t="shared" si="207"/>
        <v>-2.383269464784803E-2</v>
      </c>
      <c r="FJ24" s="29">
        <f t="shared" si="208"/>
        <v>-0.31682316774152641</v>
      </c>
      <c r="FK24" s="29"/>
      <c r="FL24" s="29"/>
      <c r="FM24" s="27">
        <f t="shared" si="27"/>
        <v>18561.098984883611</v>
      </c>
      <c r="FN24" s="29"/>
      <c r="FO24" s="301">
        <f t="shared" si="119"/>
        <v>2052.3939945418242</v>
      </c>
      <c r="FP24" s="89">
        <f t="shared" si="209"/>
        <v>-1.6674167321270784E-2</v>
      </c>
      <c r="FQ24" s="27">
        <f t="shared" si="103"/>
        <v>20</v>
      </c>
      <c r="FR24" s="302">
        <f t="shared" si="88"/>
        <v>13.464518542443937</v>
      </c>
      <c r="FS24" s="89">
        <f t="shared" si="89"/>
        <v>1378.5193229430242</v>
      </c>
      <c r="FT24" s="89">
        <f t="shared" si="210"/>
        <v>2052.3773203745031</v>
      </c>
      <c r="FU24" s="29">
        <f t="shared" si="90"/>
        <v>20</v>
      </c>
      <c r="FV24" s="137">
        <f t="shared" si="91"/>
        <v>13.464518542443937</v>
      </c>
      <c r="FW24" s="48">
        <v>2392.9147760079586</v>
      </c>
      <c r="FX24" s="29">
        <f t="shared" si="120"/>
        <v>-52.516423186963948</v>
      </c>
      <c r="FY24" s="29">
        <f t="shared" si="121"/>
        <v>-54.702363950609545</v>
      </c>
      <c r="FZ24" s="29">
        <f t="shared" si="266"/>
        <v>-52.873776816552606</v>
      </c>
      <c r="GA24" s="29">
        <f t="shared" si="267"/>
        <v>-50.961646797952383</v>
      </c>
      <c r="GB24" s="29">
        <f t="shared" si="268"/>
        <v>-48.958854323310703</v>
      </c>
      <c r="GC24" s="29">
        <f t="shared" si="269"/>
        <v>-29.477685343417033</v>
      </c>
      <c r="GD24" s="29">
        <f t="shared" si="270"/>
        <v>-1289.7099453203771</v>
      </c>
      <c r="GE24" s="29">
        <f t="shared" si="271"/>
        <v>-834.84010470986493</v>
      </c>
      <c r="GF24" s="29">
        <f t="shared" si="272"/>
        <v>-775.69188887400412</v>
      </c>
      <c r="GG24" s="29">
        <f t="shared" si="273"/>
        <v>-925.49207920792776</v>
      </c>
      <c r="GH24" s="29">
        <f t="shared" si="274"/>
        <v>21800.307877286363</v>
      </c>
      <c r="GI24" s="29">
        <f t="shared" si="275"/>
        <v>0</v>
      </c>
      <c r="GJ24" s="29">
        <f t="shared" si="276"/>
        <v>0</v>
      </c>
      <c r="GK24" s="29">
        <f t="shared" si="277"/>
        <v>0</v>
      </c>
      <c r="GL24" s="29">
        <f t="shared" si="278"/>
        <v>0</v>
      </c>
      <c r="GM24" s="29">
        <f t="shared" si="279"/>
        <v>0</v>
      </c>
      <c r="GN24" s="29">
        <f t="shared" si="280"/>
        <v>0</v>
      </c>
      <c r="GO24" s="29">
        <f t="shared" si="251"/>
        <v>0</v>
      </c>
      <c r="GP24" s="29">
        <f t="shared" si="252"/>
        <v>0</v>
      </c>
      <c r="GQ24" s="29">
        <f t="shared" si="253"/>
        <v>0</v>
      </c>
      <c r="GR24" s="29">
        <f t="shared" si="254"/>
        <v>0</v>
      </c>
      <c r="GS24" s="29">
        <f t="shared" si="255"/>
        <v>0</v>
      </c>
      <c r="GT24" s="29">
        <f t="shared" si="256"/>
        <v>0</v>
      </c>
      <c r="GU24" s="29">
        <f t="shared" si="257"/>
        <v>0</v>
      </c>
      <c r="GV24" s="29">
        <f t="shared" si="258"/>
        <v>0</v>
      </c>
      <c r="GW24" s="29">
        <f t="shared" si="259"/>
        <v>0</v>
      </c>
      <c r="GX24" s="29">
        <f t="shared" si="260"/>
        <v>0</v>
      </c>
      <c r="GY24" s="29">
        <f t="shared" si="261"/>
        <v>0</v>
      </c>
      <c r="GZ24" s="29">
        <f t="shared" si="262"/>
        <v>0</v>
      </c>
      <c r="HA24" s="29">
        <f t="shared" si="263"/>
        <v>0</v>
      </c>
      <c r="HB24" s="29">
        <f t="shared" si="264"/>
        <v>0</v>
      </c>
      <c r="HC24" s="29">
        <f t="shared" si="265"/>
        <v>0</v>
      </c>
      <c r="HD24" s="29"/>
      <c r="HE24" s="29">
        <f t="shared" si="32"/>
        <v>20</v>
      </c>
      <c r="HF24" s="29">
        <f t="shared" si="281"/>
        <v>0</v>
      </c>
      <c r="HG24" s="29">
        <f t="shared" si="282"/>
        <v>-4.0627047880080047</v>
      </c>
      <c r="HH24" s="29">
        <f t="shared" si="283"/>
        <v>-4.060635925488369</v>
      </c>
      <c r="HI24" s="29">
        <f t="shared" si="284"/>
        <v>-4.0577691931384816</v>
      </c>
      <c r="HJ24" s="29">
        <f t="shared" si="127"/>
        <v>-4.0536712732285771</v>
      </c>
      <c r="HK24" s="29">
        <f t="shared" si="128"/>
        <v>-2.5464196337437102</v>
      </c>
      <c r="HL24" s="29">
        <f t="shared" si="129"/>
        <v>-116.6777771175236</v>
      </c>
      <c r="HM24" s="29">
        <f t="shared" si="130"/>
        <v>-79.438978828244487</v>
      </c>
      <c r="HN24" s="29">
        <f t="shared" si="131"/>
        <v>-78.02170107450452</v>
      </c>
      <c r="HO24" s="29">
        <f t="shared" si="132"/>
        <v>-98.971939070038644</v>
      </c>
      <c r="HP24" s="29">
        <f t="shared" si="133"/>
        <v>2495.6375245103632</v>
      </c>
      <c r="HQ24" s="29">
        <f t="shared" si="134"/>
        <v>0</v>
      </c>
      <c r="HR24" s="29">
        <f t="shared" si="135"/>
        <v>0</v>
      </c>
      <c r="HS24" s="29">
        <f t="shared" si="136"/>
        <v>0</v>
      </c>
      <c r="HT24" s="29">
        <f t="shared" si="137"/>
        <v>0</v>
      </c>
      <c r="HU24" s="29">
        <f t="shared" si="138"/>
        <v>0</v>
      </c>
      <c r="HV24" s="29">
        <f t="shared" si="139"/>
        <v>0</v>
      </c>
      <c r="HW24" s="29">
        <f t="shared" si="140"/>
        <v>0</v>
      </c>
      <c r="HX24" s="29">
        <f t="shared" si="141"/>
        <v>0</v>
      </c>
      <c r="HY24" s="29">
        <f t="shared" si="142"/>
        <v>0</v>
      </c>
      <c r="HZ24" s="29">
        <f t="shared" si="143"/>
        <v>0</v>
      </c>
      <c r="IA24" s="29">
        <f t="shared" si="144"/>
        <v>0</v>
      </c>
      <c r="IB24" s="29">
        <f t="shared" si="145"/>
        <v>0</v>
      </c>
      <c r="IC24" s="29">
        <f t="shared" si="146"/>
        <v>0</v>
      </c>
      <c r="ID24" s="29">
        <f t="shared" si="147"/>
        <v>0</v>
      </c>
      <c r="IE24" s="29">
        <f t="shared" si="148"/>
        <v>0</v>
      </c>
      <c r="IF24" s="29">
        <f t="shared" si="149"/>
        <v>0</v>
      </c>
      <c r="IG24" s="29">
        <f t="shared" si="150"/>
        <v>0</v>
      </c>
      <c r="IH24" s="29">
        <f t="shared" si="151"/>
        <v>0</v>
      </c>
      <c r="II24" s="29">
        <f t="shared" si="152"/>
        <v>0</v>
      </c>
      <c r="IJ24" s="29">
        <f t="shared" si="153"/>
        <v>0</v>
      </c>
      <c r="IK24" s="29">
        <f t="shared" si="154"/>
        <v>0</v>
      </c>
      <c r="IL24" s="48"/>
      <c r="IM24" s="48"/>
      <c r="IN24" s="48"/>
      <c r="IO24" s="29">
        <f t="shared" si="211"/>
        <v>-2.2335882925845263E-2</v>
      </c>
      <c r="IP24" s="29">
        <f t="shared" si="249"/>
        <v>-2.1791062915970431E-2</v>
      </c>
      <c r="IQ24" s="29">
        <f t="shared" si="212"/>
        <v>-2.4749576192656983E-2</v>
      </c>
      <c r="IR24" s="29">
        <f t="shared" si="212"/>
        <v>-2.7508557526220744E-2</v>
      </c>
      <c r="IS24" s="29">
        <f t="shared" si="212"/>
        <v>-3.1433681571239845E-2</v>
      </c>
      <c r="IT24" s="29">
        <f t="shared" si="212"/>
        <v>-3.5144301643811271E-2</v>
      </c>
      <c r="IU24" s="29">
        <f t="shared" si="212"/>
        <v>-3.4572610473182067E-2</v>
      </c>
      <c r="IV24" s="29">
        <f t="shared" si="212"/>
        <v>-2.9714137861999366E-2</v>
      </c>
      <c r="IW24" s="29">
        <f t="shared" si="212"/>
        <v>-1.4312227188281443E-2</v>
      </c>
      <c r="IX24" s="29">
        <f t="shared" si="212"/>
        <v>0</v>
      </c>
      <c r="IY24" s="29">
        <f t="shared" si="212"/>
        <v>0</v>
      </c>
      <c r="IZ24" s="29">
        <f t="shared" si="212"/>
        <v>0</v>
      </c>
      <c r="JA24" s="29">
        <f t="shared" si="212"/>
        <v>0</v>
      </c>
      <c r="JB24" s="29">
        <f t="shared" si="212"/>
        <v>0</v>
      </c>
      <c r="JC24" s="29">
        <f t="shared" si="212"/>
        <v>0</v>
      </c>
      <c r="JD24" s="29">
        <f t="shared" si="212"/>
        <v>0</v>
      </c>
      <c r="JE24" s="29">
        <f t="shared" si="212"/>
        <v>0</v>
      </c>
      <c r="JF24" s="29">
        <f t="shared" ref="JF24:JF44" si="285">IF(AND($AQ24&gt;=100%,$AQ23&lt;100%),0,JE23*(1+$AB23) - KM23*(1+$AB23)^0.5)</f>
        <v>0</v>
      </c>
      <c r="JG24" s="29">
        <f t="shared" ref="JG24:JG44" si="286">IF(AND($AQ24&gt;=100%,$AQ23&lt;100%),0,JF23*(1+$AB23) - KN23*(1+$AB23)^0.5)</f>
        <v>0</v>
      </c>
      <c r="JH24" s="29">
        <f t="shared" ref="JH24:JH44" si="287">IF(AND($AQ24&gt;=100%,$AQ23&lt;100%),0,JG23*(1+$AB23) - KO23*(1+$AB23)^0.5)</f>
        <v>0</v>
      </c>
      <c r="JI24" s="29">
        <f t="shared" ref="JI24:JI44" si="288">IF(AND($AQ24&gt;=100%,$AQ23&lt;100%),0,JH23*(1+$AB23) - KP23*(1+$AB23)^0.5)</f>
        <v>0</v>
      </c>
      <c r="JJ24" s="29">
        <f t="shared" ref="JJ24:JJ44" si="289">IF(AND($AQ24&gt;=100%,$AQ23&lt;100%),0,JI23*(1+$AB23) - KQ23*(1+$AB23)^0.5)</f>
        <v>0</v>
      </c>
      <c r="JK24" s="29">
        <f t="shared" ref="JK24:JK44" si="290">IF(AND($AQ24&gt;=100%,$AQ23&lt;100%),0,JJ23*(1+$AB23) - KR23*(1+$AB23)^0.5)</f>
        <v>0</v>
      </c>
      <c r="JL24" s="29">
        <f t="shared" ref="JL24:JL44" si="291">IF(AND($AQ24&gt;=100%,$AQ23&lt;100%),0,JK23*(1+$AB23) - KS23*(1+$AB23)^0.5)</f>
        <v>0</v>
      </c>
      <c r="JM24" s="29">
        <f t="shared" ref="JM24:JM44" si="292">IF(AND($AQ24&gt;=100%,$AQ23&lt;100%),0,JL23*(1+$AB23) - KT23*(1+$AB23)^0.5)</f>
        <v>0</v>
      </c>
      <c r="JN24" s="29">
        <f t="shared" ref="JN24:JN44" si="293">IF(AND($AQ24&gt;=100%,$AQ23&lt;100%),0,JM23*(1+$AB23) - KU23*(1+$AB23)^0.5)</f>
        <v>0</v>
      </c>
      <c r="JO24" s="29">
        <f t="shared" ref="JO24:JO44" si="294">IF(AND($AQ24&gt;=100%,$AQ23&lt;100%),0,JN23*(1+$AB23) - KV23*(1+$AB23)^0.5)</f>
        <v>0</v>
      </c>
      <c r="JP24" s="29">
        <f t="shared" ref="JP24:JP44" si="295">IF(AND($AQ24&gt;=100%,$AQ23&lt;100%),0,JO23*(1+$AB23) - KW23*(1+$AB23)^0.5)</f>
        <v>0</v>
      </c>
      <c r="JQ24" s="29">
        <f t="shared" ref="JQ24:JQ44" si="296">IF(AND($AQ24&gt;=100%,$AQ23&lt;100%),0,JP23*(1+$AB23) - KX23*(1+$AB23)^0.5)</f>
        <v>0</v>
      </c>
      <c r="JR24" s="29">
        <f t="shared" ref="JR24:JR44" si="297">IF(AND($AQ24&gt;=100%,$AQ23&lt;100%),0,JQ23*(1+$AB23) - KY23*(1+$AB23)^0.5)</f>
        <v>0</v>
      </c>
      <c r="JS24" s="29">
        <f t="shared" ref="JS24:JS44" si="298">IF(AND($AQ24&gt;=100%,$AQ23&lt;100%),0,JR23*(1+$AB23) - KZ23*(1+$AB23)^0.5)</f>
        <v>0</v>
      </c>
      <c r="JT24" s="29">
        <f t="shared" ref="JT24:JT44" si="299">IF(AND($AQ24&gt;=100%,$AQ23&lt;100%),0,JS23*(1+$AB23) - LA23*(1+$AB23)^0.5)</f>
        <v>0</v>
      </c>
      <c r="JU24" s="48"/>
      <c r="JV24" s="394">
        <f t="shared" si="213"/>
        <v>20</v>
      </c>
      <c r="JW24" s="29">
        <f t="shared" si="214"/>
        <v>0</v>
      </c>
      <c r="JX24" s="29">
        <f t="shared" si="215"/>
        <v>-1.6184063950952937E-3</v>
      </c>
      <c r="JY24" s="29">
        <f t="shared" si="216"/>
        <v>-1.9007346227071955E-3</v>
      </c>
      <c r="JZ24" s="29">
        <f t="shared" si="217"/>
        <v>-2.1903408600614772E-3</v>
      </c>
      <c r="KA24" s="29">
        <f t="shared" si="218"/>
        <v>-2.6026305917146498E-3</v>
      </c>
      <c r="KB24" s="29">
        <f t="shared" si="219"/>
        <v>-3.0359283192497263E-3</v>
      </c>
      <c r="KC24" s="29">
        <f t="shared" si="220"/>
        <v>-3.1277229068423199E-3</v>
      </c>
      <c r="KD24" s="29">
        <f t="shared" si="221"/>
        <v>-2.82744055442718E-3</v>
      </c>
      <c r="KE24" s="29">
        <f t="shared" si="222"/>
        <v>-1.4395719839425459E-3</v>
      </c>
      <c r="KF24" s="29">
        <f t="shared" si="223"/>
        <v>0</v>
      </c>
      <c r="KG24" s="29">
        <f t="shared" si="224"/>
        <v>0</v>
      </c>
      <c r="KH24" s="29">
        <f t="shared" si="225"/>
        <v>0</v>
      </c>
      <c r="KI24" s="29">
        <f t="shared" si="226"/>
        <v>0</v>
      </c>
      <c r="KJ24" s="29">
        <f t="shared" si="227"/>
        <v>0</v>
      </c>
      <c r="KK24" s="29">
        <f t="shared" si="228"/>
        <v>0</v>
      </c>
      <c r="KL24" s="29">
        <f t="shared" si="229"/>
        <v>0</v>
      </c>
      <c r="KM24" s="29">
        <f t="shared" si="230"/>
        <v>0</v>
      </c>
      <c r="KN24" s="29">
        <f t="shared" si="231"/>
        <v>0</v>
      </c>
      <c r="KO24" s="29">
        <f t="shared" si="232"/>
        <v>0</v>
      </c>
      <c r="KP24" s="29">
        <f t="shared" si="233"/>
        <v>0</v>
      </c>
      <c r="KQ24" s="29">
        <f t="shared" si="234"/>
        <v>0</v>
      </c>
      <c r="KR24" s="29">
        <f t="shared" si="235"/>
        <v>0</v>
      </c>
      <c r="KS24" s="29">
        <f t="shared" si="236"/>
        <v>0</v>
      </c>
      <c r="KT24" s="29">
        <f t="shared" si="237"/>
        <v>0</v>
      </c>
      <c r="KU24" s="29">
        <f t="shared" si="238"/>
        <v>0</v>
      </c>
      <c r="KV24" s="29">
        <f t="shared" si="239"/>
        <v>0</v>
      </c>
      <c r="KW24" s="29">
        <f t="shared" si="240"/>
        <v>0</v>
      </c>
      <c r="KX24" s="29">
        <f t="shared" si="241"/>
        <v>0</v>
      </c>
      <c r="KY24" s="29">
        <f t="shared" si="242"/>
        <v>0</v>
      </c>
      <c r="KZ24" s="29">
        <f t="shared" si="243"/>
        <v>0</v>
      </c>
      <c r="LA24" s="29">
        <f t="shared" si="244"/>
        <v>0</v>
      </c>
      <c r="LB24" s="29">
        <f t="shared" si="245"/>
        <v>0</v>
      </c>
      <c r="LC24" s="48"/>
      <c r="LD24" s="48"/>
      <c r="LE24" s="48"/>
      <c r="LF24" s="48"/>
      <c r="LG24" s="48"/>
      <c r="LH24" s="48"/>
      <c r="LI24" s="48"/>
      <c r="LJ24" s="48"/>
      <c r="LK24" s="48"/>
      <c r="LL24" s="48"/>
      <c r="LM24" s="48"/>
      <c r="LN24" s="48"/>
      <c r="LO24" s="48"/>
      <c r="LP24" s="46">
        <f t="shared" si="33"/>
        <v>0.28602244370004165</v>
      </c>
      <c r="LQ24" s="47">
        <f t="shared" si="34"/>
        <v>0.66256523019687541</v>
      </c>
      <c r="LR24" s="28"/>
      <c r="LS24" s="48"/>
      <c r="LT24" s="28"/>
      <c r="LU24" s="161">
        <v>2.2749999999999999E-2</v>
      </c>
      <c r="LV24" s="111">
        <f t="shared" si="75"/>
        <v>3.6883139325675096E-18</v>
      </c>
      <c r="LW24" s="152">
        <f t="shared" si="18"/>
        <v>1.5856962886940782E-14</v>
      </c>
      <c r="LX24" s="223" t="e">
        <f>LX23*(1+#REF!)</f>
        <v>#REF!</v>
      </c>
      <c r="LY24" s="153"/>
      <c r="LZ24" s="124">
        <f t="shared" si="76"/>
        <v>-50.876608040503925</v>
      </c>
      <c r="MA24" s="125">
        <f t="shared" si="77"/>
        <v>-94.096109821221035</v>
      </c>
      <c r="MB24" s="28"/>
      <c r="MC24" s="374">
        <f t="shared" ref="MC24:MC48" si="300">MC23+0.25%</f>
        <v>2.2499999999999999E-2</v>
      </c>
      <c r="MD24" s="387">
        <f t="shared" si="187"/>
        <v>-95.6439524924441</v>
      </c>
      <c r="ME24" s="152">
        <f t="shared" si="188"/>
        <v>-4245.1026749113171</v>
      </c>
      <c r="MF24" s="209"/>
      <c r="MG24" s="374">
        <f t="shared" ref="MG24:MG48" si="301">MG23+0.25%</f>
        <v>2.2499999999999999E-2</v>
      </c>
      <c r="MH24" s="387">
        <f t="shared" si="189"/>
        <v>-3.7235228863044862</v>
      </c>
      <c r="MI24" s="152">
        <f t="shared" si="155"/>
        <v>-165.26645493862688</v>
      </c>
      <c r="MJ24" s="28"/>
      <c r="MK24" s="28"/>
      <c r="ML24" s="129" t="s">
        <v>90</v>
      </c>
      <c r="MM24" s="28"/>
      <c r="MN24" s="28"/>
      <c r="MO24" s="28"/>
      <c r="MP24" s="28"/>
      <c r="MQ24" s="28"/>
      <c r="MR24" s="28"/>
      <c r="MS24" s="28">
        <f t="shared" si="92"/>
        <v>77</v>
      </c>
      <c r="MT24" s="28">
        <f t="shared" si="93"/>
        <v>0.34997779222393371</v>
      </c>
      <c r="MU24" s="28">
        <f t="shared" si="94"/>
        <v>0.36798262428504158</v>
      </c>
      <c r="MV24" s="28">
        <f t="shared" si="95"/>
        <v>0.38684903364400997</v>
      </c>
      <c r="MW24" s="28">
        <f t="shared" si="96"/>
        <v>0.40661517425456195</v>
      </c>
      <c r="MX24" s="28">
        <f t="shared" si="97"/>
        <v>0.4273207544337036</v>
      </c>
      <c r="MY24" s="28">
        <f t="shared" si="98"/>
        <v>0.44900709471282452</v>
      </c>
      <c r="MZ24" s="28"/>
      <c r="NA24" s="28"/>
      <c r="NB24" s="28"/>
      <c r="NC24" s="28"/>
      <c r="ND24" s="28"/>
      <c r="NE24" s="28"/>
      <c r="NF24" s="28"/>
      <c r="NG24" s="28"/>
      <c r="NH24" s="28"/>
      <c r="NI24" s="28"/>
      <c r="NJ24" s="28"/>
      <c r="NK24" s="28"/>
    </row>
    <row r="25" spans="1:375" s="30" customFormat="1" ht="12.75" customHeight="1" x14ac:dyDescent="0.3">
      <c r="A25" s="298">
        <f t="shared" si="99"/>
        <v>2034</v>
      </c>
      <c r="B25" s="348">
        <f t="shared" si="2"/>
        <v>2032</v>
      </c>
      <c r="C25" s="26">
        <v>48396</v>
      </c>
      <c r="D25" s="92">
        <f t="shared" si="156"/>
        <v>8800.1974134008542</v>
      </c>
      <c r="E25" s="27">
        <f t="shared" si="106"/>
        <v>8800.1974134008542</v>
      </c>
      <c r="F25" s="107">
        <f t="shared" si="21"/>
        <v>4872.0816129554914</v>
      </c>
      <c r="G25" s="27">
        <f t="shared" si="157"/>
        <v>15053.845089615341</v>
      </c>
      <c r="H25" s="27">
        <f t="shared" si="158"/>
        <v>10236.61466093843</v>
      </c>
      <c r="I25" s="289">
        <f t="shared" si="159"/>
        <v>8701.1224617976659</v>
      </c>
      <c r="J25" s="68">
        <v>2853.9871720000001</v>
      </c>
      <c r="K25" s="290">
        <f t="shared" si="160"/>
        <v>5847.1352897976658</v>
      </c>
      <c r="L25" s="290">
        <f t="shared" si="107"/>
        <v>4817.2304286769095</v>
      </c>
      <c r="M25" s="290">
        <f t="shared" si="161"/>
        <v>4094.6458643753731</v>
      </c>
      <c r="N25" s="27">
        <f t="shared" si="162"/>
        <v>0</v>
      </c>
      <c r="O25" s="290">
        <f t="shared" si="163"/>
        <v>1535.4921991407646</v>
      </c>
      <c r="P25" s="290">
        <f t="shared" si="108"/>
        <v>722.58456430153637</v>
      </c>
      <c r="Q25" s="290">
        <f t="shared" si="164"/>
        <v>579.33731939542724</v>
      </c>
      <c r="R25" s="254">
        <f t="shared" si="3"/>
        <v>0.67999999999999994</v>
      </c>
      <c r="S25" s="251">
        <v>0.32</v>
      </c>
      <c r="T25" s="284">
        <f t="shared" si="165"/>
        <v>7.0000000000000007E-2</v>
      </c>
      <c r="U25" s="284">
        <f t="shared" si="166"/>
        <v>7.0000000000000007E-2</v>
      </c>
      <c r="V25" s="27">
        <f t="shared" si="5"/>
        <v>72588.622083827475</v>
      </c>
      <c r="W25" s="27">
        <f t="shared" si="167"/>
        <v>70196.413527406345</v>
      </c>
      <c r="X25" s="27">
        <f t="shared" si="190"/>
        <v>2392.2085564211334</v>
      </c>
      <c r="Y25" s="27">
        <f t="shared" si="168"/>
        <v>937.11088913560866</v>
      </c>
      <c r="Z25" s="27">
        <f t="shared" si="191"/>
        <v>440.99335959322769</v>
      </c>
      <c r="AA25" s="111">
        <f t="shared" si="169"/>
        <v>7.0000000000000007E-2</v>
      </c>
      <c r="AB25" s="111">
        <f t="shared" si="170"/>
        <v>7.0000000000000007E-2</v>
      </c>
      <c r="AC25" s="92">
        <f t="shared" si="7"/>
        <v>72588.622083827475</v>
      </c>
      <c r="AD25" s="27">
        <f t="shared" si="171"/>
        <v>70196.413527406345</v>
      </c>
      <c r="AE25" s="27">
        <f t="shared" si="192"/>
        <v>2392.2085564211334</v>
      </c>
      <c r="AF25" s="145">
        <f t="shared" si="172"/>
        <v>937.11088913560866</v>
      </c>
      <c r="AG25" s="27">
        <f t="shared" si="193"/>
        <v>440.99335959322769</v>
      </c>
      <c r="AH25" s="27">
        <f t="shared" si="173"/>
        <v>55895.912304361074</v>
      </c>
      <c r="AI25" s="27">
        <f t="shared" si="174"/>
        <v>53503.447029384974</v>
      </c>
      <c r="AJ25" s="27">
        <f t="shared" si="194"/>
        <v>2392.4652749760985</v>
      </c>
      <c r="AK25" s="27">
        <f t="shared" si="11"/>
        <v>55897.038527391967</v>
      </c>
      <c r="AL25" s="27">
        <f t="shared" si="175"/>
        <v>53504.929888057828</v>
      </c>
      <c r="AM25" s="27">
        <f t="shared" si="246"/>
        <v>2392.1086393341402</v>
      </c>
      <c r="AN25" s="409">
        <f>INDEX(Inv.Returns!$B$2:$E$32,MATCH(B25,Inv.Returns!$A$2:$A$32,0),MATCH(SCRS!$DU$52,Inv.Returns!$B$1:$E$1,0))</f>
        <v>7.0000000000000007E-2</v>
      </c>
      <c r="AO25" s="27">
        <f t="shared" si="41"/>
        <v>16692.709779466401</v>
      </c>
      <c r="AP25" s="223">
        <f t="shared" si="12"/>
        <v>16691.583556435507</v>
      </c>
      <c r="AQ25" s="67">
        <f t="shared" si="22"/>
        <v>0.77003682808320606</v>
      </c>
      <c r="AR25" s="146">
        <f t="shared" si="23"/>
        <v>0.77005234322867333</v>
      </c>
      <c r="AS25" s="346"/>
      <c r="AT25" s="283">
        <f t="shared" si="176"/>
        <v>0.10950000000000001</v>
      </c>
      <c r="AU25" s="390">
        <f t="shared" si="109"/>
        <v>0.1095</v>
      </c>
      <c r="AV25" s="296">
        <f t="shared" si="110"/>
        <v>0.13404936172614609</v>
      </c>
      <c r="AW25" s="296">
        <f t="shared" si="111"/>
        <v>-3.6203030959322049E-6</v>
      </c>
      <c r="AX25" s="111">
        <f t="shared" si="82"/>
        <v>0.09</v>
      </c>
      <c r="AY25" s="111">
        <f t="shared" si="112"/>
        <v>0.09</v>
      </c>
      <c r="AZ25" s="111">
        <f t="shared" si="113"/>
        <v>0</v>
      </c>
      <c r="BA25" s="256">
        <f t="shared" si="24"/>
        <v>1.9500000000000017E-2</v>
      </c>
      <c r="BB25" s="111">
        <f t="shared" si="114"/>
        <v>1.9500000000000003E-2</v>
      </c>
      <c r="BC25" s="128">
        <f t="shared" si="83"/>
        <v>0.18560000000000004</v>
      </c>
      <c r="BD25" s="128">
        <f t="shared" si="104"/>
        <v>0.18560000000000004</v>
      </c>
      <c r="BE25" s="402">
        <f t="shared" si="15"/>
        <v>0.16610000000000003</v>
      </c>
      <c r="BF25" s="402">
        <f t="shared" si="115"/>
        <v>0.16610000000000003</v>
      </c>
      <c r="BG25" s="402">
        <f t="shared" si="177"/>
        <v>0.13560000000000005</v>
      </c>
      <c r="BH25" s="402">
        <f t="shared" si="26"/>
        <v>0.18560000000000004</v>
      </c>
      <c r="BI25" s="152">
        <f t="shared" si="42"/>
        <v>8.009338658793455</v>
      </c>
      <c r="BJ25" s="100">
        <f t="shared" si="43"/>
        <v>4.1869522882181265E-2</v>
      </c>
      <c r="BK25" s="27">
        <f t="shared" si="67"/>
        <v>9.4697285698532312</v>
      </c>
      <c r="BL25" s="27">
        <f t="shared" si="17"/>
        <v>20</v>
      </c>
      <c r="BM25" s="107">
        <f t="shared" si="31"/>
        <v>8.3693563539135685</v>
      </c>
      <c r="BN25" s="27"/>
      <c r="BO25" s="27"/>
      <c r="BP25" s="92">
        <f t="shared" si="178"/>
        <v>-4257.1615686783762</v>
      </c>
      <c r="BQ25" s="27">
        <f t="shared" si="195"/>
        <v>-102.36614660938432</v>
      </c>
      <c r="BR25" s="27">
        <f t="shared" si="179"/>
        <v>-165.73592076218441</v>
      </c>
      <c r="BS25" s="27">
        <f t="shared" si="116"/>
        <v>-3.9852251998154817</v>
      </c>
      <c r="BT25" s="27">
        <f t="shared" si="180"/>
        <v>-15.662020431235797</v>
      </c>
      <c r="BU25" s="27">
        <f t="shared" si="196"/>
        <v>-7.3703625558756718</v>
      </c>
      <c r="BV25" s="297">
        <f t="shared" si="181"/>
        <v>783.10102156178993</v>
      </c>
      <c r="BW25" s="297">
        <f t="shared" si="197"/>
        <v>368.51812779378355</v>
      </c>
      <c r="BX25" s="297">
        <f t="shared" si="198"/>
        <v>0</v>
      </c>
      <c r="BY25" s="297">
        <f t="shared" si="182"/>
        <v>52.140358745588451</v>
      </c>
      <c r="BZ25" s="297">
        <f t="shared" si="84"/>
        <v>169.67188800505448</v>
      </c>
      <c r="CA25" s="297">
        <f t="shared" si="199"/>
        <v>79.845594355319804</v>
      </c>
      <c r="CB25" s="297">
        <f t="shared" si="183"/>
        <v>2103.7459276064446</v>
      </c>
      <c r="CC25" s="297">
        <f t="shared" si="200"/>
        <v>0</v>
      </c>
      <c r="CD25" s="297">
        <f t="shared" si="201"/>
        <v>-1.8742776234040387E-2</v>
      </c>
      <c r="CE25" s="297"/>
      <c r="CF25" s="297">
        <f t="shared" si="184"/>
        <v>0</v>
      </c>
      <c r="CG25" s="297">
        <f t="shared" si="202"/>
        <v>0</v>
      </c>
      <c r="CH25" s="297">
        <f t="shared" si="185"/>
        <v>0</v>
      </c>
      <c r="CI25" s="427">
        <f>IF(AND($DU$74="Yes",MAX($AQ$13:AQ24)&lt;100%),MAX(BD23*(G25+Q25)-SUM(BZ25:CH25,CJ25,CY25),0),0)</f>
        <v>0</v>
      </c>
      <c r="CJ25" s="27"/>
      <c r="CK25" s="27">
        <f t="shared" si="44"/>
        <v>0</v>
      </c>
      <c r="CL25" s="27">
        <f t="shared" si="45"/>
        <v>0</v>
      </c>
      <c r="CM25" s="27">
        <f t="shared" si="46"/>
        <v>0</v>
      </c>
      <c r="CN25" s="27">
        <f t="shared" si="47"/>
        <v>3557.0041752917468</v>
      </c>
      <c r="CO25" s="27">
        <f t="shared" si="48"/>
        <v>0</v>
      </c>
      <c r="CP25" s="107">
        <f t="shared" si="4"/>
        <v>3557.0041752917468</v>
      </c>
      <c r="CQ25" s="27">
        <f t="shared" si="117"/>
        <v>2103.7271848302107</v>
      </c>
      <c r="CR25" s="27">
        <f t="shared" si="118"/>
        <v>0</v>
      </c>
      <c r="CS25" s="27">
        <f t="shared" si="186"/>
        <v>2103.7271848302107</v>
      </c>
      <c r="CT25" s="27">
        <f>SUM($CS$14:CS25)</f>
        <v>21204.119631680169</v>
      </c>
      <c r="CU25" s="223">
        <v>2155.3767478335462</v>
      </c>
      <c r="CV25" s="417">
        <v>446.94623449100305</v>
      </c>
      <c r="CW25" s="417">
        <v>2602.3229823245492</v>
      </c>
      <c r="CX25" s="417">
        <v>28141.737642078217</v>
      </c>
      <c r="CY25" s="103">
        <f t="shared" si="49"/>
        <v>112.90383817211506</v>
      </c>
      <c r="CZ25" s="111">
        <f t="shared" si="101"/>
        <v>0.15775089427353214</v>
      </c>
      <c r="DA25" s="92">
        <f t="shared" si="50"/>
        <v>2466.1485053627002</v>
      </c>
      <c r="DB25" s="410">
        <f t="shared" si="51"/>
        <v>1930.73532120347</v>
      </c>
      <c r="DC25" s="307">
        <f t="shared" si="52"/>
        <v>1540.6464427639132</v>
      </c>
      <c r="DD25" s="307">
        <f t="shared" si="53"/>
        <v>182.73197417323104</v>
      </c>
      <c r="DE25" s="307">
        <f t="shared" si="54"/>
        <v>0</v>
      </c>
      <c r="DF25" s="307">
        <f t="shared" si="55"/>
        <v>35442.392807230885</v>
      </c>
      <c r="DG25" s="307" t="b">
        <f t="shared" si="68"/>
        <v>0</v>
      </c>
      <c r="DH25" s="27">
        <f t="shared" si="56"/>
        <v>112.90383817211506</v>
      </c>
      <c r="DI25" s="96">
        <f t="shared" si="57"/>
        <v>82.68415120960681</v>
      </c>
      <c r="DJ25" s="101">
        <f t="shared" si="58"/>
        <v>1.6102061350664953E-2</v>
      </c>
      <c r="DK25" s="92">
        <f t="shared" si="59"/>
        <v>0</v>
      </c>
      <c r="DL25" s="96">
        <f t="shared" si="60"/>
        <v>0</v>
      </c>
      <c r="DM25" s="101">
        <f t="shared" si="61"/>
        <v>0</v>
      </c>
      <c r="DN25" s="292">
        <v>3048.7561237309424</v>
      </c>
      <c r="DO25" s="96">
        <f t="shared" si="62"/>
        <v>2386.8559095377732</v>
      </c>
      <c r="DP25" s="294">
        <v>0.75940363948486811</v>
      </c>
      <c r="DQ25" s="29"/>
      <c r="DR25" s="389" t="s">
        <v>255</v>
      </c>
      <c r="DU25" s="242">
        <v>7.0000000000000007E-2</v>
      </c>
      <c r="DV25" s="29"/>
      <c r="DW25" s="320"/>
      <c r="DX25" s="321"/>
      <c r="DY25" s="321"/>
      <c r="DZ25" s="321"/>
      <c r="EA25" s="321"/>
      <c r="EB25" s="321"/>
      <c r="EC25" s="321"/>
      <c r="ED25" s="321"/>
      <c r="EE25" s="321"/>
      <c r="EF25" s="321"/>
      <c r="EG25" s="321"/>
      <c r="EH25" s="321"/>
      <c r="EI25" s="322"/>
      <c r="EJ25" s="323"/>
      <c r="EK25" s="332">
        <f t="shared" si="69"/>
        <v>0.16610000000000003</v>
      </c>
      <c r="EL25" s="332">
        <f t="shared" si="63"/>
        <v>1.9500000000000017E-2</v>
      </c>
      <c r="EM25" s="332" t="e">
        <f t="shared" si="70"/>
        <v>#DIV/0!</v>
      </c>
      <c r="EN25" s="332">
        <f t="shared" si="64"/>
        <v>0</v>
      </c>
      <c r="EO25" s="332">
        <v>0.18560000000000004</v>
      </c>
      <c r="EP25" s="332">
        <v>0.14721796552821831</v>
      </c>
      <c r="EQ25" s="333" t="e">
        <f t="shared" si="71"/>
        <v>#DIV/0!</v>
      </c>
      <c r="ER25" s="277"/>
      <c r="ES25" s="334">
        <v>16</v>
      </c>
      <c r="ET25" s="29">
        <f t="shared" si="85"/>
        <v>3543.772426273224</v>
      </c>
      <c r="EU25" s="29">
        <f t="shared" si="86"/>
        <v>3544.5596697025212</v>
      </c>
      <c r="EV25" s="29">
        <f t="shared" si="72"/>
        <v>0.7872434292971775</v>
      </c>
      <c r="EW25" s="29">
        <f t="shared" si="73"/>
        <v>0.629794743437742</v>
      </c>
      <c r="EX25" s="29">
        <f t="shared" si="87"/>
        <v>0.44578169214173613</v>
      </c>
      <c r="EY25" s="29">
        <f t="shared" si="102"/>
        <v>0.2772909897637873</v>
      </c>
      <c r="EZ25" s="29">
        <f t="shared" si="105"/>
        <v>0.12999124751240743</v>
      </c>
      <c r="FA25" s="29">
        <f t="shared" si="74"/>
        <v>1.4828586728556727</v>
      </c>
      <c r="FB25" s="29"/>
      <c r="FC25" s="29">
        <f t="shared" si="247"/>
        <v>145.56042705760962</v>
      </c>
      <c r="FD25" s="29">
        <f t="shared" si="248"/>
        <v>145.36234457867778</v>
      </c>
      <c r="FE25" s="29">
        <f t="shared" si="203"/>
        <v>-0.19808247893183761</v>
      </c>
      <c r="FF25" s="29">
        <f t="shared" si="204"/>
        <v>-0.15846598314547009</v>
      </c>
      <c r="FG25" s="29">
        <f t="shared" si="205"/>
        <v>-0.10820885981448214</v>
      </c>
      <c r="FH25" s="29">
        <f t="shared" si="206"/>
        <v>-6.2419209310797898E-2</v>
      </c>
      <c r="FI25" s="29">
        <f t="shared" si="207"/>
        <v>-2.7541589687419328E-2</v>
      </c>
      <c r="FJ25" s="29">
        <f t="shared" si="208"/>
        <v>-0.35663564195816949</v>
      </c>
      <c r="FK25" s="29"/>
      <c r="FL25" s="29"/>
      <c r="FM25" s="27">
        <f t="shared" si="27"/>
        <v>17684.841546717078</v>
      </c>
      <c r="FN25" s="29"/>
      <c r="FO25" s="301">
        <f t="shared" si="119"/>
        <v>2103.7459276064446</v>
      </c>
      <c r="FP25" s="89">
        <f t="shared" si="209"/>
        <v>-1.8742776234040387E-2</v>
      </c>
      <c r="FQ25" s="27">
        <f t="shared" si="103"/>
        <v>20</v>
      </c>
      <c r="FR25" s="302">
        <f t="shared" si="88"/>
        <v>13.464518542443937</v>
      </c>
      <c r="FS25" s="89">
        <f t="shared" si="89"/>
        <v>1313.4403202735768</v>
      </c>
      <c r="FT25" s="89">
        <f t="shared" si="210"/>
        <v>2103.7271848302107</v>
      </c>
      <c r="FU25" s="29">
        <f t="shared" si="90"/>
        <v>20</v>
      </c>
      <c r="FV25" s="137">
        <f t="shared" si="91"/>
        <v>13.464518542443937</v>
      </c>
      <c r="FW25" s="48">
        <v>2436.7202422198197</v>
      </c>
      <c r="FX25" s="29">
        <f t="shared" si="120"/>
        <v>-53.940719815636839</v>
      </c>
      <c r="FY25" s="29">
        <f t="shared" si="121"/>
        <v>-56.192572810051431</v>
      </c>
      <c r="FZ25" s="29">
        <f t="shared" si="266"/>
        <v>-54.329034916969199</v>
      </c>
      <c r="GA25" s="29">
        <f t="shared" si="267"/>
        <v>-52.37458673155902</v>
      </c>
      <c r="GB25" s="29">
        <f t="shared" si="268"/>
        <v>-50.331572982657441</v>
      </c>
      <c r="GC25" s="29">
        <f t="shared" si="269"/>
        <v>-48.192823956106359</v>
      </c>
      <c r="GD25" s="29">
        <f t="shared" si="270"/>
        <v>-28.907086366748523</v>
      </c>
      <c r="GE25" s="29">
        <f t="shared" si="271"/>
        <v>-1259.297210370539</v>
      </c>
      <c r="GF25" s="29">
        <f t="shared" si="272"/>
        <v>-811.10659338976029</v>
      </c>
      <c r="GG25" s="29">
        <f t="shared" si="273"/>
        <v>-749.28404595341806</v>
      </c>
      <c r="GH25" s="29">
        <f t="shared" si="274"/>
        <v>-887.89915491952945</v>
      </c>
      <c r="GI25" s="29">
        <f t="shared" si="275"/>
        <v>20744.821900234347</v>
      </c>
      <c r="GJ25" s="29">
        <f t="shared" si="276"/>
        <v>0</v>
      </c>
      <c r="GK25" s="29">
        <f t="shared" si="277"/>
        <v>0</v>
      </c>
      <c r="GL25" s="29">
        <f t="shared" si="278"/>
        <v>0</v>
      </c>
      <c r="GM25" s="29">
        <f t="shared" si="279"/>
        <v>0</v>
      </c>
      <c r="GN25" s="29">
        <f t="shared" si="280"/>
        <v>0</v>
      </c>
      <c r="GO25" s="29">
        <f t="shared" si="251"/>
        <v>0</v>
      </c>
      <c r="GP25" s="29">
        <f t="shared" si="252"/>
        <v>0</v>
      </c>
      <c r="GQ25" s="29">
        <f t="shared" si="253"/>
        <v>0</v>
      </c>
      <c r="GR25" s="29">
        <f t="shared" si="254"/>
        <v>0</v>
      </c>
      <c r="GS25" s="29">
        <f t="shared" si="255"/>
        <v>0</v>
      </c>
      <c r="GT25" s="29">
        <f t="shared" si="256"/>
        <v>0</v>
      </c>
      <c r="GU25" s="29">
        <f t="shared" si="257"/>
        <v>0</v>
      </c>
      <c r="GV25" s="29">
        <f t="shared" si="258"/>
        <v>0</v>
      </c>
      <c r="GW25" s="29">
        <f t="shared" si="259"/>
        <v>0</v>
      </c>
      <c r="GX25" s="29">
        <f t="shared" si="260"/>
        <v>0</v>
      </c>
      <c r="GY25" s="29">
        <f t="shared" si="261"/>
        <v>0</v>
      </c>
      <c r="GZ25" s="29">
        <f t="shared" si="262"/>
        <v>0</v>
      </c>
      <c r="HA25" s="29">
        <f t="shared" si="263"/>
        <v>0</v>
      </c>
      <c r="HB25" s="29">
        <f t="shared" si="264"/>
        <v>0</v>
      </c>
      <c r="HC25" s="29">
        <f t="shared" si="265"/>
        <v>0</v>
      </c>
      <c r="HD25" s="29"/>
      <c r="HE25" s="29">
        <f t="shared" si="32"/>
        <v>20</v>
      </c>
      <c r="HF25" s="29">
        <f t="shared" si="281"/>
        <v>0</v>
      </c>
      <c r="HG25" s="29">
        <f t="shared" si="282"/>
        <v>-4.1733815162359269</v>
      </c>
      <c r="HH25" s="29">
        <f t="shared" si="283"/>
        <v>-4.1723978172842209</v>
      </c>
      <c r="HI25" s="29">
        <f t="shared" si="284"/>
        <v>-4.1702730954765528</v>
      </c>
      <c r="HJ25" s="29">
        <f t="shared" si="127"/>
        <v>-4.1673289613532205</v>
      </c>
      <c r="HK25" s="29">
        <f t="shared" si="128"/>
        <v>-4.1631203976057476</v>
      </c>
      <c r="HL25" s="29">
        <f t="shared" si="129"/>
        <v>-2.6151729638547896</v>
      </c>
      <c r="HM25" s="29">
        <f t="shared" si="130"/>
        <v>-119.82807709969674</v>
      </c>
      <c r="HN25" s="29">
        <f t="shared" si="131"/>
        <v>-81.58383125660707</v>
      </c>
      <c r="HO25" s="29">
        <f t="shared" si="132"/>
        <v>-80.128287003516135</v>
      </c>
      <c r="HP25" s="29">
        <f t="shared" si="133"/>
        <v>-101.64418142492964</v>
      </c>
      <c r="HQ25" s="29">
        <f t="shared" si="134"/>
        <v>2563.019737672143</v>
      </c>
      <c r="HR25" s="29">
        <f t="shared" si="135"/>
        <v>0</v>
      </c>
      <c r="HS25" s="29">
        <f t="shared" si="136"/>
        <v>0</v>
      </c>
      <c r="HT25" s="29">
        <f t="shared" si="137"/>
        <v>0</v>
      </c>
      <c r="HU25" s="29">
        <f t="shared" si="138"/>
        <v>0</v>
      </c>
      <c r="HV25" s="29">
        <f t="shared" si="139"/>
        <v>0</v>
      </c>
      <c r="HW25" s="29">
        <f t="shared" si="140"/>
        <v>0</v>
      </c>
      <c r="HX25" s="29">
        <f t="shared" si="141"/>
        <v>0</v>
      </c>
      <c r="HY25" s="29">
        <f t="shared" si="142"/>
        <v>0</v>
      </c>
      <c r="HZ25" s="29">
        <f t="shared" si="143"/>
        <v>0</v>
      </c>
      <c r="IA25" s="29">
        <f t="shared" si="144"/>
        <v>0</v>
      </c>
      <c r="IB25" s="29">
        <f t="shared" si="145"/>
        <v>0</v>
      </c>
      <c r="IC25" s="29">
        <f t="shared" si="146"/>
        <v>0</v>
      </c>
      <c r="ID25" s="29">
        <f t="shared" si="147"/>
        <v>0</v>
      </c>
      <c r="IE25" s="29">
        <f t="shared" si="148"/>
        <v>0</v>
      </c>
      <c r="IF25" s="29">
        <f t="shared" si="149"/>
        <v>0</v>
      </c>
      <c r="IG25" s="29">
        <f t="shared" si="150"/>
        <v>0</v>
      </c>
      <c r="IH25" s="29">
        <f t="shared" si="151"/>
        <v>0</v>
      </c>
      <c r="II25" s="29">
        <f t="shared" si="152"/>
        <v>0</v>
      </c>
      <c r="IJ25" s="29">
        <f t="shared" si="153"/>
        <v>0</v>
      </c>
      <c r="IK25" s="29">
        <f t="shared" si="154"/>
        <v>0</v>
      </c>
      <c r="IL25" s="48"/>
      <c r="IM25" s="48"/>
      <c r="IN25" s="48"/>
      <c r="IO25" s="29">
        <f t="shared" si="211"/>
        <v>-1.7634852474833818E-2</v>
      </c>
      <c r="IP25" s="29">
        <f t="shared" si="249"/>
        <v>-2.3899394730654434E-2</v>
      </c>
      <c r="IQ25" s="29">
        <f t="shared" ref="IQ25:IQ44" si="302">IF(AND($AQ25&gt;=100%,$AQ24&lt;100%),0,IP24*(1+$AB24) - JX24*(1+$AB24)^0.5)</f>
        <v>-2.1642344727707846E-2</v>
      </c>
      <c r="IR25" s="29">
        <f t="shared" ref="IR25:IR44" si="303">IF(AND($AQ25&gt;=100%,$AQ24&lt;100%),0,IQ24*(1+$AB24) - JY24*(1+$AB24)^0.5)</f>
        <v>-2.451591134427604E-2</v>
      </c>
      <c r="IS25" s="29">
        <f t="shared" ref="IS25:IS44" si="304">IF(AND($AQ25&gt;=100%,$AQ24&lt;100%),0,IR24*(1+$AB24) - JZ24*(1+$AB24)^0.5)</f>
        <v>-2.716845034988627E-2</v>
      </c>
      <c r="IT25" s="29">
        <f t="shared" ref="IT25:IT44" si="305">IF(AND($AQ25&gt;=100%,$AQ24&lt;100%),0,IS24*(1+$AB24) - KA24*(1+$AB24)^0.5)</f>
        <v>-3.0941857263473385E-2</v>
      </c>
      <c r="IU25" s="29">
        <f t="shared" ref="IU25:IU44" si="306">IF(AND($AQ25&gt;=100%,$AQ24&lt;100%),0,IT24*(1+$AB24) - KB24*(1+$AB24)^0.5)</f>
        <v>-3.4464014086628074E-2</v>
      </c>
      <c r="IV25" s="29">
        <f t="shared" ref="IV25:IV44" si="307">IF(AND($AQ25&gt;=100%,$AQ24&lt;100%),0,IU24*(1+$AB24) - KC24*(1+$AB24)^0.5)</f>
        <v>-3.3757351474319582E-2</v>
      </c>
      <c r="IW25" s="29">
        <f t="shared" ref="IW25:IW44" si="308">IF(AND($AQ25&gt;=100%,$AQ24&lt;100%),0,IV24*(1+$AB24) - KD24*(1+$AB24)^0.5)</f>
        <v>-2.8869400260947007E-2</v>
      </c>
      <c r="IX25" s="29">
        <f t="shared" ref="IX25:IX44" si="309">IF(AND($AQ25&gt;=100%,$AQ24&lt;100%),0,IW24*(1+$AB24) - KE24*(1+$AB24)^0.5)</f>
        <v>-1.3824978252392069E-2</v>
      </c>
      <c r="IY25" s="29">
        <f t="shared" ref="IY25:IY44" si="310">IF(AND($AQ25&gt;=100%,$AQ24&lt;100%),0,IX24*(1+$AB24) - KF24*(1+$AB24)^0.5)</f>
        <v>0</v>
      </c>
      <c r="IZ25" s="29">
        <f t="shared" ref="IZ25:IZ44" si="311">IF(AND($AQ25&gt;=100%,$AQ24&lt;100%),0,IY24*(1+$AB24) - KG24*(1+$AB24)^0.5)</f>
        <v>0</v>
      </c>
      <c r="JA25" s="29">
        <f t="shared" ref="JA25:JA44" si="312">IF(AND($AQ25&gt;=100%,$AQ24&lt;100%),0,IZ24*(1+$AB24) - KH24*(1+$AB24)^0.5)</f>
        <v>0</v>
      </c>
      <c r="JB25" s="29">
        <f t="shared" ref="JB25:JB44" si="313">IF(AND($AQ25&gt;=100%,$AQ24&lt;100%),0,JA24*(1+$AB24) - KI24*(1+$AB24)^0.5)</f>
        <v>0</v>
      </c>
      <c r="JC25" s="29">
        <f t="shared" ref="JC25:JC44" si="314">IF(AND($AQ25&gt;=100%,$AQ24&lt;100%),0,JB24*(1+$AB24) - KJ24*(1+$AB24)^0.5)</f>
        <v>0</v>
      </c>
      <c r="JD25" s="29">
        <f t="shared" ref="JD25:JD44" si="315">IF(AND($AQ25&gt;=100%,$AQ24&lt;100%),0,JC24*(1+$AB24) - KK24*(1+$AB24)^0.5)</f>
        <v>0</v>
      </c>
      <c r="JE25" s="29">
        <f t="shared" ref="JE25:JE44" si="316">IF(AND($AQ25&gt;=100%,$AQ24&lt;100%),0,JD24*(1+$AB24) - KL24*(1+$AB24)^0.5)</f>
        <v>0</v>
      </c>
      <c r="JF25" s="29">
        <f t="shared" si="285"/>
        <v>0</v>
      </c>
      <c r="JG25" s="29">
        <f t="shared" si="286"/>
        <v>0</v>
      </c>
      <c r="JH25" s="29">
        <f t="shared" si="287"/>
        <v>0</v>
      </c>
      <c r="JI25" s="29">
        <f t="shared" si="288"/>
        <v>0</v>
      </c>
      <c r="JJ25" s="29">
        <f t="shared" si="289"/>
        <v>0</v>
      </c>
      <c r="JK25" s="29">
        <f t="shared" si="290"/>
        <v>0</v>
      </c>
      <c r="JL25" s="29">
        <f t="shared" si="291"/>
        <v>0</v>
      </c>
      <c r="JM25" s="29">
        <f t="shared" si="292"/>
        <v>0</v>
      </c>
      <c r="JN25" s="29">
        <f t="shared" si="293"/>
        <v>0</v>
      </c>
      <c r="JO25" s="29">
        <f t="shared" si="294"/>
        <v>0</v>
      </c>
      <c r="JP25" s="29">
        <f t="shared" si="295"/>
        <v>0</v>
      </c>
      <c r="JQ25" s="29">
        <f t="shared" si="296"/>
        <v>0</v>
      </c>
      <c r="JR25" s="29">
        <f t="shared" si="297"/>
        <v>0</v>
      </c>
      <c r="JS25" s="29">
        <f t="shared" si="298"/>
        <v>0</v>
      </c>
      <c r="JT25" s="29">
        <f t="shared" si="299"/>
        <v>0</v>
      </c>
      <c r="JU25" s="48"/>
      <c r="JV25" s="394">
        <f t="shared" si="213"/>
        <v>20</v>
      </c>
      <c r="JW25" s="29">
        <f t="shared" si="214"/>
        <v>0</v>
      </c>
      <c r="JX25" s="29">
        <f t="shared" si="215"/>
        <v>-1.7749906656756304E-3</v>
      </c>
      <c r="JY25" s="29">
        <f t="shared" si="216"/>
        <v>-1.6621033677628667E-3</v>
      </c>
      <c r="JZ25" s="29">
        <f t="shared" si="217"/>
        <v>-1.9520544575202892E-3</v>
      </c>
      <c r="KA25" s="29">
        <f t="shared" si="218"/>
        <v>-2.2494800632831369E-3</v>
      </c>
      <c r="KB25" s="29">
        <f t="shared" si="219"/>
        <v>-2.6729016176909449E-3</v>
      </c>
      <c r="KC25" s="29">
        <f t="shared" si="220"/>
        <v>-3.1178983838694684E-3</v>
      </c>
      <c r="KD25" s="29">
        <f t="shared" si="221"/>
        <v>-3.2121714253270628E-3</v>
      </c>
      <c r="KE25" s="29">
        <f t="shared" si="222"/>
        <v>-2.9037814493967132E-3</v>
      </c>
      <c r="KF25" s="29">
        <f t="shared" si="223"/>
        <v>-1.4784404275089947E-3</v>
      </c>
      <c r="KG25" s="29">
        <f t="shared" si="224"/>
        <v>0</v>
      </c>
      <c r="KH25" s="29">
        <f t="shared" si="225"/>
        <v>0</v>
      </c>
      <c r="KI25" s="29">
        <f t="shared" si="226"/>
        <v>0</v>
      </c>
      <c r="KJ25" s="29">
        <f t="shared" si="227"/>
        <v>0</v>
      </c>
      <c r="KK25" s="29">
        <f t="shared" si="228"/>
        <v>0</v>
      </c>
      <c r="KL25" s="29">
        <f t="shared" si="229"/>
        <v>0</v>
      </c>
      <c r="KM25" s="29">
        <f t="shared" si="230"/>
        <v>0</v>
      </c>
      <c r="KN25" s="29">
        <f t="shared" si="231"/>
        <v>0</v>
      </c>
      <c r="KO25" s="29">
        <f t="shared" si="232"/>
        <v>0</v>
      </c>
      <c r="KP25" s="29">
        <f t="shared" si="233"/>
        <v>0</v>
      </c>
      <c r="KQ25" s="29">
        <f t="shared" si="234"/>
        <v>0</v>
      </c>
      <c r="KR25" s="29">
        <f t="shared" si="235"/>
        <v>0</v>
      </c>
      <c r="KS25" s="29">
        <f t="shared" si="236"/>
        <v>0</v>
      </c>
      <c r="KT25" s="29">
        <f t="shared" si="237"/>
        <v>0</v>
      </c>
      <c r="KU25" s="29">
        <f t="shared" si="238"/>
        <v>0</v>
      </c>
      <c r="KV25" s="29">
        <f t="shared" si="239"/>
        <v>0</v>
      </c>
      <c r="KW25" s="29">
        <f t="shared" si="240"/>
        <v>0</v>
      </c>
      <c r="KX25" s="29">
        <f t="shared" si="241"/>
        <v>0</v>
      </c>
      <c r="KY25" s="29">
        <f t="shared" si="242"/>
        <v>0</v>
      </c>
      <c r="KZ25" s="29">
        <f t="shared" si="243"/>
        <v>0</v>
      </c>
      <c r="LA25" s="29">
        <f t="shared" si="244"/>
        <v>0</v>
      </c>
      <c r="LB25" s="29">
        <f t="shared" si="245"/>
        <v>0</v>
      </c>
      <c r="LC25" s="48"/>
      <c r="LD25" s="48"/>
      <c r="LE25" s="48"/>
      <c r="LF25" s="48"/>
      <c r="LG25" s="48"/>
      <c r="LH25" s="48"/>
      <c r="LI25" s="48"/>
      <c r="LJ25" s="48"/>
      <c r="LK25" s="48"/>
      <c r="LL25" s="48"/>
      <c r="LM25" s="48"/>
      <c r="LN25" s="48"/>
      <c r="LO25" s="48"/>
      <c r="LP25" s="46">
        <f t="shared" si="33"/>
        <v>0.26731069504676791</v>
      </c>
      <c r="LQ25" s="47">
        <f t="shared" si="34"/>
        <v>0.64798555520476819</v>
      </c>
      <c r="LR25" s="28"/>
      <c r="LS25" s="48"/>
      <c r="LT25" s="28" t="s">
        <v>52</v>
      </c>
      <c r="LU25" s="161">
        <v>2.4266666666666669E-2</v>
      </c>
      <c r="LV25" s="111">
        <f t="shared" si="75"/>
        <v>3.9342015280720108E-18</v>
      </c>
      <c r="LW25" s="152">
        <f t="shared" si="18"/>
        <v>1.916775092658104E-14</v>
      </c>
      <c r="LX25" s="223" t="e">
        <f>LX24*(1+#REF!)</f>
        <v>#REF!</v>
      </c>
      <c r="LY25" s="153"/>
      <c r="LZ25" s="124">
        <f t="shared" si="76"/>
        <v>-72.533501927537145</v>
      </c>
      <c r="MA25" s="125">
        <f t="shared" si="77"/>
        <v>-117.63467672285333</v>
      </c>
      <c r="MB25" s="28"/>
      <c r="MC25" s="374">
        <f t="shared" si="300"/>
        <v>2.4999999999999998E-2</v>
      </c>
      <c r="MD25" s="387">
        <f t="shared" si="187"/>
        <v>-120.43076071692272</v>
      </c>
      <c r="ME25" s="152">
        <f t="shared" si="188"/>
        <v>-4377.5923293952992</v>
      </c>
      <c r="MF25" s="209"/>
      <c r="MG25" s="374">
        <f t="shared" si="301"/>
        <v>2.4999999999999998E-2</v>
      </c>
      <c r="MH25" s="387">
        <f t="shared" si="189"/>
        <v>-4.6885002350770373</v>
      </c>
      <c r="MI25" s="152">
        <f t="shared" si="155"/>
        <v>-170.42442099726145</v>
      </c>
      <c r="MJ25" s="28"/>
      <c r="MK25" s="28" t="s">
        <v>37</v>
      </c>
      <c r="ML25" s="229">
        <v>9.3299999999999994E-2</v>
      </c>
      <c r="MM25" s="35"/>
      <c r="MN25" s="28"/>
      <c r="MO25" s="28"/>
      <c r="MP25" s="28"/>
      <c r="MQ25" s="28"/>
      <c r="MR25" s="28"/>
      <c r="MS25" s="28">
        <f t="shared" si="92"/>
        <v>78</v>
      </c>
      <c r="MT25" s="28">
        <f t="shared" si="93"/>
        <v>0.32631961978921559</v>
      </c>
      <c r="MU25" s="28">
        <f t="shared" si="94"/>
        <v>0.34425675158638364</v>
      </c>
      <c r="MV25" s="28">
        <f t="shared" si="95"/>
        <v>0.36311507894585066</v>
      </c>
      <c r="MW25" s="28">
        <f t="shared" si="96"/>
        <v>0.38293860769773452</v>
      </c>
      <c r="MX25" s="28">
        <f t="shared" si="97"/>
        <v>0.40377328908448973</v>
      </c>
      <c r="MY25" s="28">
        <f t="shared" si="98"/>
        <v>0.42566709888043297</v>
      </c>
      <c r="MZ25" s="28"/>
      <c r="NA25" s="28"/>
      <c r="NB25" s="28"/>
      <c r="NC25" s="28"/>
      <c r="ND25" s="28"/>
      <c r="NE25" s="28"/>
      <c r="NF25" s="28"/>
      <c r="NG25" s="28"/>
      <c r="NH25" s="28"/>
      <c r="NI25" s="28"/>
      <c r="NJ25" s="28"/>
      <c r="NK25" s="28"/>
    </row>
    <row r="26" spans="1:375" s="35" customFormat="1" ht="12.75" customHeight="1" x14ac:dyDescent="0.3">
      <c r="A26" s="298">
        <f t="shared" si="99"/>
        <v>2035</v>
      </c>
      <c r="B26" s="348">
        <f t="shared" si="2"/>
        <v>2033</v>
      </c>
      <c r="C26" s="26">
        <v>48761</v>
      </c>
      <c r="D26" s="92">
        <f t="shared" si="156"/>
        <v>8506.1672880589904</v>
      </c>
      <c r="E26" s="27">
        <f t="shared" si="106"/>
        <v>8506.1672880589904</v>
      </c>
      <c r="F26" s="107">
        <f t="shared" si="21"/>
        <v>5629.0812935684498</v>
      </c>
      <c r="G26" s="27">
        <f t="shared" si="157"/>
        <v>15460.298907034954</v>
      </c>
      <c r="H26" s="27">
        <f t="shared" si="158"/>
        <v>9894.5913005023704</v>
      </c>
      <c r="I26" s="289">
        <f t="shared" si="159"/>
        <v>8410.4026054270144</v>
      </c>
      <c r="J26" s="68">
        <v>2687.3499959999999</v>
      </c>
      <c r="K26" s="290">
        <f t="shared" si="160"/>
        <v>5723.0526094270144</v>
      </c>
      <c r="L26" s="290">
        <f t="shared" si="107"/>
        <v>5565.7076065325837</v>
      </c>
      <c r="M26" s="290">
        <f t="shared" si="161"/>
        <v>4730.851465552696</v>
      </c>
      <c r="N26" s="27">
        <f t="shared" si="162"/>
        <v>0</v>
      </c>
      <c r="O26" s="290">
        <f t="shared" si="163"/>
        <v>1484.1886950753556</v>
      </c>
      <c r="P26" s="290">
        <f t="shared" si="108"/>
        <v>834.85614097988753</v>
      </c>
      <c r="Q26" s="290">
        <f t="shared" si="164"/>
        <v>594.9794270191037</v>
      </c>
      <c r="R26" s="254">
        <f t="shared" si="3"/>
        <v>0.64</v>
      </c>
      <c r="S26" s="251">
        <v>0.36</v>
      </c>
      <c r="T26" s="284">
        <f t="shared" si="165"/>
        <v>7.0000000000000007E-2</v>
      </c>
      <c r="U26" s="284">
        <f t="shared" si="166"/>
        <v>7.0000000000000007E-2</v>
      </c>
      <c r="V26" s="27">
        <f t="shared" si="5"/>
        <v>74307.177191725816</v>
      </c>
      <c r="W26" s="27">
        <f t="shared" si="167"/>
        <v>71360.283990466371</v>
      </c>
      <c r="X26" s="27">
        <f t="shared" si="190"/>
        <v>2946.8932012594501</v>
      </c>
      <c r="Y26" s="27">
        <f t="shared" si="168"/>
        <v>905.80036060448947</v>
      </c>
      <c r="Z26" s="27">
        <f t="shared" si="191"/>
        <v>509.51270284002538</v>
      </c>
      <c r="AA26" s="111">
        <f t="shared" si="169"/>
        <v>7.0000000000000007E-2</v>
      </c>
      <c r="AB26" s="111">
        <f t="shared" si="170"/>
        <v>7.0000000000000007E-2</v>
      </c>
      <c r="AC26" s="92">
        <f t="shared" si="7"/>
        <v>74307.177191725816</v>
      </c>
      <c r="AD26" s="27">
        <f t="shared" si="171"/>
        <v>71360.283990466371</v>
      </c>
      <c r="AE26" s="27">
        <f t="shared" si="192"/>
        <v>2946.8932012594501</v>
      </c>
      <c r="AF26" s="145">
        <f t="shared" si="172"/>
        <v>905.80036060448947</v>
      </c>
      <c r="AG26" s="27">
        <f t="shared" si="193"/>
        <v>509.51270284002538</v>
      </c>
      <c r="AH26" s="27">
        <f t="shared" si="173"/>
        <v>58731.943047385124</v>
      </c>
      <c r="AI26" s="27">
        <f t="shared" si="174"/>
        <v>55784.779037321634</v>
      </c>
      <c r="AJ26" s="27">
        <f t="shared" si="194"/>
        <v>2947.1640100634922</v>
      </c>
      <c r="AK26" s="27">
        <f t="shared" si="11"/>
        <v>58733.121959823387</v>
      </c>
      <c r="AL26" s="27">
        <f t="shared" si="175"/>
        <v>55786.35741705745</v>
      </c>
      <c r="AM26" s="27">
        <f t="shared" si="246"/>
        <v>2946.7645427659372</v>
      </c>
      <c r="AN26" s="409">
        <f>INDEX(Inv.Returns!$B$2:$E$32,MATCH(B26,Inv.Returns!$A$2:$A$32,0),MATCH(SCRS!$DU$52,Inv.Returns!$B$1:$E$1,0))</f>
        <v>7.0000000000000007E-2</v>
      </c>
      <c r="AO26" s="27">
        <f t="shared" si="41"/>
        <v>15575.234144340691</v>
      </c>
      <c r="AP26" s="223">
        <f t="shared" si="12"/>
        <v>15574.055231902428</v>
      </c>
      <c r="AQ26" s="67">
        <f t="shared" si="22"/>
        <v>0.79039394668224583</v>
      </c>
      <c r="AR26" s="146">
        <f t="shared" si="23"/>
        <v>0.79040981207348815</v>
      </c>
      <c r="AS26" s="346"/>
      <c r="AT26" s="283">
        <f t="shared" si="176"/>
        <v>0.10950000000000001</v>
      </c>
      <c r="AU26" s="390">
        <f t="shared" si="109"/>
        <v>0.1095</v>
      </c>
      <c r="AV26" s="296">
        <f t="shared" si="110"/>
        <v>0.13378938439692581</v>
      </c>
      <c r="AW26" s="296">
        <f t="shared" si="111"/>
        <v>-3.5702220546279931E-6</v>
      </c>
      <c r="AX26" s="111">
        <f t="shared" si="82"/>
        <v>0.09</v>
      </c>
      <c r="AY26" s="111">
        <f t="shared" si="112"/>
        <v>0.09</v>
      </c>
      <c r="AZ26" s="111">
        <f t="shared" si="113"/>
        <v>0</v>
      </c>
      <c r="BA26" s="256">
        <f t="shared" si="24"/>
        <v>1.9500000000000017E-2</v>
      </c>
      <c r="BB26" s="111">
        <f t="shared" si="114"/>
        <v>1.9500000000000003E-2</v>
      </c>
      <c r="BC26" s="128">
        <f t="shared" si="83"/>
        <v>0.18560000000000004</v>
      </c>
      <c r="BD26" s="128">
        <f t="shared" si="104"/>
        <v>0.18560000000000004</v>
      </c>
      <c r="BE26" s="402">
        <f t="shared" si="15"/>
        <v>0.16610000000000003</v>
      </c>
      <c r="BF26" s="402">
        <f t="shared" si="115"/>
        <v>0.16610000000000003</v>
      </c>
      <c r="BG26" s="402">
        <f t="shared" si="177"/>
        <v>0.13560000000000005</v>
      </c>
      <c r="BH26" s="402">
        <f t="shared" si="26"/>
        <v>0.18560000000000004</v>
      </c>
      <c r="BI26" s="152">
        <f t="shared" si="42"/>
        <v>7.2904391891792324</v>
      </c>
      <c r="BJ26" s="100">
        <f t="shared" si="43"/>
        <v>4.1869522882181265E-2</v>
      </c>
      <c r="BK26" s="27">
        <f t="shared" si="67"/>
        <v>8.4525706285104896</v>
      </c>
      <c r="BL26" s="27">
        <f t="shared" si="17"/>
        <v>20</v>
      </c>
      <c r="BM26" s="107">
        <f t="shared" si="31"/>
        <v>7.4874537380733805</v>
      </c>
      <c r="BN26" s="27"/>
      <c r="BO26" s="27"/>
      <c r="BP26" s="92">
        <f t="shared" si="178"/>
        <v>-4361.1600268160819</v>
      </c>
      <c r="BQ26" s="27">
        <f t="shared" si="195"/>
        <v>-130.09841530269912</v>
      </c>
      <c r="BR26" s="27">
        <f t="shared" si="179"/>
        <v>-169.78469362157364</v>
      </c>
      <c r="BS26" s="27">
        <f t="shared" si="116"/>
        <v>-5.0648725217604902</v>
      </c>
      <c r="BT26" s="27">
        <f t="shared" si="180"/>
        <v>-15.138724689768626</v>
      </c>
      <c r="BU26" s="27">
        <f t="shared" si="196"/>
        <v>-8.5155326379948519</v>
      </c>
      <c r="BV26" s="297">
        <f t="shared" si="181"/>
        <v>756.9362344884313</v>
      </c>
      <c r="BW26" s="297">
        <f t="shared" si="197"/>
        <v>425.77663189974265</v>
      </c>
      <c r="BX26" s="297">
        <f t="shared" si="198"/>
        <v>0</v>
      </c>
      <c r="BY26" s="297">
        <f t="shared" si="182"/>
        <v>53.548148431719333</v>
      </c>
      <c r="BZ26" s="297">
        <f t="shared" si="84"/>
        <v>164.00285080582682</v>
      </c>
      <c r="CA26" s="297">
        <f t="shared" si="199"/>
        <v>92.251603578277525</v>
      </c>
      <c r="CB26" s="297">
        <f t="shared" si="183"/>
        <v>2156.3736861355828</v>
      </c>
      <c r="CC26" s="297">
        <f t="shared" si="200"/>
        <v>0</v>
      </c>
      <c r="CD26" s="297">
        <f t="shared" si="201"/>
        <v>-2.1023821858035106E-2</v>
      </c>
      <c r="CE26" s="297"/>
      <c r="CF26" s="297">
        <f t="shared" si="184"/>
        <v>0</v>
      </c>
      <c r="CG26" s="297">
        <f t="shared" si="202"/>
        <v>0</v>
      </c>
      <c r="CH26" s="297">
        <f t="shared" si="185"/>
        <v>0</v>
      </c>
      <c r="CI26" s="427">
        <f>IF(AND($DU$74="Yes",MAX($AQ$13:AQ25)&lt;100%),MAX(BD24*(G26+Q26)-SUM(BZ26:CH26,CJ26,CY26),0),0)</f>
        <v>0</v>
      </c>
      <c r="CJ26" s="27"/>
      <c r="CK26" s="27">
        <f t="shared" si="44"/>
        <v>0</v>
      </c>
      <c r="CL26" s="27">
        <f t="shared" si="45"/>
        <v>0</v>
      </c>
      <c r="CM26" s="27">
        <f t="shared" si="46"/>
        <v>0</v>
      </c>
      <c r="CN26" s="27">
        <f t="shared" si="47"/>
        <v>3648.8681315177228</v>
      </c>
      <c r="CO26" s="27">
        <f t="shared" si="48"/>
        <v>0</v>
      </c>
      <c r="CP26" s="107">
        <f t="shared" si="4"/>
        <v>3648.8681315177228</v>
      </c>
      <c r="CQ26" s="27">
        <f t="shared" si="117"/>
        <v>2156.352662313725</v>
      </c>
      <c r="CR26" s="27">
        <f t="shared" si="118"/>
        <v>0</v>
      </c>
      <c r="CS26" s="27">
        <f t="shared" si="186"/>
        <v>2156.352662313725</v>
      </c>
      <c r="CT26" s="27">
        <f>SUM($CS$14:CS26)</f>
        <v>23360.472293993895</v>
      </c>
      <c r="CU26" s="223">
        <v>2225.9956051649592</v>
      </c>
      <c r="CV26" s="417">
        <v>460.35462152573314</v>
      </c>
      <c r="CW26" s="417">
        <v>2686.3502266906926</v>
      </c>
      <c r="CX26" s="417">
        <v>30828.087868768911</v>
      </c>
      <c r="CY26" s="103">
        <f t="shared" si="49"/>
        <v>115.95224180276216</v>
      </c>
      <c r="CZ26" s="111">
        <f t="shared" si="101"/>
        <v>0.15749084543351638</v>
      </c>
      <c r="DA26" s="92">
        <f t="shared" si="50"/>
        <v>2528.5593585005918</v>
      </c>
      <c r="DB26" s="410">
        <f t="shared" si="51"/>
        <v>1936.035663319645</v>
      </c>
      <c r="DC26" s="307">
        <f t="shared" si="52"/>
        <v>1544.436437060129</v>
      </c>
      <c r="DD26" s="307">
        <f t="shared" si="53"/>
        <v>183.53617357057041</v>
      </c>
      <c r="DE26" s="307">
        <f t="shared" si="54"/>
        <v>0</v>
      </c>
      <c r="DF26" s="307">
        <f t="shared" si="55"/>
        <v>34923.909443775592</v>
      </c>
      <c r="DG26" s="307" t="b">
        <f t="shared" si="68"/>
        <v>0</v>
      </c>
      <c r="DH26" s="27">
        <f t="shared" si="56"/>
        <v>115.95224180276216</v>
      </c>
      <c r="DI26" s="96">
        <f t="shared" si="57"/>
        <v>83.048042339624629</v>
      </c>
      <c r="DJ26" s="101">
        <f t="shared" si="58"/>
        <v>1.4731673150608362E-2</v>
      </c>
      <c r="DK26" s="92">
        <f t="shared" si="59"/>
        <v>0</v>
      </c>
      <c r="DL26" s="96">
        <f t="shared" si="60"/>
        <v>0</v>
      </c>
      <c r="DM26" s="101">
        <f t="shared" si="61"/>
        <v>0</v>
      </c>
      <c r="DN26" s="292">
        <v>3140.2188074428705</v>
      </c>
      <c r="DO26" s="96">
        <f t="shared" si="62"/>
        <v>2404.3634100967297</v>
      </c>
      <c r="DP26" s="294">
        <v>0.79004184282941103</v>
      </c>
      <c r="DQ26" s="36"/>
      <c r="DR26" s="389" t="s">
        <v>362</v>
      </c>
      <c r="DU26" s="243">
        <v>7.0000000000000007E-2</v>
      </c>
      <c r="DV26" s="36"/>
      <c r="DW26" s="335"/>
      <c r="DX26" s="336"/>
      <c r="DY26" s="336"/>
      <c r="DZ26" s="336"/>
      <c r="EA26" s="336"/>
      <c r="EB26" s="336"/>
      <c r="EC26" s="336"/>
      <c r="ED26" s="336"/>
      <c r="EE26" s="336"/>
      <c r="EF26" s="336"/>
      <c r="EG26" s="336"/>
      <c r="EH26" s="336"/>
      <c r="EI26" s="337"/>
      <c r="EJ26" s="338"/>
      <c r="EK26" s="332">
        <f t="shared" si="69"/>
        <v>0.16610000000000003</v>
      </c>
      <c r="EL26" s="332">
        <f t="shared" si="63"/>
        <v>1.9500000000000017E-2</v>
      </c>
      <c r="EM26" s="332" t="e">
        <f t="shared" si="70"/>
        <v>#DIV/0!</v>
      </c>
      <c r="EN26" s="332">
        <f t="shared" si="64"/>
        <v>0</v>
      </c>
      <c r="EO26" s="332">
        <v>0.18560000000000004</v>
      </c>
      <c r="EP26" s="332">
        <v>0.14692704999100956</v>
      </c>
      <c r="EQ26" s="333" t="e">
        <f t="shared" si="71"/>
        <v>#DIV/0!</v>
      </c>
      <c r="ER26" s="277"/>
      <c r="ES26" s="30">
        <v>17</v>
      </c>
      <c r="ET26" s="29">
        <f t="shared" si="85"/>
        <v>3695.8123037797432</v>
      </c>
      <c r="EU26" s="29">
        <f t="shared" si="86"/>
        <v>3696.6500542654862</v>
      </c>
      <c r="EV26" s="29">
        <f t="shared" si="72"/>
        <v>0.8377504857430722</v>
      </c>
      <c r="EW26" s="29">
        <f t="shared" si="73"/>
        <v>0.67020038859445774</v>
      </c>
      <c r="EX26" s="29">
        <f t="shared" si="87"/>
        <v>0.4723460575783065</v>
      </c>
      <c r="EY26" s="29">
        <f t="shared" si="102"/>
        <v>0.29718779476115742</v>
      </c>
      <c r="EZ26" s="29">
        <f t="shared" si="105"/>
        <v>0.13864549488189365</v>
      </c>
      <c r="FA26" s="29">
        <f t="shared" si="74"/>
        <v>1.5783797358158154</v>
      </c>
      <c r="FB26" s="29"/>
      <c r="FC26" s="29">
        <f t="shared" si="247"/>
        <v>180.54909844516962</v>
      </c>
      <c r="FD26" s="29">
        <f t="shared" si="248"/>
        <v>180.3275122380893</v>
      </c>
      <c r="FE26" s="29">
        <f t="shared" si="203"/>
        <v>-0.22158620708032117</v>
      </c>
      <c r="FF26" s="29">
        <f t="shared" si="204"/>
        <v>-0.17726896566425693</v>
      </c>
      <c r="FG26" s="29">
        <f t="shared" si="205"/>
        <v>-0.11884948735910256</v>
      </c>
      <c r="FH26" s="29">
        <f t="shared" si="206"/>
        <v>-7.2139239876321426E-2</v>
      </c>
      <c r="FI26" s="29">
        <f t="shared" si="207"/>
        <v>-3.1209604655398949E-2</v>
      </c>
      <c r="FJ26" s="29">
        <f t="shared" si="208"/>
        <v>-0.39946729755507987</v>
      </c>
      <c r="FK26" s="29"/>
      <c r="FL26" s="36"/>
      <c r="FM26" s="27">
        <f t="shared" si="27"/>
        <v>16692.709779466401</v>
      </c>
      <c r="FN26" s="36"/>
      <c r="FO26" s="301">
        <f t="shared" si="119"/>
        <v>2156.3736861355828</v>
      </c>
      <c r="FP26" s="89">
        <f t="shared" si="209"/>
        <v>-2.1023821858035106E-2</v>
      </c>
      <c r="FQ26" s="27">
        <f t="shared" si="103"/>
        <v>20</v>
      </c>
      <c r="FR26" s="302">
        <f t="shared" si="88"/>
        <v>13.464518542443937</v>
      </c>
      <c r="FS26" s="89">
        <f t="shared" si="89"/>
        <v>1239.7554154533116</v>
      </c>
      <c r="FT26" s="89">
        <f t="shared" si="210"/>
        <v>2156.352662313725</v>
      </c>
      <c r="FU26" s="29">
        <f t="shared" si="90"/>
        <v>20</v>
      </c>
      <c r="FV26" s="137">
        <f t="shared" si="91"/>
        <v>13.464518542443937</v>
      </c>
      <c r="FW26" s="48">
        <v>2478.416190703022</v>
      </c>
      <c r="FX26" s="29">
        <f t="shared" si="120"/>
        <v>-55.398914484598208</v>
      </c>
      <c r="FY26" s="29">
        <f t="shared" si="121"/>
        <v>-57.716570202731418</v>
      </c>
      <c r="FZ26" s="29">
        <f t="shared" si="266"/>
        <v>-55.809073498689266</v>
      </c>
      <c r="GA26" s="29">
        <f t="shared" si="267"/>
        <v>-53.816105499199089</v>
      </c>
      <c r="GB26" s="29">
        <f t="shared" si="268"/>
        <v>-51.727043770137783</v>
      </c>
      <c r="GC26" s="29">
        <f t="shared" si="269"/>
        <v>-49.544064494830756</v>
      </c>
      <c r="GD26" s="29">
        <f t="shared" si="270"/>
        <v>-47.25995640861214</v>
      </c>
      <c r="GE26" s="29">
        <f t="shared" si="271"/>
        <v>-28.225426464044112</v>
      </c>
      <c r="GF26" s="29">
        <f t="shared" si="272"/>
        <v>-1223.4968883339111</v>
      </c>
      <c r="GG26" s="29">
        <f t="shared" si="273"/>
        <v>-783.49308367370395</v>
      </c>
      <c r="GH26" s="29">
        <f t="shared" si="274"/>
        <v>-718.84858459956331</v>
      </c>
      <c r="GI26" s="29">
        <f t="shared" si="275"/>
        <v>-844.9105369454536</v>
      </c>
      <c r="GJ26" s="29">
        <f t="shared" si="276"/>
        <v>19545.751201520212</v>
      </c>
      <c r="GK26" s="29">
        <f t="shared" si="277"/>
        <v>0</v>
      </c>
      <c r="GL26" s="29">
        <f t="shared" si="278"/>
        <v>0</v>
      </c>
      <c r="GM26" s="29">
        <f t="shared" si="279"/>
        <v>0</v>
      </c>
      <c r="GN26" s="29">
        <f t="shared" si="280"/>
        <v>0</v>
      </c>
      <c r="GO26" s="29">
        <f t="shared" si="251"/>
        <v>0</v>
      </c>
      <c r="GP26" s="29">
        <f t="shared" si="252"/>
        <v>0</v>
      </c>
      <c r="GQ26" s="29">
        <f t="shared" si="253"/>
        <v>0</v>
      </c>
      <c r="GR26" s="29">
        <f t="shared" si="254"/>
        <v>0</v>
      </c>
      <c r="GS26" s="29">
        <f t="shared" si="255"/>
        <v>0</v>
      </c>
      <c r="GT26" s="29">
        <f t="shared" si="256"/>
        <v>0</v>
      </c>
      <c r="GU26" s="29">
        <f t="shared" si="257"/>
        <v>0</v>
      </c>
      <c r="GV26" s="29">
        <f t="shared" si="258"/>
        <v>0</v>
      </c>
      <c r="GW26" s="29">
        <f t="shared" si="259"/>
        <v>0</v>
      </c>
      <c r="GX26" s="29">
        <f t="shared" si="260"/>
        <v>0</v>
      </c>
      <c r="GY26" s="29">
        <f t="shared" si="261"/>
        <v>0</v>
      </c>
      <c r="GZ26" s="29">
        <f t="shared" si="262"/>
        <v>0</v>
      </c>
      <c r="HA26" s="29">
        <f t="shared" si="263"/>
        <v>0</v>
      </c>
      <c r="HB26" s="29">
        <f t="shared" si="264"/>
        <v>0</v>
      </c>
      <c r="HC26" s="29">
        <f t="shared" si="265"/>
        <v>0</v>
      </c>
      <c r="HD26" s="29"/>
      <c r="HE26" s="29">
        <f t="shared" si="32"/>
        <v>20</v>
      </c>
      <c r="HF26" s="29">
        <f t="shared" si="281"/>
        <v>0</v>
      </c>
      <c r="HG26" s="29">
        <f t="shared" si="282"/>
        <v>-4.2865676942545408</v>
      </c>
      <c r="HH26" s="29">
        <f t="shared" si="283"/>
        <v>-4.2860628171742965</v>
      </c>
      <c r="HI26" s="29">
        <f t="shared" si="284"/>
        <v>-4.2850525583508929</v>
      </c>
      <c r="HJ26" s="29">
        <f t="shared" si="127"/>
        <v>-4.2828704690544201</v>
      </c>
      <c r="HK26" s="29">
        <f t="shared" si="128"/>
        <v>-4.2798468433097572</v>
      </c>
      <c r="HL26" s="29">
        <f t="shared" si="129"/>
        <v>-4.2755246483411034</v>
      </c>
      <c r="HM26" s="29">
        <f t="shared" si="130"/>
        <v>-2.6857826338788691</v>
      </c>
      <c r="HN26" s="29">
        <f t="shared" si="131"/>
        <v>-123.06343518138853</v>
      </c>
      <c r="HO26" s="29">
        <f t="shared" si="132"/>
        <v>-83.786594700535474</v>
      </c>
      <c r="HP26" s="29">
        <f t="shared" si="133"/>
        <v>-82.291750752611037</v>
      </c>
      <c r="HQ26" s="29">
        <f t="shared" si="134"/>
        <v>-104.38857432340274</v>
      </c>
      <c r="HR26" s="29">
        <f t="shared" si="135"/>
        <v>2632.2212705892907</v>
      </c>
      <c r="HS26" s="29">
        <f t="shared" si="136"/>
        <v>0</v>
      </c>
      <c r="HT26" s="29">
        <f t="shared" si="137"/>
        <v>0</v>
      </c>
      <c r="HU26" s="29">
        <f t="shared" si="138"/>
        <v>0</v>
      </c>
      <c r="HV26" s="29">
        <f t="shared" si="139"/>
        <v>0</v>
      </c>
      <c r="HW26" s="29">
        <f t="shared" si="140"/>
        <v>0</v>
      </c>
      <c r="HX26" s="29">
        <f t="shared" si="141"/>
        <v>0</v>
      </c>
      <c r="HY26" s="29">
        <f t="shared" si="142"/>
        <v>0</v>
      </c>
      <c r="HZ26" s="29">
        <f t="shared" si="143"/>
        <v>0</v>
      </c>
      <c r="IA26" s="29">
        <f t="shared" si="144"/>
        <v>0</v>
      </c>
      <c r="IB26" s="29">
        <f t="shared" si="145"/>
        <v>0</v>
      </c>
      <c r="IC26" s="29">
        <f t="shared" si="146"/>
        <v>0</v>
      </c>
      <c r="ID26" s="29">
        <f t="shared" si="147"/>
        <v>0</v>
      </c>
      <c r="IE26" s="29">
        <f t="shared" si="148"/>
        <v>0</v>
      </c>
      <c r="IF26" s="29">
        <f t="shared" si="149"/>
        <v>0</v>
      </c>
      <c r="IG26" s="29">
        <f t="shared" si="150"/>
        <v>0</v>
      </c>
      <c r="IH26" s="29">
        <f t="shared" si="151"/>
        <v>0</v>
      </c>
      <c r="II26" s="29">
        <f t="shared" si="152"/>
        <v>0</v>
      </c>
      <c r="IJ26" s="29">
        <f t="shared" si="153"/>
        <v>0</v>
      </c>
      <c r="IK26" s="29">
        <f t="shared" si="154"/>
        <v>0</v>
      </c>
      <c r="IL26" s="48"/>
      <c r="IM26" s="48"/>
      <c r="IN26" s="48"/>
      <c r="IO26" s="29">
        <f t="shared" si="211"/>
        <v>-1.786716065992644E-2</v>
      </c>
      <c r="IP26" s="29">
        <f t="shared" si="249"/>
        <v>-1.8869292148072186E-2</v>
      </c>
      <c r="IQ26" s="29">
        <f t="shared" si="302"/>
        <v>-2.3736287740480477E-2</v>
      </c>
      <c r="IR26" s="29">
        <f t="shared" si="303"/>
        <v>-2.1438015766272606E-2</v>
      </c>
      <c r="IS26" s="29">
        <f t="shared" si="304"/>
        <v>-2.4212804306598022E-2</v>
      </c>
      <c r="IT26" s="29">
        <f t="shared" si="305"/>
        <v>-2.6743361603722794E-2</v>
      </c>
      <c r="IU26" s="29">
        <f t="shared" si="306"/>
        <v>-3.0342916339683935E-2</v>
      </c>
      <c r="IV26" s="29">
        <f t="shared" si="307"/>
        <v>-3.3651315906291307E-2</v>
      </c>
      <c r="IW26" s="29">
        <f t="shared" si="308"/>
        <v>-3.2797670118773124E-2</v>
      </c>
      <c r="IX26" s="29">
        <f t="shared" si="309"/>
        <v>-2.7886563392033391E-2</v>
      </c>
      <c r="IY26" s="29">
        <f t="shared" si="310"/>
        <v>-1.3263416060335575E-2</v>
      </c>
      <c r="IZ26" s="29">
        <f t="shared" si="311"/>
        <v>0</v>
      </c>
      <c r="JA26" s="29">
        <f t="shared" si="312"/>
        <v>0</v>
      </c>
      <c r="JB26" s="29">
        <f t="shared" si="313"/>
        <v>0</v>
      </c>
      <c r="JC26" s="29">
        <f t="shared" si="314"/>
        <v>0</v>
      </c>
      <c r="JD26" s="29">
        <f t="shared" si="315"/>
        <v>0</v>
      </c>
      <c r="JE26" s="29">
        <f t="shared" si="316"/>
        <v>0</v>
      </c>
      <c r="JF26" s="29">
        <f t="shared" si="285"/>
        <v>0</v>
      </c>
      <c r="JG26" s="29">
        <f t="shared" si="286"/>
        <v>0</v>
      </c>
      <c r="JH26" s="29">
        <f t="shared" si="287"/>
        <v>0</v>
      </c>
      <c r="JI26" s="29">
        <f t="shared" si="288"/>
        <v>0</v>
      </c>
      <c r="JJ26" s="29">
        <f t="shared" si="289"/>
        <v>0</v>
      </c>
      <c r="JK26" s="29">
        <f t="shared" si="290"/>
        <v>0</v>
      </c>
      <c r="JL26" s="29">
        <f t="shared" si="291"/>
        <v>0</v>
      </c>
      <c r="JM26" s="29">
        <f t="shared" si="292"/>
        <v>0</v>
      </c>
      <c r="JN26" s="29">
        <f t="shared" si="293"/>
        <v>0</v>
      </c>
      <c r="JO26" s="29">
        <f t="shared" si="294"/>
        <v>0</v>
      </c>
      <c r="JP26" s="29">
        <f t="shared" si="295"/>
        <v>0</v>
      </c>
      <c r="JQ26" s="29">
        <f t="shared" si="296"/>
        <v>0</v>
      </c>
      <c r="JR26" s="29">
        <f t="shared" si="297"/>
        <v>0</v>
      </c>
      <c r="JS26" s="29">
        <f t="shared" si="298"/>
        <v>0</v>
      </c>
      <c r="JT26" s="29">
        <f t="shared" si="299"/>
        <v>0</v>
      </c>
      <c r="JU26" s="48"/>
      <c r="JV26" s="394">
        <f t="shared" si="213"/>
        <v>20</v>
      </c>
      <c r="JW26" s="29">
        <f t="shared" si="214"/>
        <v>0</v>
      </c>
      <c r="JX26" s="29">
        <f t="shared" si="215"/>
        <v>-1.4014086050378176E-3</v>
      </c>
      <c r="JY26" s="29">
        <f t="shared" si="216"/>
        <v>-1.8229154136488726E-3</v>
      </c>
      <c r="JZ26" s="29">
        <f t="shared" si="217"/>
        <v>-1.7069801586924633E-3</v>
      </c>
      <c r="KA26" s="29">
        <f t="shared" si="218"/>
        <v>-2.0047599278733368E-3</v>
      </c>
      <c r="KB26" s="29">
        <f t="shared" si="219"/>
        <v>-2.3102160249917816E-3</v>
      </c>
      <c r="KC26" s="29">
        <f t="shared" si="220"/>
        <v>-2.7450699613686003E-3</v>
      </c>
      <c r="KD26" s="29">
        <f t="shared" si="221"/>
        <v>-3.2020816402339443E-3</v>
      </c>
      <c r="KE26" s="29">
        <f t="shared" si="222"/>
        <v>-3.2989000538108933E-3</v>
      </c>
      <c r="KF26" s="29">
        <f t="shared" si="223"/>
        <v>-2.9821835485304249E-3</v>
      </c>
      <c r="KG26" s="29">
        <f t="shared" si="224"/>
        <v>-1.5183583190517371E-3</v>
      </c>
      <c r="KH26" s="29">
        <f t="shared" si="225"/>
        <v>0</v>
      </c>
      <c r="KI26" s="29">
        <f t="shared" si="226"/>
        <v>0</v>
      </c>
      <c r="KJ26" s="29">
        <f t="shared" si="227"/>
        <v>0</v>
      </c>
      <c r="KK26" s="29">
        <f t="shared" si="228"/>
        <v>0</v>
      </c>
      <c r="KL26" s="29">
        <f t="shared" si="229"/>
        <v>0</v>
      </c>
      <c r="KM26" s="29">
        <f t="shared" si="230"/>
        <v>0</v>
      </c>
      <c r="KN26" s="29">
        <f t="shared" si="231"/>
        <v>0</v>
      </c>
      <c r="KO26" s="29">
        <f t="shared" si="232"/>
        <v>0</v>
      </c>
      <c r="KP26" s="29">
        <f t="shared" si="233"/>
        <v>0</v>
      </c>
      <c r="KQ26" s="29">
        <f t="shared" si="234"/>
        <v>0</v>
      </c>
      <c r="KR26" s="29">
        <f t="shared" si="235"/>
        <v>0</v>
      </c>
      <c r="KS26" s="29">
        <f t="shared" si="236"/>
        <v>0</v>
      </c>
      <c r="KT26" s="29">
        <f t="shared" si="237"/>
        <v>0</v>
      </c>
      <c r="KU26" s="29">
        <f t="shared" si="238"/>
        <v>0</v>
      </c>
      <c r="KV26" s="29">
        <f t="shared" si="239"/>
        <v>0</v>
      </c>
      <c r="KW26" s="29">
        <f t="shared" si="240"/>
        <v>0</v>
      </c>
      <c r="KX26" s="29">
        <f t="shared" si="241"/>
        <v>0</v>
      </c>
      <c r="KY26" s="29">
        <f t="shared" si="242"/>
        <v>0</v>
      </c>
      <c r="KZ26" s="29">
        <f t="shared" si="243"/>
        <v>0</v>
      </c>
      <c r="LA26" s="29">
        <f t="shared" si="244"/>
        <v>0</v>
      </c>
      <c r="LB26" s="29">
        <f t="shared" si="245"/>
        <v>0</v>
      </c>
      <c r="LC26" s="48"/>
      <c r="LD26" s="48"/>
      <c r="LE26" s="48"/>
      <c r="LF26" s="48"/>
      <c r="LG26" s="48"/>
      <c r="LH26" s="48"/>
      <c r="LI26" s="48"/>
      <c r="LJ26" s="48"/>
      <c r="LK26" s="48"/>
      <c r="LL26" s="48"/>
      <c r="LM26" s="48"/>
      <c r="LN26" s="48"/>
      <c r="LO26" s="48"/>
      <c r="LP26" s="46">
        <f t="shared" si="33"/>
        <v>0.24982307948296065</v>
      </c>
      <c r="LQ26" s="47">
        <f t="shared" si="34"/>
        <v>0.6337267043567415</v>
      </c>
      <c r="LS26" s="48"/>
      <c r="LT26" s="28" t="s">
        <v>53</v>
      </c>
      <c r="LU26" s="161">
        <v>2.5783333333333335E-2</v>
      </c>
      <c r="LV26" s="111">
        <f t="shared" si="75"/>
        <v>4.180089123576512E-18</v>
      </c>
      <c r="LW26" s="152">
        <f t="shared" si="18"/>
        <v>2.3530061490973481E-14</v>
      </c>
      <c r="LX26" s="223" t="e">
        <f>LX25*(1+#REF!)</f>
        <v>#REF!</v>
      </c>
      <c r="LY26" s="153"/>
      <c r="LZ26" s="124">
        <f t="shared" si="76"/>
        <v>-101.32489485887345</v>
      </c>
      <c r="MA26" s="125">
        <f t="shared" si="77"/>
        <v>-148.6225275351826</v>
      </c>
      <c r="MC26" s="374">
        <f t="shared" si="300"/>
        <v>2.7499999999999997E-2</v>
      </c>
      <c r="MD26" s="387">
        <f t="shared" si="187"/>
        <v>-153.05695917964604</v>
      </c>
      <c r="ME26" s="152">
        <f t="shared" si="188"/>
        <v>-4514.2169859957276</v>
      </c>
      <c r="MF26" s="209"/>
      <c r="MG26" s="374">
        <f t="shared" si="301"/>
        <v>2.7499999999999997E-2</v>
      </c>
      <c r="MH26" s="387">
        <f t="shared" si="189"/>
        <v>-5.9586735550123437</v>
      </c>
      <c r="MI26" s="152">
        <f t="shared" si="155"/>
        <v>-175.74336717658599</v>
      </c>
      <c r="MK26" s="28"/>
      <c r="ML26" s="28"/>
      <c r="MS26" s="28">
        <f t="shared" si="92"/>
        <v>79</v>
      </c>
      <c r="MT26" s="28">
        <f t="shared" si="93"/>
        <v>0.30426071775218239</v>
      </c>
      <c r="MU26" s="28">
        <f t="shared" si="94"/>
        <v>0.32206061697361116</v>
      </c>
      <c r="MV26" s="28">
        <f t="shared" si="95"/>
        <v>0.3408372493937416</v>
      </c>
      <c r="MW26" s="28">
        <f t="shared" si="96"/>
        <v>0.36064069063412285</v>
      </c>
      <c r="MX26" s="28">
        <f t="shared" si="97"/>
        <v>0.38152340434333049</v>
      </c>
      <c r="MY26" s="28">
        <f t="shared" si="98"/>
        <v>0.40354034758664825</v>
      </c>
    </row>
    <row r="27" spans="1:375" s="30" customFormat="1" ht="12.75" customHeight="1" x14ac:dyDescent="0.3">
      <c r="A27" s="298">
        <f t="shared" si="99"/>
        <v>2036</v>
      </c>
      <c r="B27" s="348">
        <f t="shared" si="2"/>
        <v>2034</v>
      </c>
      <c r="C27" s="26">
        <v>49126</v>
      </c>
      <c r="D27" s="92">
        <f t="shared" si="156"/>
        <v>8189.8441920342957</v>
      </c>
      <c r="E27" s="27">
        <f t="shared" si="106"/>
        <v>8189.8441920342957</v>
      </c>
      <c r="F27" s="107">
        <f t="shared" si="21"/>
        <v>6423.4072094386647</v>
      </c>
      <c r="G27" s="27">
        <f t="shared" si="157"/>
        <v>15877.726977524897</v>
      </c>
      <c r="H27" s="27">
        <f t="shared" si="158"/>
        <v>9526.6361865149374</v>
      </c>
      <c r="I27" s="289">
        <f t="shared" si="159"/>
        <v>8097.6407585376965</v>
      </c>
      <c r="J27" s="68">
        <v>2528.3260599999999</v>
      </c>
      <c r="K27" s="290">
        <f t="shared" si="160"/>
        <v>5569.314698537697</v>
      </c>
      <c r="L27" s="290">
        <f t="shared" si="107"/>
        <v>6351.0907910099595</v>
      </c>
      <c r="M27" s="290">
        <f t="shared" si="161"/>
        <v>5398.4271723584661</v>
      </c>
      <c r="N27" s="27">
        <f t="shared" si="162"/>
        <v>0</v>
      </c>
      <c r="O27" s="290">
        <f t="shared" si="163"/>
        <v>1428.9954279772405</v>
      </c>
      <c r="P27" s="290">
        <f t="shared" si="108"/>
        <v>952.66361865149383</v>
      </c>
      <c r="Q27" s="290">
        <f t="shared" si="164"/>
        <v>611.04387154861945</v>
      </c>
      <c r="R27" s="254">
        <f t="shared" si="3"/>
        <v>0.6</v>
      </c>
      <c r="S27" s="251">
        <v>0.4</v>
      </c>
      <c r="T27" s="284">
        <f t="shared" si="165"/>
        <v>7.0000000000000007E-2</v>
      </c>
      <c r="U27" s="284">
        <f t="shared" si="166"/>
        <v>7.0000000000000007E-2</v>
      </c>
      <c r="V27" s="27">
        <f t="shared" si="5"/>
        <v>76040.190526811304</v>
      </c>
      <c r="W27" s="27">
        <f t="shared" si="167"/>
        <v>72459.646229894162</v>
      </c>
      <c r="X27" s="27">
        <f t="shared" si="190"/>
        <v>3580.5442969171427</v>
      </c>
      <c r="Y27" s="27">
        <f t="shared" si="168"/>
        <v>872.11590969451004</v>
      </c>
      <c r="Z27" s="27">
        <f t="shared" si="191"/>
        <v>581.41060646300684</v>
      </c>
      <c r="AA27" s="111">
        <f t="shared" si="169"/>
        <v>7.0000000000000007E-2</v>
      </c>
      <c r="AB27" s="111">
        <f t="shared" si="170"/>
        <v>7.0000000000000007E-2</v>
      </c>
      <c r="AC27" s="92">
        <f t="shared" si="7"/>
        <v>76040.190526811304</v>
      </c>
      <c r="AD27" s="27">
        <f t="shared" si="171"/>
        <v>72459.646229894162</v>
      </c>
      <c r="AE27" s="27">
        <f t="shared" si="192"/>
        <v>3580.5442969171427</v>
      </c>
      <c r="AF27" s="145">
        <f t="shared" si="172"/>
        <v>872.11590969451004</v>
      </c>
      <c r="AG27" s="27">
        <f t="shared" si="193"/>
        <v>581.41060646300684</v>
      </c>
      <c r="AH27" s="27">
        <f t="shared" si="173"/>
        <v>61717.942402001267</v>
      </c>
      <c r="AI27" s="27">
        <f t="shared" si="174"/>
        <v>58137.115655380636</v>
      </c>
      <c r="AJ27" s="27">
        <f t="shared" si="194"/>
        <v>3580.8267466206275</v>
      </c>
      <c r="AK27" s="27">
        <f t="shared" si="11"/>
        <v>61719.175450113988</v>
      </c>
      <c r="AL27" s="27">
        <f t="shared" si="175"/>
        <v>58138.792601798348</v>
      </c>
      <c r="AM27" s="27">
        <f t="shared" si="246"/>
        <v>3580.3828483156385</v>
      </c>
      <c r="AN27" s="409">
        <f>INDEX(Inv.Returns!$B$2:$E$32,MATCH(B27,Inv.Returns!$A$2:$A$32,0),MATCH(SCRS!$DU$52,Inv.Returns!$B$1:$E$1,0))</f>
        <v>7.0000000000000007E-2</v>
      </c>
      <c r="AO27" s="27">
        <f t="shared" si="41"/>
        <v>14322.248124810038</v>
      </c>
      <c r="AP27" s="223">
        <f t="shared" si="12"/>
        <v>14321.015076697317</v>
      </c>
      <c r="AQ27" s="67">
        <f t="shared" si="22"/>
        <v>0.81164897108246858</v>
      </c>
      <c r="AR27" s="146">
        <f t="shared" si="23"/>
        <v>0.8116651868244884</v>
      </c>
      <c r="AS27" s="346"/>
      <c r="AT27" s="283">
        <f t="shared" si="176"/>
        <v>0.1095</v>
      </c>
      <c r="AU27" s="390">
        <f t="shared" si="109"/>
        <v>0.1095</v>
      </c>
      <c r="AV27" s="296">
        <f t="shared" si="110"/>
        <v>0.13352939145243212</v>
      </c>
      <c r="AW27" s="296">
        <f t="shared" si="111"/>
        <v>-3.432643620855808E-6</v>
      </c>
      <c r="AX27" s="111">
        <f t="shared" si="82"/>
        <v>0.09</v>
      </c>
      <c r="AY27" s="111">
        <f t="shared" si="112"/>
        <v>0.09</v>
      </c>
      <c r="AZ27" s="111">
        <f t="shared" si="113"/>
        <v>0</v>
      </c>
      <c r="BA27" s="256">
        <f t="shared" si="24"/>
        <v>1.9500000000000003E-2</v>
      </c>
      <c r="BB27" s="111">
        <f t="shared" si="114"/>
        <v>1.9500000000000003E-2</v>
      </c>
      <c r="BC27" s="128">
        <f t="shared" si="83"/>
        <v>0.18560000000000004</v>
      </c>
      <c r="BD27" s="128">
        <f t="shared" si="104"/>
        <v>0.18560000000000004</v>
      </c>
      <c r="BE27" s="402">
        <f t="shared" si="15"/>
        <v>0.16610000000000003</v>
      </c>
      <c r="BF27" s="402">
        <f t="shared" si="115"/>
        <v>0.16610000000000003</v>
      </c>
      <c r="BG27" s="402">
        <f t="shared" si="177"/>
        <v>0.13560000000000005</v>
      </c>
      <c r="BH27" s="402">
        <f t="shared" si="26"/>
        <v>0.18560000000000004</v>
      </c>
      <c r="BI27" s="152">
        <f t="shared" si="42"/>
        <v>6.5400513793556367</v>
      </c>
      <c r="BJ27" s="100">
        <f t="shared" si="43"/>
        <v>4.1869522882181265E-2</v>
      </c>
      <c r="BK27" s="27">
        <f t="shared" si="67"/>
        <v>7.4342682390937043</v>
      </c>
      <c r="BL27" s="27">
        <f t="shared" si="17"/>
        <v>20</v>
      </c>
      <c r="BM27" s="107">
        <f t="shared" si="31"/>
        <v>6.6001412061735509</v>
      </c>
      <c r="BN27" s="27"/>
      <c r="BO27" s="27"/>
      <c r="BP27" s="92">
        <f t="shared" si="178"/>
        <v>-4464.5729743983557</v>
      </c>
      <c r="BQ27" s="27">
        <f t="shared" si="195"/>
        <v>-161.95281517075395</v>
      </c>
      <c r="BR27" s="27">
        <f t="shared" si="179"/>
        <v>-173.81067191950342</v>
      </c>
      <c r="BS27" s="27">
        <f t="shared" si="116"/>
        <v>-6.3049988846642737</v>
      </c>
      <c r="BT27" s="27">
        <f t="shared" si="180"/>
        <v>-14.575753365367854</v>
      </c>
      <c r="BU27" s="27">
        <f t="shared" si="196"/>
        <v>-9.7171689102452383</v>
      </c>
      <c r="BV27" s="297">
        <f t="shared" si="181"/>
        <v>728.78766826839262</v>
      </c>
      <c r="BW27" s="297">
        <f t="shared" si="197"/>
        <v>485.85844551226194</v>
      </c>
      <c r="BX27" s="297">
        <f t="shared" si="198"/>
        <v>0</v>
      </c>
      <c r="BY27" s="297">
        <f t="shared" si="182"/>
        <v>54.99394843937575</v>
      </c>
      <c r="BZ27" s="297">
        <f t="shared" si="84"/>
        <v>157.90399479148527</v>
      </c>
      <c r="CA27" s="297">
        <f t="shared" si="199"/>
        <v>105.26932986099007</v>
      </c>
      <c r="CB27" s="297">
        <f t="shared" si="183"/>
        <v>2210.3092079669891</v>
      </c>
      <c r="CC27" s="297">
        <f t="shared" si="200"/>
        <v>0</v>
      </c>
      <c r="CD27" s="297">
        <f t="shared" si="201"/>
        <v>-2.2992873653239872E-2</v>
      </c>
      <c r="CE27" s="297"/>
      <c r="CF27" s="297">
        <f t="shared" si="184"/>
        <v>0</v>
      </c>
      <c r="CG27" s="297">
        <f t="shared" si="202"/>
        <v>0</v>
      </c>
      <c r="CH27" s="297">
        <f t="shared" si="185"/>
        <v>0</v>
      </c>
      <c r="CI27" s="427">
        <f>IF(AND($DU$74="Yes",MAX($AQ$13:AQ26)&lt;100%),MAX(BD25*(G27+Q27)-SUM(BZ27:CH27,CJ27,CY27),0),0)</f>
        <v>0</v>
      </c>
      <c r="CJ27" s="27"/>
      <c r="CK27" s="27">
        <f t="shared" si="44"/>
        <v>0</v>
      </c>
      <c r="CL27" s="27">
        <f t="shared" si="45"/>
        <v>0</v>
      </c>
      <c r="CM27" s="27">
        <f t="shared" si="46"/>
        <v>0</v>
      </c>
      <c r="CN27" s="27">
        <f t="shared" si="47"/>
        <v>3743.0996019658419</v>
      </c>
      <c r="CO27" s="27">
        <f t="shared" si="48"/>
        <v>0</v>
      </c>
      <c r="CP27" s="107">
        <f t="shared" si="4"/>
        <v>3743.0996019658419</v>
      </c>
      <c r="CQ27" s="27">
        <f t="shared" si="117"/>
        <v>2210.2862150933361</v>
      </c>
      <c r="CR27" s="27">
        <f t="shared" si="118"/>
        <v>0</v>
      </c>
      <c r="CS27" s="27">
        <f t="shared" si="186"/>
        <v>2210.2862150933361</v>
      </c>
      <c r="CT27" s="27">
        <f>SUM($CS$14:CS27)</f>
        <v>25570.758509087231</v>
      </c>
      <c r="CU27" s="223">
        <v>2298.4351619087001</v>
      </c>
      <c r="CV27" s="417">
        <v>474.16526017150511</v>
      </c>
      <c r="CW27" s="417">
        <v>2772.6004220802051</v>
      </c>
      <c r="CX27" s="417">
        <v>33600.688290849117</v>
      </c>
      <c r="CY27" s="103">
        <f t="shared" si="49"/>
        <v>119.08295233143673</v>
      </c>
      <c r="CZ27" s="111">
        <f t="shared" si="101"/>
        <v>0.15723079153731584</v>
      </c>
      <c r="DA27" s="92">
        <f t="shared" si="50"/>
        <v>2592.5424920772484</v>
      </c>
      <c r="DB27" s="410">
        <f t="shared" si="51"/>
        <v>1941.3452007303495</v>
      </c>
      <c r="DC27" s="307">
        <f t="shared" si="52"/>
        <v>1548.229892145361</v>
      </c>
      <c r="DD27" s="307">
        <f t="shared" si="53"/>
        <v>184.34391223176138</v>
      </c>
      <c r="DE27" s="307">
        <f t="shared" si="54"/>
        <v>0</v>
      </c>
      <c r="DF27" s="307">
        <f t="shared" si="55"/>
        <v>34411.082674340985</v>
      </c>
      <c r="DG27" s="307" t="b">
        <f t="shared" si="68"/>
        <v>0</v>
      </c>
      <c r="DH27" s="27">
        <f t="shared" si="56"/>
        <v>119.08295233143673</v>
      </c>
      <c r="DI27" s="96">
        <f t="shared" si="57"/>
        <v>83.413534946498302</v>
      </c>
      <c r="DJ27" s="101">
        <f t="shared" si="58"/>
        <v>1.3576247805462606E-2</v>
      </c>
      <c r="DK27" s="92">
        <f t="shared" si="59"/>
        <v>0</v>
      </c>
      <c r="DL27" s="96">
        <f t="shared" si="60"/>
        <v>0</v>
      </c>
      <c r="DM27" s="101">
        <f t="shared" si="61"/>
        <v>0</v>
      </c>
      <c r="DN27" s="292">
        <v>3234.4253716661569</v>
      </c>
      <c r="DO27" s="96">
        <f t="shared" si="62"/>
        <v>2421.9993275302022</v>
      </c>
      <c r="DP27" s="294">
        <v>0.82238140439621144</v>
      </c>
      <c r="DQ27" s="29"/>
      <c r="DR27" s="33" t="s">
        <v>293</v>
      </c>
      <c r="DS27" s="28"/>
      <c r="DT27" s="28"/>
      <c r="DU27" s="242">
        <v>2.2499999999999999E-2</v>
      </c>
      <c r="DV27" s="29"/>
      <c r="DW27" s="320"/>
      <c r="DX27" s="321"/>
      <c r="DY27" s="321"/>
      <c r="DZ27" s="321"/>
      <c r="EA27" s="321"/>
      <c r="EB27" s="321"/>
      <c r="EC27" s="321"/>
      <c r="ED27" s="321"/>
      <c r="EE27" s="321"/>
      <c r="EF27" s="321"/>
      <c r="EG27" s="321"/>
      <c r="EH27" s="321"/>
      <c r="EI27" s="322"/>
      <c r="EJ27" s="323"/>
      <c r="EK27" s="332">
        <f t="shared" si="69"/>
        <v>0.16610000000000003</v>
      </c>
      <c r="EL27" s="332">
        <f t="shared" si="63"/>
        <v>1.9500000000000003E-2</v>
      </c>
      <c r="EM27" s="332" t="e">
        <f t="shared" si="70"/>
        <v>#DIV/0!</v>
      </c>
      <c r="EN27" s="332">
        <f t="shared" si="64"/>
        <v>0</v>
      </c>
      <c r="EO27" s="332">
        <v>0.18560000000000004</v>
      </c>
      <c r="EP27" s="332">
        <v>0.14655477058478084</v>
      </c>
      <c r="EQ27" s="333" t="e">
        <f t="shared" si="71"/>
        <v>#DIV/0!</v>
      </c>
      <c r="ER27" s="277"/>
      <c r="ES27" s="334">
        <v>18</v>
      </c>
      <c r="ET27" s="29">
        <f t="shared" si="85"/>
        <v>3852.5112588864272</v>
      </c>
      <c r="EU27" s="29">
        <f t="shared" si="86"/>
        <v>3853.3997649578823</v>
      </c>
      <c r="EV27" s="29">
        <f t="shared" si="72"/>
        <v>0.88850607145514005</v>
      </c>
      <c r="EW27" s="29">
        <f t="shared" si="73"/>
        <v>0.71080485716411201</v>
      </c>
      <c r="EX27" s="29">
        <f t="shared" si="87"/>
        <v>0.50265029144584328</v>
      </c>
      <c r="EY27" s="29">
        <f t="shared" si="102"/>
        <v>0.314897371718871</v>
      </c>
      <c r="EZ27" s="29">
        <f t="shared" si="105"/>
        <v>0.14859389738057871</v>
      </c>
      <c r="FA27" s="29">
        <f t="shared" si="74"/>
        <v>1.6769464177094049</v>
      </c>
      <c r="FB27" s="29"/>
      <c r="FC27" s="29">
        <f t="shared" si="247"/>
        <v>220.73306097730335</v>
      </c>
      <c r="FD27" s="29">
        <f t="shared" si="248"/>
        <v>220.48850601576601</v>
      </c>
      <c r="FE27" s="29">
        <f t="shared" si="203"/>
        <v>-0.24455496153734657</v>
      </c>
      <c r="FF27" s="29">
        <f t="shared" si="204"/>
        <v>-0.19564396922987726</v>
      </c>
      <c r="FG27" s="29">
        <f t="shared" si="205"/>
        <v>-0.13295172424819268</v>
      </c>
      <c r="FH27" s="29">
        <f t="shared" si="206"/>
        <v>-7.9232991572735029E-2</v>
      </c>
      <c r="FI27" s="29">
        <f t="shared" si="207"/>
        <v>-3.6069619938160713E-2</v>
      </c>
      <c r="FJ27" s="29">
        <f t="shared" si="208"/>
        <v>-0.44389830498896565</v>
      </c>
      <c r="FK27" s="29"/>
      <c r="FL27" s="29"/>
      <c r="FM27" s="27">
        <f t="shared" si="27"/>
        <v>15575.234144340691</v>
      </c>
      <c r="FN27" s="29"/>
      <c r="FO27" s="301">
        <f t="shared" si="119"/>
        <v>2210.3092079669891</v>
      </c>
      <c r="FP27" s="89">
        <f t="shared" si="209"/>
        <v>-2.2992873653239872E-2</v>
      </c>
      <c r="FQ27" s="27">
        <f t="shared" si="103"/>
        <v>20</v>
      </c>
      <c r="FR27" s="302">
        <f t="shared" si="88"/>
        <v>13.464518542443937</v>
      </c>
      <c r="FS27" s="89">
        <f t="shared" si="89"/>
        <v>1156.7613127230052</v>
      </c>
      <c r="FT27" s="89">
        <f t="shared" si="210"/>
        <v>2210.2862150933361</v>
      </c>
      <c r="FU27" s="29">
        <f t="shared" si="90"/>
        <v>20</v>
      </c>
      <c r="FV27" s="137">
        <f t="shared" si="91"/>
        <v>13.464518542443937</v>
      </c>
      <c r="FW27" s="48">
        <v>2517.6058487800979</v>
      </c>
      <c r="FX27" s="29">
        <f t="shared" si="120"/>
        <v>-56.898102496965294</v>
      </c>
      <c r="FY27" s="29">
        <f t="shared" si="121"/>
        <v>-59.276838498520085</v>
      </c>
      <c r="FZ27" s="29">
        <f t="shared" si="266"/>
        <v>-57.322670015926406</v>
      </c>
      <c r="GA27" s="29">
        <f t="shared" si="267"/>
        <v>-55.282170791513977</v>
      </c>
      <c r="GB27" s="29">
        <f t="shared" si="268"/>
        <v>-53.150740051912209</v>
      </c>
      <c r="GC27" s="29">
        <f t="shared" si="269"/>
        <v>-50.917701172536034</v>
      </c>
      <c r="GD27" s="29">
        <f t="shared" si="270"/>
        <v>-48.585041010747659</v>
      </c>
      <c r="GE27" s="29">
        <f t="shared" si="271"/>
        <v>-46.145516271733939</v>
      </c>
      <c r="GF27" s="29">
        <f t="shared" si="272"/>
        <v>-27.423011157544217</v>
      </c>
      <c r="GG27" s="29">
        <f t="shared" si="273"/>
        <v>-1181.84386333213</v>
      </c>
      <c r="GH27" s="29">
        <f t="shared" si="274"/>
        <v>-751.66807205368343</v>
      </c>
      <c r="GI27" s="29">
        <f t="shared" si="275"/>
        <v>-684.04473664753277</v>
      </c>
      <c r="GJ27" s="29">
        <f t="shared" si="276"/>
        <v>-796.07389362509457</v>
      </c>
      <c r="GK27" s="29">
        <f t="shared" si="277"/>
        <v>18191.162931639366</v>
      </c>
      <c r="GL27" s="29">
        <f t="shared" si="278"/>
        <v>0</v>
      </c>
      <c r="GM27" s="29">
        <f t="shared" si="279"/>
        <v>0</v>
      </c>
      <c r="GN27" s="29">
        <f t="shared" si="280"/>
        <v>0</v>
      </c>
      <c r="GO27" s="29">
        <f t="shared" si="251"/>
        <v>0</v>
      </c>
      <c r="GP27" s="29">
        <f t="shared" si="252"/>
        <v>0</v>
      </c>
      <c r="GQ27" s="29">
        <f t="shared" si="253"/>
        <v>0</v>
      </c>
      <c r="GR27" s="29">
        <f t="shared" si="254"/>
        <v>0</v>
      </c>
      <c r="GS27" s="29">
        <f t="shared" si="255"/>
        <v>0</v>
      </c>
      <c r="GT27" s="29">
        <f t="shared" si="256"/>
        <v>0</v>
      </c>
      <c r="GU27" s="29">
        <f t="shared" si="257"/>
        <v>0</v>
      </c>
      <c r="GV27" s="29">
        <f t="shared" si="258"/>
        <v>0</v>
      </c>
      <c r="GW27" s="29">
        <f t="shared" si="259"/>
        <v>0</v>
      </c>
      <c r="GX27" s="29">
        <f t="shared" si="260"/>
        <v>0</v>
      </c>
      <c r="GY27" s="29">
        <f t="shared" si="261"/>
        <v>0</v>
      </c>
      <c r="GZ27" s="29">
        <f t="shared" si="262"/>
        <v>0</v>
      </c>
      <c r="HA27" s="29">
        <f t="shared" si="263"/>
        <v>0</v>
      </c>
      <c r="HB27" s="29">
        <f t="shared" si="264"/>
        <v>0</v>
      </c>
      <c r="HC27" s="29">
        <f t="shared" si="265"/>
        <v>0</v>
      </c>
      <c r="HD27" s="29"/>
      <c r="HE27" s="29">
        <f t="shared" si="32"/>
        <v>20</v>
      </c>
      <c r="HF27" s="29">
        <f t="shared" ref="HF14:HF45" si="317">IF(HF$3&lt;2,0,FX27/(  -PV((((   1+$AA27   )/(   1+$DU$69   ))-1),   MAX($HE27 - HF$3 + 2,1),1,0,1)/((   1+$AA27   )^0.5)   ))</f>
        <v>0</v>
      </c>
      <c r="HG27" s="29">
        <f t="shared" ref="HG14:HG45" si="318">IF(HG$3&lt;2,0,FY27/(  -PV((((   1+$AA27   )/(   1+$DU$69   ))-1),   MAX($HE27 - HG$3 + 2,1),1,0,1)/((   1+$AA27   )^0.5)   ))</f>
        <v>-4.4024476858688173</v>
      </c>
      <c r="HH27" s="29">
        <f t="shared" ref="HH14:HH45" si="319">IF(HH$3&lt;2,0,FZ27/(  -PV((((   1+$AA27   )/(   1+$DU$69   ))-1),   MAX($HE27 - HH$3 + 2,1),1,0,1)/((   1+$AA27   )^0.5)   ))</f>
        <v>-4.4023050219994131</v>
      </c>
      <c r="HI27" s="29">
        <f t="shared" si="126"/>
        <v>-4.4017865132380019</v>
      </c>
      <c r="HJ27" s="29">
        <f t="shared" si="127"/>
        <v>-4.4007489774263675</v>
      </c>
      <c r="HK27" s="29">
        <f t="shared" si="128"/>
        <v>-4.3985079717188889</v>
      </c>
      <c r="HL27" s="29">
        <f t="shared" si="129"/>
        <v>-4.3954027080791196</v>
      </c>
      <c r="HM27" s="29">
        <f t="shared" si="130"/>
        <v>-4.3909638138463132</v>
      </c>
      <c r="HN27" s="29">
        <f t="shared" si="131"/>
        <v>-2.7582987649935982</v>
      </c>
      <c r="HO27" s="29">
        <f t="shared" si="132"/>
        <v>-126.38614793128603</v>
      </c>
      <c r="HP27" s="29">
        <f t="shared" si="133"/>
        <v>-86.048832757449887</v>
      </c>
      <c r="HQ27" s="29">
        <f t="shared" si="134"/>
        <v>-84.513628022931542</v>
      </c>
      <c r="HR27" s="29">
        <f t="shared" si="135"/>
        <v>-107.20706583013462</v>
      </c>
      <c r="HS27" s="29">
        <f t="shared" si="136"/>
        <v>2703.2912448952011</v>
      </c>
      <c r="HT27" s="29">
        <f t="shared" si="137"/>
        <v>0</v>
      </c>
      <c r="HU27" s="29">
        <f t="shared" si="138"/>
        <v>0</v>
      </c>
      <c r="HV27" s="29">
        <f t="shared" si="139"/>
        <v>0</v>
      </c>
      <c r="HW27" s="29">
        <f t="shared" si="140"/>
        <v>0</v>
      </c>
      <c r="HX27" s="29">
        <f t="shared" si="141"/>
        <v>0</v>
      </c>
      <c r="HY27" s="29">
        <f t="shared" si="142"/>
        <v>0</v>
      </c>
      <c r="HZ27" s="29">
        <f t="shared" si="143"/>
        <v>0</v>
      </c>
      <c r="IA27" s="29">
        <f t="shared" si="144"/>
        <v>0</v>
      </c>
      <c r="IB27" s="29">
        <f t="shared" si="145"/>
        <v>0</v>
      </c>
      <c r="IC27" s="29">
        <f t="shared" si="146"/>
        <v>0</v>
      </c>
      <c r="ID27" s="29">
        <f t="shared" si="147"/>
        <v>0</v>
      </c>
      <c r="IE27" s="29">
        <f t="shared" si="148"/>
        <v>0</v>
      </c>
      <c r="IF27" s="29">
        <f t="shared" si="149"/>
        <v>0</v>
      </c>
      <c r="IG27" s="29">
        <f t="shared" si="150"/>
        <v>0</v>
      </c>
      <c r="IH27" s="29">
        <f t="shared" si="151"/>
        <v>0</v>
      </c>
      <c r="II27" s="29">
        <f t="shared" si="152"/>
        <v>0</v>
      </c>
      <c r="IJ27" s="29">
        <f t="shared" si="153"/>
        <v>0</v>
      </c>
      <c r="IK27" s="29">
        <f t="shared" si="154"/>
        <v>0</v>
      </c>
      <c r="IL27" s="48"/>
      <c r="IM27" s="49"/>
      <c r="IN27" s="49"/>
      <c r="IO27" s="29">
        <f t="shared" si="211"/>
        <v>-1.6468296604734589E-2</v>
      </c>
      <c r="IP27" s="29">
        <f t="shared" si="249"/>
        <v>-1.9117861906121292E-2</v>
      </c>
      <c r="IQ27" s="29">
        <f t="shared" si="302"/>
        <v>-1.8740514265465913E-2</v>
      </c>
      <c r="IR27" s="29">
        <f t="shared" si="303"/>
        <v>-2.3512189516218709E-2</v>
      </c>
      <c r="IS27" s="29">
        <f t="shared" si="304"/>
        <v>-2.1172962864042782E-2</v>
      </c>
      <c r="IT27" s="29">
        <f t="shared" si="305"/>
        <v>-2.3833960813824558E-2</v>
      </c>
      <c r="IU27" s="29">
        <f t="shared" si="306"/>
        <v>-2.6225690878020177E-2</v>
      </c>
      <c r="IV27" s="29">
        <f t="shared" si="307"/>
        <v>-2.9627398036058947E-2</v>
      </c>
      <c r="IW27" s="29">
        <f t="shared" si="308"/>
        <v>-3.2694649015838143E-2</v>
      </c>
      <c r="IX27" s="29">
        <f t="shared" si="309"/>
        <v>-3.1681098277452191E-2</v>
      </c>
      <c r="IY27" s="29">
        <f t="shared" si="310"/>
        <v>-2.6753828180341964E-2</v>
      </c>
      <c r="IZ27" s="29">
        <f t="shared" si="311"/>
        <v>-1.262125312675258E-2</v>
      </c>
      <c r="JA27" s="29">
        <f t="shared" si="312"/>
        <v>0</v>
      </c>
      <c r="JB27" s="29">
        <f t="shared" si="313"/>
        <v>0</v>
      </c>
      <c r="JC27" s="29">
        <f t="shared" si="314"/>
        <v>0</v>
      </c>
      <c r="JD27" s="29">
        <f t="shared" si="315"/>
        <v>0</v>
      </c>
      <c r="JE27" s="29">
        <f t="shared" si="316"/>
        <v>0</v>
      </c>
      <c r="JF27" s="29">
        <f t="shared" si="285"/>
        <v>0</v>
      </c>
      <c r="JG27" s="29">
        <f t="shared" si="286"/>
        <v>0</v>
      </c>
      <c r="JH27" s="29">
        <f t="shared" si="287"/>
        <v>0</v>
      </c>
      <c r="JI27" s="29">
        <f t="shared" si="288"/>
        <v>0</v>
      </c>
      <c r="JJ27" s="29">
        <f t="shared" si="289"/>
        <v>0</v>
      </c>
      <c r="JK27" s="29">
        <f t="shared" si="290"/>
        <v>0</v>
      </c>
      <c r="JL27" s="29">
        <f t="shared" si="291"/>
        <v>0</v>
      </c>
      <c r="JM27" s="29">
        <f t="shared" si="292"/>
        <v>0</v>
      </c>
      <c r="JN27" s="29">
        <f t="shared" si="293"/>
        <v>0</v>
      </c>
      <c r="JO27" s="29">
        <f t="shared" si="294"/>
        <v>0</v>
      </c>
      <c r="JP27" s="29">
        <f t="shared" si="295"/>
        <v>0</v>
      </c>
      <c r="JQ27" s="29">
        <f t="shared" si="296"/>
        <v>0</v>
      </c>
      <c r="JR27" s="29">
        <f t="shared" si="297"/>
        <v>0</v>
      </c>
      <c r="JS27" s="29">
        <f t="shared" si="298"/>
        <v>0</v>
      </c>
      <c r="JT27" s="29">
        <f t="shared" si="299"/>
        <v>0</v>
      </c>
      <c r="JU27" s="49"/>
      <c r="JV27" s="394">
        <f t="shared" si="213"/>
        <v>20</v>
      </c>
      <c r="JW27" s="29">
        <f t="shared" si="214"/>
        <v>0</v>
      </c>
      <c r="JX27" s="29">
        <f t="shared" si="215"/>
        <v>-1.4198697001943613E-3</v>
      </c>
      <c r="JY27" s="29">
        <f t="shared" si="216"/>
        <v>-1.4392466373738385E-3</v>
      </c>
      <c r="JZ27" s="29">
        <f t="shared" si="217"/>
        <v>-1.8721341298173918E-3</v>
      </c>
      <c r="KA27" s="29">
        <f t="shared" si="218"/>
        <v>-1.7530686229771601E-3</v>
      </c>
      <c r="KB27" s="29">
        <f t="shared" si="219"/>
        <v>-2.0588884459259169E-3</v>
      </c>
      <c r="KC27" s="29">
        <f t="shared" si="220"/>
        <v>-2.3725918576665592E-3</v>
      </c>
      <c r="KD27" s="29">
        <f t="shared" si="221"/>
        <v>-2.819186850325553E-3</v>
      </c>
      <c r="KE27" s="29">
        <f t="shared" si="222"/>
        <v>-3.2885378445202604E-3</v>
      </c>
      <c r="KF27" s="29">
        <f t="shared" si="223"/>
        <v>-3.3879703552637877E-3</v>
      </c>
      <c r="KG27" s="29">
        <f t="shared" si="224"/>
        <v>-3.062702504340745E-3</v>
      </c>
      <c r="KH27" s="29">
        <f t="shared" si="225"/>
        <v>-1.5593539936661343E-3</v>
      </c>
      <c r="KI27" s="29">
        <f t="shared" si="226"/>
        <v>0</v>
      </c>
      <c r="KJ27" s="29">
        <f t="shared" si="227"/>
        <v>0</v>
      </c>
      <c r="KK27" s="29">
        <f t="shared" si="228"/>
        <v>0</v>
      </c>
      <c r="KL27" s="29">
        <f t="shared" si="229"/>
        <v>0</v>
      </c>
      <c r="KM27" s="29">
        <f t="shared" si="230"/>
        <v>0</v>
      </c>
      <c r="KN27" s="29">
        <f t="shared" si="231"/>
        <v>0</v>
      </c>
      <c r="KO27" s="29">
        <f t="shared" si="232"/>
        <v>0</v>
      </c>
      <c r="KP27" s="29">
        <f t="shared" si="233"/>
        <v>0</v>
      </c>
      <c r="KQ27" s="29">
        <f t="shared" si="234"/>
        <v>0</v>
      </c>
      <c r="KR27" s="29">
        <f t="shared" si="235"/>
        <v>0</v>
      </c>
      <c r="KS27" s="29">
        <f t="shared" si="236"/>
        <v>0</v>
      </c>
      <c r="KT27" s="29">
        <f t="shared" si="237"/>
        <v>0</v>
      </c>
      <c r="KU27" s="29">
        <f t="shared" si="238"/>
        <v>0</v>
      </c>
      <c r="KV27" s="29">
        <f t="shared" si="239"/>
        <v>0</v>
      </c>
      <c r="KW27" s="29">
        <f t="shared" si="240"/>
        <v>0</v>
      </c>
      <c r="KX27" s="29">
        <f t="shared" si="241"/>
        <v>0</v>
      </c>
      <c r="KY27" s="29">
        <f t="shared" si="242"/>
        <v>0</v>
      </c>
      <c r="KZ27" s="29">
        <f t="shared" si="243"/>
        <v>0</v>
      </c>
      <c r="LA27" s="29">
        <f t="shared" si="244"/>
        <v>0</v>
      </c>
      <c r="LB27" s="29">
        <f t="shared" si="245"/>
        <v>0</v>
      </c>
      <c r="LC27" s="49"/>
      <c r="LD27" s="49"/>
      <c r="LE27" s="49"/>
      <c r="LF27" s="49"/>
      <c r="LG27" s="49"/>
      <c r="LH27" s="49"/>
      <c r="LI27" s="49"/>
      <c r="LJ27" s="49"/>
      <c r="LK27" s="49"/>
      <c r="LL27" s="49"/>
      <c r="LM27" s="49"/>
      <c r="LN27" s="49"/>
      <c r="LO27" s="49"/>
      <c r="LP27" s="46">
        <f t="shared" si="33"/>
        <v>0.23347951353547722</v>
      </c>
      <c r="LQ27" s="47">
        <f t="shared" si="34"/>
        <v>0.6197816179528034</v>
      </c>
      <c r="LR27" s="28"/>
      <c r="LS27" s="48"/>
      <c r="LT27" s="28"/>
      <c r="LU27" s="161">
        <v>2.9726666666666669E-2</v>
      </c>
      <c r="LV27" s="111">
        <f t="shared" si="75"/>
        <v>4.8193968718882131E-18</v>
      </c>
      <c r="LW27" s="152">
        <f t="shared" si="18"/>
        <v>3.0956948612032895E-14</v>
      </c>
      <c r="LX27" s="223" t="e">
        <f>LX26*(1+#REF!)</f>
        <v>#REF!</v>
      </c>
      <c r="LY27" s="153"/>
      <c r="LZ27" s="124">
        <f t="shared" si="76"/>
        <v>-134.51893335566274</v>
      </c>
      <c r="MA27" s="125">
        <f t="shared" si="77"/>
        <v>-184.09875388209912</v>
      </c>
      <c r="MB27" s="28"/>
      <c r="MC27" s="374">
        <f t="shared" si="300"/>
        <v>2.9999999999999995E-2</v>
      </c>
      <c r="MD27" s="387">
        <f t="shared" si="187"/>
        <v>-190.53272373029876</v>
      </c>
      <c r="ME27" s="152">
        <f t="shared" si="188"/>
        <v>-4655.1056981286547</v>
      </c>
      <c r="MF27" s="28"/>
      <c r="MG27" s="374">
        <f t="shared" si="301"/>
        <v>2.9999999999999995E-2</v>
      </c>
      <c r="MH27" s="387">
        <f t="shared" si="189"/>
        <v>-7.417645746663851</v>
      </c>
      <c r="MI27" s="152">
        <f t="shared" si="155"/>
        <v>-181.22831766616727</v>
      </c>
      <c r="MJ27" s="28"/>
      <c r="MK27" s="28"/>
      <c r="ML27" s="28"/>
      <c r="MM27" s="28"/>
      <c r="MN27" s="28"/>
      <c r="MO27" s="28"/>
      <c r="MP27" s="28"/>
      <c r="MQ27" s="28"/>
      <c r="MR27" s="28"/>
      <c r="MS27" s="28">
        <f t="shared" si="92"/>
        <v>80</v>
      </c>
      <c r="MT27" s="28">
        <f t="shared" si="93"/>
        <v>0.28369297692511181</v>
      </c>
      <c r="MU27" s="28">
        <f t="shared" si="94"/>
        <v>0.30129558978132659</v>
      </c>
      <c r="MV27" s="28">
        <f t="shared" si="95"/>
        <v>0.3199262088248761</v>
      </c>
      <c r="MW27" s="28">
        <f t="shared" si="96"/>
        <v>0.33964114645687249</v>
      </c>
      <c r="MX27" s="28">
        <f t="shared" si="97"/>
        <v>0.36049959716692881</v>
      </c>
      <c r="MY27" s="28">
        <f t="shared" si="98"/>
        <v>0.38256377474006958</v>
      </c>
    </row>
    <row r="28" spans="1:375" s="30" customFormat="1" ht="12.75" customHeight="1" thickBot="1" x14ac:dyDescent="0.35">
      <c r="A28" s="298">
        <f t="shared" si="99"/>
        <v>2037</v>
      </c>
      <c r="B28" s="348">
        <f t="shared" si="2"/>
        <v>2035</v>
      </c>
      <c r="C28" s="26">
        <v>49491</v>
      </c>
      <c r="D28" s="92">
        <f t="shared" si="156"/>
        <v>7990.4214859582607</v>
      </c>
      <c r="E28" s="27">
        <f t="shared" si="106"/>
        <v>7990.4214859582607</v>
      </c>
      <c r="F28" s="107">
        <f t="shared" si="21"/>
        <v>7091.60214440052</v>
      </c>
      <c r="G28" s="27">
        <f t="shared" si="157"/>
        <v>16306.425605918068</v>
      </c>
      <c r="H28" s="27">
        <f t="shared" si="158"/>
        <v>9294.6625953732982</v>
      </c>
      <c r="I28" s="289">
        <f t="shared" si="159"/>
        <v>7900.4632060673039</v>
      </c>
      <c r="J28" s="68">
        <v>2376.7213080000001</v>
      </c>
      <c r="K28" s="290">
        <f t="shared" si="160"/>
        <v>5523.7418980673037</v>
      </c>
      <c r="L28" s="290">
        <f t="shared" si="107"/>
        <v>7011.7630105447688</v>
      </c>
      <c r="M28" s="290">
        <f t="shared" si="161"/>
        <v>5959.9985589630533</v>
      </c>
      <c r="N28" s="27">
        <f t="shared" si="162"/>
        <v>0</v>
      </c>
      <c r="O28" s="290">
        <f t="shared" si="163"/>
        <v>1394.1993893059946</v>
      </c>
      <c r="P28" s="290">
        <f t="shared" si="108"/>
        <v>1051.7644515817153</v>
      </c>
      <c r="Q28" s="290">
        <f t="shared" si="164"/>
        <v>627.54205608043208</v>
      </c>
      <c r="R28" s="254">
        <f t="shared" si="3"/>
        <v>0.57000000000000006</v>
      </c>
      <c r="S28" s="251">
        <v>0.43</v>
      </c>
      <c r="T28" s="284">
        <f t="shared" si="165"/>
        <v>7.0000000000000007E-2</v>
      </c>
      <c r="U28" s="284">
        <f t="shared" si="166"/>
        <v>7.0000000000000007E-2</v>
      </c>
      <c r="V28" s="27">
        <f t="shared" si="5"/>
        <v>77784.995578006128</v>
      </c>
      <c r="W28" s="27">
        <f t="shared" si="167"/>
        <v>73498.000301406864</v>
      </c>
      <c r="X28" s="27">
        <f t="shared" si="190"/>
        <v>4286.9952765992684</v>
      </c>
      <c r="Y28" s="27">
        <f t="shared" si="168"/>
        <v>850.87988729344875</v>
      </c>
      <c r="Z28" s="27">
        <f t="shared" si="191"/>
        <v>641.89184480032088</v>
      </c>
      <c r="AA28" s="111">
        <f t="shared" si="169"/>
        <v>7.0000000000000007E-2</v>
      </c>
      <c r="AB28" s="111">
        <f t="shared" si="170"/>
        <v>7.0000000000000007E-2</v>
      </c>
      <c r="AC28" s="92">
        <f t="shared" si="7"/>
        <v>77784.995578006128</v>
      </c>
      <c r="AD28" s="27">
        <f t="shared" si="171"/>
        <v>73498.000301406864</v>
      </c>
      <c r="AE28" s="27">
        <f t="shared" si="192"/>
        <v>4286.9952765992684</v>
      </c>
      <c r="AF28" s="145">
        <f t="shared" si="172"/>
        <v>850.87988729344875</v>
      </c>
      <c r="AG28" s="27">
        <f t="shared" si="193"/>
        <v>641.89184480032088</v>
      </c>
      <c r="AH28" s="27">
        <f t="shared" si="173"/>
        <v>64862.156030120605</v>
      </c>
      <c r="AI28" s="27">
        <f t="shared" si="174"/>
        <v>60574.87574930134</v>
      </c>
      <c r="AJ28" s="27">
        <f t="shared" si="194"/>
        <v>4287.2802808192637</v>
      </c>
      <c r="AK28" s="27">
        <f t="shared" si="11"/>
        <v>64863.445119936121</v>
      </c>
      <c r="AL28" s="27">
        <f t="shared" si="175"/>
        <v>60576.648488246909</v>
      </c>
      <c r="AM28" s="27">
        <f t="shared" si="246"/>
        <v>4286.7966316892125</v>
      </c>
      <c r="AN28" s="409">
        <f>INDEX(Inv.Returns!$B$2:$E$32,MATCH(B28,Inv.Returns!$A$2:$A$32,0),MATCH(SCRS!$DU$52,Inv.Returns!$B$1:$E$1,0))</f>
        <v>7.0000000000000007E-2</v>
      </c>
      <c r="AO28" s="27">
        <f t="shared" si="41"/>
        <v>12922.839547885524</v>
      </c>
      <c r="AP28" s="223">
        <f t="shared" si="12"/>
        <v>12921.550458070007</v>
      </c>
      <c r="AQ28" s="67">
        <f t="shared" si="22"/>
        <v>0.83386462322382027</v>
      </c>
      <c r="AR28" s="146">
        <f t="shared" si="23"/>
        <v>0.83388119569780361</v>
      </c>
      <c r="AS28" s="346"/>
      <c r="AT28" s="283">
        <f t="shared" si="176"/>
        <v>0.10950000000000001</v>
      </c>
      <c r="AU28" s="390">
        <f t="shared" si="109"/>
        <v>0.10949999999999999</v>
      </c>
      <c r="AV28" s="296">
        <f t="shared" si="110"/>
        <v>0.13326935689799621</v>
      </c>
      <c r="AW28" s="296">
        <f t="shared" si="111"/>
        <v>-3.242037919600219E-6</v>
      </c>
      <c r="AX28" s="111">
        <f t="shared" si="82"/>
        <v>0.09</v>
      </c>
      <c r="AY28" s="111">
        <f t="shared" si="112"/>
        <v>0.09</v>
      </c>
      <c r="AZ28" s="111">
        <f t="shared" si="113"/>
        <v>0</v>
      </c>
      <c r="BA28" s="256">
        <f t="shared" si="24"/>
        <v>1.9500000000000017E-2</v>
      </c>
      <c r="BB28" s="111">
        <f t="shared" si="114"/>
        <v>1.949999999999999E-2</v>
      </c>
      <c r="BC28" s="128">
        <f t="shared" si="83"/>
        <v>0.18560000000000004</v>
      </c>
      <c r="BD28" s="128">
        <f t="shared" si="104"/>
        <v>0.18560000000000004</v>
      </c>
      <c r="BE28" s="402">
        <f t="shared" si="15"/>
        <v>0.16610000000000003</v>
      </c>
      <c r="BF28" s="402">
        <f t="shared" si="115"/>
        <v>0.16610000000000005</v>
      </c>
      <c r="BG28" s="402">
        <f t="shared" si="177"/>
        <v>0.13560000000000005</v>
      </c>
      <c r="BH28" s="402">
        <f t="shared" si="26"/>
        <v>0.18560000000000004</v>
      </c>
      <c r="BI28" s="152">
        <f t="shared" si="42"/>
        <v>5.7567896034587669</v>
      </c>
      <c r="BJ28" s="100">
        <f t="shared" si="43"/>
        <v>4.1869522882181265E-2</v>
      </c>
      <c r="BK28" s="27">
        <f t="shared" si="67"/>
        <v>6.4148588332592178</v>
      </c>
      <c r="BL28" s="27">
        <f t="shared" si="17"/>
        <v>20</v>
      </c>
      <c r="BM28" s="107">
        <f t="shared" si="31"/>
        <v>5.7075655888172712</v>
      </c>
      <c r="BN28" s="27"/>
      <c r="BO28" s="27"/>
      <c r="BP28" s="92">
        <f t="shared" si="178"/>
        <v>-4572.5092491245459</v>
      </c>
      <c r="BQ28" s="27">
        <f t="shared" si="195"/>
        <v>-193.6999531662992</v>
      </c>
      <c r="BR28" s="27">
        <f t="shared" si="179"/>
        <v>-178.01274825294612</v>
      </c>
      <c r="BS28" s="27">
        <f t="shared" si="116"/>
        <v>-7.5409494264449286</v>
      </c>
      <c r="BT28" s="27">
        <f t="shared" si="180"/>
        <v>-14.220833770921146</v>
      </c>
      <c r="BU28" s="27">
        <f t="shared" si="196"/>
        <v>-10.727997406133495</v>
      </c>
      <c r="BV28" s="297">
        <f t="shared" si="181"/>
        <v>711.04168854605734</v>
      </c>
      <c r="BW28" s="297">
        <f t="shared" si="197"/>
        <v>536.39987030667476</v>
      </c>
      <c r="BX28" s="297">
        <f t="shared" si="198"/>
        <v>0</v>
      </c>
      <c r="BY28" s="297">
        <f t="shared" si="182"/>
        <v>56.478785047238887</v>
      </c>
      <c r="BZ28" s="297">
        <f t="shared" si="84"/>
        <v>154.05903251831251</v>
      </c>
      <c r="CA28" s="297">
        <f t="shared" si="199"/>
        <v>116.21997189977958</v>
      </c>
      <c r="CB28" s="297">
        <f t="shared" si="183"/>
        <v>2265.5851088962286</v>
      </c>
      <c r="CC28" s="297">
        <f t="shared" si="200"/>
        <v>0</v>
      </c>
      <c r="CD28" s="297">
        <f t="shared" si="201"/>
        <v>-2.5033550942071707E-2</v>
      </c>
      <c r="CE28" s="297"/>
      <c r="CF28" s="297">
        <f t="shared" si="184"/>
        <v>0</v>
      </c>
      <c r="CG28" s="297">
        <f t="shared" si="202"/>
        <v>0</v>
      </c>
      <c r="CH28" s="297">
        <f t="shared" si="185"/>
        <v>0</v>
      </c>
      <c r="CI28" s="427">
        <f>IF(AND($DU$74="Yes",MAX($AQ$13:AQ27)&lt;100%),MAX(BD26*(G28+Q28)-SUM(BZ28:CH28,CJ28,CY28),0),0)</f>
        <v>0</v>
      </c>
      <c r="CJ28" s="27"/>
      <c r="CK28" s="27">
        <f t="shared" si="44"/>
        <v>0</v>
      </c>
      <c r="CL28" s="27">
        <f t="shared" si="45"/>
        <v>0</v>
      </c>
      <c r="CM28" s="27">
        <f t="shared" si="46"/>
        <v>0</v>
      </c>
      <c r="CN28" s="27">
        <f t="shared" si="47"/>
        <v>3839.7594236633495</v>
      </c>
      <c r="CO28" s="27">
        <f t="shared" si="48"/>
        <v>0</v>
      </c>
      <c r="CP28" s="107">
        <f t="shared" si="4"/>
        <v>3839.7594236633495</v>
      </c>
      <c r="CQ28" s="27">
        <f t="shared" si="117"/>
        <v>2265.5600753452864</v>
      </c>
      <c r="CR28" s="27">
        <f t="shared" si="118"/>
        <v>0</v>
      </c>
      <c r="CS28" s="27">
        <f t="shared" si="186"/>
        <v>2265.5600753452864</v>
      </c>
      <c r="CT28" s="27">
        <f>SUM($CS$14:CS28)</f>
        <v>27836.318584432516</v>
      </c>
      <c r="CU28" s="223">
        <v>2372.7600161348455</v>
      </c>
      <c r="CV28" s="417">
        <v>488.39021797665032</v>
      </c>
      <c r="CW28" s="417">
        <v>2861.1502341114956</v>
      </c>
      <c r="CX28" s="417">
        <v>36461.838524960614</v>
      </c>
      <c r="CY28" s="103">
        <f t="shared" si="49"/>
        <v>122.2981920443855</v>
      </c>
      <c r="CZ28" s="111">
        <f t="shared" si="101"/>
        <v>0.15697073036066361</v>
      </c>
      <c r="DA28" s="92">
        <f t="shared" si="50"/>
        <v>2658.1372718077637</v>
      </c>
      <c r="DB28" s="410">
        <f t="shared" si="51"/>
        <v>1946.6638838530419</v>
      </c>
      <c r="DC28" s="307">
        <f t="shared" si="52"/>
        <v>1552.0267390144586</v>
      </c>
      <c r="DD28" s="307">
        <f t="shared" si="53"/>
        <v>185.15520573302578</v>
      </c>
      <c r="DE28" s="307">
        <f t="shared" si="54"/>
        <v>0</v>
      </c>
      <c r="DF28" s="307">
        <f t="shared" si="55"/>
        <v>33903.914610985543</v>
      </c>
      <c r="DG28" s="307" t="b">
        <f t="shared" si="68"/>
        <v>0</v>
      </c>
      <c r="DH28" s="27">
        <f t="shared" si="56"/>
        <v>122.2981920443855</v>
      </c>
      <c r="DI28" s="96">
        <f t="shared" si="57"/>
        <v>83.780636078292162</v>
      </c>
      <c r="DJ28" s="101">
        <f t="shared" si="58"/>
        <v>1.2588884328701685E-2</v>
      </c>
      <c r="DK28" s="92">
        <f t="shared" si="59"/>
        <v>0</v>
      </c>
      <c r="DL28" s="96">
        <f t="shared" si="60"/>
        <v>0</v>
      </c>
      <c r="DM28" s="101">
        <f t="shared" si="61"/>
        <v>0</v>
      </c>
      <c r="DN28" s="292">
        <v>3331.4581328161421</v>
      </c>
      <c r="DO28" s="96">
        <f t="shared" si="62"/>
        <v>2439.7646037712552</v>
      </c>
      <c r="DP28" s="294">
        <v>0.85653499666288024</v>
      </c>
      <c r="DQ28" s="29"/>
      <c r="DR28" s="28"/>
      <c r="DS28" s="28"/>
      <c r="DT28" s="28"/>
      <c r="DU28" s="28"/>
      <c r="DV28" s="29"/>
      <c r="DW28" s="320"/>
      <c r="DX28" s="321"/>
      <c r="DY28" s="321"/>
      <c r="DZ28" s="321"/>
      <c r="EA28" s="321"/>
      <c r="EB28" s="321"/>
      <c r="EC28" s="321"/>
      <c r="ED28" s="321"/>
      <c r="EE28" s="321"/>
      <c r="EF28" s="321"/>
      <c r="EG28" s="321"/>
      <c r="EH28" s="321"/>
      <c r="EI28" s="322"/>
      <c r="EJ28" s="323"/>
      <c r="EK28" s="332">
        <f t="shared" si="69"/>
        <v>0.16610000000000003</v>
      </c>
      <c r="EL28" s="332">
        <f t="shared" si="63"/>
        <v>1.9500000000000017E-2</v>
      </c>
      <c r="EM28" s="332" t="e">
        <f t="shared" si="70"/>
        <v>#DIV/0!</v>
      </c>
      <c r="EN28" s="332">
        <f t="shared" si="64"/>
        <v>0</v>
      </c>
      <c r="EO28" s="332">
        <v>0.18560000000000004</v>
      </c>
      <c r="EP28" s="332">
        <v>0.14621120021188189</v>
      </c>
      <c r="EQ28" s="333" t="e">
        <f t="shared" si="71"/>
        <v>#DIV/0!</v>
      </c>
      <c r="ER28" s="277"/>
      <c r="ES28" s="30">
        <v>19</v>
      </c>
      <c r="ET28" s="29">
        <f t="shared" si="85"/>
        <v>4014.5002445609643</v>
      </c>
      <c r="EU28" s="29">
        <f t="shared" si="86"/>
        <v>4015.4341025891358</v>
      </c>
      <c r="EV28" s="29">
        <f t="shared" si="72"/>
        <v>0.93385802817147123</v>
      </c>
      <c r="EW28" s="29">
        <f t="shared" si="73"/>
        <v>0.74708642253717694</v>
      </c>
      <c r="EX28" s="29">
        <f t="shared" si="87"/>
        <v>0.53310364287308398</v>
      </c>
      <c r="EY28" s="29">
        <f t="shared" si="102"/>
        <v>0.33510019429722882</v>
      </c>
      <c r="EZ28" s="29">
        <f t="shared" si="105"/>
        <v>0.1574486858594355</v>
      </c>
      <c r="FA28" s="29">
        <f t="shared" si="74"/>
        <v>1.7727389455669251</v>
      </c>
      <c r="FB28" s="29"/>
      <c r="FC28" s="29">
        <f t="shared" si="247"/>
        <v>266.04870618507692</v>
      </c>
      <c r="FD28" s="29">
        <f t="shared" si="248"/>
        <v>265.78787471693937</v>
      </c>
      <c r="FE28" s="29">
        <f t="shared" si="203"/>
        <v>-0.2608314681375532</v>
      </c>
      <c r="FF28" s="29">
        <f t="shared" si="204"/>
        <v>-0.20866517451004257</v>
      </c>
      <c r="FG28" s="29">
        <f t="shared" si="205"/>
        <v>-0.14673297692240794</v>
      </c>
      <c r="FH28" s="29">
        <f t="shared" si="206"/>
        <v>-8.863448283212845E-2</v>
      </c>
      <c r="FI28" s="29">
        <f t="shared" si="207"/>
        <v>-3.9616495786367514E-2</v>
      </c>
      <c r="FJ28" s="29">
        <f t="shared" si="208"/>
        <v>-0.48364913005094645</v>
      </c>
      <c r="FK28" s="29"/>
      <c r="FL28" s="29"/>
      <c r="FM28" s="27">
        <f t="shared" si="27"/>
        <v>14322.248124810038</v>
      </c>
      <c r="FN28" s="29"/>
      <c r="FO28" s="301">
        <f t="shared" si="119"/>
        <v>2265.5851088962286</v>
      </c>
      <c r="FP28" s="89">
        <f t="shared" si="209"/>
        <v>-2.5033550942071707E-2</v>
      </c>
      <c r="FQ28" s="27">
        <f t="shared" si="103"/>
        <v>20</v>
      </c>
      <c r="FR28" s="302">
        <f t="shared" si="88"/>
        <v>13.464518542443937</v>
      </c>
      <c r="FS28" s="89">
        <f t="shared" si="89"/>
        <v>1063.7029522936373</v>
      </c>
      <c r="FT28" s="89">
        <f t="shared" si="210"/>
        <v>2265.5600753452864</v>
      </c>
      <c r="FU28" s="29">
        <f t="shared" si="90"/>
        <v>20</v>
      </c>
      <c r="FV28" s="137">
        <f t="shared" si="91"/>
        <v>13.464518542443937</v>
      </c>
      <c r="FW28" s="48">
        <v>2553.8451758410256</v>
      </c>
      <c r="FX28" s="29">
        <f t="shared" si="120"/>
        <v>-58.443703248878592</v>
      </c>
      <c r="FY28" s="29">
        <f t="shared" si="121"/>
        <v>-60.880969671752865</v>
      </c>
      <c r="FZ28" s="29">
        <f t="shared" si="266"/>
        <v>-58.872289897039387</v>
      </c>
      <c r="GA28" s="29">
        <f t="shared" si="267"/>
        <v>-56.781477193318146</v>
      </c>
      <c r="GB28" s="29">
        <f t="shared" si="268"/>
        <v>-54.598679372830162</v>
      </c>
      <c r="GC28" s="29">
        <f t="shared" si="269"/>
        <v>-52.319121716845018</v>
      </c>
      <c r="GD28" s="29">
        <f t="shared" si="270"/>
        <v>-49.932088230241362</v>
      </c>
      <c r="GE28" s="29">
        <f t="shared" si="271"/>
        <v>-47.439353966813279</v>
      </c>
      <c r="GF28" s="29">
        <f t="shared" si="272"/>
        <v>-44.833654123966269</v>
      </c>
      <c r="GG28" s="29">
        <f t="shared" si="273"/>
        <v>-26.489415510296791</v>
      </c>
      <c r="GH28" s="29">
        <f t="shared" si="274"/>
        <v>-1133.8380857862251</v>
      </c>
      <c r="GI28" s="29">
        <f t="shared" si="275"/>
        <v>-715.27523237837772</v>
      </c>
      <c r="GJ28" s="29">
        <f t="shared" si="276"/>
        <v>-644.50629161926202</v>
      </c>
      <c r="GK28" s="29">
        <f t="shared" si="277"/>
        <v>-740.90321498783373</v>
      </c>
      <c r="GL28" s="29">
        <f t="shared" si="278"/>
        <v>16668.238129809204</v>
      </c>
      <c r="GM28" s="29">
        <f t="shared" si="279"/>
        <v>0</v>
      </c>
      <c r="GN28" s="29">
        <f t="shared" si="280"/>
        <v>0</v>
      </c>
      <c r="GO28" s="29">
        <f t="shared" si="251"/>
        <v>0</v>
      </c>
      <c r="GP28" s="29">
        <f t="shared" si="252"/>
        <v>0</v>
      </c>
      <c r="GQ28" s="29">
        <f t="shared" si="253"/>
        <v>0</v>
      </c>
      <c r="GR28" s="29">
        <f t="shared" si="254"/>
        <v>0</v>
      </c>
      <c r="GS28" s="29">
        <f t="shared" si="255"/>
        <v>0</v>
      </c>
      <c r="GT28" s="29">
        <f t="shared" si="256"/>
        <v>0</v>
      </c>
      <c r="GU28" s="29">
        <f t="shared" si="257"/>
        <v>0</v>
      </c>
      <c r="GV28" s="29">
        <f t="shared" si="258"/>
        <v>0</v>
      </c>
      <c r="GW28" s="29">
        <f t="shared" si="259"/>
        <v>0</v>
      </c>
      <c r="GX28" s="29">
        <f t="shared" si="260"/>
        <v>0</v>
      </c>
      <c r="GY28" s="29">
        <f t="shared" si="261"/>
        <v>0</v>
      </c>
      <c r="GZ28" s="29">
        <f t="shared" si="262"/>
        <v>0</v>
      </c>
      <c r="HA28" s="29">
        <f t="shared" si="263"/>
        <v>0</v>
      </c>
      <c r="HB28" s="29">
        <f t="shared" si="264"/>
        <v>0</v>
      </c>
      <c r="HC28" s="29">
        <f t="shared" si="265"/>
        <v>0</v>
      </c>
      <c r="HD28" s="29"/>
      <c r="HE28" s="29">
        <f t="shared" si="32"/>
        <v>20</v>
      </c>
      <c r="HF28" s="29">
        <f t="shared" si="317"/>
        <v>0</v>
      </c>
      <c r="HG28" s="29">
        <f t="shared" si="318"/>
        <v>-4.5215853414913409</v>
      </c>
      <c r="HH28" s="29">
        <f t="shared" si="319"/>
        <v>-4.5213137733872744</v>
      </c>
      <c r="HI28" s="29">
        <f t="shared" si="126"/>
        <v>-4.5211672575933957</v>
      </c>
      <c r="HJ28" s="29">
        <f t="shared" si="127"/>
        <v>-4.5206347490954277</v>
      </c>
      <c r="HK28" s="29">
        <f t="shared" si="128"/>
        <v>-4.5195691998168792</v>
      </c>
      <c r="HL28" s="29">
        <f t="shared" si="129"/>
        <v>-4.5172676869552992</v>
      </c>
      <c r="HM28" s="29">
        <f t="shared" si="130"/>
        <v>-4.514078581197257</v>
      </c>
      <c r="HN28" s="29">
        <f t="shared" si="131"/>
        <v>-4.5095198368201626</v>
      </c>
      <c r="HO28" s="29">
        <f t="shared" si="132"/>
        <v>-2.8327728316484255</v>
      </c>
      <c r="HP28" s="29">
        <f t="shared" si="133"/>
        <v>-129.7985739254307</v>
      </c>
      <c r="HQ28" s="29">
        <f t="shared" si="134"/>
        <v>-88.372151241901051</v>
      </c>
      <c r="HR28" s="29">
        <f t="shared" si="135"/>
        <v>-86.795495979550708</v>
      </c>
      <c r="HS28" s="29">
        <f t="shared" si="136"/>
        <v>-110.10165660754824</v>
      </c>
      <c r="HT28" s="29">
        <f t="shared" si="137"/>
        <v>2776.2801085073697</v>
      </c>
      <c r="HU28" s="29">
        <f t="shared" si="138"/>
        <v>0</v>
      </c>
      <c r="HV28" s="29">
        <f t="shared" si="139"/>
        <v>0</v>
      </c>
      <c r="HW28" s="29">
        <f t="shared" si="140"/>
        <v>0</v>
      </c>
      <c r="HX28" s="29">
        <f t="shared" si="141"/>
        <v>0</v>
      </c>
      <c r="HY28" s="29">
        <f t="shared" si="142"/>
        <v>0</v>
      </c>
      <c r="HZ28" s="29">
        <f t="shared" si="143"/>
        <v>0</v>
      </c>
      <c r="IA28" s="29">
        <f t="shared" si="144"/>
        <v>0</v>
      </c>
      <c r="IB28" s="29">
        <f t="shared" si="145"/>
        <v>0</v>
      </c>
      <c r="IC28" s="29">
        <f t="shared" si="146"/>
        <v>0</v>
      </c>
      <c r="ID28" s="29">
        <f t="shared" si="147"/>
        <v>0</v>
      </c>
      <c r="IE28" s="29">
        <f t="shared" si="148"/>
        <v>0</v>
      </c>
      <c r="IF28" s="29">
        <f t="shared" si="149"/>
        <v>0</v>
      </c>
      <c r="IG28" s="29">
        <f t="shared" si="150"/>
        <v>0</v>
      </c>
      <c r="IH28" s="29">
        <f t="shared" si="151"/>
        <v>0</v>
      </c>
      <c r="II28" s="29">
        <f t="shared" si="152"/>
        <v>0</v>
      </c>
      <c r="IJ28" s="29">
        <f t="shared" si="153"/>
        <v>0</v>
      </c>
      <c r="IK28" s="29">
        <f t="shared" si="154"/>
        <v>0</v>
      </c>
      <c r="IL28" s="48"/>
      <c r="IM28" s="99"/>
      <c r="IN28" s="99"/>
      <c r="IO28" s="29">
        <f t="shared" si="211"/>
        <v>-8.6779437127412207E-3</v>
      </c>
      <c r="IP28" s="29">
        <f t="shared" si="249"/>
        <v>-1.7621077367066012E-2</v>
      </c>
      <c r="IQ28" s="29">
        <f t="shared" si="302"/>
        <v>-1.8987387601260793E-2</v>
      </c>
      <c r="IR28" s="29">
        <f t="shared" si="303"/>
        <v>-1.8563581966086977E-2</v>
      </c>
      <c r="IS28" s="29">
        <f t="shared" si="304"/>
        <v>-2.3221492180374042E-2</v>
      </c>
      <c r="IT28" s="29">
        <f t="shared" si="305"/>
        <v>-2.0841681980498409E-2</v>
      </c>
      <c r="IU28" s="29">
        <f t="shared" si="306"/>
        <v>-2.3372607302112595E-2</v>
      </c>
      <c r="IV28" s="29">
        <f t="shared" si="307"/>
        <v>-2.5607261138493369E-2</v>
      </c>
      <c r="IW28" s="29">
        <f t="shared" si="308"/>
        <v>-2.8785126345100328E-2</v>
      </c>
      <c r="IX28" s="29">
        <f t="shared" si="309"/>
        <v>-3.158158444994813E-2</v>
      </c>
      <c r="IY28" s="29">
        <f t="shared" si="310"/>
        <v>-3.0394231370998649E-2</v>
      </c>
      <c r="IZ28" s="29">
        <f t="shared" si="311"/>
        <v>-2.5458512048305529E-2</v>
      </c>
      <c r="JA28" s="29">
        <f t="shared" si="312"/>
        <v>-1.1891732532257998E-2</v>
      </c>
      <c r="JB28" s="29">
        <f t="shared" si="313"/>
        <v>0</v>
      </c>
      <c r="JC28" s="29">
        <f t="shared" si="314"/>
        <v>0</v>
      </c>
      <c r="JD28" s="29">
        <f t="shared" si="315"/>
        <v>0</v>
      </c>
      <c r="JE28" s="29">
        <f t="shared" si="316"/>
        <v>0</v>
      </c>
      <c r="JF28" s="29">
        <f t="shared" si="285"/>
        <v>0</v>
      </c>
      <c r="JG28" s="29">
        <f t="shared" si="286"/>
        <v>0</v>
      </c>
      <c r="JH28" s="29">
        <f t="shared" si="287"/>
        <v>0</v>
      </c>
      <c r="JI28" s="29">
        <f t="shared" si="288"/>
        <v>0</v>
      </c>
      <c r="JJ28" s="29">
        <f t="shared" si="289"/>
        <v>0</v>
      </c>
      <c r="JK28" s="29">
        <f t="shared" si="290"/>
        <v>0</v>
      </c>
      <c r="JL28" s="29">
        <f t="shared" si="291"/>
        <v>0</v>
      </c>
      <c r="JM28" s="29">
        <f t="shared" si="292"/>
        <v>0</v>
      </c>
      <c r="JN28" s="29">
        <f t="shared" si="293"/>
        <v>0</v>
      </c>
      <c r="JO28" s="29">
        <f t="shared" si="294"/>
        <v>0</v>
      </c>
      <c r="JP28" s="29">
        <f t="shared" si="295"/>
        <v>0</v>
      </c>
      <c r="JQ28" s="29">
        <f t="shared" si="296"/>
        <v>0</v>
      </c>
      <c r="JR28" s="29">
        <f t="shared" si="297"/>
        <v>0</v>
      </c>
      <c r="JS28" s="29">
        <f t="shared" si="298"/>
        <v>0</v>
      </c>
      <c r="JT28" s="29">
        <f t="shared" si="299"/>
        <v>0</v>
      </c>
      <c r="JU28" s="99"/>
      <c r="JV28" s="394">
        <f t="shared" si="213"/>
        <v>20</v>
      </c>
      <c r="JW28" s="29">
        <f t="shared" si="214"/>
        <v>0</v>
      </c>
      <c r="JX28" s="29">
        <f t="shared" si="215"/>
        <v>-1.3087046010237526E-3</v>
      </c>
      <c r="JY28" s="29">
        <f t="shared" si="216"/>
        <v>-1.4582061820996091E-3</v>
      </c>
      <c r="JZ28" s="29">
        <f t="shared" si="217"/>
        <v>-1.4781062965829317E-3</v>
      </c>
      <c r="KA28" s="29">
        <f t="shared" si="218"/>
        <v>-1.9226817513224614E-3</v>
      </c>
      <c r="KB28" s="29">
        <f t="shared" si="219"/>
        <v>-1.8004014757975434E-3</v>
      </c>
      <c r="KC28" s="29">
        <f t="shared" si="220"/>
        <v>-2.1144784339659161E-3</v>
      </c>
      <c r="KD28" s="29">
        <f t="shared" si="221"/>
        <v>-2.4366518378235564E-3</v>
      </c>
      <c r="KE28" s="29">
        <f t="shared" si="222"/>
        <v>-2.8953048952843428E-3</v>
      </c>
      <c r="KF28" s="29">
        <f t="shared" si="223"/>
        <v>-3.3773283663223073E-3</v>
      </c>
      <c r="KG28" s="29">
        <f t="shared" si="224"/>
        <v>-3.4794455548559089E-3</v>
      </c>
      <c r="KH28" s="29">
        <f t="shared" si="225"/>
        <v>-3.145395471957945E-3</v>
      </c>
      <c r="KI28" s="29">
        <f t="shared" si="226"/>
        <v>-1.6014565514951198E-3</v>
      </c>
      <c r="KJ28" s="29">
        <f t="shared" si="227"/>
        <v>0</v>
      </c>
      <c r="KK28" s="29">
        <f t="shared" si="228"/>
        <v>0</v>
      </c>
      <c r="KL28" s="29">
        <f t="shared" si="229"/>
        <v>0</v>
      </c>
      <c r="KM28" s="29">
        <f t="shared" si="230"/>
        <v>0</v>
      </c>
      <c r="KN28" s="29">
        <f t="shared" si="231"/>
        <v>0</v>
      </c>
      <c r="KO28" s="29">
        <f t="shared" si="232"/>
        <v>0</v>
      </c>
      <c r="KP28" s="29">
        <f t="shared" si="233"/>
        <v>0</v>
      </c>
      <c r="KQ28" s="29">
        <f t="shared" si="234"/>
        <v>0</v>
      </c>
      <c r="KR28" s="29">
        <f t="shared" si="235"/>
        <v>0</v>
      </c>
      <c r="KS28" s="29">
        <f t="shared" si="236"/>
        <v>0</v>
      </c>
      <c r="KT28" s="29">
        <f t="shared" si="237"/>
        <v>0</v>
      </c>
      <c r="KU28" s="29">
        <f t="shared" si="238"/>
        <v>0</v>
      </c>
      <c r="KV28" s="29">
        <f t="shared" si="239"/>
        <v>0</v>
      </c>
      <c r="KW28" s="29">
        <f t="shared" si="240"/>
        <v>0</v>
      </c>
      <c r="KX28" s="29">
        <f t="shared" si="241"/>
        <v>0</v>
      </c>
      <c r="KY28" s="29">
        <f t="shared" si="242"/>
        <v>0</v>
      </c>
      <c r="KZ28" s="29">
        <f t="shared" si="243"/>
        <v>0</v>
      </c>
      <c r="LA28" s="29">
        <f t="shared" si="244"/>
        <v>0</v>
      </c>
      <c r="LB28" s="29">
        <f t="shared" si="245"/>
        <v>0</v>
      </c>
      <c r="LC28" s="99"/>
      <c r="LD28" s="99"/>
      <c r="LE28" s="99"/>
      <c r="LF28" s="99"/>
      <c r="LG28" s="99"/>
      <c r="LH28" s="99"/>
      <c r="LI28" s="99"/>
      <c r="LJ28" s="99"/>
      <c r="LK28" s="99"/>
      <c r="LL28" s="99"/>
      <c r="LM28" s="99"/>
      <c r="LN28" s="99"/>
      <c r="LO28" s="99"/>
      <c r="LP28" s="46">
        <f t="shared" si="33"/>
        <v>0.21820515283689459</v>
      </c>
      <c r="LQ28" s="47">
        <f t="shared" si="34"/>
        <v>0.60614339164088349</v>
      </c>
      <c r="LR28" s="28"/>
      <c r="LS28" s="48"/>
      <c r="LT28" s="28"/>
      <c r="LU28" s="161">
        <v>3.3670000000000005E-2</v>
      </c>
      <c r="LV28" s="111">
        <f t="shared" si="75"/>
        <v>5.4587046201999158E-18</v>
      </c>
      <c r="LW28" s="152">
        <f t="shared" si="18"/>
        <v>3.8710961390258751E-14</v>
      </c>
      <c r="LX28" s="223" t="e">
        <f>LX27*(1+#REF!)</f>
        <v>#REF!</v>
      </c>
      <c r="LY28" s="153"/>
      <c r="LZ28" s="124">
        <f t="shared" si="76"/>
        <v>-167.56964125398372</v>
      </c>
      <c r="MA28" s="125">
        <f t="shared" si="77"/>
        <v>-219.26233508380392</v>
      </c>
      <c r="MB28" s="28"/>
      <c r="MC28" s="374">
        <f t="shared" si="300"/>
        <v>3.2499999999999994E-2</v>
      </c>
      <c r="MD28" s="387">
        <f t="shared" si="187"/>
        <v>-227.88229784270496</v>
      </c>
      <c r="ME28" s="152">
        <f t="shared" si="188"/>
        <v>-4800.3915469672511</v>
      </c>
      <c r="MF28" s="28"/>
      <c r="MG28" s="374">
        <f t="shared" si="301"/>
        <v>3.2499999999999994E-2</v>
      </c>
      <c r="MH28" s="387">
        <f t="shared" si="189"/>
        <v>-8.8717052075822682</v>
      </c>
      <c r="MI28" s="152">
        <f t="shared" si="155"/>
        <v>-186.88445346052839</v>
      </c>
      <c r="MJ28" s="28"/>
      <c r="MK28" s="28"/>
      <c r="ML28" s="28"/>
      <c r="MM28" s="28"/>
      <c r="MN28" s="28"/>
      <c r="MO28" s="28"/>
      <c r="MP28" s="28"/>
      <c r="MQ28" s="28"/>
      <c r="MR28" s="28"/>
      <c r="MS28" s="28">
        <f t="shared" si="92"/>
        <v>81</v>
      </c>
      <c r="MT28" s="28">
        <f t="shared" si="93"/>
        <v>0.26451559620057047</v>
      </c>
      <c r="MU28" s="28">
        <f t="shared" si="94"/>
        <v>0.28186939860801308</v>
      </c>
      <c r="MV28" s="28">
        <f t="shared" si="95"/>
        <v>0.30029810202704216</v>
      </c>
      <c r="MW28" s="28">
        <f t="shared" si="96"/>
        <v>0.31986437294057252</v>
      </c>
      <c r="MX28" s="28">
        <f t="shared" si="97"/>
        <v>0.3406343046796883</v>
      </c>
      <c r="MY28" s="28">
        <f t="shared" si="98"/>
        <v>0.36267759250999138</v>
      </c>
    </row>
    <row r="29" spans="1:375" s="30" customFormat="1" ht="12.75" customHeight="1" thickBot="1" x14ac:dyDescent="0.35">
      <c r="A29" s="298">
        <f t="shared" si="99"/>
        <v>2038</v>
      </c>
      <c r="B29" s="348">
        <f t="shared" si="2"/>
        <v>2036</v>
      </c>
      <c r="C29" s="26">
        <v>49857</v>
      </c>
      <c r="D29" s="92">
        <f t="shared" si="156"/>
        <v>7630.2917877577911</v>
      </c>
      <c r="E29" s="27">
        <f t="shared" si="106"/>
        <v>7630.2917877577911</v>
      </c>
      <c r="F29" s="107">
        <f t="shared" si="21"/>
        <v>7960.5707885597367</v>
      </c>
      <c r="G29" s="27">
        <f t="shared" si="157"/>
        <v>16746.699097277855</v>
      </c>
      <c r="H29" s="27">
        <f t="shared" si="158"/>
        <v>8875.7505215572637</v>
      </c>
      <c r="I29" s="289">
        <f t="shared" si="159"/>
        <v>7544.3879433236743</v>
      </c>
      <c r="J29" s="68">
        <v>2232.3354890000001</v>
      </c>
      <c r="K29" s="290">
        <f t="shared" si="160"/>
        <v>5312.0524543236743</v>
      </c>
      <c r="L29" s="290">
        <f t="shared" si="107"/>
        <v>7870.9485757205912</v>
      </c>
      <c r="M29" s="290">
        <f t="shared" si="161"/>
        <v>6690.3062893625029</v>
      </c>
      <c r="N29" s="27">
        <f t="shared" si="162"/>
        <v>0</v>
      </c>
      <c r="O29" s="290">
        <f t="shared" si="163"/>
        <v>1331.3625782335896</v>
      </c>
      <c r="P29" s="290">
        <f t="shared" si="108"/>
        <v>1180.6422863580885</v>
      </c>
      <c r="Q29" s="290">
        <f t="shared" si="164"/>
        <v>644.48569159460374</v>
      </c>
      <c r="R29" s="254">
        <f t="shared" si="3"/>
        <v>0.53</v>
      </c>
      <c r="S29" s="251">
        <v>0.47</v>
      </c>
      <c r="T29" s="284">
        <f t="shared" si="165"/>
        <v>7.0000000000000007E-2</v>
      </c>
      <c r="U29" s="284">
        <f t="shared" si="166"/>
        <v>7.0000000000000007E-2</v>
      </c>
      <c r="V29" s="27">
        <f t="shared" si="5"/>
        <v>79540.293386143268</v>
      </c>
      <c r="W29" s="27">
        <f t="shared" si="167"/>
        <v>74459.517406852159</v>
      </c>
      <c r="X29" s="27">
        <f t="shared" si="190"/>
        <v>5080.7759792911102</v>
      </c>
      <c r="Y29" s="27">
        <f t="shared" si="168"/>
        <v>812.53058149595972</v>
      </c>
      <c r="Z29" s="27">
        <f t="shared" si="191"/>
        <v>720.54598736434161</v>
      </c>
      <c r="AA29" s="111">
        <f t="shared" si="169"/>
        <v>7.0000000000000007E-2</v>
      </c>
      <c r="AB29" s="111">
        <f t="shared" si="170"/>
        <v>7.0000000000000007E-2</v>
      </c>
      <c r="AC29" s="92">
        <f t="shared" si="7"/>
        <v>79540.293386143268</v>
      </c>
      <c r="AD29" s="27">
        <f t="shared" si="171"/>
        <v>74459.517406852159</v>
      </c>
      <c r="AE29" s="27">
        <f t="shared" si="192"/>
        <v>5080.7759792911102</v>
      </c>
      <c r="AF29" s="145">
        <f t="shared" si="172"/>
        <v>812.53058149595972</v>
      </c>
      <c r="AG29" s="27">
        <f t="shared" si="193"/>
        <v>720.54598736434161</v>
      </c>
      <c r="AH29" s="27">
        <f t="shared" si="173"/>
        <v>68174.997201174963</v>
      </c>
      <c r="AI29" s="27">
        <f t="shared" si="174"/>
        <v>63093.937076290655</v>
      </c>
      <c r="AJ29" s="27">
        <f t="shared" si="194"/>
        <v>5081.0601248843022</v>
      </c>
      <c r="AK29" s="27">
        <f t="shared" si="11"/>
        <v>68176.343815222179</v>
      </c>
      <c r="AL29" s="27">
        <f t="shared" si="175"/>
        <v>63095.808333788314</v>
      </c>
      <c r="AM29" s="27">
        <f t="shared" si="246"/>
        <v>5080.5354814338652</v>
      </c>
      <c r="AN29" s="409">
        <f>INDEX(Inv.Returns!$B$2:$E$32,MATCH(B29,Inv.Returns!$A$2:$A$32,0),MATCH(SCRS!$DU$52,Inv.Returns!$B$1:$E$1,0))</f>
        <v>7.0000000000000007E-2</v>
      </c>
      <c r="AO29" s="27">
        <f t="shared" si="41"/>
        <v>11365.296184968305</v>
      </c>
      <c r="AP29" s="223">
        <f t="shared" si="12"/>
        <v>11363.94957092109</v>
      </c>
      <c r="AQ29" s="67">
        <f t="shared" si="22"/>
        <v>0.85711271984133441</v>
      </c>
      <c r="AR29" s="212">
        <f t="shared" si="23"/>
        <v>0.85712964980211137</v>
      </c>
      <c r="AS29" s="346"/>
      <c r="AT29" s="283">
        <f t="shared" si="176"/>
        <v>0.10950000000000001</v>
      </c>
      <c r="AU29" s="390">
        <f t="shared" si="109"/>
        <v>0.1095</v>
      </c>
      <c r="AV29" s="296">
        <f t="shared" si="110"/>
        <v>0.13300930762909224</v>
      </c>
      <c r="AW29" s="296">
        <f t="shared" si="111"/>
        <v>-3.0646503138043291E-6</v>
      </c>
      <c r="AX29" s="111">
        <f t="shared" si="82"/>
        <v>0.09</v>
      </c>
      <c r="AY29" s="111">
        <f t="shared" si="112"/>
        <v>0.09</v>
      </c>
      <c r="AZ29" s="111">
        <f t="shared" si="113"/>
        <v>0</v>
      </c>
      <c r="BA29" s="256">
        <f t="shared" si="24"/>
        <v>1.9500000000000017E-2</v>
      </c>
      <c r="BB29" s="111">
        <f t="shared" si="114"/>
        <v>1.9500000000000003E-2</v>
      </c>
      <c r="BC29" s="128">
        <f t="shared" si="83"/>
        <v>0.18560000000000004</v>
      </c>
      <c r="BD29" s="128">
        <f t="shared" si="104"/>
        <v>0.18560000000000004</v>
      </c>
      <c r="BE29" s="402">
        <f t="shared" si="15"/>
        <v>0.16610000000000003</v>
      </c>
      <c r="BF29" s="402">
        <f t="shared" si="115"/>
        <v>0.16610000000000003</v>
      </c>
      <c r="BG29" s="402">
        <f t="shared" si="177"/>
        <v>0.13560000000000005</v>
      </c>
      <c r="BH29" s="402">
        <f t="shared" si="26"/>
        <v>0.18560000000000004</v>
      </c>
      <c r="BI29" s="152">
        <f t="shared" si="42"/>
        <v>4.9392065287655562</v>
      </c>
      <c r="BJ29" s="100">
        <f t="shared" si="43"/>
        <v>4.1869522882181265E-2</v>
      </c>
      <c r="BK29" s="27">
        <f t="shared" si="67"/>
        <v>5.3943778761479306</v>
      </c>
      <c r="BL29" s="27">
        <f t="shared" si="17"/>
        <v>20</v>
      </c>
      <c r="BM29" s="107">
        <f t="shared" si="31"/>
        <v>4.8098712141913973</v>
      </c>
      <c r="BN29" s="27"/>
      <c r="BO29" s="27"/>
      <c r="BP29" s="92">
        <f t="shared" si="178"/>
        <v>-4674.7285669978783</v>
      </c>
      <c r="BQ29" s="27">
        <f t="shared" si="195"/>
        <v>-234.16072012768757</v>
      </c>
      <c r="BR29" s="27">
        <f t="shared" si="179"/>
        <v>-181.99225725069334</v>
      </c>
      <c r="BS29" s="27">
        <f t="shared" si="116"/>
        <v>-9.1161310019874495</v>
      </c>
      <c r="BT29" s="27">
        <f t="shared" si="180"/>
        <v>-13.579898297982613</v>
      </c>
      <c r="BU29" s="27">
        <f t="shared" si="196"/>
        <v>-12.042551320852505</v>
      </c>
      <c r="BV29" s="297">
        <f t="shared" si="181"/>
        <v>678.99491489913066</v>
      </c>
      <c r="BW29" s="297">
        <f t="shared" si="197"/>
        <v>602.12756604262529</v>
      </c>
      <c r="BX29" s="297">
        <f t="shared" si="198"/>
        <v>0</v>
      </c>
      <c r="BY29" s="297">
        <f t="shared" si="182"/>
        <v>58.003712243514336</v>
      </c>
      <c r="BZ29" s="297">
        <f t="shared" si="84"/>
        <v>147.11556489481165</v>
      </c>
      <c r="CA29" s="297">
        <f t="shared" si="199"/>
        <v>130.46097264256878</v>
      </c>
      <c r="CB29" s="297">
        <f t="shared" si="183"/>
        <v>2322.2343214949337</v>
      </c>
      <c r="CC29" s="297">
        <f t="shared" si="200"/>
        <v>0</v>
      </c>
      <c r="CD29" s="297">
        <f t="shared" si="201"/>
        <v>-2.7018161418531396E-2</v>
      </c>
      <c r="CE29" s="297"/>
      <c r="CF29" s="297">
        <f t="shared" si="184"/>
        <v>0</v>
      </c>
      <c r="CG29" s="297">
        <f t="shared" si="202"/>
        <v>0</v>
      </c>
      <c r="CH29" s="297">
        <f t="shared" si="185"/>
        <v>0</v>
      </c>
      <c r="CI29" s="427">
        <f>IF(AND($DU$74="Yes",MAX($AQ$13:AQ28)&lt;100%),MAX(BD27*(G29+Q29)-SUM(BZ29:CH29,CJ29,CY29),0),0)</f>
        <v>0</v>
      </c>
      <c r="CJ29" s="27"/>
      <c r="CK29" s="27">
        <f t="shared" si="44"/>
        <v>0</v>
      </c>
      <c r="CL29" s="27">
        <f t="shared" si="45"/>
        <v>0</v>
      </c>
      <c r="CM29" s="27">
        <f t="shared" si="46"/>
        <v>0</v>
      </c>
      <c r="CN29" s="27">
        <f t="shared" si="47"/>
        <v>3938.9100340561658</v>
      </c>
      <c r="CO29" s="27">
        <f t="shared" si="48"/>
        <v>0</v>
      </c>
      <c r="CP29" s="107">
        <f t="shared" si="4"/>
        <v>3938.9100340561658</v>
      </c>
      <c r="CQ29" s="27">
        <f t="shared" si="117"/>
        <v>2322.207303333515</v>
      </c>
      <c r="CR29" s="27">
        <f t="shared" si="118"/>
        <v>0</v>
      </c>
      <c r="CS29" s="27">
        <f t="shared" si="186"/>
        <v>2322.207303333515</v>
      </c>
      <c r="CT29" s="27">
        <f>SUM($CS$14:CS29)</f>
        <v>30158.525887766031</v>
      </c>
      <c r="CU29" s="223">
        <v>2449.0367126722831</v>
      </c>
      <c r="CV29" s="417">
        <v>503.04192451594975</v>
      </c>
      <c r="CW29" s="417">
        <v>2952.0786371882327</v>
      </c>
      <c r="CX29" s="417">
        <v>39413.917162148849</v>
      </c>
      <c r="CY29" s="103">
        <f t="shared" si="49"/>
        <v>125.60024322958391</v>
      </c>
      <c r="CZ29" s="111">
        <f t="shared" si="101"/>
        <v>0.15671066216513804</v>
      </c>
      <c r="DA29" s="92">
        <f t="shared" si="50"/>
        <v>2725.3840841004794</v>
      </c>
      <c r="DB29" s="410">
        <f t="shared" si="51"/>
        <v>1951.9916932104024</v>
      </c>
      <c r="DC29" s="307">
        <f t="shared" si="52"/>
        <v>1555.8269367239479</v>
      </c>
      <c r="DD29" s="307">
        <f t="shared" si="53"/>
        <v>185.97006971913683</v>
      </c>
      <c r="DE29" s="307">
        <f t="shared" si="54"/>
        <v>0</v>
      </c>
      <c r="DF29" s="307">
        <f t="shared" si="55"/>
        <v>33403.074511434112</v>
      </c>
      <c r="DG29" s="307" t="b">
        <f t="shared" si="68"/>
        <v>0</v>
      </c>
      <c r="DH29" s="27">
        <f t="shared" si="56"/>
        <v>125.60024322958391</v>
      </c>
      <c r="DI29" s="96">
        <f t="shared" si="57"/>
        <v>84.14935281408907</v>
      </c>
      <c r="DJ29" s="101">
        <f t="shared" si="58"/>
        <v>1.1735400645399881E-2</v>
      </c>
      <c r="DK29" s="92">
        <f t="shared" si="59"/>
        <v>0</v>
      </c>
      <c r="DL29" s="96">
        <f t="shared" si="60"/>
        <v>0</v>
      </c>
      <c r="DM29" s="101">
        <f t="shared" si="61"/>
        <v>0</v>
      </c>
      <c r="DN29" s="292">
        <v>3431.4018768006254</v>
      </c>
      <c r="DO29" s="96">
        <f t="shared" si="62"/>
        <v>2457.6601876619975</v>
      </c>
      <c r="DP29" s="294">
        <v>0.89262829385980502</v>
      </c>
      <c r="DQ29" s="29"/>
      <c r="DR29" s="77" t="s">
        <v>69</v>
      </c>
      <c r="DS29" s="65"/>
      <c r="DT29" s="65"/>
      <c r="DU29" s="265"/>
      <c r="DV29" s="29"/>
      <c r="DW29" s="320"/>
      <c r="DX29" s="321"/>
      <c r="DY29" s="321"/>
      <c r="DZ29" s="321"/>
      <c r="EA29" s="321"/>
      <c r="EB29" s="321"/>
      <c r="EC29" s="321"/>
      <c r="ED29" s="321"/>
      <c r="EE29" s="321"/>
      <c r="EF29" s="321"/>
      <c r="EG29" s="321"/>
      <c r="EH29" s="321"/>
      <c r="EI29" s="322"/>
      <c r="EJ29" s="323"/>
      <c r="EK29" s="332">
        <f t="shared" si="69"/>
        <v>0.16610000000000003</v>
      </c>
      <c r="EL29" s="332">
        <f t="shared" si="63"/>
        <v>1.9500000000000017E-2</v>
      </c>
      <c r="EM29" s="332" t="e">
        <f t="shared" si="70"/>
        <v>#DIV/0!</v>
      </c>
      <c r="EN29" s="332">
        <f t="shared" si="64"/>
        <v>0</v>
      </c>
      <c r="EO29" s="332">
        <v>0.17560000000000003</v>
      </c>
      <c r="EP29" s="332">
        <v>0.14584694197056447</v>
      </c>
      <c r="EQ29" s="333" t="e">
        <f>SUM(EK29:EM29)</f>
        <v>#DIV/0!</v>
      </c>
      <c r="ER29" s="277"/>
      <c r="ES29" s="334">
        <v>20</v>
      </c>
      <c r="ET29" s="29">
        <f t="shared" si="85"/>
        <v>4182.1270668617881</v>
      </c>
      <c r="EU29" s="29">
        <f t="shared" si="86"/>
        <v>4183.1120545555696</v>
      </c>
      <c r="EV29" s="29">
        <f t="shared" si="72"/>
        <v>0.98498769378147699</v>
      </c>
      <c r="EW29" s="29">
        <f t="shared" si="73"/>
        <v>0.78799015502518155</v>
      </c>
      <c r="EX29" s="29">
        <f t="shared" si="87"/>
        <v>0.56031481690288265</v>
      </c>
      <c r="EY29" s="29">
        <f t="shared" si="102"/>
        <v>0.35540242858205595</v>
      </c>
      <c r="EZ29" s="29">
        <f t="shared" si="105"/>
        <v>0.16755009714861441</v>
      </c>
      <c r="FA29" s="29">
        <f t="shared" si="74"/>
        <v>1.8712574976587346</v>
      </c>
      <c r="FB29" s="29"/>
      <c r="FC29" s="29">
        <f t="shared" si="247"/>
        <v>316.77923835080855</v>
      </c>
      <c r="FD29" s="29">
        <f t="shared" si="248"/>
        <v>316.49673167140469</v>
      </c>
      <c r="FE29" s="29">
        <f t="shared" si="203"/>
        <v>-0.2825066794038662</v>
      </c>
      <c r="FF29" s="29">
        <f t="shared" si="204"/>
        <v>-0.22600534352309296</v>
      </c>
      <c r="FG29" s="29">
        <f t="shared" si="205"/>
        <v>-0.15649888088253194</v>
      </c>
      <c r="FH29" s="29">
        <f t="shared" si="206"/>
        <v>-9.7821984614938629E-2</v>
      </c>
      <c r="FI29" s="29">
        <f t="shared" si="207"/>
        <v>-4.4317241416064225E-2</v>
      </c>
      <c r="FJ29" s="29">
        <f t="shared" si="208"/>
        <v>-0.52464345043662775</v>
      </c>
      <c r="FK29" s="29"/>
      <c r="FL29" s="29"/>
      <c r="FM29" s="27">
        <f t="shared" si="27"/>
        <v>12922.839547885524</v>
      </c>
      <c r="FN29" s="29"/>
      <c r="FO29" s="301">
        <f t="shared" si="119"/>
        <v>2322.2343214949337</v>
      </c>
      <c r="FP29" s="89">
        <f t="shared" si="209"/>
        <v>-2.7018161418531396E-2</v>
      </c>
      <c r="FQ29" s="27">
        <f t="shared" si="103"/>
        <v>20</v>
      </c>
      <c r="FR29" s="302">
        <f t="shared" si="88"/>
        <v>13.464518542443937</v>
      </c>
      <c r="FS29" s="89">
        <f t="shared" si="89"/>
        <v>959.76989501326102</v>
      </c>
      <c r="FT29" s="89">
        <f t="shared" si="210"/>
        <v>2322.207303333515</v>
      </c>
      <c r="FU29" s="29">
        <f t="shared" si="90"/>
        <v>20</v>
      </c>
      <c r="FV29" s="137">
        <f t="shared" si="91"/>
        <v>13.464518542443937</v>
      </c>
      <c r="FW29" s="48">
        <v>2586.6375475779701</v>
      </c>
      <c r="FX29" s="29">
        <f t="shared" si="120"/>
        <v>-60.025079658820687</v>
      </c>
      <c r="FY29" s="29">
        <f t="shared" si="121"/>
        <v>-62.534762476300095</v>
      </c>
      <c r="FZ29" s="29">
        <f t="shared" si="266"/>
        <v>-60.465473303165133</v>
      </c>
      <c r="GA29" s="29">
        <f t="shared" si="267"/>
        <v>-58.316466856452863</v>
      </c>
      <c r="GB29" s="29">
        <f t="shared" si="268"/>
        <v>-56.079448820586784</v>
      </c>
      <c r="GC29" s="29">
        <f t="shared" si="269"/>
        <v>-53.744405983738062</v>
      </c>
      <c r="GD29" s="29">
        <f t="shared" si="270"/>
        <v>-51.306381504578191</v>
      </c>
      <c r="GE29" s="29">
        <f t="shared" si="271"/>
        <v>-48.754636377328012</v>
      </c>
      <c r="GF29" s="29">
        <f t="shared" si="272"/>
        <v>-46.090709552106944</v>
      </c>
      <c r="GG29" s="29">
        <f t="shared" si="273"/>
        <v>-43.307326322111564</v>
      </c>
      <c r="GH29" s="29">
        <f t="shared" si="274"/>
        <v>-25.413431594178604</v>
      </c>
      <c r="GI29" s="29">
        <f t="shared" si="275"/>
        <v>-1078.9420629166696</v>
      </c>
      <c r="GJ29" s="29">
        <f t="shared" si="276"/>
        <v>-673.93163459838581</v>
      </c>
      <c r="GK29" s="29">
        <f t="shared" si="277"/>
        <v>-599.83977287098526</v>
      </c>
      <c r="GL29" s="29">
        <f t="shared" si="278"/>
        <v>-678.87640086380713</v>
      </c>
      <c r="GM29" s="29">
        <f t="shared" si="279"/>
        <v>14963.208324260719</v>
      </c>
      <c r="GN29" s="29">
        <f t="shared" si="280"/>
        <v>0</v>
      </c>
      <c r="GO29" s="29">
        <f t="shared" si="251"/>
        <v>0</v>
      </c>
      <c r="GP29" s="29">
        <f t="shared" si="252"/>
        <v>0</v>
      </c>
      <c r="GQ29" s="29">
        <f t="shared" si="253"/>
        <v>0</v>
      </c>
      <c r="GR29" s="29">
        <f t="shared" si="254"/>
        <v>0</v>
      </c>
      <c r="GS29" s="29">
        <f t="shared" si="255"/>
        <v>0</v>
      </c>
      <c r="GT29" s="29">
        <f t="shared" si="256"/>
        <v>0</v>
      </c>
      <c r="GU29" s="29">
        <f t="shared" si="257"/>
        <v>0</v>
      </c>
      <c r="GV29" s="29">
        <f t="shared" si="258"/>
        <v>0</v>
      </c>
      <c r="GW29" s="29">
        <f t="shared" si="259"/>
        <v>0</v>
      </c>
      <c r="GX29" s="29">
        <f t="shared" si="260"/>
        <v>0</v>
      </c>
      <c r="GY29" s="29">
        <f t="shared" si="261"/>
        <v>0</v>
      </c>
      <c r="GZ29" s="29">
        <f t="shared" si="262"/>
        <v>0</v>
      </c>
      <c r="HA29" s="29">
        <f t="shared" si="263"/>
        <v>0</v>
      </c>
      <c r="HB29" s="29">
        <f t="shared" si="264"/>
        <v>0</v>
      </c>
      <c r="HC29" s="29">
        <f t="shared" si="265"/>
        <v>0</v>
      </c>
      <c r="HD29" s="29"/>
      <c r="HE29" s="29">
        <f t="shared" si="32"/>
        <v>20</v>
      </c>
      <c r="HF29" s="29">
        <f t="shared" si="317"/>
        <v>0</v>
      </c>
      <c r="HG29" s="29">
        <f t="shared" si="318"/>
        <v>-4.6444113303548873</v>
      </c>
      <c r="HH29" s="29">
        <f t="shared" si="319"/>
        <v>-4.6436681457116071</v>
      </c>
      <c r="HI29" s="29">
        <f t="shared" si="126"/>
        <v>-4.6433892452687298</v>
      </c>
      <c r="HJ29" s="29">
        <f t="shared" si="127"/>
        <v>-4.6432387735484175</v>
      </c>
      <c r="HK29" s="29">
        <f t="shared" si="128"/>
        <v>-4.6426918873210044</v>
      </c>
      <c r="HL29" s="29">
        <f t="shared" si="129"/>
        <v>-4.6415975682119344</v>
      </c>
      <c r="HM29" s="29">
        <f t="shared" si="130"/>
        <v>-4.6392339145030927</v>
      </c>
      <c r="HN29" s="29">
        <f t="shared" si="131"/>
        <v>-4.6359587028895817</v>
      </c>
      <c r="HO29" s="29">
        <f t="shared" si="132"/>
        <v>-4.6312768724143076</v>
      </c>
      <c r="HP29" s="29">
        <f t="shared" si="133"/>
        <v>-2.9092576981029321</v>
      </c>
      <c r="HQ29" s="29">
        <f t="shared" si="134"/>
        <v>-133.30313542141732</v>
      </c>
      <c r="HR29" s="29">
        <f t="shared" si="135"/>
        <v>-90.758199325432372</v>
      </c>
      <c r="HS29" s="29">
        <f t="shared" si="136"/>
        <v>-89.138974370998554</v>
      </c>
      <c r="HT29" s="29">
        <f t="shared" si="137"/>
        <v>-113.07440133595196</v>
      </c>
      <c r="HU29" s="29">
        <f t="shared" si="138"/>
        <v>2851.2396714370689</v>
      </c>
      <c r="HV29" s="29">
        <f t="shared" si="139"/>
        <v>0</v>
      </c>
      <c r="HW29" s="29">
        <f t="shared" si="140"/>
        <v>0</v>
      </c>
      <c r="HX29" s="29">
        <f t="shared" si="141"/>
        <v>0</v>
      </c>
      <c r="HY29" s="29">
        <f t="shared" si="142"/>
        <v>0</v>
      </c>
      <c r="HZ29" s="29">
        <f t="shared" si="143"/>
        <v>0</v>
      </c>
      <c r="IA29" s="29">
        <f t="shared" si="144"/>
        <v>0</v>
      </c>
      <c r="IB29" s="29">
        <f t="shared" si="145"/>
        <v>0</v>
      </c>
      <c r="IC29" s="29">
        <f t="shared" si="146"/>
        <v>0</v>
      </c>
      <c r="ID29" s="29">
        <f t="shared" si="147"/>
        <v>0</v>
      </c>
      <c r="IE29" s="29">
        <f t="shared" si="148"/>
        <v>0</v>
      </c>
      <c r="IF29" s="29">
        <f t="shared" si="149"/>
        <v>0</v>
      </c>
      <c r="IG29" s="29">
        <f t="shared" si="150"/>
        <v>0</v>
      </c>
      <c r="IH29" s="29">
        <f t="shared" si="151"/>
        <v>0</v>
      </c>
      <c r="II29" s="29">
        <f t="shared" si="152"/>
        <v>0</v>
      </c>
      <c r="IJ29" s="29">
        <f t="shared" si="153"/>
        <v>0</v>
      </c>
      <c r="IK29" s="29">
        <f t="shared" si="154"/>
        <v>0</v>
      </c>
      <c r="IL29" s="48"/>
      <c r="IM29" s="48"/>
      <c r="IN29" s="48"/>
      <c r="IO29" s="29">
        <f t="shared" si="211"/>
        <v>-7.1388812831033599E-3</v>
      </c>
      <c r="IP29" s="29">
        <f t="shared" si="249"/>
        <v>-9.2853997726331065E-3</v>
      </c>
      <c r="IQ29" s="29">
        <f t="shared" si="302"/>
        <v>-1.7500818217185615E-2</v>
      </c>
      <c r="IR29" s="29">
        <f t="shared" si="303"/>
        <v>-1.8808124529826258E-2</v>
      </c>
      <c r="IS29" s="29">
        <f t="shared" si="304"/>
        <v>-1.8334067661706553E-2</v>
      </c>
      <c r="IT29" s="29">
        <f t="shared" si="305"/>
        <v>-2.2858159164766786E-2</v>
      </c>
      <c r="IU29" s="29">
        <f t="shared" si="306"/>
        <v>-2.0438249951437192E-2</v>
      </c>
      <c r="IV29" s="29">
        <f t="shared" si="307"/>
        <v>-2.2821456313826444E-2</v>
      </c>
      <c r="IW29" s="29">
        <f t="shared" si="308"/>
        <v>-2.4879277158473004E-2</v>
      </c>
      <c r="IX29" s="29">
        <f t="shared" si="309"/>
        <v>-2.7805158517830574E-2</v>
      </c>
      <c r="IY29" s="29">
        <f t="shared" si="310"/>
        <v>-3.0298759734526851E-2</v>
      </c>
      <c r="IZ29" s="29">
        <f t="shared" si="311"/>
        <v>-2.892266109887473E-2</v>
      </c>
      <c r="JA29" s="29">
        <f t="shared" si="312"/>
        <v>-2.3986985516200713E-2</v>
      </c>
      <c r="JB29" s="29">
        <f t="shared" si="313"/>
        <v>-1.1067594271687881E-2</v>
      </c>
      <c r="JC29" s="29">
        <f t="shared" si="314"/>
        <v>0</v>
      </c>
      <c r="JD29" s="29">
        <f t="shared" si="315"/>
        <v>0</v>
      </c>
      <c r="JE29" s="29">
        <f t="shared" si="316"/>
        <v>0</v>
      </c>
      <c r="JF29" s="29">
        <f t="shared" si="285"/>
        <v>0</v>
      </c>
      <c r="JG29" s="29">
        <f t="shared" si="286"/>
        <v>0</v>
      </c>
      <c r="JH29" s="29">
        <f t="shared" si="287"/>
        <v>0</v>
      </c>
      <c r="JI29" s="29">
        <f t="shared" si="288"/>
        <v>0</v>
      </c>
      <c r="JJ29" s="29">
        <f t="shared" si="289"/>
        <v>0</v>
      </c>
      <c r="JK29" s="29">
        <f t="shared" si="290"/>
        <v>0</v>
      </c>
      <c r="JL29" s="29">
        <f t="shared" si="291"/>
        <v>0</v>
      </c>
      <c r="JM29" s="29">
        <f t="shared" si="292"/>
        <v>0</v>
      </c>
      <c r="JN29" s="29">
        <f t="shared" si="293"/>
        <v>0</v>
      </c>
      <c r="JO29" s="29">
        <f t="shared" si="294"/>
        <v>0</v>
      </c>
      <c r="JP29" s="29">
        <f t="shared" si="295"/>
        <v>0</v>
      </c>
      <c r="JQ29" s="29">
        <f t="shared" si="296"/>
        <v>0</v>
      </c>
      <c r="JR29" s="29">
        <f t="shared" si="297"/>
        <v>0</v>
      </c>
      <c r="JS29" s="29">
        <f t="shared" si="298"/>
        <v>0</v>
      </c>
      <c r="JT29" s="29">
        <f t="shared" si="299"/>
        <v>0</v>
      </c>
      <c r="JU29" s="48"/>
      <c r="JV29" s="394">
        <f t="shared" si="213"/>
        <v>20</v>
      </c>
      <c r="JW29" s="29">
        <f t="shared" si="214"/>
        <v>0</v>
      </c>
      <c r="JX29" s="29">
        <f t="shared" si="215"/>
        <v>-6.8961988825392629E-4</v>
      </c>
      <c r="JY29" s="29">
        <f t="shared" si="216"/>
        <v>-1.3440396252513941E-3</v>
      </c>
      <c r="JZ29" s="29">
        <f t="shared" si="217"/>
        <v>-1.4975777490162981E-3</v>
      </c>
      <c r="KA29" s="29">
        <f t="shared" si="218"/>
        <v>-1.5180151665906707E-3</v>
      </c>
      <c r="KB29" s="29">
        <f t="shared" si="219"/>
        <v>-1.9745941586081675E-3</v>
      </c>
      <c r="KC29" s="29">
        <f t="shared" si="220"/>
        <v>-1.849012315644077E-3</v>
      </c>
      <c r="KD29" s="29">
        <f t="shared" si="221"/>
        <v>-2.1715693516829956E-3</v>
      </c>
      <c r="KE29" s="29">
        <f t="shared" si="222"/>
        <v>-2.502441437444792E-3</v>
      </c>
      <c r="KF29" s="29">
        <f t="shared" si="223"/>
        <v>-2.9734781274570205E-3</v>
      </c>
      <c r="KG29" s="29">
        <f t="shared" si="224"/>
        <v>-3.468516232213008E-3</v>
      </c>
      <c r="KH29" s="29">
        <f t="shared" si="225"/>
        <v>-3.5733905848370187E-3</v>
      </c>
      <c r="KI29" s="29">
        <f t="shared" si="226"/>
        <v>-3.2303211497008099E-3</v>
      </c>
      <c r="KJ29" s="29">
        <f t="shared" si="227"/>
        <v>-1.6446958783854874E-3</v>
      </c>
      <c r="KK29" s="29">
        <f t="shared" si="228"/>
        <v>0</v>
      </c>
      <c r="KL29" s="29">
        <f t="shared" si="229"/>
        <v>0</v>
      </c>
      <c r="KM29" s="29">
        <f t="shared" si="230"/>
        <v>0</v>
      </c>
      <c r="KN29" s="29">
        <f t="shared" si="231"/>
        <v>0</v>
      </c>
      <c r="KO29" s="29">
        <f t="shared" si="232"/>
        <v>0</v>
      </c>
      <c r="KP29" s="29">
        <f t="shared" si="233"/>
        <v>0</v>
      </c>
      <c r="KQ29" s="29">
        <f t="shared" si="234"/>
        <v>0</v>
      </c>
      <c r="KR29" s="29">
        <f t="shared" si="235"/>
        <v>0</v>
      </c>
      <c r="KS29" s="29">
        <f t="shared" si="236"/>
        <v>0</v>
      </c>
      <c r="KT29" s="29">
        <f t="shared" si="237"/>
        <v>0</v>
      </c>
      <c r="KU29" s="29">
        <f t="shared" si="238"/>
        <v>0</v>
      </c>
      <c r="KV29" s="29">
        <f t="shared" si="239"/>
        <v>0</v>
      </c>
      <c r="KW29" s="29">
        <f t="shared" si="240"/>
        <v>0</v>
      </c>
      <c r="KX29" s="29">
        <f t="shared" si="241"/>
        <v>0</v>
      </c>
      <c r="KY29" s="29">
        <f t="shared" si="242"/>
        <v>0</v>
      </c>
      <c r="KZ29" s="29">
        <f t="shared" si="243"/>
        <v>0</v>
      </c>
      <c r="LA29" s="29">
        <f t="shared" si="244"/>
        <v>0</v>
      </c>
      <c r="LB29" s="29">
        <f t="shared" si="245"/>
        <v>0</v>
      </c>
      <c r="LC29" s="48"/>
      <c r="LD29" s="48"/>
      <c r="LE29" s="48"/>
      <c r="LF29" s="48"/>
      <c r="LG29" s="48"/>
      <c r="LH29" s="48"/>
      <c r="LI29" s="48"/>
      <c r="LJ29" s="48"/>
      <c r="LK29" s="48"/>
      <c r="LL29" s="48"/>
      <c r="LM29" s="48"/>
      <c r="LN29" s="48"/>
      <c r="LO29" s="48"/>
      <c r="LP29" s="46">
        <f t="shared" si="33"/>
        <v>0.20393004938027531</v>
      </c>
      <c r="LQ29" s="47">
        <f t="shared" si="34"/>
        <v>0.59280527299841912</v>
      </c>
      <c r="LR29" s="28"/>
      <c r="LS29" s="48"/>
      <c r="LT29" s="28" t="s">
        <v>281</v>
      </c>
      <c r="LU29" s="161">
        <v>3.7613333333333339E-2</v>
      </c>
      <c r="LV29" s="111">
        <f t="shared" si="75"/>
        <v>6.0980123685116177E-18</v>
      </c>
      <c r="LW29" s="152">
        <f t="shared" si="18"/>
        <v>4.8543659129049558E-14</v>
      </c>
      <c r="LX29" s="223" t="e">
        <f>LX28*(1+#REF!)</f>
        <v>#REF!</v>
      </c>
      <c r="LY29" s="153"/>
      <c r="LZ29" s="124">
        <f t="shared" si="76"/>
        <v>-209.95588421775028</v>
      </c>
      <c r="MA29" s="125">
        <f t="shared" si="77"/>
        <v>-264.10444349999307</v>
      </c>
      <c r="MB29" s="28"/>
      <c r="MC29" s="374">
        <f t="shared" si="300"/>
        <v>3.4999999999999996E-2</v>
      </c>
      <c r="MD29" s="387">
        <f t="shared" si="187"/>
        <v>-275.48320015022068</v>
      </c>
      <c r="ME29" s="152">
        <f t="shared" si="188"/>
        <v>-4950.2117671480992</v>
      </c>
      <c r="MF29" s="28"/>
      <c r="MG29" s="374">
        <f t="shared" si="301"/>
        <v>3.4999999999999996E-2</v>
      </c>
      <c r="MH29" s="387">
        <f t="shared" si="189"/>
        <v>-10.724860002338175</v>
      </c>
      <c r="MI29" s="152">
        <f t="shared" si="155"/>
        <v>-192.71711725303152</v>
      </c>
      <c r="MJ29" s="28"/>
      <c r="MK29" s="28"/>
      <c r="ML29" s="30" t="s">
        <v>288</v>
      </c>
      <c r="MP29" s="28"/>
      <c r="MQ29" s="28"/>
      <c r="MR29" s="28"/>
      <c r="MS29" s="28">
        <f t="shared" si="92"/>
        <v>82</v>
      </c>
      <c r="MT29" s="28">
        <f t="shared" si="93"/>
        <v>0.24663458853200043</v>
      </c>
      <c r="MU29" s="28">
        <f t="shared" si="94"/>
        <v>0.2636957212991608</v>
      </c>
      <c r="MV29" s="28">
        <f t="shared" si="95"/>
        <v>0.28187421847144362</v>
      </c>
      <c r="MW29" s="28">
        <f t="shared" si="96"/>
        <v>0.30123917005932427</v>
      </c>
      <c r="MX29" s="28">
        <f t="shared" si="97"/>
        <v>0.32186368705118523</v>
      </c>
      <c r="MY29" s="28">
        <f t="shared" si="98"/>
        <v>0.34382512091798018</v>
      </c>
    </row>
    <row r="30" spans="1:375" s="30" customFormat="1" ht="12.75" customHeight="1" x14ac:dyDescent="0.3">
      <c r="A30" s="298">
        <f t="shared" si="99"/>
        <v>2039</v>
      </c>
      <c r="B30" s="348">
        <f t="shared" si="2"/>
        <v>2037</v>
      </c>
      <c r="C30" s="26">
        <v>50222</v>
      </c>
      <c r="D30" s="92">
        <f t="shared" si="156"/>
        <v>7244.8900685912313</v>
      </c>
      <c r="E30" s="27">
        <f t="shared" si="106"/>
        <v>7244.8900685912313</v>
      </c>
      <c r="F30" s="107">
        <f t="shared" si="21"/>
        <v>8871.2939615402847</v>
      </c>
      <c r="G30" s="27">
        <f t="shared" si="157"/>
        <v>17198.859972904356</v>
      </c>
      <c r="H30" s="27">
        <f t="shared" si="158"/>
        <v>8427.4413867231342</v>
      </c>
      <c r="I30" s="289">
        <f t="shared" si="159"/>
        <v>7163.3251787146637</v>
      </c>
      <c r="J30" s="68">
        <v>2094.9631439999998</v>
      </c>
      <c r="K30" s="290">
        <f t="shared" si="160"/>
        <v>5068.3620347146643</v>
      </c>
      <c r="L30" s="290">
        <f t="shared" si="107"/>
        <v>8771.4185861812221</v>
      </c>
      <c r="M30" s="290">
        <f t="shared" si="161"/>
        <v>7455.7057982540391</v>
      </c>
      <c r="N30" s="27">
        <f t="shared" si="162"/>
        <v>0</v>
      </c>
      <c r="O30" s="290">
        <f t="shared" si="163"/>
        <v>1264.11620800847</v>
      </c>
      <c r="P30" s="290">
        <f t="shared" si="108"/>
        <v>1315.7127879271832</v>
      </c>
      <c r="Q30" s="290">
        <f t="shared" si="164"/>
        <v>661.88680526765802</v>
      </c>
      <c r="R30" s="254">
        <f t="shared" si="3"/>
        <v>0.49</v>
      </c>
      <c r="S30" s="251">
        <v>0.51</v>
      </c>
      <c r="T30" s="284">
        <f t="shared" si="165"/>
        <v>7.0000000000000007E-2</v>
      </c>
      <c r="U30" s="284">
        <f t="shared" si="166"/>
        <v>7.0000000000000007E-2</v>
      </c>
      <c r="V30" s="27">
        <f t="shared" si="5"/>
        <v>81303.861118992936</v>
      </c>
      <c r="W30" s="27">
        <f t="shared" si="167"/>
        <v>75337.290652795869</v>
      </c>
      <c r="X30" s="27">
        <f t="shared" si="190"/>
        <v>5966.5704661970713</v>
      </c>
      <c r="Y30" s="27">
        <f t="shared" si="168"/>
        <v>771.49012174756945</v>
      </c>
      <c r="Z30" s="27">
        <f t="shared" si="191"/>
        <v>802.97951447195999</v>
      </c>
      <c r="AA30" s="111">
        <f t="shared" si="169"/>
        <v>7.0000000000000007E-2</v>
      </c>
      <c r="AB30" s="111">
        <f t="shared" si="170"/>
        <v>7.0000000000000007E-2</v>
      </c>
      <c r="AC30" s="291">
        <f t="shared" si="7"/>
        <v>81303.861118992936</v>
      </c>
      <c r="AD30" s="27">
        <f t="shared" si="171"/>
        <v>75337.290652795869</v>
      </c>
      <c r="AE30" s="27">
        <f t="shared" si="192"/>
        <v>5966.5704661970713</v>
      </c>
      <c r="AF30" s="145">
        <f t="shared" si="172"/>
        <v>771.49012174756945</v>
      </c>
      <c r="AG30" s="27">
        <f t="shared" si="193"/>
        <v>802.97951447195999</v>
      </c>
      <c r="AH30" s="27">
        <f t="shared" si="173"/>
        <v>71666.810816055513</v>
      </c>
      <c r="AI30" s="27">
        <f t="shared" si="174"/>
        <v>65699.961659164255</v>
      </c>
      <c r="AJ30" s="27">
        <f t="shared" si="194"/>
        <v>5966.8491568912614</v>
      </c>
      <c r="AK30" s="27">
        <f t="shared" si="11"/>
        <v>71668.216521855211</v>
      </c>
      <c r="AL30" s="27">
        <f t="shared" si="175"/>
        <v>65701.932804107928</v>
      </c>
      <c r="AM30" s="27">
        <f t="shared" si="246"/>
        <v>5966.2837177472793</v>
      </c>
      <c r="AN30" s="409">
        <f>INDEX(Inv.Returns!$B$2:$E$32,MATCH(B30,Inv.Returns!$A$2:$A$32,0),MATCH(SCRS!$DU$52,Inv.Returns!$B$1:$E$1,0))</f>
        <v>7.0000000000000007E-2</v>
      </c>
      <c r="AO30" s="27">
        <f t="shared" si="41"/>
        <v>9637.0503029374231</v>
      </c>
      <c r="AP30" s="223">
        <f t="shared" si="12"/>
        <v>9635.6445971377252</v>
      </c>
      <c r="AQ30" s="67">
        <f t="shared" si="22"/>
        <v>0.88146872522040454</v>
      </c>
      <c r="AR30" s="146">
        <f t="shared" si="23"/>
        <v>0.88148601475352573</v>
      </c>
      <c r="AS30" s="346"/>
      <c r="AT30" s="283">
        <f t="shared" si="176"/>
        <v>0.1095</v>
      </c>
      <c r="AU30" s="390">
        <f t="shared" si="109"/>
        <v>0.1095</v>
      </c>
      <c r="AV30" s="296">
        <f t="shared" si="110"/>
        <v>0.13274923795586652</v>
      </c>
      <c r="AW30" s="296">
        <f t="shared" si="111"/>
        <v>-2.8871022759881988E-6</v>
      </c>
      <c r="AX30" s="111">
        <f t="shared" si="82"/>
        <v>0.09</v>
      </c>
      <c r="AY30" s="111">
        <f t="shared" si="112"/>
        <v>0.09</v>
      </c>
      <c r="AZ30" s="111">
        <f t="shared" si="113"/>
        <v>0</v>
      </c>
      <c r="BA30" s="256">
        <f t="shared" si="24"/>
        <v>1.9500000000000003E-2</v>
      </c>
      <c r="BB30" s="111">
        <f t="shared" si="114"/>
        <v>1.9500000000000003E-2</v>
      </c>
      <c r="BC30" s="128">
        <f t="shared" si="83"/>
        <v>0.17560000000000003</v>
      </c>
      <c r="BD30" s="128">
        <f t="shared" si="104"/>
        <v>0.17560000000000003</v>
      </c>
      <c r="BE30" s="402">
        <f t="shared" si="15"/>
        <v>0.15610000000000002</v>
      </c>
      <c r="BF30" s="402">
        <f t="shared" si="115"/>
        <v>0.15610000000000002</v>
      </c>
      <c r="BG30" s="402">
        <f t="shared" si="177"/>
        <v>0.12560000000000004</v>
      </c>
      <c r="BH30" s="402">
        <f t="shared" si="26"/>
        <v>0.17560000000000003</v>
      </c>
      <c r="BI30" s="152">
        <f t="shared" si="42"/>
        <v>4.0857911249360086</v>
      </c>
      <c r="BJ30" s="100">
        <f t="shared" si="43"/>
        <v>4.1869522882181265E-2</v>
      </c>
      <c r="BK30" s="27">
        <f t="shared" si="67"/>
        <v>4.3728598828060701</v>
      </c>
      <c r="BL30" s="27">
        <f t="shared" si="17"/>
        <v>20</v>
      </c>
      <c r="BM30" s="107">
        <f t="shared" si="31"/>
        <v>3.9072006209867971</v>
      </c>
      <c r="BN30" s="27"/>
      <c r="BO30" s="27"/>
      <c r="BP30" s="92">
        <f t="shared" si="178"/>
        <v>-4775.7796794189962</v>
      </c>
      <c r="BQ30" s="27">
        <f t="shared" si="195"/>
        <v>-279.58896743452647</v>
      </c>
      <c r="BR30" s="27">
        <f t="shared" si="179"/>
        <v>-185.92628674216886</v>
      </c>
      <c r="BS30" s="27">
        <f t="shared" si="116"/>
        <v>-10.884701979280319</v>
      </c>
      <c r="BT30" s="27">
        <f t="shared" si="180"/>
        <v>-12.893985321686394</v>
      </c>
      <c r="BU30" s="27">
        <f t="shared" si="196"/>
        <v>-13.420270436857271</v>
      </c>
      <c r="BV30" s="297">
        <f t="shared" si="181"/>
        <v>644.69926608431967</v>
      </c>
      <c r="BW30" s="297">
        <f t="shared" si="197"/>
        <v>671.0135218428635</v>
      </c>
      <c r="BX30" s="297">
        <f t="shared" si="198"/>
        <v>0</v>
      </c>
      <c r="BY30" s="297">
        <f t="shared" si="182"/>
        <v>59.569812474089218</v>
      </c>
      <c r="BZ30" s="297">
        <f t="shared" si="84"/>
        <v>139.68484098493605</v>
      </c>
      <c r="CA30" s="297">
        <f t="shared" si="199"/>
        <v>145.3862630659537</v>
      </c>
      <c r="CB30" s="297">
        <f t="shared" si="183"/>
        <v>2380.2902368449422</v>
      </c>
      <c r="CC30" s="297">
        <f t="shared" si="200"/>
        <v>0</v>
      </c>
      <c r="CD30" s="297">
        <f t="shared" si="201"/>
        <v>-2.8437271665085664E-2</v>
      </c>
      <c r="CE30" s="297"/>
      <c r="CF30" s="297">
        <f t="shared" si="184"/>
        <v>0</v>
      </c>
      <c r="CG30" s="297">
        <f t="shared" si="202"/>
        <v>0</v>
      </c>
      <c r="CH30" s="297">
        <f t="shared" si="185"/>
        <v>0</v>
      </c>
      <c r="CI30" s="427">
        <f>IF(AND($DU$74="Yes",MAX($AQ$13:AQ29)&lt;100%),MAX(BD28*(G30+Q30)-SUM(BZ30:CH30,CJ30,CY30),0),0)</f>
        <v>0</v>
      </c>
      <c r="CJ30" s="27"/>
      <c r="CK30" s="27">
        <f t="shared" si="44"/>
        <v>0</v>
      </c>
      <c r="CL30" s="27">
        <f t="shared" si="45"/>
        <v>0</v>
      </c>
      <c r="CM30" s="27">
        <f t="shared" si="46"/>
        <v>0</v>
      </c>
      <c r="CN30" s="27">
        <f t="shared" si="47"/>
        <v>4040.6155040254393</v>
      </c>
      <c r="CO30" s="27">
        <f t="shared" si="48"/>
        <v>0</v>
      </c>
      <c r="CP30" s="107">
        <f t="shared" si="4"/>
        <v>4040.6155040254393</v>
      </c>
      <c r="CQ30" s="27">
        <f t="shared" si="117"/>
        <v>2380.2617995732771</v>
      </c>
      <c r="CR30" s="27">
        <f t="shared" si="118"/>
        <v>0</v>
      </c>
      <c r="CS30" s="27">
        <f t="shared" si="186"/>
        <v>2380.2617995732771</v>
      </c>
      <c r="CT30" s="27">
        <f>SUM($CS$14:CS30)</f>
        <v>32538.787687339307</v>
      </c>
      <c r="CU30" s="223">
        <v>2527.3337738122459</v>
      </c>
      <c r="CV30" s="417">
        <v>518.13318225142825</v>
      </c>
      <c r="CW30" s="417">
        <v>3045.4669560636739</v>
      </c>
      <c r="CX30" s="417">
        <v>42459.384118212525</v>
      </c>
      <c r="CY30" s="103">
        <f t="shared" si="49"/>
        <v>128.99144979678269</v>
      </c>
      <c r="CZ30" s="111">
        <f t="shared" si="101"/>
        <v>0.15645058899978082</v>
      </c>
      <c r="DA30" s="92">
        <f t="shared" si="50"/>
        <v>2794.3243534209491</v>
      </c>
      <c r="DB30" s="410">
        <f t="shared" si="51"/>
        <v>1957.3286313661338</v>
      </c>
      <c r="DC30" s="307">
        <f t="shared" si="52"/>
        <v>1559.6304648481241</v>
      </c>
      <c r="DD30" s="307">
        <f t="shared" si="53"/>
        <v>186.78851990371984</v>
      </c>
      <c r="DE30" s="307">
        <f t="shared" si="54"/>
        <v>0</v>
      </c>
      <c r="DF30" s="307">
        <f t="shared" si="55"/>
        <v>32907.204249400107</v>
      </c>
      <c r="DG30" s="307" t="b">
        <f t="shared" si="68"/>
        <v>0</v>
      </c>
      <c r="DH30" s="27">
        <f t="shared" si="56"/>
        <v>128.99144979678269</v>
      </c>
      <c r="DI30" s="96">
        <f t="shared" si="57"/>
        <v>84.519692264126633</v>
      </c>
      <c r="DJ30" s="101">
        <f t="shared" si="58"/>
        <v>1.099029584251735E-2</v>
      </c>
      <c r="DK30" s="92">
        <f t="shared" si="59"/>
        <v>0</v>
      </c>
      <c r="DL30" s="96">
        <f t="shared" si="60"/>
        <v>0</v>
      </c>
      <c r="DM30" s="101">
        <f t="shared" si="61"/>
        <v>0</v>
      </c>
      <c r="DN30" s="292">
        <v>3534.3439331046434</v>
      </c>
      <c r="DO30" s="96">
        <f t="shared" si="62"/>
        <v>2475.6870350042618</v>
      </c>
      <c r="DP30" s="294">
        <v>0.93079459547675103</v>
      </c>
      <c r="DQ30" s="29"/>
      <c r="DR30" s="50" t="s">
        <v>39</v>
      </c>
      <c r="DS30" s="34"/>
      <c r="DT30" s="34"/>
      <c r="DU30" s="280" t="s">
        <v>208</v>
      </c>
      <c r="DV30" s="29"/>
      <c r="DW30" s="320"/>
      <c r="DX30" s="321"/>
      <c r="DY30" s="321"/>
      <c r="DZ30" s="321"/>
      <c r="EA30" s="321"/>
      <c r="EB30" s="321"/>
      <c r="EC30" s="321"/>
      <c r="ED30" s="321"/>
      <c r="EE30" s="321"/>
      <c r="EF30" s="321"/>
      <c r="EG30" s="321"/>
      <c r="EH30" s="321"/>
      <c r="EI30" s="322"/>
      <c r="EJ30" s="323"/>
      <c r="EK30" s="332">
        <f t="shared" si="69"/>
        <v>0.15610000000000002</v>
      </c>
      <c r="EL30" s="332">
        <f t="shared" si="63"/>
        <v>1.9500000000000003E-2</v>
      </c>
      <c r="EM30" s="332" t="e">
        <f t="shared" si="70"/>
        <v>#DIV/0!</v>
      </c>
      <c r="EN30" s="332">
        <f t="shared" si="64"/>
        <v>0</v>
      </c>
      <c r="EO30" s="332">
        <v>0.16560000000000002</v>
      </c>
      <c r="EP30" s="332">
        <v>0.14558454355797928</v>
      </c>
      <c r="EQ30" s="333" t="e">
        <f t="shared" si="71"/>
        <v>#DIV/0!</v>
      </c>
      <c r="ER30" s="277"/>
      <c r="ES30" s="30">
        <v>21</v>
      </c>
      <c r="ET30" s="29">
        <f t="shared" si="85"/>
        <v>4355.4441305368728</v>
      </c>
      <c r="EU30" s="29">
        <f t="shared" si="86"/>
        <v>4356.4802654141768</v>
      </c>
      <c r="EV30" s="29">
        <f t="shared" si="72"/>
        <v>1.0361348773039936</v>
      </c>
      <c r="EW30" s="29">
        <f t="shared" si="73"/>
        <v>0.82890790184319485</v>
      </c>
      <c r="EX30" s="29">
        <f t="shared" si="87"/>
        <v>0.59099261626888611</v>
      </c>
      <c r="EY30" s="29">
        <f t="shared" si="102"/>
        <v>0.37354321126858842</v>
      </c>
      <c r="EZ30" s="29">
        <f t="shared" si="105"/>
        <v>0.17770121429102798</v>
      </c>
      <c r="FA30" s="29">
        <f t="shared" si="74"/>
        <v>1.9711449436716972</v>
      </c>
      <c r="FB30" s="29"/>
      <c r="FC30" s="29">
        <f t="shared" si="247"/>
        <v>373.57419297289766</v>
      </c>
      <c r="FD30" s="29">
        <f t="shared" si="248"/>
        <v>373.27082852692592</v>
      </c>
      <c r="FE30" s="29">
        <f t="shared" si="203"/>
        <v>-0.30336444597173795</v>
      </c>
      <c r="FF30" s="29">
        <f t="shared" si="204"/>
        <v>-0.24269155677739035</v>
      </c>
      <c r="FG30" s="29">
        <f t="shared" si="205"/>
        <v>-0.16950400764231971</v>
      </c>
      <c r="FH30" s="29">
        <f t="shared" si="206"/>
        <v>-0.10433258725502129</v>
      </c>
      <c r="FI30" s="29">
        <f t="shared" si="207"/>
        <v>-4.8910992307469314E-2</v>
      </c>
      <c r="FJ30" s="29">
        <f t="shared" si="208"/>
        <v>-0.56543914398220063</v>
      </c>
      <c r="FK30" s="29"/>
      <c r="FL30" s="29"/>
      <c r="FM30" s="27">
        <f t="shared" si="27"/>
        <v>11365.296184968305</v>
      </c>
      <c r="FN30" s="29"/>
      <c r="FO30" s="301">
        <f t="shared" si="119"/>
        <v>2380.2902368449422</v>
      </c>
      <c r="FP30" s="89">
        <f t="shared" si="209"/>
        <v>-2.8437271665085664E-2</v>
      </c>
      <c r="FQ30" s="27">
        <f t="shared" si="103"/>
        <v>20</v>
      </c>
      <c r="FR30" s="302">
        <f t="shared" si="88"/>
        <v>13.464518542443937</v>
      </c>
      <c r="FS30" s="89">
        <f t="shared" si="89"/>
        <v>844.09228218162468</v>
      </c>
      <c r="FT30" s="89">
        <f t="shared" si="210"/>
        <v>2380.2617995732771</v>
      </c>
      <c r="FU30" s="29">
        <f t="shared" si="90"/>
        <v>20</v>
      </c>
      <c r="FV30" s="137">
        <f t="shared" si="91"/>
        <v>13.464518542443937</v>
      </c>
      <c r="FW30" s="48">
        <v>2615.4280959227713</v>
      </c>
      <c r="FX30" s="29">
        <f t="shared" si="120"/>
        <v>-61.650593738644602</v>
      </c>
      <c r="FY30" s="29">
        <f t="shared" si="121"/>
        <v>-64.226835234938136</v>
      </c>
      <c r="FZ30" s="29">
        <f t="shared" si="266"/>
        <v>-62.107979413226545</v>
      </c>
      <c r="GA30" s="29">
        <f t="shared" si="267"/>
        <v>-59.894608754144784</v>
      </c>
      <c r="GB30" s="29">
        <f t="shared" si="268"/>
        <v>-57.595460353024038</v>
      </c>
      <c r="GC30" s="29">
        <f t="shared" si="269"/>
        <v>-55.202006703805111</v>
      </c>
      <c r="GD30" s="29">
        <f t="shared" si="270"/>
        <v>-52.704076571889367</v>
      </c>
      <c r="GE30" s="29">
        <f t="shared" si="271"/>
        <v>-50.096522351676647</v>
      </c>
      <c r="GF30" s="29">
        <f t="shared" si="272"/>
        <v>-47.368600047926904</v>
      </c>
      <c r="GG30" s="29">
        <f t="shared" si="273"/>
        <v>-44.521586250176817</v>
      </c>
      <c r="GH30" s="29">
        <f t="shared" si="274"/>
        <v>-41.548209117182651</v>
      </c>
      <c r="GI30" s="29">
        <f t="shared" si="275"/>
        <v>-24.183012242882491</v>
      </c>
      <c r="GJ30" s="29">
        <f t="shared" si="276"/>
        <v>-1016.5781718466312</v>
      </c>
      <c r="GK30" s="29">
        <f t="shared" si="277"/>
        <v>-627.22583764453964</v>
      </c>
      <c r="GL30" s="29">
        <f t="shared" si="278"/>
        <v>-549.62248491296521</v>
      </c>
      <c r="GM30" s="29">
        <f t="shared" si="279"/>
        <v>-609.43267869342299</v>
      </c>
      <c r="GN30" s="29">
        <f t="shared" si="280"/>
        <v>13061.287657508692</v>
      </c>
      <c r="GO30" s="29">
        <f t="shared" si="251"/>
        <v>0</v>
      </c>
      <c r="GP30" s="29">
        <f t="shared" si="252"/>
        <v>0</v>
      </c>
      <c r="GQ30" s="29">
        <f t="shared" si="253"/>
        <v>0</v>
      </c>
      <c r="GR30" s="29">
        <f t="shared" si="254"/>
        <v>0</v>
      </c>
      <c r="GS30" s="29">
        <f t="shared" si="255"/>
        <v>0</v>
      </c>
      <c r="GT30" s="29">
        <f t="shared" si="256"/>
        <v>0</v>
      </c>
      <c r="GU30" s="29">
        <f t="shared" si="257"/>
        <v>0</v>
      </c>
      <c r="GV30" s="29">
        <f t="shared" si="258"/>
        <v>0</v>
      </c>
      <c r="GW30" s="29">
        <f t="shared" si="259"/>
        <v>0</v>
      </c>
      <c r="GX30" s="29">
        <f t="shared" si="260"/>
        <v>0</v>
      </c>
      <c r="GY30" s="29">
        <f t="shared" si="261"/>
        <v>0</v>
      </c>
      <c r="GZ30" s="29">
        <f t="shared" si="262"/>
        <v>0</v>
      </c>
      <c r="HA30" s="29">
        <f t="shared" si="263"/>
        <v>0</v>
      </c>
      <c r="HB30" s="29">
        <f t="shared" si="264"/>
        <v>0</v>
      </c>
      <c r="HC30" s="29">
        <f t="shared" si="265"/>
        <v>0</v>
      </c>
      <c r="HD30" s="29"/>
      <c r="HE30" s="29">
        <f t="shared" si="32"/>
        <v>20</v>
      </c>
      <c r="HF30" s="29">
        <f t="shared" si="317"/>
        <v>0</v>
      </c>
      <c r="HG30" s="29">
        <f t="shared" si="318"/>
        <v>-4.770080343569445</v>
      </c>
      <c r="HH30" s="29">
        <f t="shared" si="319"/>
        <v>-4.7698104362744695</v>
      </c>
      <c r="HI30" s="29">
        <f t="shared" si="126"/>
        <v>-4.7690471856458192</v>
      </c>
      <c r="HJ30" s="29">
        <f t="shared" si="127"/>
        <v>-4.7687607548909856</v>
      </c>
      <c r="HK30" s="29">
        <f t="shared" si="128"/>
        <v>-4.7686062204342248</v>
      </c>
      <c r="HL30" s="29">
        <f t="shared" si="129"/>
        <v>-4.7680445682786701</v>
      </c>
      <c r="HM30" s="29">
        <f t="shared" si="130"/>
        <v>-4.7669207025536569</v>
      </c>
      <c r="HN30" s="29">
        <f t="shared" si="131"/>
        <v>-4.7644932301946756</v>
      </c>
      <c r="HO30" s="29">
        <f t="shared" si="132"/>
        <v>-4.7611295878676012</v>
      </c>
      <c r="HP30" s="29">
        <f t="shared" si="133"/>
        <v>-4.7563213479694921</v>
      </c>
      <c r="HQ30" s="29">
        <f t="shared" si="134"/>
        <v>-2.9878076559517108</v>
      </c>
      <c r="HR30" s="29">
        <f t="shared" si="135"/>
        <v>-136.90232007779559</v>
      </c>
      <c r="HS30" s="29">
        <f t="shared" si="136"/>
        <v>-93.208670707219028</v>
      </c>
      <c r="HT30" s="29">
        <f t="shared" si="137"/>
        <v>-91.545726679015459</v>
      </c>
      <c r="HU30" s="29">
        <f t="shared" si="138"/>
        <v>-116.12741017202265</v>
      </c>
      <c r="HV30" s="29">
        <f t="shared" si="139"/>
        <v>2928.2231425658697</v>
      </c>
      <c r="HW30" s="29">
        <f t="shared" si="140"/>
        <v>0</v>
      </c>
      <c r="HX30" s="29">
        <f t="shared" si="141"/>
        <v>0</v>
      </c>
      <c r="HY30" s="29">
        <f t="shared" si="142"/>
        <v>0</v>
      </c>
      <c r="HZ30" s="29">
        <f t="shared" si="143"/>
        <v>0</v>
      </c>
      <c r="IA30" s="29">
        <f t="shared" si="144"/>
        <v>0</v>
      </c>
      <c r="IB30" s="29">
        <f t="shared" si="145"/>
        <v>0</v>
      </c>
      <c r="IC30" s="29">
        <f t="shared" si="146"/>
        <v>0</v>
      </c>
      <c r="ID30" s="29">
        <f t="shared" si="147"/>
        <v>0</v>
      </c>
      <c r="IE30" s="29">
        <f t="shared" si="148"/>
        <v>0</v>
      </c>
      <c r="IF30" s="29">
        <f t="shared" si="149"/>
        <v>0</v>
      </c>
      <c r="IG30" s="29">
        <f t="shared" si="150"/>
        <v>0</v>
      </c>
      <c r="IH30" s="29">
        <f t="shared" si="151"/>
        <v>0</v>
      </c>
      <c r="II30" s="29">
        <f t="shared" si="152"/>
        <v>0</v>
      </c>
      <c r="IJ30" s="29">
        <f t="shared" si="153"/>
        <v>0</v>
      </c>
      <c r="IK30" s="29">
        <f t="shared" si="154"/>
        <v>0</v>
      </c>
      <c r="IL30" s="48"/>
      <c r="IM30" s="48"/>
      <c r="IN30" s="48"/>
      <c r="IO30" s="29">
        <f t="shared" si="211"/>
        <v>-4.0706520138639735E-3</v>
      </c>
      <c r="IP30" s="29">
        <f t="shared" si="249"/>
        <v>-7.6386029729205952E-3</v>
      </c>
      <c r="IQ30" s="29">
        <f t="shared" si="302"/>
        <v>-9.2220293975024958E-3</v>
      </c>
      <c r="IR30" s="29">
        <f t="shared" si="303"/>
        <v>-1.733559009354306E-2</v>
      </c>
      <c r="IS30" s="29">
        <f t="shared" si="304"/>
        <v>-1.8575586777896187E-2</v>
      </c>
      <c r="IT30" s="29">
        <f t="shared" si="305"/>
        <v>-1.8047205299885325E-2</v>
      </c>
      <c r="IU30" s="29">
        <f t="shared" si="306"/>
        <v>-2.2415694226424719E-2</v>
      </c>
      <c r="IV30" s="29">
        <f t="shared" si="307"/>
        <v>-1.9956294236613895E-2</v>
      </c>
      <c r="IW30" s="29">
        <f t="shared" si="308"/>
        <v>-2.2172669451875546E-2</v>
      </c>
      <c r="IX30" s="29">
        <f t="shared" si="309"/>
        <v>-2.4032281008838911E-2</v>
      </c>
      <c r="IY30" s="29">
        <f t="shared" si="310"/>
        <v>-2.6675729922523411E-2</v>
      </c>
      <c r="IZ30" s="29">
        <f t="shared" si="311"/>
        <v>-2.8831811827099312E-2</v>
      </c>
      <c r="JA30" s="29">
        <f t="shared" si="312"/>
        <v>-2.7250903413063604E-2</v>
      </c>
      <c r="JB30" s="29">
        <f t="shared" si="313"/>
        <v>-2.2324604322710433E-2</v>
      </c>
      <c r="JC30" s="29">
        <f t="shared" si="314"/>
        <v>-1.0141039225356495E-2</v>
      </c>
      <c r="JD30" s="29">
        <f t="shared" si="315"/>
        <v>0</v>
      </c>
      <c r="JE30" s="29">
        <f t="shared" si="316"/>
        <v>0</v>
      </c>
      <c r="JF30" s="29">
        <f t="shared" si="285"/>
        <v>0</v>
      </c>
      <c r="JG30" s="29">
        <f t="shared" si="286"/>
        <v>0</v>
      </c>
      <c r="JH30" s="29">
        <f t="shared" si="287"/>
        <v>0</v>
      </c>
      <c r="JI30" s="29">
        <f t="shared" si="288"/>
        <v>0</v>
      </c>
      <c r="JJ30" s="29">
        <f t="shared" si="289"/>
        <v>0</v>
      </c>
      <c r="JK30" s="29">
        <f t="shared" si="290"/>
        <v>0</v>
      </c>
      <c r="JL30" s="29">
        <f t="shared" si="291"/>
        <v>0</v>
      </c>
      <c r="JM30" s="29">
        <f t="shared" si="292"/>
        <v>0</v>
      </c>
      <c r="JN30" s="29">
        <f t="shared" si="293"/>
        <v>0</v>
      </c>
      <c r="JO30" s="29">
        <f t="shared" si="294"/>
        <v>0</v>
      </c>
      <c r="JP30" s="29">
        <f t="shared" si="295"/>
        <v>0</v>
      </c>
      <c r="JQ30" s="29">
        <f t="shared" si="296"/>
        <v>0</v>
      </c>
      <c r="JR30" s="29">
        <f t="shared" si="297"/>
        <v>0</v>
      </c>
      <c r="JS30" s="29">
        <f t="shared" si="298"/>
        <v>0</v>
      </c>
      <c r="JT30" s="29">
        <f t="shared" si="299"/>
        <v>0</v>
      </c>
      <c r="JU30" s="48"/>
      <c r="JV30" s="394">
        <f t="shared" si="213"/>
        <v>20</v>
      </c>
      <c r="JW30" s="29">
        <f t="shared" si="214"/>
        <v>0</v>
      </c>
      <c r="JX30" s="29">
        <f t="shared" si="215"/>
        <v>-5.6731348758157056E-4</v>
      </c>
      <c r="JY30" s="29">
        <f t="shared" si="216"/>
        <v>-7.0823962523678243E-4</v>
      </c>
      <c r="JZ30" s="29">
        <f t="shared" si="217"/>
        <v>-1.3803286951331812E-3</v>
      </c>
      <c r="KA30" s="29">
        <f t="shared" si="218"/>
        <v>-1.5380123482397381E-3</v>
      </c>
      <c r="KB30" s="29">
        <f t="shared" si="219"/>
        <v>-1.5590015760886188E-3</v>
      </c>
      <c r="KC30" s="29">
        <f t="shared" si="220"/>
        <v>-2.0279082008905877E-3</v>
      </c>
      <c r="KD30" s="29">
        <f t="shared" si="221"/>
        <v>-1.8989356481664671E-3</v>
      </c>
      <c r="KE30" s="29">
        <f t="shared" si="222"/>
        <v>-2.2302017241784358E-3</v>
      </c>
      <c r="KF30" s="29">
        <f t="shared" si="223"/>
        <v>-2.5700073562558018E-3</v>
      </c>
      <c r="KG30" s="29">
        <f t="shared" si="224"/>
        <v>-3.0537620368983587E-3</v>
      </c>
      <c r="KH30" s="29">
        <f t="shared" si="225"/>
        <v>-3.5621661704827597E-3</v>
      </c>
      <c r="KI30" s="29">
        <f t="shared" si="226"/>
        <v>-3.6698721306276188E-3</v>
      </c>
      <c r="KJ30" s="29">
        <f t="shared" si="227"/>
        <v>-3.3175398207427307E-3</v>
      </c>
      <c r="KK30" s="29">
        <f t="shared" si="228"/>
        <v>-1.6891026671018946E-3</v>
      </c>
      <c r="KL30" s="29">
        <f t="shared" si="229"/>
        <v>0</v>
      </c>
      <c r="KM30" s="29">
        <f t="shared" si="230"/>
        <v>0</v>
      </c>
      <c r="KN30" s="29">
        <f t="shared" si="231"/>
        <v>0</v>
      </c>
      <c r="KO30" s="29">
        <f t="shared" si="232"/>
        <v>0</v>
      </c>
      <c r="KP30" s="29">
        <f t="shared" si="233"/>
        <v>0</v>
      </c>
      <c r="KQ30" s="29">
        <f t="shared" si="234"/>
        <v>0</v>
      </c>
      <c r="KR30" s="29">
        <f t="shared" si="235"/>
        <v>0</v>
      </c>
      <c r="KS30" s="29">
        <f t="shared" si="236"/>
        <v>0</v>
      </c>
      <c r="KT30" s="29">
        <f t="shared" si="237"/>
        <v>0</v>
      </c>
      <c r="KU30" s="29">
        <f t="shared" si="238"/>
        <v>0</v>
      </c>
      <c r="KV30" s="29">
        <f t="shared" si="239"/>
        <v>0</v>
      </c>
      <c r="KW30" s="29">
        <f t="shared" si="240"/>
        <v>0</v>
      </c>
      <c r="KX30" s="29">
        <f t="shared" si="241"/>
        <v>0</v>
      </c>
      <c r="KY30" s="29">
        <f t="shared" si="242"/>
        <v>0</v>
      </c>
      <c r="KZ30" s="29">
        <f t="shared" si="243"/>
        <v>0</v>
      </c>
      <c r="LA30" s="29">
        <f t="shared" si="244"/>
        <v>0</v>
      </c>
      <c r="LB30" s="29">
        <f t="shared" si="245"/>
        <v>0</v>
      </c>
      <c r="LC30" s="48"/>
      <c r="LD30" s="48"/>
      <c r="LE30" s="48"/>
      <c r="LF30" s="48"/>
      <c r="LG30" s="48"/>
      <c r="LH30" s="48"/>
      <c r="LI30" s="48"/>
      <c r="LJ30" s="48"/>
      <c r="LK30" s="48"/>
      <c r="LL30" s="48"/>
      <c r="LM30" s="48"/>
      <c r="LN30" s="48"/>
      <c r="LO30" s="48"/>
      <c r="LP30" s="46">
        <f t="shared" si="33"/>
        <v>0.19058883119651898</v>
      </c>
      <c r="LQ30" s="47">
        <f t="shared" si="34"/>
        <v>0.579760658189163</v>
      </c>
      <c r="LR30" s="28"/>
      <c r="LS30" s="48"/>
      <c r="LT30" s="28" t="s">
        <v>282</v>
      </c>
      <c r="LU30" s="161">
        <v>4.1556666666666679E-2</v>
      </c>
      <c r="LV30" s="111">
        <f t="shared" si="75"/>
        <v>6.7373201168233203E-18</v>
      </c>
      <c r="LW30" s="152">
        <f t="shared" si="18"/>
        <v>5.9768747269338607E-14</v>
      </c>
      <c r="LX30" s="223" t="e">
        <f>LX29*(1+#REF!)</f>
        <v>#REF!</v>
      </c>
      <c r="LY30" s="153"/>
      <c r="LZ30" s="124">
        <f t="shared" si="76"/>
        <v>-257.65097819000948</v>
      </c>
      <c r="MA30" s="125">
        <f t="shared" si="77"/>
        <v>-314.35033568521612</v>
      </c>
      <c r="MB30" s="28"/>
      <c r="MC30" s="374">
        <f t="shared" si="300"/>
        <v>3.7499999999999999E-2</v>
      </c>
      <c r="MD30" s="387">
        <f t="shared" si="187"/>
        <v>-328.92819698179579</v>
      </c>
      <c r="ME30" s="152">
        <f t="shared" si="188"/>
        <v>-5104.707876400792</v>
      </c>
      <c r="MF30" s="28"/>
      <c r="MG30" s="374">
        <f t="shared" si="301"/>
        <v>3.7499999999999999E-2</v>
      </c>
      <c r="MH30" s="387">
        <f t="shared" si="189"/>
        <v>-12.805531740329787</v>
      </c>
      <c r="MI30" s="152">
        <f t="shared" si="155"/>
        <v>-198.73181848249865</v>
      </c>
      <c r="MJ30" s="28"/>
      <c r="MK30" s="28"/>
      <c r="MM30" s="332">
        <v>0.06</v>
      </c>
      <c r="MN30" s="332">
        <v>7.0000000000000007E-2</v>
      </c>
      <c r="MO30" s="332">
        <v>0.08</v>
      </c>
      <c r="MP30" s="28"/>
      <c r="MQ30" s="28"/>
      <c r="MR30" s="28"/>
      <c r="MS30" s="28">
        <f t="shared" si="92"/>
        <v>83</v>
      </c>
      <c r="MT30" s="28">
        <f t="shared" si="93"/>
        <v>0.22996232030955752</v>
      </c>
      <c r="MU30" s="28">
        <f t="shared" si="94"/>
        <v>0.24669380136644567</v>
      </c>
      <c r="MV30" s="28">
        <f t="shared" si="95"/>
        <v>0.26458067667617924</v>
      </c>
      <c r="MW30" s="28">
        <f t="shared" si="96"/>
        <v>0.28369848365353889</v>
      </c>
      <c r="MX30" s="28">
        <f t="shared" si="97"/>
        <v>0.30412742233815487</v>
      </c>
      <c r="MY30" s="28">
        <f t="shared" si="98"/>
        <v>0.32595262628751176</v>
      </c>
    </row>
    <row r="31" spans="1:375" s="28" customFormat="1" ht="11.25" customHeight="1" x14ac:dyDescent="0.3">
      <c r="A31" s="298">
        <f t="shared" si="99"/>
        <v>2040</v>
      </c>
      <c r="B31" s="348">
        <f t="shared" si="2"/>
        <v>2038</v>
      </c>
      <c r="C31" s="26">
        <v>50587</v>
      </c>
      <c r="D31" s="92">
        <f t="shared" si="156"/>
        <v>6833.1141738764018</v>
      </c>
      <c r="E31" s="27">
        <f t="shared" si="106"/>
        <v>6833.1141738764018</v>
      </c>
      <c r="F31" s="107">
        <f t="shared" si="21"/>
        <v>9825.3929297569211</v>
      </c>
      <c r="G31" s="27">
        <f t="shared" si="157"/>
        <v>17663.229192172774</v>
      </c>
      <c r="H31" s="27">
        <f t="shared" si="158"/>
        <v>7948.4531364777467</v>
      </c>
      <c r="I31" s="289">
        <f t="shared" si="159"/>
        <v>6756.1851660060847</v>
      </c>
      <c r="J31" s="68">
        <v>1964.3945659999999</v>
      </c>
      <c r="K31" s="290">
        <f t="shared" si="160"/>
        <v>4791.7906000060848</v>
      </c>
      <c r="L31" s="290">
        <f t="shared" si="107"/>
        <v>9714.776055695027</v>
      </c>
      <c r="M31" s="290">
        <f t="shared" si="161"/>
        <v>8257.5596473407732</v>
      </c>
      <c r="N31" s="27">
        <f t="shared" si="162"/>
        <v>0</v>
      </c>
      <c r="O31" s="290">
        <f t="shared" si="163"/>
        <v>1192.267970471662</v>
      </c>
      <c r="P31" s="290">
        <f t="shared" si="108"/>
        <v>1457.2164083542541</v>
      </c>
      <c r="Q31" s="290">
        <f t="shared" si="164"/>
        <v>679.75774900988472</v>
      </c>
      <c r="R31" s="254">
        <f t="shared" si="3"/>
        <v>0.44999999999999996</v>
      </c>
      <c r="S31" s="251">
        <v>0.55000000000000004</v>
      </c>
      <c r="T31" s="284">
        <f t="shared" si="165"/>
        <v>7.0000000000000007E-2</v>
      </c>
      <c r="U31" s="284">
        <f t="shared" si="166"/>
        <v>7.0000000000000007E-2</v>
      </c>
      <c r="V31" s="27">
        <f t="shared" si="5"/>
        <v>83073.254156388022</v>
      </c>
      <c r="W31" s="27">
        <f t="shared" si="167"/>
        <v>76124.053091912923</v>
      </c>
      <c r="X31" s="27">
        <f t="shared" si="190"/>
        <v>6949.2010644751063</v>
      </c>
      <c r="Y31" s="27">
        <f t="shared" si="168"/>
        <v>727.64114237885542</v>
      </c>
      <c r="Z31" s="27">
        <f t="shared" si="191"/>
        <v>889.33917401860128</v>
      </c>
      <c r="AA31" s="111">
        <f t="shared" si="169"/>
        <v>7.0000000000000007E-2</v>
      </c>
      <c r="AB31" s="111">
        <f t="shared" si="170"/>
        <v>7.0000000000000007E-2</v>
      </c>
      <c r="AC31" s="92">
        <f t="shared" si="7"/>
        <v>83073.254156388022</v>
      </c>
      <c r="AD31" s="27">
        <f t="shared" si="171"/>
        <v>76124.053091912923</v>
      </c>
      <c r="AE31" s="27">
        <f t="shared" si="192"/>
        <v>6949.2010644751063</v>
      </c>
      <c r="AF31" s="145">
        <f t="shared" si="172"/>
        <v>727.64114237885542</v>
      </c>
      <c r="AG31" s="27">
        <f t="shared" si="193"/>
        <v>889.33917401860128</v>
      </c>
      <c r="AH31" s="27">
        <f t="shared" si="173"/>
        <v>75348.636794682345</v>
      </c>
      <c r="AI31" s="27">
        <f t="shared" si="174"/>
        <v>68399.16752344025</v>
      </c>
      <c r="AJ31" s="27">
        <f t="shared" si="194"/>
        <v>6949.4692712420983</v>
      </c>
      <c r="AK31" s="27">
        <f t="shared" si="11"/>
        <v>75350.103183871543</v>
      </c>
      <c r="AL31" s="27">
        <f t="shared" si="175"/>
        <v>68401.239737038937</v>
      </c>
      <c r="AM31" s="27">
        <f t="shared" si="246"/>
        <v>6948.8634468326054</v>
      </c>
      <c r="AN31" s="409">
        <f>INDEX(Inv.Returns!$B$2:$E$32,MATCH(B31,Inv.Returns!$A$2:$A$32,0),MATCH(SCRS!$DU$52,Inv.Returns!$B$1:$E$1,0))</f>
        <v>7.0000000000000007E-2</v>
      </c>
      <c r="AO31" s="27">
        <f t="shared" si="41"/>
        <v>7724.6173617056775</v>
      </c>
      <c r="AP31" s="223">
        <f t="shared" si="12"/>
        <v>7723.1509725164797</v>
      </c>
      <c r="AQ31" s="67">
        <f t="shared" si="22"/>
        <v>0.90701438820292457</v>
      </c>
      <c r="AR31" s="146">
        <f t="shared" si="23"/>
        <v>0.90703203996345916</v>
      </c>
      <c r="AS31" s="346"/>
      <c r="AT31" s="283">
        <f t="shared" si="176"/>
        <v>0.1095</v>
      </c>
      <c r="AU31" s="390">
        <f t="shared" si="109"/>
        <v>0.10949999999999999</v>
      </c>
      <c r="AV31" s="296">
        <f t="shared" si="110"/>
        <v>0.1324891478632424</v>
      </c>
      <c r="AW31" s="296">
        <f t="shared" si="111"/>
        <v>-2.7092414936045739E-6</v>
      </c>
      <c r="AX31" s="111">
        <f t="shared" si="82"/>
        <v>0.09</v>
      </c>
      <c r="AY31" s="111">
        <f t="shared" si="112"/>
        <v>0.09</v>
      </c>
      <c r="AZ31" s="111">
        <f t="shared" si="113"/>
        <v>0</v>
      </c>
      <c r="BA31" s="256">
        <f t="shared" si="24"/>
        <v>1.9500000000000003E-2</v>
      </c>
      <c r="BB31" s="111">
        <f t="shared" si="114"/>
        <v>1.949999999999999E-2</v>
      </c>
      <c r="BC31" s="128">
        <f t="shared" si="83"/>
        <v>0.16560000000000002</v>
      </c>
      <c r="BD31" s="128">
        <f t="shared" si="104"/>
        <v>0.16560000000000002</v>
      </c>
      <c r="BE31" s="402">
        <f t="shared" si="15"/>
        <v>0.14610000000000001</v>
      </c>
      <c r="BF31" s="402">
        <f t="shared" si="115"/>
        <v>0.14610000000000004</v>
      </c>
      <c r="BG31" s="402">
        <f t="shared" si="177"/>
        <v>0.11560000000000002</v>
      </c>
      <c r="BH31" s="402">
        <f t="shared" si="26"/>
        <v>0.16560000000000002</v>
      </c>
      <c r="BI31" s="152">
        <f t="shared" si="42"/>
        <v>3.1949658027929817</v>
      </c>
      <c r="BJ31" s="100">
        <f t="shared" si="43"/>
        <v>4.1869522882181265E-2</v>
      </c>
      <c r="BK31" s="27">
        <f t="shared" si="67"/>
        <v>3.3503383669547473</v>
      </c>
      <c r="BL31" s="27">
        <f t="shared" si="17"/>
        <v>20</v>
      </c>
      <c r="BM31" s="107">
        <f t="shared" si="31"/>
        <v>2.9996943510062652</v>
      </c>
      <c r="BN31" s="27"/>
      <c r="BO31" s="27"/>
      <c r="BP31" s="92">
        <f t="shared" si="178"/>
        <v>-4875.4347669954604</v>
      </c>
      <c r="BQ31" s="27">
        <f t="shared" si="195"/>
        <v>-330.30238589363091</v>
      </c>
      <c r="BR31" s="27">
        <f t="shared" si="179"/>
        <v>-189.80596747114078</v>
      </c>
      <c r="BS31" s="27">
        <f t="shared" si="116"/>
        <v>-12.859030406267165</v>
      </c>
      <c r="BT31" s="27">
        <f t="shared" si="180"/>
        <v>-12.161133298810952</v>
      </c>
      <c r="BU31" s="27">
        <f t="shared" si="196"/>
        <v>-14.863607365213392</v>
      </c>
      <c r="BV31" s="297">
        <f t="shared" si="181"/>
        <v>608.05666494054765</v>
      </c>
      <c r="BW31" s="297">
        <f t="shared" si="197"/>
        <v>743.18036826066952</v>
      </c>
      <c r="BX31" s="297">
        <f t="shared" si="198"/>
        <v>0</v>
      </c>
      <c r="BY31" s="297">
        <f t="shared" si="182"/>
        <v>61.178197410889624</v>
      </c>
      <c r="BZ31" s="297">
        <f t="shared" si="84"/>
        <v>131.74561073711868</v>
      </c>
      <c r="CA31" s="297">
        <f t="shared" si="199"/>
        <v>161.02241312314516</v>
      </c>
      <c r="CB31" s="297">
        <f t="shared" si="183"/>
        <v>2439.7879928961861</v>
      </c>
      <c r="CC31" s="297">
        <f t="shared" si="200"/>
        <v>0</v>
      </c>
      <c r="CD31" s="297">
        <f t="shared" si="201"/>
        <v>-2.9772391487624547E-2</v>
      </c>
      <c r="CE31" s="297"/>
      <c r="CF31" s="297">
        <f t="shared" si="184"/>
        <v>0</v>
      </c>
      <c r="CG31" s="297">
        <f t="shared" si="202"/>
        <v>0</v>
      </c>
      <c r="CH31" s="297">
        <f t="shared" si="185"/>
        <v>0</v>
      </c>
      <c r="CI31" s="427">
        <f>IF(AND($DU$74="Yes",MAX($AQ$13:AQ30)&lt;100%),MAX(BD29*(G31+Q31)-SUM(BZ31:CH31,CJ31,CY31),0),0)</f>
        <v>0</v>
      </c>
      <c r="CJ31" s="27"/>
      <c r="CK31" s="27">
        <f t="shared" si="44"/>
        <v>0</v>
      </c>
      <c r="CL31" s="27">
        <f t="shared" si="45"/>
        <v>0</v>
      </c>
      <c r="CM31" s="27">
        <f t="shared" si="46"/>
        <v>0</v>
      </c>
      <c r="CN31" s="27">
        <f t="shared" si="47"/>
        <v>4144.9414749770694</v>
      </c>
      <c r="CO31" s="27">
        <f t="shared" si="48"/>
        <v>0</v>
      </c>
      <c r="CP31" s="107">
        <f t="shared" si="4"/>
        <v>4144.9414749770694</v>
      </c>
      <c r="CQ31" s="27">
        <f t="shared" si="117"/>
        <v>2439.7582205046983</v>
      </c>
      <c r="CR31" s="27">
        <f t="shared" si="118"/>
        <v>0</v>
      </c>
      <c r="CS31" s="27">
        <f t="shared" si="186"/>
        <v>2439.7582205046983</v>
      </c>
      <c r="CT31" s="27">
        <f>SUM($CS$14:CS31)</f>
        <v>34978.545907844004</v>
      </c>
      <c r="CU31" s="223">
        <v>2607.721732269918</v>
      </c>
      <c r="CV31" s="417">
        <v>533.67717771897117</v>
      </c>
      <c r="CW31" s="417">
        <v>3141.398909988889</v>
      </c>
      <c r="CX31" s="417">
        <v>45600.783028201411</v>
      </c>
      <c r="CY31" s="103">
        <f t="shared" si="49"/>
        <v>132.47421894129579</v>
      </c>
      <c r="CZ31" s="111">
        <f t="shared" si="101"/>
        <v>0.15619050880279034</v>
      </c>
      <c r="DA31" s="92">
        <f t="shared" si="50"/>
        <v>2865.0004633062581</v>
      </c>
      <c r="DB31" s="410">
        <f t="shared" si="51"/>
        <v>1962.6746492972338</v>
      </c>
      <c r="DC31" s="307">
        <f t="shared" si="52"/>
        <v>1563.4372546052211</v>
      </c>
      <c r="DD31" s="307">
        <f t="shared" si="53"/>
        <v>187.61057206955533</v>
      </c>
      <c r="DE31" s="307">
        <f t="shared" si="54"/>
        <v>0</v>
      </c>
      <c r="DF31" s="307">
        <f t="shared" si="55"/>
        <v>32416.982852650672</v>
      </c>
      <c r="DG31" s="307" t="b">
        <f t="shared" si="68"/>
        <v>0</v>
      </c>
      <c r="DH31" s="27">
        <f t="shared" si="56"/>
        <v>132.47421894129579</v>
      </c>
      <c r="DI31" s="96">
        <f t="shared" si="57"/>
        <v>84.891661569934499</v>
      </c>
      <c r="DJ31" s="101">
        <f t="shared" si="58"/>
        <v>1.0334158777292431E-2</v>
      </c>
      <c r="DK31" s="92">
        <f t="shared" si="59"/>
        <v>0</v>
      </c>
      <c r="DL31" s="96">
        <f t="shared" si="60"/>
        <v>0</v>
      </c>
      <c r="DM31" s="101">
        <f t="shared" si="61"/>
        <v>0</v>
      </c>
      <c r="DN31" s="292">
        <v>3444.233397051566</v>
      </c>
      <c r="DO31" s="96">
        <f t="shared" si="62"/>
        <v>2359.4794001725763</v>
      </c>
      <c r="DP31" s="294">
        <v>0.96762603333434072</v>
      </c>
      <c r="DQ31" s="29"/>
      <c r="DR31" s="276" t="s">
        <v>250</v>
      </c>
      <c r="DS31" s="277"/>
      <c r="DT31" s="277"/>
      <c r="DU31" s="295">
        <v>0.15</v>
      </c>
      <c r="DV31" s="29"/>
      <c r="DW31" s="320"/>
      <c r="DX31" s="321"/>
      <c r="DY31" s="321"/>
      <c r="DZ31" s="321"/>
      <c r="EA31" s="321"/>
      <c r="EB31" s="321"/>
      <c r="EC31" s="321"/>
      <c r="ED31" s="321"/>
      <c r="EE31" s="321"/>
      <c r="EF31" s="321"/>
      <c r="EG31" s="321"/>
      <c r="EH31" s="321"/>
      <c r="EI31" s="322"/>
      <c r="EJ31" s="323"/>
      <c r="EK31" s="332">
        <f t="shared" si="69"/>
        <v>0.14610000000000001</v>
      </c>
      <c r="EL31" s="332">
        <f t="shared" si="63"/>
        <v>1.9500000000000003E-2</v>
      </c>
      <c r="EM31" s="332" t="e">
        <f t="shared" si="70"/>
        <v>#DIV/0!</v>
      </c>
      <c r="EN31" s="332">
        <f t="shared" si="64"/>
        <v>0</v>
      </c>
      <c r="EO31" s="332">
        <v>0.15560000000000002</v>
      </c>
      <c r="EP31" s="332">
        <v>0.14516797470638748</v>
      </c>
      <c r="EQ31" s="333" t="e">
        <f t="shared" si="71"/>
        <v>#DIV/0!</v>
      </c>
      <c r="ER31" s="277"/>
      <c r="ES31" s="334">
        <v>22</v>
      </c>
      <c r="ET31" s="29">
        <f t="shared" si="85"/>
        <v>4534.8531272252321</v>
      </c>
      <c r="EU31" s="29">
        <f t="shared" si="86"/>
        <v>4535.9403347116786</v>
      </c>
      <c r="EV31" s="29">
        <f t="shared" si="72"/>
        <v>1.0872074864464594</v>
      </c>
      <c r="EW31" s="29">
        <f t="shared" si="73"/>
        <v>0.86976598915716752</v>
      </c>
      <c r="EX31" s="29">
        <f t="shared" si="87"/>
        <v>0.62168092638239614</v>
      </c>
      <c r="EY31" s="29">
        <f t="shared" si="102"/>
        <v>0.39399507751259072</v>
      </c>
      <c r="EZ31" s="29">
        <f t="shared" si="105"/>
        <v>0.18677160563429421</v>
      </c>
      <c r="FA31" s="29">
        <f t="shared" si="74"/>
        <v>2.0722135986864485</v>
      </c>
      <c r="FB31" s="29"/>
      <c r="FC31" s="29">
        <f t="shared" si="247"/>
        <v>436.75503972876209</v>
      </c>
      <c r="FD31" s="29">
        <f t="shared" si="248"/>
        <v>436.43174375811054</v>
      </c>
      <c r="FE31" s="29">
        <f t="shared" si="203"/>
        <v>-0.32329597065154303</v>
      </c>
      <c r="FF31" s="29">
        <f t="shared" si="204"/>
        <v>-0.2586367765212344</v>
      </c>
      <c r="FG31" s="29">
        <f t="shared" si="205"/>
        <v>-0.18201866758304275</v>
      </c>
      <c r="FH31" s="29">
        <f t="shared" si="206"/>
        <v>-0.11300267176154646</v>
      </c>
      <c r="FI31" s="29">
        <f t="shared" si="207"/>
        <v>-5.2166293627510643E-2</v>
      </c>
      <c r="FJ31" s="29">
        <f t="shared" si="208"/>
        <v>-0.60582440949333427</v>
      </c>
      <c r="FK31" s="29"/>
      <c r="FL31" s="29"/>
      <c r="FM31" s="27">
        <f t="shared" si="27"/>
        <v>9637.0503029374231</v>
      </c>
      <c r="FN31" s="29"/>
      <c r="FO31" s="301">
        <f t="shared" si="119"/>
        <v>2439.7879928961861</v>
      </c>
      <c r="FP31" s="89">
        <f t="shared" si="209"/>
        <v>-2.9772391487624547E-2</v>
      </c>
      <c r="FQ31" s="27">
        <f t="shared" si="103"/>
        <v>20</v>
      </c>
      <c r="FR31" s="302">
        <f t="shared" si="88"/>
        <v>13.464518542443937</v>
      </c>
      <c r="FS31" s="89">
        <f t="shared" si="89"/>
        <v>715.73671739978965</v>
      </c>
      <c r="FT31" s="89">
        <f t="shared" si="210"/>
        <v>2439.7582205046983</v>
      </c>
      <c r="FU31" s="29">
        <f t="shared" si="90"/>
        <v>20</v>
      </c>
      <c r="FV31" s="137">
        <f t="shared" si="91"/>
        <v>13.464518542443937</v>
      </c>
      <c r="FW31" s="48">
        <v>2639.597314275497</v>
      </c>
      <c r="FX31" s="29">
        <f t="shared" si="120"/>
        <v>-63.320130966153556</v>
      </c>
      <c r="FY31" s="29">
        <f t="shared" si="121"/>
        <v>-65.966135300349734</v>
      </c>
      <c r="FZ31" s="29">
        <f t="shared" si="266"/>
        <v>-63.78850422690919</v>
      </c>
      <c r="GA31" s="29">
        <f t="shared" si="267"/>
        <v>-61.521607691954657</v>
      </c>
      <c r="GB31" s="29">
        <f t="shared" si="268"/>
        <v>-59.154090599326466</v>
      </c>
      <c r="GC31" s="29">
        <f t="shared" si="269"/>
        <v>-56.694298096403919</v>
      </c>
      <c r="GD31" s="29">
        <f t="shared" si="270"/>
        <v>-54.133462543424706</v>
      </c>
      <c r="GE31" s="29">
        <f t="shared" si="271"/>
        <v>-51.461258279782086</v>
      </c>
      <c r="GF31" s="29">
        <f t="shared" si="272"/>
        <v>-48.672337799899999</v>
      </c>
      <c r="GG31" s="29">
        <f t="shared" si="273"/>
        <v>-45.755971931820746</v>
      </c>
      <c r="GH31" s="29">
        <f t="shared" si="274"/>
        <v>-42.713146546905989</v>
      </c>
      <c r="GI31" s="29">
        <f t="shared" si="275"/>
        <v>-39.536606696626848</v>
      </c>
      <c r="GJ31" s="29">
        <f t="shared" si="276"/>
        <v>-22.785210828797659</v>
      </c>
      <c r="GK31" s="29">
        <f t="shared" si="277"/>
        <v>-946.12578284388667</v>
      </c>
      <c r="GL31" s="29">
        <f t="shared" si="278"/>
        <v>-574.71584759677944</v>
      </c>
      <c r="GM31" s="29">
        <f t="shared" si="279"/>
        <v>-493.40042285229106</v>
      </c>
      <c r="GN31" s="29">
        <f t="shared" si="280"/>
        <v>-531.96983907487913</v>
      </c>
      <c r="GO31" s="29">
        <f t="shared" si="251"/>
        <v>10946.600222348865</v>
      </c>
      <c r="GP31" s="29">
        <f t="shared" si="252"/>
        <v>0</v>
      </c>
      <c r="GQ31" s="29">
        <f t="shared" si="253"/>
        <v>0</v>
      </c>
      <c r="GR31" s="29">
        <f t="shared" si="254"/>
        <v>0</v>
      </c>
      <c r="GS31" s="29">
        <f t="shared" si="255"/>
        <v>0</v>
      </c>
      <c r="GT31" s="29">
        <f t="shared" si="256"/>
        <v>0</v>
      </c>
      <c r="GU31" s="29">
        <f t="shared" si="257"/>
        <v>0</v>
      </c>
      <c r="GV31" s="29">
        <f t="shared" si="258"/>
        <v>0</v>
      </c>
      <c r="GW31" s="29">
        <f t="shared" si="259"/>
        <v>0</v>
      </c>
      <c r="GX31" s="29">
        <f t="shared" si="260"/>
        <v>0</v>
      </c>
      <c r="GY31" s="29">
        <f t="shared" si="261"/>
        <v>0</v>
      </c>
      <c r="GZ31" s="29">
        <f t="shared" si="262"/>
        <v>0</v>
      </c>
      <c r="HA31" s="29">
        <f t="shared" si="263"/>
        <v>0</v>
      </c>
      <c r="HB31" s="29">
        <f t="shared" si="264"/>
        <v>0</v>
      </c>
      <c r="HC31" s="29">
        <f t="shared" si="265"/>
        <v>0</v>
      </c>
      <c r="HD31" s="29"/>
      <c r="HE31" s="29">
        <f t="shared" si="32"/>
        <v>20</v>
      </c>
      <c r="HF31" s="29">
        <f t="shared" si="317"/>
        <v>0</v>
      </c>
      <c r="HG31" s="29">
        <f t="shared" si="318"/>
        <v>-4.8992568945117485</v>
      </c>
      <c r="HH31" s="29">
        <f t="shared" si="319"/>
        <v>-4.8988725128458199</v>
      </c>
      <c r="HI31" s="29">
        <f t="shared" si="126"/>
        <v>-4.8985953180538795</v>
      </c>
      <c r="HJ31" s="29">
        <f t="shared" si="127"/>
        <v>-4.8978114596582554</v>
      </c>
      <c r="HK31" s="29">
        <f t="shared" si="128"/>
        <v>-4.8975172952730421</v>
      </c>
      <c r="HL31" s="29">
        <f t="shared" si="129"/>
        <v>-4.8973585883859485</v>
      </c>
      <c r="HM31" s="29">
        <f t="shared" si="130"/>
        <v>-4.8967817716221944</v>
      </c>
      <c r="HN31" s="29">
        <f t="shared" si="131"/>
        <v>-4.8956275615226055</v>
      </c>
      <c r="HO31" s="29">
        <f t="shared" si="132"/>
        <v>-4.8931345474099324</v>
      </c>
      <c r="HP31" s="29">
        <f t="shared" si="133"/>
        <v>-4.8896800867400243</v>
      </c>
      <c r="HQ31" s="29">
        <f t="shared" si="134"/>
        <v>-4.8847420243646686</v>
      </c>
      <c r="HR31" s="29">
        <f t="shared" si="135"/>
        <v>-3.0684784626624073</v>
      </c>
      <c r="HS31" s="29">
        <f t="shared" si="136"/>
        <v>-140.59868271989603</v>
      </c>
      <c r="HT31" s="29">
        <f t="shared" si="137"/>
        <v>-95.725304816313894</v>
      </c>
      <c r="HU31" s="29">
        <f t="shared" si="138"/>
        <v>-94.017461299348895</v>
      </c>
      <c r="HV31" s="29">
        <f t="shared" si="139"/>
        <v>-119.26285024666727</v>
      </c>
      <c r="HW31" s="29">
        <f t="shared" si="140"/>
        <v>3007.2851674151484</v>
      </c>
      <c r="HX31" s="29">
        <f t="shared" si="141"/>
        <v>0</v>
      </c>
      <c r="HY31" s="29">
        <f t="shared" si="142"/>
        <v>0</v>
      </c>
      <c r="HZ31" s="29">
        <f t="shared" si="143"/>
        <v>0</v>
      </c>
      <c r="IA31" s="29">
        <f t="shared" si="144"/>
        <v>0</v>
      </c>
      <c r="IB31" s="29">
        <f t="shared" si="145"/>
        <v>0</v>
      </c>
      <c r="IC31" s="29">
        <f t="shared" si="146"/>
        <v>0</v>
      </c>
      <c r="ID31" s="29">
        <f t="shared" si="147"/>
        <v>0</v>
      </c>
      <c r="IE31" s="29">
        <f t="shared" si="148"/>
        <v>0</v>
      </c>
      <c r="IF31" s="29">
        <f t="shared" si="149"/>
        <v>0</v>
      </c>
      <c r="IG31" s="29">
        <f t="shared" si="150"/>
        <v>0</v>
      </c>
      <c r="IH31" s="29">
        <f t="shared" si="151"/>
        <v>0</v>
      </c>
      <c r="II31" s="29">
        <f t="shared" si="152"/>
        <v>0</v>
      </c>
      <c r="IJ31" s="29">
        <f t="shared" si="153"/>
        <v>0</v>
      </c>
      <c r="IK31" s="29">
        <f t="shared" si="154"/>
        <v>0</v>
      </c>
      <c r="IL31" s="48"/>
      <c r="IM31" s="48"/>
      <c r="IN31" s="48"/>
      <c r="IO31" s="29">
        <f t="shared" si="211"/>
        <v>-8.0452543109948982E-4</v>
      </c>
      <c r="IP31" s="29">
        <f t="shared" si="249"/>
        <v>-4.3555976548344515E-3</v>
      </c>
      <c r="IQ31" s="29">
        <f t="shared" si="302"/>
        <v>-7.5864715464100795E-3</v>
      </c>
      <c r="IR31" s="29">
        <f t="shared" si="303"/>
        <v>-9.1349626904139378E-3</v>
      </c>
      <c r="IS31" s="29">
        <f t="shared" si="304"/>
        <v>-1.7121258295476699E-2</v>
      </c>
      <c r="IT31" s="29">
        <f t="shared" si="305"/>
        <v>-1.8284945508667529E-2</v>
      </c>
      <c r="IU31" s="29">
        <f t="shared" si="306"/>
        <v>-1.7697865901086809E-2</v>
      </c>
      <c r="IV31" s="29">
        <f t="shared" si="307"/>
        <v>-2.1887108268242066E-2</v>
      </c>
      <c r="IW31" s="29">
        <f t="shared" si="308"/>
        <v>-1.9388960525044522E-2</v>
      </c>
      <c r="IX31" s="29">
        <f t="shared" si="309"/>
        <v>-2.1417817711882278E-2</v>
      </c>
      <c r="IY31" s="29">
        <f t="shared" si="310"/>
        <v>-2.3056104398860796E-2</v>
      </c>
      <c r="IZ31" s="29">
        <f t="shared" si="311"/>
        <v>-2.5384195003872755E-2</v>
      </c>
      <c r="JA31" s="29">
        <f t="shared" si="312"/>
        <v>-2.7165305316753045E-2</v>
      </c>
      <c r="JB31" s="29">
        <f t="shared" si="313"/>
        <v>-2.5362321402251923E-2</v>
      </c>
      <c r="JC31" s="29">
        <f t="shared" si="314"/>
        <v>-2.0455636750825974E-2</v>
      </c>
      <c r="JD31" s="29">
        <f t="shared" si="315"/>
        <v>-9.1036905863574758E-3</v>
      </c>
      <c r="JE31" s="29">
        <f t="shared" si="316"/>
        <v>0</v>
      </c>
      <c r="JF31" s="29">
        <f t="shared" si="285"/>
        <v>0</v>
      </c>
      <c r="JG31" s="29">
        <f t="shared" si="286"/>
        <v>0</v>
      </c>
      <c r="JH31" s="29">
        <f t="shared" si="287"/>
        <v>0</v>
      </c>
      <c r="JI31" s="29">
        <f t="shared" si="288"/>
        <v>0</v>
      </c>
      <c r="JJ31" s="29">
        <f t="shared" si="289"/>
        <v>0</v>
      </c>
      <c r="JK31" s="29">
        <f t="shared" si="290"/>
        <v>0</v>
      </c>
      <c r="JL31" s="29">
        <f t="shared" si="291"/>
        <v>0</v>
      </c>
      <c r="JM31" s="29">
        <f t="shared" si="292"/>
        <v>0</v>
      </c>
      <c r="JN31" s="29">
        <f t="shared" si="293"/>
        <v>0</v>
      </c>
      <c r="JO31" s="29">
        <f t="shared" si="294"/>
        <v>0</v>
      </c>
      <c r="JP31" s="29">
        <f t="shared" si="295"/>
        <v>0</v>
      </c>
      <c r="JQ31" s="29">
        <f t="shared" si="296"/>
        <v>0</v>
      </c>
      <c r="JR31" s="29">
        <f t="shared" si="297"/>
        <v>0</v>
      </c>
      <c r="JS31" s="29">
        <f t="shared" si="298"/>
        <v>0</v>
      </c>
      <c r="JT31" s="29">
        <f t="shared" si="299"/>
        <v>0</v>
      </c>
      <c r="JU31" s="48"/>
      <c r="JV31" s="394">
        <f t="shared" si="213"/>
        <v>20</v>
      </c>
      <c r="JW31" s="29">
        <f t="shared" si="214"/>
        <v>0</v>
      </c>
      <c r="JX31" s="29">
        <f t="shared" si="215"/>
        <v>-3.2348707019151012E-4</v>
      </c>
      <c r="JY31" s="29">
        <f t="shared" si="216"/>
        <v>-5.8263095174627304E-4</v>
      </c>
      <c r="JZ31" s="29">
        <f t="shared" si="217"/>
        <v>-7.2736209511817522E-4</v>
      </c>
      <c r="KA31" s="29">
        <f t="shared" si="218"/>
        <v>-1.4175975699017771E-3</v>
      </c>
      <c r="KB31" s="29">
        <f t="shared" si="219"/>
        <v>-1.5795386816422109E-3</v>
      </c>
      <c r="KC31" s="29">
        <f t="shared" si="220"/>
        <v>-1.6010946186430111E-3</v>
      </c>
      <c r="KD31" s="29">
        <f t="shared" si="221"/>
        <v>-2.0826617223146334E-3</v>
      </c>
      <c r="KE31" s="29">
        <f t="shared" si="222"/>
        <v>-1.9502069106669619E-3</v>
      </c>
      <c r="KF31" s="29">
        <f t="shared" si="223"/>
        <v>-2.2904171707312537E-3</v>
      </c>
      <c r="KG31" s="29">
        <f t="shared" si="224"/>
        <v>-2.6393975548747073E-3</v>
      </c>
      <c r="KH31" s="29">
        <f t="shared" si="225"/>
        <v>-3.1362136118946149E-3</v>
      </c>
      <c r="KI31" s="29">
        <f t="shared" si="226"/>
        <v>-3.6583446570857946E-3</v>
      </c>
      <c r="KJ31" s="29">
        <f t="shared" si="227"/>
        <v>-3.7689586781545635E-3</v>
      </c>
      <c r="KK31" s="29">
        <f t="shared" si="228"/>
        <v>-3.4071133959027822E-3</v>
      </c>
      <c r="KL31" s="29">
        <f t="shared" si="229"/>
        <v>-1.7347084391136462E-3</v>
      </c>
      <c r="KM31" s="29">
        <f t="shared" si="230"/>
        <v>0</v>
      </c>
      <c r="KN31" s="29">
        <f t="shared" si="231"/>
        <v>0</v>
      </c>
      <c r="KO31" s="29">
        <f t="shared" si="232"/>
        <v>0</v>
      </c>
      <c r="KP31" s="29">
        <f t="shared" si="233"/>
        <v>0</v>
      </c>
      <c r="KQ31" s="29">
        <f t="shared" si="234"/>
        <v>0</v>
      </c>
      <c r="KR31" s="29">
        <f t="shared" si="235"/>
        <v>0</v>
      </c>
      <c r="KS31" s="29">
        <f t="shared" si="236"/>
        <v>0</v>
      </c>
      <c r="KT31" s="29">
        <f t="shared" si="237"/>
        <v>0</v>
      </c>
      <c r="KU31" s="29">
        <f t="shared" si="238"/>
        <v>0</v>
      </c>
      <c r="KV31" s="29">
        <f t="shared" si="239"/>
        <v>0</v>
      </c>
      <c r="KW31" s="29">
        <f t="shared" si="240"/>
        <v>0</v>
      </c>
      <c r="KX31" s="29">
        <f t="shared" si="241"/>
        <v>0</v>
      </c>
      <c r="KY31" s="29">
        <f t="shared" si="242"/>
        <v>0</v>
      </c>
      <c r="KZ31" s="29">
        <f t="shared" si="243"/>
        <v>0</v>
      </c>
      <c r="LA31" s="29">
        <f t="shared" si="244"/>
        <v>0</v>
      </c>
      <c r="LB31" s="29">
        <f t="shared" si="245"/>
        <v>0</v>
      </c>
      <c r="LC31" s="48"/>
      <c r="LD31" s="48"/>
      <c r="LE31" s="48"/>
      <c r="LF31" s="48"/>
      <c r="LG31" s="48"/>
      <c r="LH31" s="48"/>
      <c r="LI31" s="48"/>
      <c r="LJ31" s="48"/>
      <c r="LK31" s="48"/>
      <c r="LL31" s="48"/>
      <c r="LM31" s="48"/>
      <c r="LN31" s="48"/>
      <c r="LO31" s="48"/>
      <c r="LP31" s="46">
        <f t="shared" si="33"/>
        <v>0.17812040298740089</v>
      </c>
      <c r="LQ31" s="47">
        <f t="shared" si="34"/>
        <v>0.56700308869355798</v>
      </c>
      <c r="LS31" s="48"/>
      <c r="LT31" s="28" t="s">
        <v>232</v>
      </c>
      <c r="LU31" s="161">
        <v>4.5500000000000006E-2</v>
      </c>
      <c r="LV31" s="111">
        <f t="shared" si="75"/>
        <v>7.3766278651350207E-18</v>
      </c>
      <c r="LW31" s="152">
        <f t="shared" si="18"/>
        <v>7.2478267271545526E-14</v>
      </c>
      <c r="LX31" s="223" t="e">
        <f>LX30*(1+#REF!)</f>
        <v>#REF!</v>
      </c>
      <c r="LY31" s="153"/>
      <c r="LZ31" s="124">
        <f t="shared" si="76"/>
        <v>-310.99553966228268</v>
      </c>
      <c r="MA31" s="125">
        <f t="shared" si="77"/>
        <v>-370.34396417430253</v>
      </c>
      <c r="MC31" s="374">
        <f t="shared" si="300"/>
        <v>0.04</v>
      </c>
      <c r="MD31" s="387">
        <f t="shared" si="187"/>
        <v>-388.5910422278011</v>
      </c>
      <c r="ME31" s="152">
        <f t="shared" si="188"/>
        <v>-5264.0258092232616</v>
      </c>
      <c r="MG31" s="374">
        <f t="shared" si="301"/>
        <v>0.04</v>
      </c>
      <c r="MH31" s="387">
        <f t="shared" si="189"/>
        <v>-15.128271066196666</v>
      </c>
      <c r="MI31" s="152">
        <f t="shared" si="155"/>
        <v>-204.93423853733745</v>
      </c>
      <c r="ML31" s="30" t="s">
        <v>116</v>
      </c>
      <c r="MM31" s="343">
        <f>28347374</f>
        <v>28347374</v>
      </c>
      <c r="MN31" s="343">
        <f>21641274</f>
        <v>21641274</v>
      </c>
      <c r="MO31" s="343">
        <f>16067117</f>
        <v>16067117</v>
      </c>
      <c r="MS31" s="28">
        <f t="shared" si="92"/>
        <v>84</v>
      </c>
      <c r="MT31" s="28">
        <f t="shared" si="93"/>
        <v>0.21441708187371331</v>
      </c>
      <c r="MU31" s="28">
        <f t="shared" si="94"/>
        <v>0.2307880891384832</v>
      </c>
      <c r="MV31" s="28">
        <f t="shared" si="95"/>
        <v>0.24834812793464764</v>
      </c>
      <c r="MW31" s="28">
        <f t="shared" si="96"/>
        <v>0.26717916402261715</v>
      </c>
      <c r="MX31" s="28">
        <f t="shared" si="97"/>
        <v>0.28736851263168878</v>
      </c>
      <c r="MY31" s="28">
        <f t="shared" si="98"/>
        <v>0.30900916809121454</v>
      </c>
    </row>
    <row r="32" spans="1:375" s="30" customFormat="1" ht="12.75" customHeight="1" x14ac:dyDescent="0.3">
      <c r="A32" s="298">
        <f t="shared" si="99"/>
        <v>2041</v>
      </c>
      <c r="B32" s="348">
        <f t="shared" si="2"/>
        <v>2039</v>
      </c>
      <c r="C32" s="26">
        <v>50952</v>
      </c>
      <c r="D32" s="92">
        <f t="shared" si="156"/>
        <v>6393.8208559869727</v>
      </c>
      <c r="E32" s="27">
        <f t="shared" si="106"/>
        <v>6393.8208559869727</v>
      </c>
      <c r="F32" s="107">
        <f t="shared" si="21"/>
        <v>10824.546068959289</v>
      </c>
      <c r="G32" s="27">
        <f t="shared" si="157"/>
        <v>18140.136380361437</v>
      </c>
      <c r="H32" s="27">
        <f t="shared" si="158"/>
        <v>7437.4559159481905</v>
      </c>
      <c r="I32" s="289">
        <f t="shared" si="159"/>
        <v>6321.8375285559623</v>
      </c>
      <c r="J32" s="68">
        <v>1840.416714</v>
      </c>
      <c r="K32" s="290">
        <f t="shared" si="160"/>
        <v>4481.4208145559624</v>
      </c>
      <c r="L32" s="290">
        <f t="shared" si="107"/>
        <v>10702.680464413246</v>
      </c>
      <c r="M32" s="290">
        <f t="shared" si="161"/>
        <v>9097.2783947512598</v>
      </c>
      <c r="N32" s="27">
        <f t="shared" si="162"/>
        <v>0</v>
      </c>
      <c r="O32" s="290">
        <f t="shared" si="163"/>
        <v>1115.6183873922284</v>
      </c>
      <c r="P32" s="290">
        <f t="shared" si="108"/>
        <v>1605.4020696619868</v>
      </c>
      <c r="Q32" s="290">
        <f t="shared" si="164"/>
        <v>698.1112082331515</v>
      </c>
      <c r="R32" s="254">
        <f t="shared" si="3"/>
        <v>0.41000000000000003</v>
      </c>
      <c r="S32" s="251">
        <v>0.59</v>
      </c>
      <c r="T32" s="284">
        <f t="shared" si="165"/>
        <v>7.0000000000000007E-2</v>
      </c>
      <c r="U32" s="284">
        <f t="shared" si="166"/>
        <v>7.0000000000000007E-2</v>
      </c>
      <c r="V32" s="27">
        <f t="shared" si="5"/>
        <v>84845.789461879365</v>
      </c>
      <c r="W32" s="27">
        <f t="shared" si="167"/>
        <v>76812.162904289537</v>
      </c>
      <c r="X32" s="27">
        <f t="shared" si="190"/>
        <v>8033.6265575898333</v>
      </c>
      <c r="Y32" s="27">
        <f t="shared" si="168"/>
        <v>680.86190182547716</v>
      </c>
      <c r="Z32" s="27">
        <f t="shared" si="191"/>
        <v>979.7768831147107</v>
      </c>
      <c r="AA32" s="111">
        <f t="shared" si="169"/>
        <v>7.0000000000000007E-2</v>
      </c>
      <c r="AB32" s="111">
        <f t="shared" si="170"/>
        <v>7.0000000000000007E-2</v>
      </c>
      <c r="AC32" s="92">
        <f t="shared" si="7"/>
        <v>84845.789461879365</v>
      </c>
      <c r="AD32" s="27">
        <f t="shared" si="171"/>
        <v>76812.162904289537</v>
      </c>
      <c r="AE32" s="27">
        <f t="shared" si="192"/>
        <v>8033.6265575898333</v>
      </c>
      <c r="AF32" s="145">
        <f t="shared" si="172"/>
        <v>680.86190182547716</v>
      </c>
      <c r="AG32" s="27">
        <f t="shared" si="193"/>
        <v>979.7768831147107</v>
      </c>
      <c r="AH32" s="27">
        <f t="shared" si="173"/>
        <v>79232.258510372892</v>
      </c>
      <c r="AI32" s="27">
        <f t="shared" si="174"/>
        <v>71198.379592904181</v>
      </c>
      <c r="AJ32" s="27">
        <f t="shared" si="194"/>
        <v>8033.8789174687126</v>
      </c>
      <c r="AK32" s="27">
        <f t="shared" si="11"/>
        <v>79233.787198505597</v>
      </c>
      <c r="AL32" s="27">
        <f t="shared" si="175"/>
        <v>71200.553854725717</v>
      </c>
      <c r="AM32" s="27">
        <f t="shared" si="246"/>
        <v>8033.2333437798752</v>
      </c>
      <c r="AN32" s="409">
        <f>INDEX(Inv.Returns!$B$2:$E$32,MATCH(B32,Inv.Returns!$A$2:$A$32,0),MATCH(SCRS!$DU$52,Inv.Returns!$B$1:$E$1,0))</f>
        <v>7.0000000000000007E-2</v>
      </c>
      <c r="AO32" s="27">
        <f t="shared" si="41"/>
        <v>5613.5309515064728</v>
      </c>
      <c r="AP32" s="223">
        <f t="shared" si="12"/>
        <v>5612.0022633737681</v>
      </c>
      <c r="AQ32" s="67">
        <f t="shared" si="22"/>
        <v>0.93383842631308656</v>
      </c>
      <c r="AR32" s="146">
        <f t="shared" si="23"/>
        <v>0.9338564435670057</v>
      </c>
      <c r="AS32" s="346"/>
      <c r="AT32" s="283">
        <f t="shared" si="176"/>
        <v>0.1095</v>
      </c>
      <c r="AU32" s="390">
        <f t="shared" si="109"/>
        <v>0.1095</v>
      </c>
      <c r="AV32" s="296">
        <f t="shared" si="110"/>
        <v>0.13222903737838143</v>
      </c>
      <c r="AW32" s="296">
        <f t="shared" si="111"/>
        <v>-2.5310155574051015E-6</v>
      </c>
      <c r="AX32" s="111">
        <f t="shared" si="82"/>
        <v>0.09</v>
      </c>
      <c r="AY32" s="111">
        <f t="shared" si="112"/>
        <v>0.09</v>
      </c>
      <c r="AZ32" s="111">
        <f t="shared" si="113"/>
        <v>0</v>
      </c>
      <c r="BA32" s="256">
        <f t="shared" si="24"/>
        <v>1.9500000000000003E-2</v>
      </c>
      <c r="BB32" s="111">
        <f t="shared" si="114"/>
        <v>1.9500000000000003E-2</v>
      </c>
      <c r="BC32" s="128">
        <f t="shared" si="83"/>
        <v>0.15560000000000002</v>
      </c>
      <c r="BD32" s="128">
        <f t="shared" si="104"/>
        <v>0.15560000000000002</v>
      </c>
      <c r="BE32" s="402">
        <f t="shared" si="15"/>
        <v>0.1361</v>
      </c>
      <c r="BF32" s="402">
        <f t="shared" si="115"/>
        <v>0.1361</v>
      </c>
      <c r="BG32" s="402">
        <f t="shared" si="177"/>
        <v>0.10560000000000001</v>
      </c>
      <c r="BH32" s="402">
        <f t="shared" si="26"/>
        <v>0.15560000000000002</v>
      </c>
      <c r="BI32" s="152">
        <f t="shared" si="42"/>
        <v>2.2650832294170846</v>
      </c>
      <c r="BJ32" s="100">
        <f t="shared" si="43"/>
        <v>4.1869522882181265E-2</v>
      </c>
      <c r="BK32" s="27">
        <f t="shared" si="67"/>
        <v>2.3268455905189902</v>
      </c>
      <c r="BL32" s="27">
        <f t="shared" si="17"/>
        <v>20</v>
      </c>
      <c r="BM32" s="107">
        <f t="shared" si="31"/>
        <v>2.0874906222843492</v>
      </c>
      <c r="BN32" s="27"/>
      <c r="BO32" s="27"/>
      <c r="BP32" s="92">
        <f t="shared" si="178"/>
        <v>-4973.4521349915576</v>
      </c>
      <c r="BQ32" s="27">
        <f t="shared" si="195"/>
        <v>-386.63433177692855</v>
      </c>
      <c r="BR32" s="27">
        <f t="shared" si="179"/>
        <v>-193.62188999920266</v>
      </c>
      <c r="BS32" s="27">
        <f t="shared" si="116"/>
        <v>-15.05209420445237</v>
      </c>
      <c r="BT32" s="27">
        <f t="shared" si="180"/>
        <v>-11.379307551400732</v>
      </c>
      <c r="BU32" s="27">
        <f t="shared" si="196"/>
        <v>-16.375101110552269</v>
      </c>
      <c r="BV32" s="297">
        <f t="shared" si="181"/>
        <v>568.96537757003659</v>
      </c>
      <c r="BW32" s="297">
        <f t="shared" si="197"/>
        <v>818.75505552761331</v>
      </c>
      <c r="BX32" s="297">
        <f t="shared" si="198"/>
        <v>0</v>
      </c>
      <c r="BY32" s="297">
        <f t="shared" si="182"/>
        <v>62.830008740983629</v>
      </c>
      <c r="BZ32" s="297">
        <f t="shared" si="84"/>
        <v>123.27583180684132</v>
      </c>
      <c r="CA32" s="297">
        <f t="shared" si="199"/>
        <v>177.39692869764963</v>
      </c>
      <c r="CB32" s="297">
        <f t="shared" si="183"/>
        <v>2500.7630118098718</v>
      </c>
      <c r="CC32" s="297">
        <f t="shared" si="200"/>
        <v>0</v>
      </c>
      <c r="CD32" s="297">
        <f t="shared" si="201"/>
        <v>-3.0899733127981915E-2</v>
      </c>
      <c r="CE32" s="297"/>
      <c r="CF32" s="297">
        <f t="shared" si="184"/>
        <v>0</v>
      </c>
      <c r="CG32" s="297">
        <f t="shared" si="202"/>
        <v>0</v>
      </c>
      <c r="CH32" s="297">
        <f t="shared" si="185"/>
        <v>0</v>
      </c>
      <c r="CI32" s="427">
        <f>IF(AND($DU$74="Yes",MAX($AQ$13:AQ31)&lt;100%),MAX(BD30*(G32+Q32)-SUM(BZ32:CH32,CJ32,CY32),0),0)</f>
        <v>0</v>
      </c>
      <c r="CJ32" s="27"/>
      <c r="CK32" s="27">
        <f t="shared" si="44"/>
        <v>0</v>
      </c>
      <c r="CL32" s="27">
        <f t="shared" si="45"/>
        <v>0</v>
      </c>
      <c r="CM32" s="27">
        <f t="shared" si="46"/>
        <v>0</v>
      </c>
      <c r="CN32" s="27">
        <f t="shared" si="47"/>
        <v>4251.955314419869</v>
      </c>
      <c r="CO32" s="27">
        <f t="shared" si="48"/>
        <v>0</v>
      </c>
      <c r="CP32" s="107">
        <f t="shared" si="4"/>
        <v>4251.955314419869</v>
      </c>
      <c r="CQ32" s="27">
        <f t="shared" si="117"/>
        <v>2500.7321120767438</v>
      </c>
      <c r="CR32" s="27">
        <f t="shared" si="118"/>
        <v>0</v>
      </c>
      <c r="CS32" s="27">
        <f t="shared" si="186"/>
        <v>2500.7321120767438</v>
      </c>
      <c r="CT32" s="27">
        <f>SUM($CS$14:CS32)</f>
        <v>37479.278019920748</v>
      </c>
      <c r="CU32" s="223">
        <v>2690.2731669014361</v>
      </c>
      <c r="CV32" s="417">
        <v>549.68749305054041</v>
      </c>
      <c r="CW32" s="417">
        <v>3239.9606599519766</v>
      </c>
      <c r="CX32" s="417">
        <v>48840.743688153387</v>
      </c>
      <c r="CY32" s="103">
        <f t="shared" si="49"/>
        <v>136.05102285271079</v>
      </c>
      <c r="CZ32" s="111">
        <f t="shared" si="101"/>
        <v>0.15593042195774071</v>
      </c>
      <c r="DA32" s="92">
        <f t="shared" si="50"/>
        <v>2937.4558954339459</v>
      </c>
      <c r="DB32" s="410">
        <f t="shared" si="51"/>
        <v>1968.0297280067291</v>
      </c>
      <c r="DC32" s="307">
        <f t="shared" si="52"/>
        <v>1567.2472651997521</v>
      </c>
      <c r="DD32" s="307">
        <f t="shared" si="53"/>
        <v>188.43624206888344</v>
      </c>
      <c r="DE32" s="307">
        <f t="shared" si="54"/>
        <v>0</v>
      </c>
      <c r="DF32" s="307">
        <f t="shared" si="55"/>
        <v>31932.401823777258</v>
      </c>
      <c r="DG32" s="307" t="b">
        <f t="shared" si="68"/>
        <v>0</v>
      </c>
      <c r="DH32" s="27">
        <f t="shared" si="56"/>
        <v>136.05102285271079</v>
      </c>
      <c r="DI32" s="96">
        <f t="shared" si="57"/>
        <v>85.265267904472111</v>
      </c>
      <c r="DJ32" s="101">
        <f t="shared" si="58"/>
        <v>9.8912662582656165E-3</v>
      </c>
      <c r="DK32" s="92">
        <f t="shared" si="59"/>
        <v>0</v>
      </c>
      <c r="DL32" s="96">
        <f t="shared" si="60"/>
        <v>0</v>
      </c>
      <c r="DM32" s="101">
        <f t="shared" si="61"/>
        <v>0</v>
      </c>
      <c r="DN32" s="292">
        <v>3345.5353192955099</v>
      </c>
      <c r="DO32" s="96">
        <f t="shared" si="62"/>
        <v>2241.4338117227753</v>
      </c>
      <c r="DP32" s="294">
        <v>1.0030467195087411</v>
      </c>
      <c r="DQ32" s="29"/>
      <c r="DR32" s="276" t="s">
        <v>249</v>
      </c>
      <c r="DS32" s="277"/>
      <c r="DT32" s="277"/>
      <c r="DU32" s="384">
        <v>0.15</v>
      </c>
      <c r="DV32" s="29"/>
      <c r="DW32" s="320"/>
      <c r="DX32" s="321"/>
      <c r="DY32" s="321"/>
      <c r="DZ32" s="321"/>
      <c r="EA32" s="321"/>
      <c r="EB32" s="321"/>
      <c r="EC32" s="321"/>
      <c r="ED32" s="321"/>
      <c r="EE32" s="321"/>
      <c r="EF32" s="321"/>
      <c r="EG32" s="321"/>
      <c r="EH32" s="321"/>
      <c r="EI32" s="322"/>
      <c r="EJ32" s="323"/>
      <c r="EK32" s="332">
        <f t="shared" si="69"/>
        <v>0.1361</v>
      </c>
      <c r="EL32" s="332">
        <f t="shared" si="63"/>
        <v>1.9500000000000003E-2</v>
      </c>
      <c r="EM32" s="332" t="e">
        <f t="shared" si="70"/>
        <v>#DIV/0!</v>
      </c>
      <c r="EN32" s="332">
        <f t="shared" si="64"/>
        <v>0</v>
      </c>
      <c r="EO32" s="332">
        <v>0.14560000000000001</v>
      </c>
      <c r="EP32" s="332">
        <v>0.14492199990237131</v>
      </c>
      <c r="EQ32" s="333" t="e">
        <f t="shared" si="71"/>
        <v>#DIV/0!</v>
      </c>
      <c r="ER32" s="277"/>
      <c r="ES32" s="30">
        <v>23</v>
      </c>
      <c r="ET32" s="29">
        <f t="shared" si="85"/>
        <v>4720.7951130012207</v>
      </c>
      <c r="EU32" s="29">
        <f t="shared" si="86"/>
        <v>4721.9332203012073</v>
      </c>
      <c r="EV32" s="29">
        <f t="shared" si="72"/>
        <v>1.1381072999865864</v>
      </c>
      <c r="EW32" s="29">
        <f t="shared" si="73"/>
        <v>0.91048583998926913</v>
      </c>
      <c r="EX32" s="29">
        <f t="shared" si="87"/>
        <v>0.65232449186787567</v>
      </c>
      <c r="EY32" s="29">
        <f t="shared" si="102"/>
        <v>0.41445395092159742</v>
      </c>
      <c r="EZ32" s="29">
        <f t="shared" si="105"/>
        <v>0.19699753875629536</v>
      </c>
      <c r="FA32" s="29">
        <f t="shared" si="74"/>
        <v>2.1742618215350373</v>
      </c>
      <c r="FB32" s="29"/>
      <c r="FC32" s="29">
        <f t="shared" si="247"/>
        <v>506.65252578728945</v>
      </c>
      <c r="FD32" s="29">
        <f t="shared" si="248"/>
        <v>506.31033954706811</v>
      </c>
      <c r="FE32" s="29">
        <f t="shared" si="203"/>
        <v>-0.34218624022133781</v>
      </c>
      <c r="FF32" s="29">
        <f t="shared" si="204"/>
        <v>-0.27374899217707027</v>
      </c>
      <c r="FG32" s="29">
        <f t="shared" si="205"/>
        <v>-0.1939775823909258</v>
      </c>
      <c r="FH32" s="29">
        <f t="shared" si="206"/>
        <v>-0.12134577838869516</v>
      </c>
      <c r="FI32" s="29">
        <f t="shared" si="207"/>
        <v>-5.6501335880773232E-2</v>
      </c>
      <c r="FJ32" s="29">
        <f t="shared" si="208"/>
        <v>-0.64557368883746447</v>
      </c>
      <c r="FK32" s="29"/>
      <c r="FL32" s="29"/>
      <c r="FM32" s="27">
        <f t="shared" si="27"/>
        <v>7724.6173617056775</v>
      </c>
      <c r="FN32" s="29"/>
      <c r="FO32" s="301">
        <f t="shared" si="119"/>
        <v>2500.7630118098718</v>
      </c>
      <c r="FP32" s="89">
        <f t="shared" si="209"/>
        <v>-3.0899733127981915E-2</v>
      </c>
      <c r="FQ32" s="27">
        <f t="shared" si="103"/>
        <v>20</v>
      </c>
      <c r="FR32" s="302">
        <f t="shared" si="88"/>
        <v>13.464518542443937</v>
      </c>
      <c r="FS32" s="89">
        <f t="shared" si="89"/>
        <v>573.70171368218757</v>
      </c>
      <c r="FT32" s="89">
        <f t="shared" si="210"/>
        <v>2500.7321120767438</v>
      </c>
      <c r="FU32" s="29">
        <f t="shared" si="90"/>
        <v>20</v>
      </c>
      <c r="FV32" s="137">
        <f t="shared" si="91"/>
        <v>13.464518542443937</v>
      </c>
      <c r="FW32" s="48">
        <v>2658.4542500878783</v>
      </c>
      <c r="FX32" s="29">
        <f t="shared" si="120"/>
        <v>-65.034873130008236</v>
      </c>
      <c r="FY32" s="29">
        <f t="shared" si="121"/>
        <v>-67.752540133784308</v>
      </c>
      <c r="FZ32" s="29">
        <f t="shared" si="266"/>
        <v>-65.515934033601852</v>
      </c>
      <c r="GA32" s="29">
        <f t="shared" si="267"/>
        <v>-63.186266392507406</v>
      </c>
      <c r="GB32" s="29">
        <f t="shared" si="268"/>
        <v>-60.760973832628395</v>
      </c>
      <c r="GC32" s="29">
        <f t="shared" si="269"/>
        <v>-58.228541372945443</v>
      </c>
      <c r="GD32" s="29">
        <f t="shared" si="270"/>
        <v>-55.596867680824431</v>
      </c>
      <c r="GE32" s="29">
        <f t="shared" si="271"/>
        <v>-52.856937806817214</v>
      </c>
      <c r="GF32" s="29">
        <f t="shared" si="272"/>
        <v>-49.998275908619533</v>
      </c>
      <c r="GG32" s="29">
        <f t="shared" si="273"/>
        <v>-47.015324919356352</v>
      </c>
      <c r="GH32" s="29">
        <f t="shared" si="274"/>
        <v>-43.897392234361703</v>
      </c>
      <c r="GI32" s="29">
        <f t="shared" si="275"/>
        <v>-40.645142394405056</v>
      </c>
      <c r="GJ32" s="29">
        <f t="shared" si="276"/>
        <v>-37.25135272604566</v>
      </c>
      <c r="GK32" s="29">
        <f t="shared" si="277"/>
        <v>-21.206116784407552</v>
      </c>
      <c r="GL32" s="29">
        <f t="shared" si="278"/>
        <v>-866.91817936308587</v>
      </c>
      <c r="GM32" s="29">
        <f t="shared" si="279"/>
        <v>-515.92693168123833</v>
      </c>
      <c r="GN32" s="29">
        <f t="shared" si="280"/>
        <v>-430.68603427524602</v>
      </c>
      <c r="GO32" s="29">
        <f t="shared" si="251"/>
        <v>-445.84127625060586</v>
      </c>
      <c r="GP32" s="29">
        <f t="shared" si="252"/>
        <v>8602.102272305845</v>
      </c>
      <c r="GQ32" s="29">
        <f t="shared" si="253"/>
        <v>0</v>
      </c>
      <c r="GR32" s="29">
        <f t="shared" si="254"/>
        <v>0</v>
      </c>
      <c r="GS32" s="29">
        <f t="shared" si="255"/>
        <v>0</v>
      </c>
      <c r="GT32" s="29">
        <f t="shared" si="256"/>
        <v>0</v>
      </c>
      <c r="GU32" s="29">
        <f t="shared" si="257"/>
        <v>0</v>
      </c>
      <c r="GV32" s="29">
        <f t="shared" si="258"/>
        <v>0</v>
      </c>
      <c r="GW32" s="29">
        <f t="shared" si="259"/>
        <v>0</v>
      </c>
      <c r="GX32" s="29">
        <f t="shared" si="260"/>
        <v>0</v>
      </c>
      <c r="GY32" s="29">
        <f t="shared" si="261"/>
        <v>0</v>
      </c>
      <c r="GZ32" s="29">
        <f t="shared" si="262"/>
        <v>0</v>
      </c>
      <c r="HA32" s="29">
        <f t="shared" si="263"/>
        <v>0</v>
      </c>
      <c r="HB32" s="29">
        <f t="shared" si="264"/>
        <v>0</v>
      </c>
      <c r="HC32" s="29">
        <f t="shared" si="265"/>
        <v>0</v>
      </c>
      <c r="HD32" s="29"/>
      <c r="HE32" s="29">
        <f t="shared" si="32"/>
        <v>20</v>
      </c>
      <c r="HF32" s="29">
        <f t="shared" si="317"/>
        <v>0</v>
      </c>
      <c r="HG32" s="29">
        <f t="shared" si="318"/>
        <v>-5.0319318823179087</v>
      </c>
      <c r="HH32" s="29">
        <f t="shared" si="319"/>
        <v>-5.0315368306635646</v>
      </c>
      <c r="HI32" s="29">
        <f t="shared" si="126"/>
        <v>-5.0311420706926562</v>
      </c>
      <c r="HJ32" s="29">
        <f t="shared" si="127"/>
        <v>-5.0308573916413346</v>
      </c>
      <c r="HK32" s="29">
        <f t="shared" si="128"/>
        <v>-5.0300523690690273</v>
      </c>
      <c r="HL32" s="29">
        <f t="shared" si="129"/>
        <v>-5.0297502622454138</v>
      </c>
      <c r="HM32" s="29">
        <f t="shared" si="130"/>
        <v>-5.0295872702723692</v>
      </c>
      <c r="HN32" s="29">
        <f t="shared" si="131"/>
        <v>-5.0289948794559933</v>
      </c>
      <c r="HO32" s="29">
        <f t="shared" si="132"/>
        <v>-5.0278095056837167</v>
      </c>
      <c r="HP32" s="29">
        <f t="shared" si="133"/>
        <v>-5.0252491801899994</v>
      </c>
      <c r="HQ32" s="29">
        <f t="shared" si="134"/>
        <v>-5.0217014490820056</v>
      </c>
      <c r="HR32" s="29">
        <f t="shared" si="135"/>
        <v>-5.0166300590225159</v>
      </c>
      <c r="HS32" s="29">
        <f t="shared" si="136"/>
        <v>-3.1513273811542915</v>
      </c>
      <c r="HT32" s="29">
        <f t="shared" si="137"/>
        <v>-144.39484715333316</v>
      </c>
      <c r="HU32" s="29">
        <f t="shared" si="138"/>
        <v>-98.309888046354374</v>
      </c>
      <c r="HV32" s="29">
        <f t="shared" si="139"/>
        <v>-96.555932754431296</v>
      </c>
      <c r="HW32" s="29">
        <f t="shared" si="140"/>
        <v>-122.48294720332729</v>
      </c>
      <c r="HX32" s="29">
        <f t="shared" si="141"/>
        <v>3088.4818669353563</v>
      </c>
      <c r="HY32" s="29">
        <f t="shared" si="142"/>
        <v>0</v>
      </c>
      <c r="HZ32" s="29">
        <f t="shared" si="143"/>
        <v>0</v>
      </c>
      <c r="IA32" s="29">
        <f t="shared" si="144"/>
        <v>0</v>
      </c>
      <c r="IB32" s="29">
        <f t="shared" si="145"/>
        <v>0</v>
      </c>
      <c r="IC32" s="29">
        <f t="shared" si="146"/>
        <v>0</v>
      </c>
      <c r="ID32" s="29">
        <f t="shared" si="147"/>
        <v>0</v>
      </c>
      <c r="IE32" s="29">
        <f t="shared" si="148"/>
        <v>0</v>
      </c>
      <c r="IF32" s="29">
        <f t="shared" si="149"/>
        <v>0</v>
      </c>
      <c r="IG32" s="29">
        <f t="shared" si="150"/>
        <v>0</v>
      </c>
      <c r="IH32" s="29">
        <f t="shared" si="151"/>
        <v>0</v>
      </c>
      <c r="II32" s="29">
        <f t="shared" si="152"/>
        <v>0</v>
      </c>
      <c r="IJ32" s="29">
        <f t="shared" si="153"/>
        <v>0</v>
      </c>
      <c r="IK32" s="29">
        <f t="shared" si="154"/>
        <v>0</v>
      </c>
      <c r="IL32" s="48"/>
      <c r="IM32" s="48"/>
      <c r="IN32" s="48"/>
      <c r="IO32" s="29">
        <f t="shared" si="211"/>
        <v>2.6584293194100717E-3</v>
      </c>
      <c r="IP32" s="29">
        <f t="shared" si="249"/>
        <v>-8.6084221127645413E-4</v>
      </c>
      <c r="IQ32" s="29">
        <f t="shared" si="302"/>
        <v>-4.3258718633700528E-3</v>
      </c>
      <c r="IR32" s="29">
        <f t="shared" si="303"/>
        <v>-7.5148464119092232E-3</v>
      </c>
      <c r="IS32" s="29">
        <f t="shared" si="304"/>
        <v>-9.0220208771765106E-3</v>
      </c>
      <c r="IT32" s="29">
        <f t="shared" si="305"/>
        <v>-1.6853372047721107E-2</v>
      </c>
      <c r="IU32" s="29">
        <f t="shared" si="306"/>
        <v>-1.7931004177313466E-2</v>
      </c>
      <c r="IV32" s="29">
        <f t="shared" si="307"/>
        <v>-1.7280531362588059E-2</v>
      </c>
      <c r="IW32" s="29">
        <f t="shared" si="308"/>
        <v>-2.1264883810027752E-2</v>
      </c>
      <c r="IX32" s="29">
        <f t="shared" si="309"/>
        <v>-1.8728878047345715E-2</v>
      </c>
      <c r="IY32" s="29">
        <f t="shared" si="310"/>
        <v>-2.0547839007845618E-2</v>
      </c>
      <c r="IZ32" s="29">
        <f t="shared" si="311"/>
        <v>-2.1939817646608097E-2</v>
      </c>
      <c r="JA32" s="29">
        <f t="shared" si="312"/>
        <v>-2.3916964068559414E-2</v>
      </c>
      <c r="JB32" s="29">
        <f t="shared" si="313"/>
        <v>-2.5282655550549968E-2</v>
      </c>
      <c r="JC32" s="29">
        <f t="shared" si="314"/>
        <v>-2.3239042728940819E-2</v>
      </c>
      <c r="JD32" s="29">
        <f t="shared" si="315"/>
        <v>-1.8363185822298806E-2</v>
      </c>
      <c r="JE32" s="29">
        <f t="shared" si="316"/>
        <v>-7.9465525652396268E-3</v>
      </c>
      <c r="JF32" s="29">
        <f t="shared" si="285"/>
        <v>0</v>
      </c>
      <c r="JG32" s="29">
        <f t="shared" si="286"/>
        <v>0</v>
      </c>
      <c r="JH32" s="29">
        <f t="shared" si="287"/>
        <v>0</v>
      </c>
      <c r="JI32" s="29">
        <f t="shared" si="288"/>
        <v>0</v>
      </c>
      <c r="JJ32" s="29">
        <f t="shared" si="289"/>
        <v>0</v>
      </c>
      <c r="JK32" s="29">
        <f t="shared" si="290"/>
        <v>0</v>
      </c>
      <c r="JL32" s="29">
        <f t="shared" si="291"/>
        <v>0</v>
      </c>
      <c r="JM32" s="29">
        <f t="shared" si="292"/>
        <v>0</v>
      </c>
      <c r="JN32" s="29">
        <f t="shared" si="293"/>
        <v>0</v>
      </c>
      <c r="JO32" s="29">
        <f t="shared" si="294"/>
        <v>0</v>
      </c>
      <c r="JP32" s="29">
        <f t="shared" si="295"/>
        <v>0</v>
      </c>
      <c r="JQ32" s="29">
        <f t="shared" si="296"/>
        <v>0</v>
      </c>
      <c r="JR32" s="29">
        <f t="shared" si="297"/>
        <v>0</v>
      </c>
      <c r="JS32" s="29">
        <f t="shared" si="298"/>
        <v>0</v>
      </c>
      <c r="JT32" s="29">
        <f t="shared" si="299"/>
        <v>0</v>
      </c>
      <c r="JU32" s="48"/>
      <c r="JV32" s="394">
        <f t="shared" si="213"/>
        <v>20</v>
      </c>
      <c r="JW32" s="29">
        <f t="shared" si="214"/>
        <v>0</v>
      </c>
      <c r="JX32" s="29">
        <f t="shared" si="215"/>
        <v>-6.3934124979132242E-5</v>
      </c>
      <c r="JY32" s="29">
        <f t="shared" si="216"/>
        <v>-3.3222122108668092E-4</v>
      </c>
      <c r="JZ32" s="29">
        <f t="shared" si="217"/>
        <v>-5.9836198744342222E-4</v>
      </c>
      <c r="KA32" s="29">
        <f t="shared" si="218"/>
        <v>-7.4700087168636604E-4</v>
      </c>
      <c r="KB32" s="29">
        <f t="shared" si="219"/>
        <v>-1.455872704289125E-3</v>
      </c>
      <c r="KC32" s="29">
        <f t="shared" si="220"/>
        <v>-1.6221862260465505E-3</v>
      </c>
      <c r="KD32" s="29">
        <f t="shared" si="221"/>
        <v>-1.6443241733463724E-3</v>
      </c>
      <c r="KE32" s="29">
        <f t="shared" si="222"/>
        <v>-2.1388935888171285E-3</v>
      </c>
      <c r="KF32" s="29">
        <f t="shared" si="223"/>
        <v>-2.0028624972549696E-3</v>
      </c>
      <c r="KG32" s="29">
        <f t="shared" si="224"/>
        <v>-2.3522584343409966E-3</v>
      </c>
      <c r="KH32" s="29">
        <f t="shared" si="225"/>
        <v>-2.7106612888563243E-3</v>
      </c>
      <c r="KI32" s="29">
        <f t="shared" si="226"/>
        <v>-3.2208913794157697E-3</v>
      </c>
      <c r="KJ32" s="29">
        <f t="shared" si="227"/>
        <v>-3.7571199628271094E-3</v>
      </c>
      <c r="KK32" s="29">
        <f t="shared" si="228"/>
        <v>-3.8707205624647347E-3</v>
      </c>
      <c r="KL32" s="29">
        <f t="shared" si="229"/>
        <v>-3.4991054575921584E-3</v>
      </c>
      <c r="KM32" s="29">
        <f t="shared" si="230"/>
        <v>-1.7815455669697143E-3</v>
      </c>
      <c r="KN32" s="29">
        <f t="shared" si="231"/>
        <v>0</v>
      </c>
      <c r="KO32" s="29">
        <f t="shared" si="232"/>
        <v>0</v>
      </c>
      <c r="KP32" s="29">
        <f t="shared" si="233"/>
        <v>0</v>
      </c>
      <c r="KQ32" s="29">
        <f t="shared" si="234"/>
        <v>0</v>
      </c>
      <c r="KR32" s="29">
        <f t="shared" si="235"/>
        <v>0</v>
      </c>
      <c r="KS32" s="29">
        <f t="shared" si="236"/>
        <v>0</v>
      </c>
      <c r="KT32" s="29">
        <f t="shared" si="237"/>
        <v>0</v>
      </c>
      <c r="KU32" s="29">
        <f t="shared" si="238"/>
        <v>0</v>
      </c>
      <c r="KV32" s="29">
        <f t="shared" si="239"/>
        <v>0</v>
      </c>
      <c r="KW32" s="29">
        <f t="shared" si="240"/>
        <v>0</v>
      </c>
      <c r="KX32" s="29">
        <f t="shared" si="241"/>
        <v>0</v>
      </c>
      <c r="KY32" s="29">
        <f t="shared" si="242"/>
        <v>0</v>
      </c>
      <c r="KZ32" s="29">
        <f t="shared" si="243"/>
        <v>0</v>
      </c>
      <c r="LA32" s="29">
        <f t="shared" si="244"/>
        <v>0</v>
      </c>
      <c r="LB32" s="29">
        <f t="shared" si="245"/>
        <v>0</v>
      </c>
      <c r="LC32" s="48"/>
      <c r="LD32" s="48"/>
      <c r="LE32" s="48"/>
      <c r="LF32" s="48"/>
      <c r="LG32" s="48"/>
      <c r="LH32" s="48"/>
      <c r="LI32" s="48"/>
      <c r="LJ32" s="48"/>
      <c r="LK32" s="48"/>
      <c r="LL32" s="48"/>
      <c r="LM32" s="48"/>
      <c r="LN32" s="48"/>
      <c r="LO32" s="48"/>
      <c r="LP32" s="46">
        <f t="shared" si="33"/>
        <v>0.16646766634336532</v>
      </c>
      <c r="LQ32" s="47">
        <f t="shared" si="34"/>
        <v>0.55452624811105922</v>
      </c>
      <c r="LR32" s="28"/>
      <c r="LS32" s="48"/>
      <c r="LT32" s="28" t="s">
        <v>283</v>
      </c>
      <c r="LU32" s="161">
        <v>4.9443333333333346E-2</v>
      </c>
      <c r="LV32" s="111">
        <f t="shared" si="75"/>
        <v>8.0159356134467241E-18</v>
      </c>
      <c r="LW32" s="152">
        <f t="shared" si="18"/>
        <v>8.67688643335655E-14</v>
      </c>
      <c r="LX32" s="223" t="e">
        <f>LX31*(1+#REF!)</f>
        <v>#REF!</v>
      </c>
      <c r="LY32" s="153"/>
      <c r="LZ32" s="124">
        <f t="shared" si="76"/>
        <v>-370.34699889323383</v>
      </c>
      <c r="MA32" s="125">
        <f t="shared" si="77"/>
        <v>-432.44620620935166</v>
      </c>
      <c r="MB32" s="28"/>
      <c r="MC32" s="374">
        <f t="shared" si="300"/>
        <v>4.2500000000000003E-2</v>
      </c>
      <c r="MD32" s="387">
        <f t="shared" si="187"/>
        <v>-454.86391973756298</v>
      </c>
      <c r="ME32" s="152">
        <f t="shared" si="188"/>
        <v>-5428.3160547291209</v>
      </c>
      <c r="MF32" s="28"/>
      <c r="MG32" s="374">
        <f t="shared" si="301"/>
        <v>4.2500000000000003E-2</v>
      </c>
      <c r="MH32" s="387">
        <f t="shared" si="189"/>
        <v>-17.708346122885139</v>
      </c>
      <c r="MI32" s="152">
        <f t="shared" si="155"/>
        <v>-211.3302361220878</v>
      </c>
      <c r="MJ32" s="28"/>
      <c r="MK32" s="28"/>
      <c r="ML32" s="30" t="s">
        <v>259</v>
      </c>
      <c r="MM32" s="343">
        <f>MN32</f>
        <v>33490306</v>
      </c>
      <c r="MN32" s="343">
        <v>33490306</v>
      </c>
      <c r="MO32" s="343">
        <f>MN32</f>
        <v>33490306</v>
      </c>
      <c r="MP32" s="28"/>
      <c r="MQ32" s="28"/>
      <c r="MR32" s="28"/>
      <c r="MS32" s="28">
        <f t="shared" si="92"/>
        <v>85</v>
      </c>
      <c r="MT32" s="28">
        <f t="shared" si="93"/>
        <v>0.19992268706173735</v>
      </c>
      <c r="MU32" s="28">
        <f t="shared" si="94"/>
        <v>0.21590790604857538</v>
      </c>
      <c r="MV32" s="28">
        <f t="shared" si="95"/>
        <v>0.23311147822080167</v>
      </c>
      <c r="MW32" s="28">
        <f t="shared" si="96"/>
        <v>0.2516217385744004</v>
      </c>
      <c r="MX32" s="28">
        <f t="shared" si="97"/>
        <v>0.27153310088666988</v>
      </c>
      <c r="MY32" s="28">
        <f t="shared" si="98"/>
        <v>0.29294645375920036</v>
      </c>
    </row>
    <row r="33" spans="1:361" s="30" customFormat="1" ht="12.75" customHeight="1" x14ac:dyDescent="0.3">
      <c r="A33" s="298">
        <f t="shared" si="99"/>
        <v>2042</v>
      </c>
      <c r="B33" s="348">
        <f t="shared" si="2"/>
        <v>2040</v>
      </c>
      <c r="C33" s="26">
        <v>51318</v>
      </c>
      <c r="D33" s="92">
        <f t="shared" si="156"/>
        <v>5925.8243586987537</v>
      </c>
      <c r="E33" s="27">
        <f t="shared" si="106"/>
        <v>5925.8243586987537</v>
      </c>
      <c r="F33" s="107">
        <f t="shared" si="21"/>
        <v>11870.490766232797</v>
      </c>
      <c r="G33" s="27">
        <f t="shared" si="157"/>
        <v>18629.920062631194</v>
      </c>
      <c r="H33" s="27">
        <f t="shared" si="158"/>
        <v>6893.0704231735417</v>
      </c>
      <c r="I33" s="289">
        <f t="shared" si="159"/>
        <v>5859.1098596975107</v>
      </c>
      <c r="J33" s="68">
        <v>1722.8140860000001</v>
      </c>
      <c r="K33" s="290">
        <f t="shared" si="160"/>
        <v>4136.2957736975104</v>
      </c>
      <c r="L33" s="290">
        <f t="shared" si="107"/>
        <v>11736.849639457652</v>
      </c>
      <c r="M33" s="290">
        <f t="shared" si="161"/>
        <v>9976.3221935390047</v>
      </c>
      <c r="N33" s="27">
        <f t="shared" si="162"/>
        <v>0</v>
      </c>
      <c r="O33" s="290">
        <f t="shared" si="163"/>
        <v>1033.9605634760312</v>
      </c>
      <c r="P33" s="290">
        <f t="shared" si="108"/>
        <v>1760.5274459186478</v>
      </c>
      <c r="Q33" s="290">
        <f t="shared" si="164"/>
        <v>716.96021085544658</v>
      </c>
      <c r="R33" s="254">
        <f t="shared" si="3"/>
        <v>0.37</v>
      </c>
      <c r="S33" s="251">
        <v>0.63</v>
      </c>
      <c r="T33" s="284">
        <f t="shared" si="165"/>
        <v>7.0000000000000007E-2</v>
      </c>
      <c r="U33" s="284">
        <f t="shared" si="166"/>
        <v>7.0000000000000007E-2</v>
      </c>
      <c r="V33" s="27">
        <f t="shared" si="5"/>
        <v>86618.527787221479</v>
      </c>
      <c r="W33" s="27">
        <f t="shared" si="167"/>
        <v>77393.588082212562</v>
      </c>
      <c r="X33" s="27">
        <f t="shared" si="190"/>
        <v>9224.9397050089137</v>
      </c>
      <c r="Y33" s="27">
        <f t="shared" si="168"/>
        <v>631.02613188942189</v>
      </c>
      <c r="Z33" s="27">
        <f t="shared" si="191"/>
        <v>1074.4499002441507</v>
      </c>
      <c r="AA33" s="111">
        <f t="shared" si="169"/>
        <v>7.0000000000000007E-2</v>
      </c>
      <c r="AB33" s="111">
        <f t="shared" si="170"/>
        <v>7.0000000000000007E-2</v>
      </c>
      <c r="AC33" s="92">
        <f t="shared" si="7"/>
        <v>86618.527787221479</v>
      </c>
      <c r="AD33" s="27">
        <f t="shared" si="171"/>
        <v>77393.588082212562</v>
      </c>
      <c r="AE33" s="27">
        <f t="shared" si="192"/>
        <v>9224.9397050089137</v>
      </c>
      <c r="AF33" s="145">
        <f t="shared" si="172"/>
        <v>631.02613188942189</v>
      </c>
      <c r="AG33" s="27">
        <f t="shared" si="193"/>
        <v>1074.4499002441507</v>
      </c>
      <c r="AH33" s="27">
        <f t="shared" si="173"/>
        <v>83330.254552073282</v>
      </c>
      <c r="AI33" s="27">
        <f t="shared" si="174"/>
        <v>74105.085244248927</v>
      </c>
      <c r="AJ33" s="27">
        <f t="shared" si="194"/>
        <v>9225.1693078243479</v>
      </c>
      <c r="AK33" s="27">
        <f t="shared" si="11"/>
        <v>83331.847276169035</v>
      </c>
      <c r="AL33" s="27">
        <f t="shared" si="175"/>
        <v>74107.361202002416</v>
      </c>
      <c r="AM33" s="27">
        <f t="shared" si="246"/>
        <v>9224.4860741666253</v>
      </c>
      <c r="AN33" s="409">
        <f>INDEX(Inv.Returns!$B$2:$E$32,MATCH(B33,Inv.Returns!$A$2:$A$32,0),MATCH(SCRS!$DU$52,Inv.Returns!$B$1:$E$1,0))</f>
        <v>7.0000000000000007E-2</v>
      </c>
      <c r="AO33" s="27">
        <f t="shared" si="41"/>
        <v>3288.2732351481973</v>
      </c>
      <c r="AP33" s="223">
        <f t="shared" si="12"/>
        <v>3286.6805110524438</v>
      </c>
      <c r="AQ33" s="67">
        <f t="shared" si="22"/>
        <v>0.96203729941905913</v>
      </c>
      <c r="AR33" s="146">
        <f t="shared" si="23"/>
        <v>0.96205568721825685</v>
      </c>
      <c r="AS33" s="346"/>
      <c r="AT33" s="283">
        <f t="shared" si="176"/>
        <v>0.1095</v>
      </c>
      <c r="AU33" s="390">
        <f t="shared" si="109"/>
        <v>0.1095</v>
      </c>
      <c r="AV33" s="296">
        <f t="shared" si="110"/>
        <v>0.13196890222447091</v>
      </c>
      <c r="AW33" s="296">
        <f t="shared" si="111"/>
        <v>-2.3790374850547242E-6</v>
      </c>
      <c r="AX33" s="111">
        <f t="shared" si="82"/>
        <v>0.09</v>
      </c>
      <c r="AY33" s="111">
        <f t="shared" si="112"/>
        <v>0.09</v>
      </c>
      <c r="AZ33" s="111">
        <f t="shared" si="113"/>
        <v>0</v>
      </c>
      <c r="BA33" s="256">
        <f t="shared" si="24"/>
        <v>1.9500000000000003E-2</v>
      </c>
      <c r="BB33" s="111">
        <f t="shared" si="114"/>
        <v>1.9500000000000003E-2</v>
      </c>
      <c r="BC33" s="128">
        <f t="shared" si="83"/>
        <v>0.14560000000000001</v>
      </c>
      <c r="BD33" s="128">
        <f t="shared" si="104"/>
        <v>0.14560000000000001</v>
      </c>
      <c r="BE33" s="402">
        <f t="shared" si="15"/>
        <v>0.12609999999999999</v>
      </c>
      <c r="BF33" s="402">
        <f t="shared" si="115"/>
        <v>0.12609999999999999</v>
      </c>
      <c r="BG33" s="402">
        <f t="shared" si="177"/>
        <v>9.5600000000000004E-2</v>
      </c>
      <c r="BH33" s="402">
        <f t="shared" si="26"/>
        <v>0.14560000000000001</v>
      </c>
      <c r="BI33" s="152">
        <f t="shared" si="42"/>
        <v>1.2944233923975632</v>
      </c>
      <c r="BJ33" s="100">
        <f t="shared" si="43"/>
        <v>4.1869522882181265E-2</v>
      </c>
      <c r="BK33" s="27">
        <f t="shared" si="67"/>
        <v>1.3024127714329232</v>
      </c>
      <c r="BL33" s="27">
        <f t="shared" si="17"/>
        <v>20</v>
      </c>
      <c r="BM33" s="107">
        <f t="shared" si="31"/>
        <v>1.1707253785321583</v>
      </c>
      <c r="BN33" s="27"/>
      <c r="BO33" s="27"/>
      <c r="BP33" s="92">
        <f t="shared" si="178"/>
        <v>-5069.5755650216233</v>
      </c>
      <c r="BQ33" s="27">
        <f t="shared" si="195"/>
        <v>-448.93449870925525</v>
      </c>
      <c r="BR33" s="27">
        <f t="shared" si="179"/>
        <v>-197.36407946649084</v>
      </c>
      <c r="BS33" s="27">
        <f t="shared" si="116"/>
        <v>-17.477507326222241</v>
      </c>
      <c r="BT33" s="27">
        <f t="shared" si="180"/>
        <v>-10.546397747455519</v>
      </c>
      <c r="BU33" s="27">
        <f t="shared" si="196"/>
        <v>-17.957379948370207</v>
      </c>
      <c r="BV33" s="297">
        <f t="shared" si="181"/>
        <v>527.31988737277595</v>
      </c>
      <c r="BW33" s="297">
        <f t="shared" si="197"/>
        <v>897.86899741851039</v>
      </c>
      <c r="BX33" s="297">
        <f t="shared" si="198"/>
        <v>0</v>
      </c>
      <c r="BY33" s="297">
        <f t="shared" si="182"/>
        <v>64.526418976990186</v>
      </c>
      <c r="BZ33" s="297">
        <f t="shared" si="84"/>
        <v>114.2526422641015</v>
      </c>
      <c r="CA33" s="297">
        <f t="shared" si="199"/>
        <v>194.53828277401044</v>
      </c>
      <c r="CB33" s="297">
        <f t="shared" si="183"/>
        <v>2563.2516812464191</v>
      </c>
      <c r="CC33" s="297">
        <f t="shared" si="200"/>
        <v>0</v>
      </c>
      <c r="CD33" s="297">
        <f t="shared" si="201"/>
        <v>-3.1797960047416557E-2</v>
      </c>
      <c r="CE33" s="297"/>
      <c r="CF33" s="297">
        <f t="shared" si="184"/>
        <v>0</v>
      </c>
      <c r="CG33" s="297">
        <f t="shared" si="202"/>
        <v>0</v>
      </c>
      <c r="CH33" s="297">
        <f t="shared" si="185"/>
        <v>0</v>
      </c>
      <c r="CI33" s="427">
        <f>IF(AND($DU$74="Yes",MAX($AQ$13:AQ32)&lt;100%),MAX(BD31*(G33+Q33)-SUM(BZ33:CH33,CJ33,CY33),0),0)</f>
        <v>0</v>
      </c>
      <c r="CJ33" s="27"/>
      <c r="CK33" s="27">
        <f t="shared" si="44"/>
        <v>0</v>
      </c>
      <c r="CL33" s="27">
        <f t="shared" si="45"/>
        <v>0</v>
      </c>
      <c r="CM33" s="27">
        <f t="shared" si="46"/>
        <v>0</v>
      </c>
      <c r="CN33" s="27">
        <f t="shared" si="47"/>
        <v>4361.7261120927596</v>
      </c>
      <c r="CO33" s="27">
        <f t="shared" si="48"/>
        <v>0</v>
      </c>
      <c r="CP33" s="107">
        <f t="shared" si="4"/>
        <v>4361.7261120927596</v>
      </c>
      <c r="CQ33" s="27">
        <f t="shared" si="117"/>
        <v>2563.2198832863719</v>
      </c>
      <c r="CR33" s="27">
        <f t="shared" si="118"/>
        <v>0</v>
      </c>
      <c r="CS33" s="27">
        <f t="shared" si="186"/>
        <v>2563.2198832863719</v>
      </c>
      <c r="CT33" s="27">
        <f>SUM($CS$14:CS33)</f>
        <v>40042.497903207121</v>
      </c>
      <c r="CU33" s="223">
        <v>2775.0627411082819</v>
      </c>
      <c r="CV33" s="417">
        <v>566.17811784205651</v>
      </c>
      <c r="CW33" s="417">
        <v>3341.2408589503384</v>
      </c>
      <c r="CX33" s="417">
        <v>52181.984547103726</v>
      </c>
      <c r="CY33" s="103">
        <f t="shared" si="49"/>
        <v>139.72440046973395</v>
      </c>
      <c r="CZ33" s="111">
        <f t="shared" si="101"/>
        <v>0.15567032856049465</v>
      </c>
      <c r="DA33" s="92">
        <f t="shared" si="50"/>
        <v>3011.7352087942177</v>
      </c>
      <c r="DB33" s="410">
        <f t="shared" si="51"/>
        <v>1973.3938445482256</v>
      </c>
      <c r="DC33" s="307">
        <f t="shared" si="52"/>
        <v>1571.0604520405011</v>
      </c>
      <c r="DD33" s="307">
        <f t="shared" si="53"/>
        <v>189.26554582370969</v>
      </c>
      <c r="DE33" s="307">
        <f t="shared" si="54"/>
        <v>0</v>
      </c>
      <c r="DF33" s="307">
        <f t="shared" si="55"/>
        <v>31454.063228646886</v>
      </c>
      <c r="DG33" s="307" t="b">
        <f t="shared" si="68"/>
        <v>0</v>
      </c>
      <c r="DH33" s="27">
        <f t="shared" si="56"/>
        <v>139.72440046973395</v>
      </c>
      <c r="DI33" s="96">
        <f t="shared" si="57"/>
        <v>85.640518472266848</v>
      </c>
      <c r="DJ33" s="101">
        <f t="shared" si="58"/>
        <v>9.3566032172782837E-3</v>
      </c>
      <c r="DK33" s="92">
        <f t="shared" si="59"/>
        <v>0</v>
      </c>
      <c r="DL33" s="96">
        <f t="shared" si="60"/>
        <v>0</v>
      </c>
      <c r="DM33" s="101">
        <f t="shared" si="61"/>
        <v>0</v>
      </c>
      <c r="DN33" s="292">
        <v>3237.8155468167442</v>
      </c>
      <c r="DO33" s="96">
        <f t="shared" si="62"/>
        <v>2121.5295591768886</v>
      </c>
      <c r="DP33" s="294">
        <v>1.0369726566062747</v>
      </c>
      <c r="DQ33" s="29"/>
      <c r="DR33" s="50" t="s">
        <v>88</v>
      </c>
      <c r="DS33" s="34"/>
      <c r="DT33" s="34"/>
      <c r="DU33" s="264">
        <v>2.1399999999999999E-2</v>
      </c>
      <c r="DV33" s="29"/>
      <c r="DW33" s="320"/>
      <c r="DX33" s="321"/>
      <c r="DY33" s="321"/>
      <c r="DZ33" s="321"/>
      <c r="EA33" s="321"/>
      <c r="EB33" s="321"/>
      <c r="EC33" s="321"/>
      <c r="ED33" s="321"/>
      <c r="EE33" s="321"/>
      <c r="EF33" s="321"/>
      <c r="EG33" s="321"/>
      <c r="EH33" s="321"/>
      <c r="EI33" s="322"/>
      <c r="EJ33" s="323"/>
      <c r="EK33" s="332">
        <f t="shared" si="69"/>
        <v>0.12609999999999999</v>
      </c>
      <c r="EL33" s="332">
        <f t="shared" si="63"/>
        <v>1.9500000000000003E-2</v>
      </c>
      <c r="EM33" s="332" t="e">
        <f t="shared" si="70"/>
        <v>#DIV/0!</v>
      </c>
      <c r="EN33" s="332">
        <f t="shared" si="64"/>
        <v>0</v>
      </c>
      <c r="EO33" s="332">
        <v>0.1356</v>
      </c>
      <c r="EP33" s="332">
        <v>0.14460009562723541</v>
      </c>
      <c r="EQ33" s="333" t="e">
        <f t="shared" si="71"/>
        <v>#DIV/0!</v>
      </c>
      <c r="ER33" s="277"/>
      <c r="ES33" s="334">
        <v>24</v>
      </c>
      <c r="ET33" s="29">
        <f t="shared" si="85"/>
        <v>4913.7540303976657</v>
      </c>
      <c r="EU33" s="29">
        <f t="shared" si="86"/>
        <v>4914.9427596519818</v>
      </c>
      <c r="EV33" s="29">
        <f t="shared" si="72"/>
        <v>1.1887292543160584</v>
      </c>
      <c r="EW33" s="29">
        <f t="shared" si="73"/>
        <v>0.95098340345284671</v>
      </c>
      <c r="EX33" s="29">
        <f t="shared" si="87"/>
        <v>0.68286437999195182</v>
      </c>
      <c r="EY33" s="29">
        <f t="shared" si="102"/>
        <v>0.43488299457858376</v>
      </c>
      <c r="EZ33" s="29">
        <f t="shared" si="105"/>
        <v>0.20722697546079871</v>
      </c>
      <c r="FA33" s="29">
        <f t="shared" si="74"/>
        <v>2.2759577534841813</v>
      </c>
      <c r="FB33" s="29"/>
      <c r="FC33" s="29">
        <f t="shared" si="247"/>
        <v>583.60654743329314</v>
      </c>
      <c r="FD33" s="29">
        <f t="shared" si="248"/>
        <v>583.24663413812436</v>
      </c>
      <c r="FE33" s="29">
        <f t="shared" si="203"/>
        <v>-0.35991329516878068</v>
      </c>
      <c r="FF33" s="29">
        <f t="shared" si="204"/>
        <v>-0.28793063613502456</v>
      </c>
      <c r="FG33" s="29">
        <f t="shared" si="205"/>
        <v>-0.2053117441328027</v>
      </c>
      <c r="FH33" s="29">
        <f t="shared" si="206"/>
        <v>-0.1293183882606172</v>
      </c>
      <c r="FI33" s="29">
        <f t="shared" si="207"/>
        <v>-6.067288919434758E-2</v>
      </c>
      <c r="FJ33" s="29">
        <f t="shared" si="208"/>
        <v>-0.68323365772279199</v>
      </c>
      <c r="FK33" s="29"/>
      <c r="FL33" s="29"/>
      <c r="FM33" s="27">
        <f t="shared" si="27"/>
        <v>5613.5309515064728</v>
      </c>
      <c r="FN33" s="29"/>
      <c r="FO33" s="301">
        <f t="shared" si="119"/>
        <v>2563.2516812464191</v>
      </c>
      <c r="FP33" s="89">
        <f t="shared" si="209"/>
        <v>-3.1797960047416557E-2</v>
      </c>
      <c r="FQ33" s="27">
        <f t="shared" si="103"/>
        <v>20</v>
      </c>
      <c r="FR33" s="302">
        <f t="shared" si="88"/>
        <v>13.464518542443937</v>
      </c>
      <c r="FS33" s="89">
        <f t="shared" si="89"/>
        <v>416.91286129623199</v>
      </c>
      <c r="FT33" s="89">
        <f t="shared" si="210"/>
        <v>2563.2198832863719</v>
      </c>
      <c r="FU33" s="29">
        <f t="shared" si="90"/>
        <v>20</v>
      </c>
      <c r="FV33" s="137">
        <f t="shared" si="91"/>
        <v>13.464518542443937</v>
      </c>
      <c r="FW33" s="48">
        <v>2694.2638631209948</v>
      </c>
      <c r="FX33" s="29">
        <f t="shared" si="120"/>
        <v>-66.797149189338597</v>
      </c>
      <c r="FY33" s="29">
        <f t="shared" si="121"/>
        <v>-69.587314249108815</v>
      </c>
      <c r="FZ33" s="29">
        <f t="shared" si="266"/>
        <v>-67.29014713084824</v>
      </c>
      <c r="GA33" s="29">
        <f t="shared" si="267"/>
        <v>-64.897387248261765</v>
      </c>
      <c r="GB33" s="29">
        <f t="shared" si="268"/>
        <v>-62.405051215179782</v>
      </c>
      <c r="GC33" s="29">
        <f t="shared" si="269"/>
        <v>-59.81028265040969</v>
      </c>
      <c r="GD33" s="29">
        <f t="shared" si="270"/>
        <v>-57.101412640372743</v>
      </c>
      <c r="GE33" s="29">
        <f t="shared" si="271"/>
        <v>-54.285834291531529</v>
      </c>
      <c r="GF33" s="29">
        <f t="shared" si="272"/>
        <v>-51.354277926551717</v>
      </c>
      <c r="GG33" s="29">
        <f t="shared" si="273"/>
        <v>-48.296122469305423</v>
      </c>
      <c r="GH33" s="29">
        <f t="shared" si="274"/>
        <v>-45.105591070958155</v>
      </c>
      <c r="GI33" s="29">
        <f t="shared" si="275"/>
        <v>-41.772051519297996</v>
      </c>
      <c r="GJ33" s="29">
        <f t="shared" si="276"/>
        <v>-38.295813992137873</v>
      </c>
      <c r="GK33" s="29">
        <f t="shared" si="277"/>
        <v>-34.669704933661464</v>
      </c>
      <c r="GL33" s="29">
        <f t="shared" si="278"/>
        <v>-19.430786569245178</v>
      </c>
      <c r="GM33" s="29">
        <f t="shared" si="279"/>
        <v>-778.23926061507257</v>
      </c>
      <c r="GN33" s="29">
        <f t="shared" si="280"/>
        <v>-450.34927796993185</v>
      </c>
      <c r="GO33" s="29">
        <f t="shared" si="251"/>
        <v>-360.95582320703681</v>
      </c>
      <c r="GP33" s="29">
        <f t="shared" si="252"/>
        <v>-350.35281983652658</v>
      </c>
      <c r="GQ33" s="29">
        <f t="shared" si="253"/>
        <v>6009.4989466884117</v>
      </c>
      <c r="GR33" s="29">
        <f t="shared" si="254"/>
        <v>0</v>
      </c>
      <c r="GS33" s="29">
        <f t="shared" si="255"/>
        <v>0</v>
      </c>
      <c r="GT33" s="29">
        <f t="shared" si="256"/>
        <v>0</v>
      </c>
      <c r="GU33" s="29">
        <f t="shared" si="257"/>
        <v>0</v>
      </c>
      <c r="GV33" s="29">
        <f t="shared" si="258"/>
        <v>0</v>
      </c>
      <c r="GW33" s="29">
        <f t="shared" si="259"/>
        <v>0</v>
      </c>
      <c r="GX33" s="29">
        <f t="shared" si="260"/>
        <v>0</v>
      </c>
      <c r="GY33" s="29">
        <f t="shared" si="261"/>
        <v>0</v>
      </c>
      <c r="GZ33" s="29">
        <f t="shared" si="262"/>
        <v>0</v>
      </c>
      <c r="HA33" s="29">
        <f t="shared" si="263"/>
        <v>0</v>
      </c>
      <c r="HB33" s="29">
        <f t="shared" si="264"/>
        <v>0</v>
      </c>
      <c r="HC33" s="29">
        <f t="shared" si="265"/>
        <v>0</v>
      </c>
      <c r="HD33" s="29"/>
      <c r="HE33" s="29">
        <f t="shared" si="32"/>
        <v>20</v>
      </c>
      <c r="HF33" s="29">
        <f t="shared" si="317"/>
        <v>0</v>
      </c>
      <c r="HG33" s="29">
        <f t="shared" si="318"/>
        <v>-5.1681992215132011</v>
      </c>
      <c r="HH33" s="29">
        <f t="shared" si="319"/>
        <v>-5.1677940431404927</v>
      </c>
      <c r="HI33" s="29">
        <f t="shared" si="126"/>
        <v>-5.1673883250914789</v>
      </c>
      <c r="HJ33" s="29">
        <f t="shared" si="127"/>
        <v>-5.1669829066013575</v>
      </c>
      <c r="HK33" s="29">
        <f t="shared" si="128"/>
        <v>-5.166690541215651</v>
      </c>
      <c r="HL33" s="29">
        <f t="shared" si="129"/>
        <v>-5.1658637830338909</v>
      </c>
      <c r="HM33" s="29">
        <f t="shared" si="130"/>
        <v>-5.1655535193260391</v>
      </c>
      <c r="HN33" s="29">
        <f t="shared" si="131"/>
        <v>-5.1653861265697225</v>
      </c>
      <c r="HO33" s="29">
        <f t="shared" si="132"/>
        <v>-5.1647777412013047</v>
      </c>
      <c r="HP33" s="29">
        <f t="shared" si="133"/>
        <v>-5.1635603623371749</v>
      </c>
      <c r="HQ33" s="29">
        <f t="shared" si="134"/>
        <v>-5.1609309080551302</v>
      </c>
      <c r="HR33" s="29">
        <f t="shared" si="135"/>
        <v>-5.1572873882072194</v>
      </c>
      <c r="HS33" s="29">
        <f t="shared" si="136"/>
        <v>-5.1520790706161224</v>
      </c>
      <c r="HT33" s="29">
        <f t="shared" si="137"/>
        <v>-3.2364132204454559</v>
      </c>
      <c r="HU33" s="29">
        <f t="shared" si="138"/>
        <v>-148.29350802647318</v>
      </c>
      <c r="HV33" s="29">
        <f t="shared" si="139"/>
        <v>-100.96425502360594</v>
      </c>
      <c r="HW33" s="29">
        <f t="shared" si="140"/>
        <v>-99.162942938800967</v>
      </c>
      <c r="HX33" s="29">
        <f t="shared" si="141"/>
        <v>-125.78998677781703</v>
      </c>
      <c r="HY33" s="29">
        <f t="shared" si="142"/>
        <v>3171.8708773426106</v>
      </c>
      <c r="HZ33" s="29">
        <f t="shared" si="143"/>
        <v>0</v>
      </c>
      <c r="IA33" s="29">
        <f t="shared" si="144"/>
        <v>0</v>
      </c>
      <c r="IB33" s="29">
        <f t="shared" si="145"/>
        <v>0</v>
      </c>
      <c r="IC33" s="29">
        <f t="shared" si="146"/>
        <v>0</v>
      </c>
      <c r="ID33" s="29">
        <f t="shared" si="147"/>
        <v>0</v>
      </c>
      <c r="IE33" s="29">
        <f t="shared" si="148"/>
        <v>0</v>
      </c>
      <c r="IF33" s="29">
        <f t="shared" si="149"/>
        <v>0</v>
      </c>
      <c r="IG33" s="29">
        <f t="shared" si="150"/>
        <v>0</v>
      </c>
      <c r="IH33" s="29">
        <f t="shared" si="151"/>
        <v>0</v>
      </c>
      <c r="II33" s="29">
        <f t="shared" si="152"/>
        <v>0</v>
      </c>
      <c r="IJ33" s="29">
        <f t="shared" si="153"/>
        <v>0</v>
      </c>
      <c r="IK33" s="29">
        <f t="shared" si="154"/>
        <v>0</v>
      </c>
      <c r="IL33" s="48"/>
      <c r="IM33" s="48"/>
      <c r="IN33" s="48"/>
      <c r="IO33" s="29">
        <f t="shared" si="211"/>
        <v>7.530189333817161E-3</v>
      </c>
      <c r="IP33" s="29">
        <f t="shared" si="249"/>
        <v>2.844519371768777E-3</v>
      </c>
      <c r="IQ33" s="29">
        <f t="shared" si="302"/>
        <v>-8.5496719294739568E-4</v>
      </c>
      <c r="IR33" s="29">
        <f t="shared" si="303"/>
        <v>-4.2850305905659698E-3</v>
      </c>
      <c r="IS33" s="29">
        <f t="shared" si="304"/>
        <v>-7.4219352081390695E-3</v>
      </c>
      <c r="IT33" s="29">
        <f t="shared" si="305"/>
        <v>-8.88085862857017E-3</v>
      </c>
      <c r="IU33" s="29">
        <f t="shared" si="306"/>
        <v>-1.6527141655754769E-2</v>
      </c>
      <c r="IV33" s="29">
        <f t="shared" si="307"/>
        <v>-1.7508171989806681E-2</v>
      </c>
      <c r="IW33" s="29">
        <f t="shared" si="308"/>
        <v>-1.6789266407301873E-2</v>
      </c>
      <c r="IX33" s="29">
        <f t="shared" si="309"/>
        <v>-2.0540936944739671E-2</v>
      </c>
      <c r="IY33" s="29">
        <f t="shared" si="310"/>
        <v>-1.7968122433917794E-2</v>
      </c>
      <c r="IZ33" s="29">
        <f t="shared" si="311"/>
        <v>-1.9552992694041947E-2</v>
      </c>
      <c r="JA33" s="29">
        <f t="shared" si="312"/>
        <v>-2.067167504207304E-2</v>
      </c>
      <c r="JB33" s="29">
        <f t="shared" si="313"/>
        <v>-2.225943560396336E-2</v>
      </c>
      <c r="JC33" s="29">
        <f t="shared" si="314"/>
        <v>-2.3166046329976535E-2</v>
      </c>
      <c r="JD33" s="29">
        <f t="shared" si="315"/>
        <v>-2.0861871236868283E-2</v>
      </c>
      <c r="JE33" s="29">
        <f t="shared" si="316"/>
        <v>-1.602910600024544E-2</v>
      </c>
      <c r="JF33" s="29">
        <f t="shared" si="285"/>
        <v>-6.6599661808651317E-3</v>
      </c>
      <c r="JG33" s="29">
        <f t="shared" si="286"/>
        <v>0</v>
      </c>
      <c r="JH33" s="29">
        <f t="shared" si="287"/>
        <v>0</v>
      </c>
      <c r="JI33" s="29">
        <f t="shared" si="288"/>
        <v>0</v>
      </c>
      <c r="JJ33" s="29">
        <f t="shared" si="289"/>
        <v>0</v>
      </c>
      <c r="JK33" s="29">
        <f t="shared" si="290"/>
        <v>0</v>
      </c>
      <c r="JL33" s="29">
        <f t="shared" si="291"/>
        <v>0</v>
      </c>
      <c r="JM33" s="29">
        <f t="shared" si="292"/>
        <v>0</v>
      </c>
      <c r="JN33" s="29">
        <f t="shared" si="293"/>
        <v>0</v>
      </c>
      <c r="JO33" s="29">
        <f t="shared" si="294"/>
        <v>0</v>
      </c>
      <c r="JP33" s="29">
        <f t="shared" si="295"/>
        <v>0</v>
      </c>
      <c r="JQ33" s="29">
        <f t="shared" si="296"/>
        <v>0</v>
      </c>
      <c r="JR33" s="29">
        <f t="shared" si="297"/>
        <v>0</v>
      </c>
      <c r="JS33" s="29">
        <f t="shared" si="298"/>
        <v>0</v>
      </c>
      <c r="JT33" s="29">
        <f t="shared" si="299"/>
        <v>0</v>
      </c>
      <c r="JU33" s="48"/>
      <c r="JV33" s="394">
        <f t="shared" si="213"/>
        <v>20</v>
      </c>
      <c r="JW33" s="29">
        <f t="shared" si="214"/>
        <v>0</v>
      </c>
      <c r="JX33" s="29">
        <f t="shared" si="215"/>
        <v>2.1126038504845566E-4</v>
      </c>
      <c r="JY33" s="29">
        <f t="shared" si="216"/>
        <v>-6.5660346353568809E-5</v>
      </c>
      <c r="JZ33" s="29">
        <f t="shared" si="217"/>
        <v>-3.4119119405602122E-4</v>
      </c>
      <c r="KA33" s="29">
        <f t="shared" si="218"/>
        <v>-6.1451776110439465E-4</v>
      </c>
      <c r="KB33" s="29">
        <f t="shared" si="219"/>
        <v>-7.6716989522189786E-4</v>
      </c>
      <c r="KC33" s="29">
        <f t="shared" si="220"/>
        <v>-1.4951812673049312E-3</v>
      </c>
      <c r="KD33" s="29">
        <f t="shared" si="221"/>
        <v>-1.6659852541498074E-3</v>
      </c>
      <c r="KE33" s="29">
        <f t="shared" si="222"/>
        <v>-1.6887209260267242E-3</v>
      </c>
      <c r="KF33" s="29">
        <f t="shared" si="223"/>
        <v>-2.196643715715191E-3</v>
      </c>
      <c r="KG33" s="29">
        <f t="shared" si="224"/>
        <v>-2.0569397846808535E-3</v>
      </c>
      <c r="KH33" s="29">
        <f t="shared" si="225"/>
        <v>-2.4157694120682037E-3</v>
      </c>
      <c r="KI33" s="29">
        <f t="shared" si="226"/>
        <v>-2.7838491436554453E-3</v>
      </c>
      <c r="KJ33" s="29">
        <f t="shared" si="227"/>
        <v>-3.3078554466599948E-3</v>
      </c>
      <c r="KK33" s="29">
        <f t="shared" si="228"/>
        <v>-3.8585622018234393E-3</v>
      </c>
      <c r="KL33" s="29">
        <f t="shared" si="229"/>
        <v>-3.9752300176512829E-3</v>
      </c>
      <c r="KM33" s="29">
        <f t="shared" si="230"/>
        <v>-3.5935813049471463E-3</v>
      </c>
      <c r="KN33" s="29">
        <f t="shared" si="231"/>
        <v>-1.8296472972778967E-3</v>
      </c>
      <c r="KO33" s="29">
        <f t="shared" si="232"/>
        <v>0</v>
      </c>
      <c r="KP33" s="29">
        <f t="shared" si="233"/>
        <v>0</v>
      </c>
      <c r="KQ33" s="29">
        <f t="shared" si="234"/>
        <v>0</v>
      </c>
      <c r="KR33" s="29">
        <f t="shared" si="235"/>
        <v>0</v>
      </c>
      <c r="KS33" s="29">
        <f t="shared" si="236"/>
        <v>0</v>
      </c>
      <c r="KT33" s="29">
        <f t="shared" si="237"/>
        <v>0</v>
      </c>
      <c r="KU33" s="29">
        <f t="shared" si="238"/>
        <v>0</v>
      </c>
      <c r="KV33" s="29">
        <f t="shared" si="239"/>
        <v>0</v>
      </c>
      <c r="KW33" s="29">
        <f t="shared" si="240"/>
        <v>0</v>
      </c>
      <c r="KX33" s="29">
        <f t="shared" si="241"/>
        <v>0</v>
      </c>
      <c r="KY33" s="29">
        <f t="shared" si="242"/>
        <v>0</v>
      </c>
      <c r="KZ33" s="29">
        <f t="shared" si="243"/>
        <v>0</v>
      </c>
      <c r="LA33" s="29">
        <f t="shared" si="244"/>
        <v>0</v>
      </c>
      <c r="LB33" s="29">
        <f t="shared" si="245"/>
        <v>0</v>
      </c>
      <c r="LC33" s="48"/>
      <c r="LD33" s="48"/>
      <c r="LE33" s="48"/>
      <c r="LF33" s="48"/>
      <c r="LG33" s="48"/>
      <c r="LH33" s="48"/>
      <c r="LI33" s="48"/>
      <c r="LJ33" s="48"/>
      <c r="LK33" s="48"/>
      <c r="LL33" s="48"/>
      <c r="LM33" s="48"/>
      <c r="LN33" s="48"/>
      <c r="LO33" s="48"/>
      <c r="LP33" s="46">
        <f t="shared" si="33"/>
        <v>0.15557725826482741</v>
      </c>
      <c r="LQ33" s="47">
        <f t="shared" si="34"/>
        <v>0.54232395903282082</v>
      </c>
      <c r="LR33" s="28"/>
      <c r="LS33" s="48"/>
      <c r="LT33" s="28"/>
      <c r="LU33" s="161">
        <v>5.3386666666666673E-2</v>
      </c>
      <c r="LV33" s="111">
        <f t="shared" si="75"/>
        <v>8.6552433617584245E-18</v>
      </c>
      <c r="LW33" s="152">
        <f t="shared" si="18"/>
        <v>1.027419864052511E-13</v>
      </c>
      <c r="LX33" s="223" t="e">
        <f>LX32*(1+#REF!)</f>
        <v>#REF!</v>
      </c>
      <c r="LY33" s="153"/>
      <c r="LZ33" s="124">
        <f t="shared" si="76"/>
        <v>-436.0803213895997</v>
      </c>
      <c r="MA33" s="125">
        <f t="shared" si="77"/>
        <v>-501.0355887797632</v>
      </c>
      <c r="MB33" s="28"/>
      <c r="MC33" s="374">
        <f t="shared" si="300"/>
        <v>4.5000000000000005E-2</v>
      </c>
      <c r="MD33" s="387">
        <f t="shared" si="187"/>
        <v>-528.15823377559445</v>
      </c>
      <c r="ME33" s="152">
        <f t="shared" si="188"/>
        <v>-5597.7337987972178</v>
      </c>
      <c r="MF33" s="28"/>
      <c r="MG33" s="374">
        <f t="shared" si="301"/>
        <v>4.5000000000000005E-2</v>
      </c>
      <c r="MH33" s="387">
        <f t="shared" si="189"/>
        <v>-20.561773324967344</v>
      </c>
      <c r="MI33" s="152">
        <f t="shared" si="155"/>
        <v>-217.92585279145817</v>
      </c>
      <c r="MJ33" s="28"/>
      <c r="MK33" s="28"/>
      <c r="ML33" s="30" t="s">
        <v>117</v>
      </c>
      <c r="MM33" s="343">
        <f>MM31+MM32</f>
        <v>61837680</v>
      </c>
      <c r="MN33" s="343">
        <f>MN31+MN32</f>
        <v>55131580</v>
      </c>
      <c r="MO33" s="343">
        <f>MO31+MO32</f>
        <v>49557423</v>
      </c>
      <c r="MP33" s="28"/>
      <c r="MQ33" s="28"/>
      <c r="MR33" s="28"/>
      <c r="MS33" s="28"/>
      <c r="MT33" s="28"/>
      <c r="MU33" s="28"/>
      <c r="MV33" s="28"/>
      <c r="MW33" s="28"/>
    </row>
    <row r="34" spans="1:361" s="30" customFormat="1" ht="12.75" customHeight="1" x14ac:dyDescent="0.3">
      <c r="A34" s="298">
        <f t="shared" si="99"/>
        <v>2043</v>
      </c>
      <c r="B34" s="348">
        <f t="shared" si="2"/>
        <v>2041</v>
      </c>
      <c r="C34" s="26">
        <v>51683</v>
      </c>
      <c r="D34" s="92">
        <f t="shared" si="156"/>
        <v>5427.8949551529568</v>
      </c>
      <c r="E34" s="27">
        <f t="shared" si="106"/>
        <v>5427.8949551529568</v>
      </c>
      <c r="F34" s="107">
        <f t="shared" si="21"/>
        <v>12965.025383074802</v>
      </c>
      <c r="G34" s="27">
        <f t="shared" si="157"/>
        <v>19132.927904322234</v>
      </c>
      <c r="H34" s="27">
        <f t="shared" si="158"/>
        <v>6313.866208426336</v>
      </c>
      <c r="I34" s="289">
        <f t="shared" si="159"/>
        <v>5366.7862771623859</v>
      </c>
      <c r="J34" s="68">
        <v>1611.3695499999999</v>
      </c>
      <c r="K34" s="290">
        <f t="shared" si="160"/>
        <v>3755.416727162386</v>
      </c>
      <c r="L34" s="290">
        <f t="shared" si="107"/>
        <v>12819.061695895898</v>
      </c>
      <c r="M34" s="290">
        <f t="shared" si="161"/>
        <v>10896.202441511514</v>
      </c>
      <c r="N34" s="27">
        <f t="shared" si="162"/>
        <v>0</v>
      </c>
      <c r="O34" s="290">
        <f t="shared" si="163"/>
        <v>947.07993126395036</v>
      </c>
      <c r="P34" s="290">
        <f t="shared" si="108"/>
        <v>1922.8592543843847</v>
      </c>
      <c r="Q34" s="290">
        <f t="shared" si="164"/>
        <v>736.31813654854352</v>
      </c>
      <c r="R34" s="254">
        <f t="shared" si="3"/>
        <v>0.32999999999999996</v>
      </c>
      <c r="S34" s="251">
        <v>0.67</v>
      </c>
      <c r="T34" s="284">
        <f t="shared" si="165"/>
        <v>7.0000000000000007E-2</v>
      </c>
      <c r="U34" s="284">
        <f t="shared" si="166"/>
        <v>7.0000000000000007E-2</v>
      </c>
      <c r="V34" s="27">
        <f t="shared" si="5"/>
        <v>88433.824049615301</v>
      </c>
      <c r="W34" s="27">
        <f t="shared" si="167"/>
        <v>77905.460027988505</v>
      </c>
      <c r="X34" s="27">
        <f t="shared" si="190"/>
        <v>10528.364021626796</v>
      </c>
      <c r="Y34" s="27">
        <f t="shared" si="168"/>
        <v>578.00288205038896</v>
      </c>
      <c r="Z34" s="27">
        <f t="shared" si="191"/>
        <v>1173.52100295079</v>
      </c>
      <c r="AA34" s="111">
        <f t="shared" si="169"/>
        <v>7.0000000000000007E-2</v>
      </c>
      <c r="AB34" s="111">
        <f t="shared" si="170"/>
        <v>7.0000000000000007E-2</v>
      </c>
      <c r="AC34" s="92">
        <f t="shared" si="7"/>
        <v>88433.824049615301</v>
      </c>
      <c r="AD34" s="27">
        <f t="shared" si="171"/>
        <v>77905.460027988505</v>
      </c>
      <c r="AE34" s="27">
        <f t="shared" si="192"/>
        <v>10528.364021626796</v>
      </c>
      <c r="AF34" s="145">
        <f t="shared" si="172"/>
        <v>578.00288205038896</v>
      </c>
      <c r="AG34" s="27">
        <f t="shared" si="193"/>
        <v>1173.52100295079</v>
      </c>
      <c r="AH34" s="27">
        <f t="shared" si="173"/>
        <v>87701.644708230597</v>
      </c>
      <c r="AI34" s="27">
        <f t="shared" si="174"/>
        <v>77173.081073186622</v>
      </c>
      <c r="AJ34" s="27">
        <f t="shared" si="194"/>
        <v>10528.563635043978</v>
      </c>
      <c r="AK34" s="27">
        <f t="shared" si="11"/>
        <v>87703.282376822608</v>
      </c>
      <c r="AL34" s="27">
        <f t="shared" si="175"/>
        <v>77175.437301819024</v>
      </c>
      <c r="AM34" s="27">
        <f t="shared" si="246"/>
        <v>10527.845075003584</v>
      </c>
      <c r="AN34" s="409">
        <f>INDEX(Inv.Returns!$B$2:$E$32,MATCH(B34,Inv.Returns!$A$2:$A$32,0),MATCH(SCRS!$DU$52,Inv.Returns!$B$1:$E$1,0))</f>
        <v>7.0000000000000007E-2</v>
      </c>
      <c r="AO34" s="27">
        <f t="shared" si="41"/>
        <v>732.17934138470446</v>
      </c>
      <c r="AP34" s="223">
        <f t="shared" si="12"/>
        <v>730.54167279269313</v>
      </c>
      <c r="AQ34" s="67">
        <f t="shared" si="22"/>
        <v>0.99172059617173269</v>
      </c>
      <c r="AR34" s="146">
        <f t="shared" si="23"/>
        <v>0.99173911474886778</v>
      </c>
      <c r="AS34" s="346"/>
      <c r="AT34" s="283">
        <f t="shared" si="176"/>
        <v>0.10950000000000001</v>
      </c>
      <c r="AU34" s="390">
        <f t="shared" si="109"/>
        <v>0.10949999999999999</v>
      </c>
      <c r="AV34" s="296">
        <f t="shared" si="110"/>
        <v>0</v>
      </c>
      <c r="AW34" s="296">
        <f t="shared" si="111"/>
        <v>0</v>
      </c>
      <c r="AX34" s="111">
        <f t="shared" si="82"/>
        <v>0.09</v>
      </c>
      <c r="AY34" s="111">
        <f t="shared" si="112"/>
        <v>0.09</v>
      </c>
      <c r="AZ34" s="111">
        <f t="shared" si="113"/>
        <v>0</v>
      </c>
      <c r="BA34" s="256">
        <f t="shared" si="24"/>
        <v>1.9500000000000017E-2</v>
      </c>
      <c r="BB34" s="111">
        <f t="shared" si="114"/>
        <v>1.949999999999999E-2</v>
      </c>
      <c r="BC34" s="128">
        <f t="shared" si="83"/>
        <v>0.1356</v>
      </c>
      <c r="BD34" s="128">
        <f t="shared" si="104"/>
        <v>0.1356</v>
      </c>
      <c r="BE34" s="402">
        <f t="shared" si="15"/>
        <v>0.11609999999999998</v>
      </c>
      <c r="BF34" s="402">
        <f t="shared" si="115"/>
        <v>0.11610000000000001</v>
      </c>
      <c r="BG34" s="402">
        <f t="shared" si="177"/>
        <v>8.5599999999999996E-2</v>
      </c>
      <c r="BH34" s="402">
        <f t="shared" si="26"/>
        <v>0.1356</v>
      </c>
      <c r="BI34" s="152">
        <f t="shared" si="42"/>
        <v>0.28118228228344971</v>
      </c>
      <c r="BJ34" s="100">
        <f t="shared" si="43"/>
        <v>4.1869522882181265E-2</v>
      </c>
      <c r="BK34" s="27">
        <f t="shared" si="67"/>
        <v>0.27706208010994676</v>
      </c>
      <c r="BL34" s="27">
        <f t="shared" si="17"/>
        <v>20</v>
      </c>
      <c r="BM34" s="107">
        <f t="shared" si="31"/>
        <v>0.24952497622107106</v>
      </c>
      <c r="BN34" s="27"/>
      <c r="BO34" s="27"/>
      <c r="BP34" s="92">
        <f t="shared" si="178"/>
        <v>-5121.1308065767353</v>
      </c>
      <c r="BQ34" s="27">
        <f t="shared" si="195"/>
        <v>-517.56961597179702</v>
      </c>
      <c r="BR34" s="27">
        <f t="shared" si="179"/>
        <v>-199.37118098035373</v>
      </c>
      <c r="BS34" s="27">
        <f t="shared" si="116"/>
        <v>-20.149546940555997</v>
      </c>
      <c r="BT34" s="27">
        <f t="shared" si="180"/>
        <v>-9.6602152988922949</v>
      </c>
      <c r="BU34" s="27">
        <f t="shared" si="196"/>
        <v>-19.613164394720723</v>
      </c>
      <c r="BV34" s="297">
        <f t="shared" si="181"/>
        <v>483.01076494461472</v>
      </c>
      <c r="BW34" s="297">
        <f t="shared" si="197"/>
        <v>980.65821973603624</v>
      </c>
      <c r="BX34" s="297">
        <f t="shared" si="198"/>
        <v>0</v>
      </c>
      <c r="BY34" s="297">
        <f t="shared" si="182"/>
        <v>66.268632289368909</v>
      </c>
      <c r="BZ34" s="297">
        <f t="shared" si="84"/>
        <v>104.65233240466648</v>
      </c>
      <c r="CA34" s="297">
        <f t="shared" si="199"/>
        <v>212.47594760947459</v>
      </c>
      <c r="CB34" s="297">
        <f t="shared" si="183"/>
        <v>2627.2912774185593</v>
      </c>
      <c r="CC34" s="297">
        <f t="shared" si="200"/>
        <v>0</v>
      </c>
      <c r="CD34" s="297">
        <f t="shared" si="201"/>
        <v>-3.2445244583648343E-2</v>
      </c>
      <c r="CE34" s="297"/>
      <c r="CF34" s="297">
        <f t="shared" si="184"/>
        <v>0</v>
      </c>
      <c r="CG34" s="297">
        <f t="shared" si="202"/>
        <v>0</v>
      </c>
      <c r="CH34" s="297">
        <f t="shared" si="185"/>
        <v>0</v>
      </c>
      <c r="CI34" s="427">
        <f>IF(AND($DU$74="Yes",MAX($AQ$13:AQ33)&lt;100%),MAX(BD32*(G34+Q34)-SUM(BZ34:CH34,CJ34,CY34),0),0)</f>
        <v>0</v>
      </c>
      <c r="CJ34" s="27"/>
      <c r="CK34" s="27">
        <f t="shared" si="44"/>
        <v>0</v>
      </c>
      <c r="CL34" s="27">
        <f t="shared" si="45"/>
        <v>0</v>
      </c>
      <c r="CM34" s="27">
        <f t="shared" si="46"/>
        <v>0</v>
      </c>
      <c r="CN34" s="27">
        <f t="shared" si="47"/>
        <v>4474.3247291581365</v>
      </c>
      <c r="CO34" s="27">
        <f t="shared" si="48"/>
        <v>0</v>
      </c>
      <c r="CP34" s="107">
        <f t="shared" si="4"/>
        <v>4474.3247291581365</v>
      </c>
      <c r="CQ34" s="27">
        <f t="shared" si="117"/>
        <v>2627.2588321739754</v>
      </c>
      <c r="CR34" s="27">
        <f t="shared" si="118"/>
        <v>0</v>
      </c>
      <c r="CS34" s="27">
        <f t="shared" si="186"/>
        <v>2627.2588321739754</v>
      </c>
      <c r="CT34" s="27">
        <f>SUM($CS$14:CS34)</f>
        <v>42669.756735381095</v>
      </c>
      <c r="CU34" s="223">
        <v>2862.1672440042485</v>
      </c>
      <c r="CV34" s="417">
        <v>583.16346137731819</v>
      </c>
      <c r="CW34" s="417">
        <v>3445.3307053815665</v>
      </c>
      <c r="CX34" s="417">
        <v>55627.315252485292</v>
      </c>
      <c r="CY34" s="103">
        <f t="shared" si="49"/>
        <v>143.49695928241678</v>
      </c>
      <c r="CZ34" s="111">
        <f t="shared" si="101"/>
        <v>0.1554102287081652</v>
      </c>
      <c r="DA34" s="92">
        <f t="shared" si="50"/>
        <v>3087.8840714705334</v>
      </c>
      <c r="DB34" s="410">
        <f t="shared" si="51"/>
        <v>1978.7669756228563</v>
      </c>
      <c r="DC34" s="307">
        <f t="shared" si="52"/>
        <v>1574.8767701047566</v>
      </c>
      <c r="DD34" s="307">
        <f t="shared" si="53"/>
        <v>190.0984993261124</v>
      </c>
      <c r="DE34" s="307">
        <f t="shared" si="54"/>
        <v>0</v>
      </c>
      <c r="DF34" s="307">
        <f t="shared" si="55"/>
        <v>30980.714618807782</v>
      </c>
      <c r="DG34" s="307" t="b">
        <f t="shared" si="68"/>
        <v>0</v>
      </c>
      <c r="DH34" s="27">
        <f t="shared" si="56"/>
        <v>143.49695928241678</v>
      </c>
      <c r="DI34" s="96">
        <f t="shared" si="57"/>
        <v>86.017420509553133</v>
      </c>
      <c r="DJ34" s="101">
        <f t="shared" si="58"/>
        <v>8.9920602347869239E-3</v>
      </c>
      <c r="DK34" s="92">
        <f t="shared" si="59"/>
        <v>0</v>
      </c>
      <c r="DL34" s="96">
        <f t="shared" si="60"/>
        <v>0</v>
      </c>
      <c r="DM34" s="101">
        <f t="shared" si="61"/>
        <v>0</v>
      </c>
      <c r="DN34" s="292">
        <v>3120.6216062018852</v>
      </c>
      <c r="DO34" s="96">
        <f t="shared" si="62"/>
        <v>1999.7457271207566</v>
      </c>
      <c r="DP34" s="294">
        <v>1.0692749331691298</v>
      </c>
      <c r="DQ34" s="29"/>
      <c r="DR34" s="53" t="s">
        <v>89</v>
      </c>
      <c r="DS34" s="34"/>
      <c r="DT34" s="197" t="s">
        <v>142</v>
      </c>
      <c r="DU34" s="263" t="s">
        <v>139</v>
      </c>
      <c r="DV34" s="29"/>
      <c r="DW34" s="320"/>
      <c r="DX34" s="321"/>
      <c r="DY34" s="321"/>
      <c r="DZ34" s="321"/>
      <c r="EA34" s="321"/>
      <c r="EB34" s="321"/>
      <c r="EC34" s="321"/>
      <c r="ED34" s="321"/>
      <c r="EE34" s="321"/>
      <c r="EF34" s="321"/>
      <c r="EG34" s="321"/>
      <c r="EH34" s="321"/>
      <c r="EI34" s="322"/>
      <c r="EJ34" s="323"/>
      <c r="EK34" s="332">
        <f t="shared" si="69"/>
        <v>0.11609999999999998</v>
      </c>
      <c r="EL34" s="332">
        <f t="shared" si="63"/>
        <v>1.9500000000000017E-2</v>
      </c>
      <c r="EM34" s="332" t="e">
        <f t="shared" si="70"/>
        <v>#DIV/0!</v>
      </c>
      <c r="EN34" s="332">
        <f t="shared" si="64"/>
        <v>0</v>
      </c>
      <c r="EO34" s="332">
        <v>0.12559999999999999</v>
      </c>
      <c r="EP34" s="332">
        <v>0.14421816042371446</v>
      </c>
      <c r="EQ34" s="333" t="e">
        <f t="shared" si="71"/>
        <v>#DIV/0!</v>
      </c>
      <c r="ER34" s="277"/>
      <c r="ES34" s="30">
        <v>25</v>
      </c>
      <c r="ET34" s="29">
        <f t="shared" si="85"/>
        <v>5115.802412287213</v>
      </c>
      <c r="EU34" s="29">
        <f t="shared" si="86"/>
        <v>5117.0152956153797</v>
      </c>
      <c r="EV34" s="29">
        <f t="shared" si="72"/>
        <v>1.2128833281667539</v>
      </c>
      <c r="EW34" s="29">
        <f t="shared" si="73"/>
        <v>0.97030666253340314</v>
      </c>
      <c r="EX34" s="29">
        <f t="shared" si="87"/>
        <v>0.71323755258963506</v>
      </c>
      <c r="EY34" s="29">
        <f t="shared" si="102"/>
        <v>0.45524291999463451</v>
      </c>
      <c r="EZ34" s="29">
        <f t="shared" si="105"/>
        <v>0.21744149728929188</v>
      </c>
      <c r="FA34" s="29">
        <f t="shared" si="74"/>
        <v>2.3562286324069648</v>
      </c>
      <c r="FB34" s="29"/>
      <c r="FC34" s="29">
        <f t="shared" si="247"/>
        <v>667.96595400944875</v>
      </c>
      <c r="FD34" s="29">
        <f t="shared" si="248"/>
        <v>667.58960604310573</v>
      </c>
      <c r="FE34" s="29">
        <f t="shared" si="203"/>
        <v>-0.37634796634301892</v>
      </c>
      <c r="FF34" s="29">
        <f t="shared" si="204"/>
        <v>-0.30107837307441515</v>
      </c>
      <c r="FG34" s="29">
        <f t="shared" si="205"/>
        <v>-0.21594797710126842</v>
      </c>
      <c r="FH34" s="29">
        <f t="shared" si="206"/>
        <v>-0.13687449608853514</v>
      </c>
      <c r="FI34" s="29">
        <f t="shared" si="207"/>
        <v>-6.46591941303086E-2</v>
      </c>
      <c r="FJ34" s="29">
        <f t="shared" si="208"/>
        <v>-0.71856004039452726</v>
      </c>
      <c r="FK34" s="29"/>
      <c r="FL34" s="29"/>
      <c r="FM34" s="27">
        <f t="shared" si="27"/>
        <v>3288.2732351481973</v>
      </c>
      <c r="FN34" s="29"/>
      <c r="FO34" s="301">
        <f t="shared" si="119"/>
        <v>2627.2912774185593</v>
      </c>
      <c r="FP34" s="89">
        <f t="shared" si="209"/>
        <v>-3.2445244583648343E-2</v>
      </c>
      <c r="FQ34" s="27">
        <f t="shared" si="103"/>
        <v>20</v>
      </c>
      <c r="FR34" s="302">
        <f t="shared" si="88"/>
        <v>13.464518542443937</v>
      </c>
      <c r="FS34" s="89">
        <f t="shared" si="89"/>
        <v>244.21766175913666</v>
      </c>
      <c r="FT34" s="89">
        <f t="shared" si="210"/>
        <v>2627.2588321739754</v>
      </c>
      <c r="FU34" s="29">
        <f t="shared" si="90"/>
        <v>20</v>
      </c>
      <c r="FV34" s="137">
        <f t="shared" si="91"/>
        <v>13.464518542443937</v>
      </c>
      <c r="FW34" s="48">
        <v>2748.2379153561178</v>
      </c>
      <c r="FX34" s="29">
        <f t="shared" si="120"/>
        <v>-68.627852421058378</v>
      </c>
      <c r="FY34" s="29">
        <f t="shared" si="121"/>
        <v>-71.472949632592304</v>
      </c>
      <c r="FZ34" s="29">
        <f t="shared" si="266"/>
        <v>-69.112399402545634</v>
      </c>
      <c r="GA34" s="29">
        <f t="shared" si="267"/>
        <v>-66.65484970577451</v>
      </c>
      <c r="GB34" s="29">
        <f t="shared" si="268"/>
        <v>-64.095016309420188</v>
      </c>
      <c r="GC34" s="29">
        <f t="shared" si="269"/>
        <v>-61.42863612216955</v>
      </c>
      <c r="GD34" s="29">
        <f t="shared" si="270"/>
        <v>-58.652536182972092</v>
      </c>
      <c r="GE34" s="29">
        <f t="shared" si="271"/>
        <v>-55.754900477545618</v>
      </c>
      <c r="GF34" s="29">
        <f t="shared" si="272"/>
        <v>-52.74255258356046</v>
      </c>
      <c r="GG34" s="29">
        <f t="shared" si="273"/>
        <v>-49.605960425445588</v>
      </c>
      <c r="GH34" s="29">
        <f t="shared" si="274"/>
        <v>-46.334363404910555</v>
      </c>
      <c r="GI34" s="29">
        <f t="shared" si="275"/>
        <v>-42.921754075167755</v>
      </c>
      <c r="GJ34" s="29">
        <f t="shared" si="276"/>
        <v>-39.35758668355016</v>
      </c>
      <c r="GK34" s="29">
        <f t="shared" si="277"/>
        <v>-35.641781415725355</v>
      </c>
      <c r="GL34" s="29">
        <f t="shared" si="278"/>
        <v>-31.767232248763779</v>
      </c>
      <c r="GM34" s="29">
        <f t="shared" si="279"/>
        <v>-17.443169762489525</v>
      </c>
      <c r="GN34" s="29">
        <f t="shared" si="280"/>
        <v>-679.32001138950568</v>
      </c>
      <c r="GO34" s="29">
        <f t="shared" si="251"/>
        <v>-377.43548994775102</v>
      </c>
      <c r="GP34" s="29">
        <f t="shared" si="252"/>
        <v>-283.64778506043103</v>
      </c>
      <c r="GQ34" s="29">
        <f t="shared" si="253"/>
        <v>-244.75934313816808</v>
      </c>
      <c r="GR34" s="29">
        <f t="shared" si="254"/>
        <v>3149.1551251914302</v>
      </c>
      <c r="GS34" s="29">
        <f t="shared" si="255"/>
        <v>0</v>
      </c>
      <c r="GT34" s="29">
        <f t="shared" si="256"/>
        <v>0</v>
      </c>
      <c r="GU34" s="29">
        <f t="shared" si="257"/>
        <v>0</v>
      </c>
      <c r="GV34" s="29">
        <f t="shared" si="258"/>
        <v>0</v>
      </c>
      <c r="GW34" s="29">
        <f t="shared" si="259"/>
        <v>0</v>
      </c>
      <c r="GX34" s="29">
        <f t="shared" si="260"/>
        <v>0</v>
      </c>
      <c r="GY34" s="29">
        <f t="shared" si="261"/>
        <v>0</v>
      </c>
      <c r="GZ34" s="29">
        <f t="shared" si="262"/>
        <v>0</v>
      </c>
      <c r="HA34" s="29">
        <f t="shared" si="263"/>
        <v>0</v>
      </c>
      <c r="HB34" s="29">
        <f t="shared" si="264"/>
        <v>0</v>
      </c>
      <c r="HC34" s="29">
        <f t="shared" si="265"/>
        <v>0</v>
      </c>
      <c r="HD34" s="29"/>
      <c r="HE34" s="29">
        <f t="shared" si="32"/>
        <v>20</v>
      </c>
      <c r="HF34" s="29">
        <f t="shared" si="317"/>
        <v>0</v>
      </c>
      <c r="HG34" s="29">
        <f t="shared" si="318"/>
        <v>-5.3082439901055158</v>
      </c>
      <c r="HH34" s="29">
        <f t="shared" si="319"/>
        <v>-5.307740600494057</v>
      </c>
      <c r="HI34" s="29">
        <f t="shared" si="126"/>
        <v>-5.3073244823052841</v>
      </c>
      <c r="HJ34" s="29">
        <f t="shared" si="127"/>
        <v>-5.3069078098689486</v>
      </c>
      <c r="HK34" s="29">
        <f t="shared" si="128"/>
        <v>-5.3064914450795939</v>
      </c>
      <c r="HL34" s="29">
        <f t="shared" si="129"/>
        <v>-5.3061911858284727</v>
      </c>
      <c r="HM34" s="29">
        <f t="shared" si="130"/>
        <v>-5.3053421051758054</v>
      </c>
      <c r="HN34" s="29">
        <f t="shared" si="131"/>
        <v>-5.3050234643478413</v>
      </c>
      <c r="HO34" s="29">
        <f t="shared" si="132"/>
        <v>-5.3048515519871051</v>
      </c>
      <c r="HP34" s="29">
        <f t="shared" si="133"/>
        <v>-5.3042267402137382</v>
      </c>
      <c r="HQ34" s="29">
        <f t="shared" si="134"/>
        <v>-5.3029764921202798</v>
      </c>
      <c r="HR34" s="29">
        <f t="shared" si="135"/>
        <v>-5.3002760425726185</v>
      </c>
      <c r="HS34" s="29">
        <f t="shared" si="136"/>
        <v>-5.2965341476888126</v>
      </c>
      <c r="HT34" s="29">
        <f t="shared" si="137"/>
        <v>-5.291185205522754</v>
      </c>
      <c r="HU34" s="29">
        <f t="shared" si="138"/>
        <v>-3.3237963773974837</v>
      </c>
      <c r="HV34" s="29">
        <f t="shared" si="139"/>
        <v>-152.29743274318793</v>
      </c>
      <c r="HW34" s="29">
        <f t="shared" si="140"/>
        <v>-103.6902899092433</v>
      </c>
      <c r="HX34" s="29">
        <f t="shared" si="141"/>
        <v>-101.84034239814852</v>
      </c>
      <c r="HY34" s="29">
        <f t="shared" si="142"/>
        <v>-129.18631642081812</v>
      </c>
      <c r="HZ34" s="29">
        <f t="shared" si="143"/>
        <v>3257.511391030861</v>
      </c>
      <c r="IA34" s="29">
        <f t="shared" si="144"/>
        <v>0</v>
      </c>
      <c r="IB34" s="29">
        <f t="shared" si="145"/>
        <v>0</v>
      </c>
      <c r="IC34" s="29">
        <f t="shared" si="146"/>
        <v>0</v>
      </c>
      <c r="ID34" s="29">
        <f t="shared" si="147"/>
        <v>0</v>
      </c>
      <c r="IE34" s="29">
        <f t="shared" si="148"/>
        <v>0</v>
      </c>
      <c r="IF34" s="29">
        <f t="shared" si="149"/>
        <v>0</v>
      </c>
      <c r="IG34" s="29">
        <f t="shared" si="150"/>
        <v>0</v>
      </c>
      <c r="IH34" s="29">
        <f t="shared" si="151"/>
        <v>0</v>
      </c>
      <c r="II34" s="29">
        <f t="shared" si="152"/>
        <v>0</v>
      </c>
      <c r="IJ34" s="29">
        <f t="shared" si="153"/>
        <v>0</v>
      </c>
      <c r="IK34" s="29">
        <f t="shared" si="154"/>
        <v>0</v>
      </c>
      <c r="IL34" s="48"/>
      <c r="IM34" s="48"/>
      <c r="IN34" s="48"/>
      <c r="IO34" s="29">
        <f t="shared" si="211"/>
        <v>1.2499973368845674E-2</v>
      </c>
      <c r="IP34" s="29">
        <f t="shared" si="249"/>
        <v>8.0573025871843625E-3</v>
      </c>
      <c r="IQ34" s="29">
        <f t="shared" si="302"/>
        <v>2.8251062862722802E-3</v>
      </c>
      <c r="IR34" s="29">
        <f t="shared" si="303"/>
        <v>-8.4689530606110611E-4</v>
      </c>
      <c r="IS34" s="29">
        <f t="shared" si="304"/>
        <v>-4.2320518164781209E-3</v>
      </c>
      <c r="IT34" s="29">
        <f t="shared" si="305"/>
        <v>-7.3058085578847015E-3</v>
      </c>
      <c r="IU34" s="29">
        <f t="shared" si="306"/>
        <v>-8.7089520223911504E-3</v>
      </c>
      <c r="IV34" s="29">
        <f t="shared" si="307"/>
        <v>-1.6137414042597505E-2</v>
      </c>
      <c r="IW34" s="29">
        <f t="shared" si="308"/>
        <v>-1.7010435482216611E-2</v>
      </c>
      <c r="IX34" s="29">
        <f t="shared" si="309"/>
        <v>-1.6217688547077634E-2</v>
      </c>
      <c r="IY34" s="29">
        <f t="shared" si="310"/>
        <v>-1.9706576603117695E-2</v>
      </c>
      <c r="IZ34" s="29">
        <f t="shared" si="311"/>
        <v>-1.7098175946477879E-2</v>
      </c>
      <c r="JA34" s="29">
        <f t="shared" si="312"/>
        <v>-1.842281087207449E-2</v>
      </c>
      <c r="JB34" s="29">
        <f t="shared" si="313"/>
        <v>-1.9239056349545994E-2</v>
      </c>
      <c r="JC34" s="29">
        <f t="shared" si="314"/>
        <v>-2.039592381621191E-2</v>
      </c>
      <c r="JD34" s="29">
        <f t="shared" si="315"/>
        <v>-2.0796341796016943E-2</v>
      </c>
      <c r="JE34" s="29">
        <f t="shared" si="316"/>
        <v>-1.8210192319307011E-2</v>
      </c>
      <c r="JF34" s="29">
        <f t="shared" si="285"/>
        <v>-1.343391401424875E-2</v>
      </c>
      <c r="JG34" s="29">
        <f t="shared" si="286"/>
        <v>-5.2335619328580073E-3</v>
      </c>
      <c r="JH34" s="29">
        <f t="shared" si="287"/>
        <v>0</v>
      </c>
      <c r="JI34" s="29">
        <f t="shared" si="288"/>
        <v>0</v>
      </c>
      <c r="JJ34" s="29">
        <f t="shared" si="289"/>
        <v>0</v>
      </c>
      <c r="JK34" s="29">
        <f t="shared" si="290"/>
        <v>0</v>
      </c>
      <c r="JL34" s="29">
        <f t="shared" si="291"/>
        <v>0</v>
      </c>
      <c r="JM34" s="29">
        <f t="shared" si="292"/>
        <v>0</v>
      </c>
      <c r="JN34" s="29">
        <f t="shared" si="293"/>
        <v>0</v>
      </c>
      <c r="JO34" s="29">
        <f t="shared" si="294"/>
        <v>0</v>
      </c>
      <c r="JP34" s="29">
        <f t="shared" si="295"/>
        <v>0</v>
      </c>
      <c r="JQ34" s="29">
        <f t="shared" si="296"/>
        <v>0</v>
      </c>
      <c r="JR34" s="29">
        <f t="shared" si="297"/>
        <v>0</v>
      </c>
      <c r="JS34" s="29">
        <f t="shared" si="298"/>
        <v>0</v>
      </c>
      <c r="JT34" s="29">
        <f t="shared" si="299"/>
        <v>0</v>
      </c>
      <c r="JU34" s="48"/>
      <c r="JV34" s="394">
        <f t="shared" si="213"/>
        <v>20</v>
      </c>
      <c r="JW34" s="29">
        <f t="shared" si="214"/>
        <v>0</v>
      </c>
      <c r="JX34" s="29">
        <f t="shared" si="215"/>
        <v>5.9841000343127649E-4</v>
      </c>
      <c r="JY34" s="29">
        <f t="shared" si="216"/>
        <v>2.1696441544476395E-4</v>
      </c>
      <c r="JZ34" s="29">
        <f t="shared" si="217"/>
        <v>-6.7433175705115147E-5</v>
      </c>
      <c r="KA34" s="29">
        <f t="shared" si="218"/>
        <v>-3.5040335629553377E-4</v>
      </c>
      <c r="KB34" s="29">
        <f t="shared" si="219"/>
        <v>-6.3110974065421312E-4</v>
      </c>
      <c r="KC34" s="29">
        <f t="shared" si="220"/>
        <v>-7.8788348239288894E-4</v>
      </c>
      <c r="KD34" s="29">
        <f t="shared" si="221"/>
        <v>-1.5355511615221644E-3</v>
      </c>
      <c r="KE34" s="29">
        <f t="shared" si="222"/>
        <v>-1.7109668560118516E-3</v>
      </c>
      <c r="KF34" s="29">
        <f t="shared" si="223"/>
        <v>-1.7343163910294457E-3</v>
      </c>
      <c r="KG34" s="29">
        <f t="shared" si="224"/>
        <v>-2.2559530960395003E-3</v>
      </c>
      <c r="KH34" s="29">
        <f t="shared" si="225"/>
        <v>-2.1124771588672364E-3</v>
      </c>
      <c r="KI34" s="29">
        <f t="shared" si="226"/>
        <v>-2.4809951861940452E-3</v>
      </c>
      <c r="KJ34" s="29">
        <f t="shared" si="227"/>
        <v>-2.8590130705341411E-3</v>
      </c>
      <c r="KK34" s="29">
        <f t="shared" si="228"/>
        <v>-3.3971675437198122E-3</v>
      </c>
      <c r="KL34" s="29">
        <f t="shared" si="229"/>
        <v>-3.9627433812726735E-3</v>
      </c>
      <c r="KM34" s="29">
        <f t="shared" si="230"/>
        <v>-4.0825612281278675E-3</v>
      </c>
      <c r="KN34" s="29">
        <f t="shared" si="231"/>
        <v>-3.6906080001807193E-3</v>
      </c>
      <c r="KO34" s="29">
        <f t="shared" si="232"/>
        <v>-1.8790477743043988E-3</v>
      </c>
      <c r="KP34" s="29">
        <f t="shared" si="233"/>
        <v>0</v>
      </c>
      <c r="KQ34" s="29">
        <f t="shared" si="234"/>
        <v>0</v>
      </c>
      <c r="KR34" s="29">
        <f t="shared" si="235"/>
        <v>0</v>
      </c>
      <c r="KS34" s="29">
        <f t="shared" si="236"/>
        <v>0</v>
      </c>
      <c r="KT34" s="29">
        <f t="shared" si="237"/>
        <v>0</v>
      </c>
      <c r="KU34" s="29">
        <f t="shared" si="238"/>
        <v>0</v>
      </c>
      <c r="KV34" s="29">
        <f t="shared" si="239"/>
        <v>0</v>
      </c>
      <c r="KW34" s="29">
        <f t="shared" si="240"/>
        <v>0</v>
      </c>
      <c r="KX34" s="29">
        <f t="shared" si="241"/>
        <v>0</v>
      </c>
      <c r="KY34" s="29">
        <f t="shared" si="242"/>
        <v>0</v>
      </c>
      <c r="KZ34" s="29">
        <f t="shared" si="243"/>
        <v>0</v>
      </c>
      <c r="LA34" s="29">
        <f t="shared" si="244"/>
        <v>0</v>
      </c>
      <c r="LB34" s="29">
        <f t="shared" si="245"/>
        <v>0</v>
      </c>
      <c r="LC34" s="48"/>
      <c r="LD34" s="48"/>
      <c r="LE34" s="48"/>
      <c r="LF34" s="48"/>
      <c r="LG34" s="48"/>
      <c r="LH34" s="48"/>
      <c r="LI34" s="48"/>
      <c r="LJ34" s="48"/>
      <c r="LK34" s="48"/>
      <c r="LL34" s="48"/>
      <c r="LM34" s="48"/>
      <c r="LN34" s="48"/>
      <c r="LO34" s="48"/>
      <c r="LP34" s="46">
        <f t="shared" si="33"/>
        <v>0.14539930678955831</v>
      </c>
      <c r="LQ34" s="47">
        <f t="shared" si="34"/>
        <v>0.53039017998319882</v>
      </c>
      <c r="LR34" s="28"/>
      <c r="LS34" s="48"/>
      <c r="LT34" s="28"/>
      <c r="LU34" s="161">
        <v>5.7330000000000013E-2</v>
      </c>
      <c r="LV34" s="111">
        <f t="shared" si="75"/>
        <v>9.2945511100701279E-18</v>
      </c>
      <c r="LW34" s="152">
        <f t="shared" si="18"/>
        <v>1.2050409106634529E-13</v>
      </c>
      <c r="LX34" s="223" t="e">
        <f>LX33*(1+#REF!)</f>
        <v>#REF!</v>
      </c>
      <c r="LY34" s="153"/>
      <c r="LZ34" s="124">
        <f t="shared" si="76"/>
        <v>-508.58875775976048</v>
      </c>
      <c r="MA34" s="125">
        <f t="shared" si="77"/>
        <v>-576.50904214575712</v>
      </c>
      <c r="MB34" s="28"/>
      <c r="MC34" s="374">
        <f t="shared" si="300"/>
        <v>4.7500000000000007E-2</v>
      </c>
      <c r="MD34" s="387">
        <f t="shared" si="187"/>
        <v>-608.9054305550552</v>
      </c>
      <c r="ME34" s="152">
        <f t="shared" si="188"/>
        <v>-5730.0362371317906</v>
      </c>
      <c r="MF34" s="28"/>
      <c r="MG34" s="374">
        <f t="shared" si="301"/>
        <v>4.7500000000000007E-2</v>
      </c>
      <c r="MH34" s="387">
        <f t="shared" si="189"/>
        <v>-23.70534934183058</v>
      </c>
      <c r="MI34" s="152">
        <f t="shared" si="155"/>
        <v>-223.07653032218431</v>
      </c>
      <c r="MJ34" s="28"/>
      <c r="MK34" s="28"/>
      <c r="MP34" s="28"/>
      <c r="MQ34" s="28"/>
      <c r="MR34" s="28"/>
      <c r="MS34" s="28"/>
      <c r="MT34" s="28"/>
      <c r="MU34" s="28"/>
      <c r="MV34" s="28"/>
      <c r="MW34" s="28"/>
    </row>
    <row r="35" spans="1:361" s="30" customFormat="1" ht="12.75" customHeight="1" x14ac:dyDescent="0.3">
      <c r="A35" s="298">
        <f t="shared" si="99"/>
        <v>2044</v>
      </c>
      <c r="B35" s="348">
        <f t="shared" si="2"/>
        <v>2042</v>
      </c>
      <c r="C35" s="26">
        <v>52048</v>
      </c>
      <c r="D35" s="92">
        <f t="shared" si="156"/>
        <v>5067.6801081291715</v>
      </c>
      <c r="E35" s="27">
        <f t="shared" si="106"/>
        <v>5067.6801081291715</v>
      </c>
      <c r="F35" s="107">
        <f t="shared" si="21"/>
        <v>13911.278728197718</v>
      </c>
      <c r="G35" s="27">
        <f t="shared" si="157"/>
        <v>19649.516957738932</v>
      </c>
      <c r="H35" s="27">
        <f t="shared" si="158"/>
        <v>5894.8550873216809</v>
      </c>
      <c r="I35" s="289">
        <f t="shared" si="159"/>
        <v>5010.6268242234291</v>
      </c>
      <c r="J35" s="68">
        <v>1505.8651279999999</v>
      </c>
      <c r="K35" s="290">
        <f t="shared" si="160"/>
        <v>3504.7616962234292</v>
      </c>
      <c r="L35" s="290">
        <f t="shared" si="107"/>
        <v>13754.661870417251</v>
      </c>
      <c r="M35" s="290">
        <f t="shared" si="161"/>
        <v>11691.462589854664</v>
      </c>
      <c r="N35" s="27">
        <f t="shared" si="162"/>
        <v>0</v>
      </c>
      <c r="O35" s="290">
        <f t="shared" si="163"/>
        <v>884.22826309825211</v>
      </c>
      <c r="P35" s="290">
        <f t="shared" si="108"/>
        <v>2063.1992805625873</v>
      </c>
      <c r="Q35" s="290">
        <f t="shared" si="164"/>
        <v>756.19872623535412</v>
      </c>
      <c r="R35" s="254">
        <f t="shared" si="3"/>
        <v>0.30000000000000004</v>
      </c>
      <c r="S35" s="251">
        <v>0.7</v>
      </c>
      <c r="T35" s="284">
        <f t="shared" si="165"/>
        <v>7.0000000000000007E-2</v>
      </c>
      <c r="U35" s="284">
        <f t="shared" si="166"/>
        <v>7.0000000000000007E-2</v>
      </c>
      <c r="V35" s="27">
        <f t="shared" si="5"/>
        <v>90338.919911714416</v>
      </c>
      <c r="W35" s="27">
        <f t="shared" si="167"/>
        <v>78399.302567884428</v>
      </c>
      <c r="X35" s="27">
        <f t="shared" si="190"/>
        <v>11939.617343829992</v>
      </c>
      <c r="Y35" s="27">
        <f t="shared" si="168"/>
        <v>539.64450896886331</v>
      </c>
      <c r="Z35" s="27">
        <f t="shared" si="191"/>
        <v>1259.1705209273473</v>
      </c>
      <c r="AA35" s="111">
        <f t="shared" si="169"/>
        <v>7.0000000000000007E-2</v>
      </c>
      <c r="AB35" s="111">
        <f t="shared" si="170"/>
        <v>7.0000000000000007E-2</v>
      </c>
      <c r="AC35" s="92">
        <f t="shared" si="7"/>
        <v>90338.919911714416</v>
      </c>
      <c r="AD35" s="27">
        <f t="shared" si="171"/>
        <v>78399.302567884428</v>
      </c>
      <c r="AE35" s="27">
        <f t="shared" si="192"/>
        <v>11939.617343829992</v>
      </c>
      <c r="AF35" s="145">
        <f t="shared" si="172"/>
        <v>539.64450896886331</v>
      </c>
      <c r="AG35" s="27">
        <f t="shared" si="193"/>
        <v>1259.1705209273473</v>
      </c>
      <c r="AH35" s="27">
        <f t="shared" si="173"/>
        <v>92411.537102707487</v>
      </c>
      <c r="AI35" s="27">
        <f t="shared" si="174"/>
        <v>80471.761996164845</v>
      </c>
      <c r="AJ35" s="27">
        <f t="shared" si="194"/>
        <v>11939.775106542647</v>
      </c>
      <c r="AK35" s="27">
        <f t="shared" si="11"/>
        <v>92413.184099379607</v>
      </c>
      <c r="AL35" s="27">
        <f t="shared" si="175"/>
        <v>80474.155877222089</v>
      </c>
      <c r="AM35" s="27">
        <f t="shared" si="246"/>
        <v>11939.028222157518</v>
      </c>
      <c r="AN35" s="409">
        <f>INDEX(Inv.Returns!$B$2:$E$32,MATCH(B35,Inv.Returns!$A$2:$A$32,0),MATCH(SCRS!$DU$52,Inv.Returns!$B$1:$E$1,0))</f>
        <v>7.0000000000000007E-2</v>
      </c>
      <c r="AO35" s="27">
        <f t="shared" si="41"/>
        <v>-2072.6171909930708</v>
      </c>
      <c r="AP35" s="223">
        <f t="shared" si="12"/>
        <v>-2074.2641876651905</v>
      </c>
      <c r="AQ35" s="67">
        <f t="shared" si="22"/>
        <v>1.0229426828770876</v>
      </c>
      <c r="AR35" s="146">
        <f t="shared" si="23"/>
        <v>1.0229609141850744</v>
      </c>
      <c r="AS35" s="346"/>
      <c r="AT35" s="283">
        <f t="shared" si="176"/>
        <v>0.1095</v>
      </c>
      <c r="AU35" s="390">
        <f t="shared" si="109"/>
        <v>0.10949999999999999</v>
      </c>
      <c r="AV35" s="296">
        <f t="shared" si="110"/>
        <v>-7.6521992147982913E-3</v>
      </c>
      <c r="AW35" s="296">
        <f t="shared" si="111"/>
        <v>-7.8562233734279198E-7</v>
      </c>
      <c r="AX35" s="111">
        <f t="shared" si="82"/>
        <v>0.09</v>
      </c>
      <c r="AY35" s="111">
        <f t="shared" si="112"/>
        <v>0.09</v>
      </c>
      <c r="AZ35" s="111">
        <f t="shared" si="113"/>
        <v>0</v>
      </c>
      <c r="BA35" s="256">
        <f t="shared" si="24"/>
        <v>1.9500000000000003E-2</v>
      </c>
      <c r="BB35" s="111">
        <f t="shared" si="114"/>
        <v>1.949999999999999E-2</v>
      </c>
      <c r="BC35" s="128">
        <f t="shared" si="83"/>
        <v>0.12559999999999999</v>
      </c>
      <c r="BD35" s="128">
        <f t="shared" si="104"/>
        <v>0.12559999999999999</v>
      </c>
      <c r="BE35" s="402">
        <f t="shared" si="15"/>
        <v>0.10609999999999999</v>
      </c>
      <c r="BF35" s="402">
        <f t="shared" si="115"/>
        <v>0.1061</v>
      </c>
      <c r="BG35" s="402">
        <f t="shared" si="177"/>
        <v>7.5599999999999987E-2</v>
      </c>
      <c r="BH35" s="402">
        <f t="shared" si="26"/>
        <v>0.12559999999999999</v>
      </c>
      <c r="BI35" s="152">
        <f t="shared" si="42"/>
        <v>0</v>
      </c>
      <c r="BJ35" s="100">
        <f t="shared" si="43"/>
        <v>4.1869522882181265E-2</v>
      </c>
      <c r="BK35" s="27">
        <f t="shared" si="67"/>
        <v>0</v>
      </c>
      <c r="BL35" s="27">
        <f t="shared" si="17"/>
        <v>20</v>
      </c>
      <c r="BM35" s="107">
        <f t="shared" si="31"/>
        <v>0.01</v>
      </c>
      <c r="BN35" s="27"/>
      <c r="BO35" s="27"/>
      <c r="BP35" s="92">
        <f t="shared" si="178"/>
        <v>-5134.327525579266</v>
      </c>
      <c r="BQ35" s="27">
        <f t="shared" si="195"/>
        <v>-584.5731294927333</v>
      </c>
      <c r="BR35" s="27">
        <f t="shared" si="179"/>
        <v>-199.88494357536916</v>
      </c>
      <c r="BS35" s="27">
        <f t="shared" si="116"/>
        <v>-22.758066450221055</v>
      </c>
      <c r="BT35" s="27">
        <f t="shared" si="180"/>
        <v>-9.0191282836021713</v>
      </c>
      <c r="BU35" s="27">
        <f t="shared" si="196"/>
        <v>-21.044632661738394</v>
      </c>
      <c r="BV35" s="297">
        <f t="shared" si="181"/>
        <v>450.9564141801086</v>
      </c>
      <c r="BW35" s="297">
        <f t="shared" si="197"/>
        <v>1052.2316330869196</v>
      </c>
      <c r="BX35" s="297">
        <f t="shared" si="198"/>
        <v>0</v>
      </c>
      <c r="BY35" s="297">
        <f t="shared" si="182"/>
        <v>68.057885361181874</v>
      </c>
      <c r="BZ35" s="297">
        <f t="shared" si="84"/>
        <v>97.707223072356896</v>
      </c>
      <c r="CA35" s="297">
        <f t="shared" si="199"/>
        <v>227.98352050216613</v>
      </c>
      <c r="CB35" s="297">
        <f t="shared" si="183"/>
        <v>2692.9198979187549</v>
      </c>
      <c r="CC35" s="297">
        <f t="shared" si="200"/>
        <v>0</v>
      </c>
      <c r="CD35" s="297">
        <f t="shared" si="201"/>
        <v>-3.2722856183975566E-2</v>
      </c>
      <c r="CE35" s="297"/>
      <c r="CF35" s="297">
        <f t="shared" si="184"/>
        <v>0</v>
      </c>
      <c r="CG35" s="297">
        <f t="shared" si="202"/>
        <v>0</v>
      </c>
      <c r="CH35" s="297">
        <f t="shared" si="185"/>
        <v>0</v>
      </c>
      <c r="CI35" s="427">
        <f>IF(AND($DU$74="Yes",MAX($AQ$13:AQ34)&lt;100%),MAX(BD33*(G35+Q35)-SUM(BZ35:CH35,CJ35,CY35),0),0)</f>
        <v>0</v>
      </c>
      <c r="CJ35" s="27"/>
      <c r="CK35" s="27">
        <f t="shared" si="44"/>
        <v>0</v>
      </c>
      <c r="CL35" s="27">
        <f t="shared" si="45"/>
        <v>0</v>
      </c>
      <c r="CM35" s="27">
        <f t="shared" si="46"/>
        <v>0</v>
      </c>
      <c r="CN35" s="27">
        <f t="shared" si="47"/>
        <v>4589.8238512653043</v>
      </c>
      <c r="CO35" s="27">
        <f t="shared" si="48"/>
        <v>0</v>
      </c>
      <c r="CP35" s="107">
        <f t="shared" si="4"/>
        <v>4589.8238512653043</v>
      </c>
      <c r="CQ35" s="27">
        <f t="shared" si="117"/>
        <v>2692.8871750625708</v>
      </c>
      <c r="CR35" s="27">
        <f t="shared" si="118"/>
        <v>0</v>
      </c>
      <c r="CS35" s="27">
        <f t="shared" si="186"/>
        <v>2692.8871750625708</v>
      </c>
      <c r="CT35" s="27">
        <f>SUM($CS$14:CS35)</f>
        <v>45362.643910443665</v>
      </c>
      <c r="CU35" s="223">
        <v>2951.6656345161919</v>
      </c>
      <c r="CV35" s="417">
        <v>600.65836521863775</v>
      </c>
      <c r="CW35" s="417">
        <v>3552.3239997348296</v>
      </c>
      <c r="CX35" s="417">
        <v>59179.63925222012</v>
      </c>
      <c r="CY35" s="103">
        <f t="shared" si="49"/>
        <v>147.37137718304197</v>
      </c>
      <c r="CZ35" s="111">
        <f t="shared" si="101"/>
        <v>0.15515012287986191</v>
      </c>
      <c r="DA35" s="92">
        <f t="shared" si="50"/>
        <v>3165.9492958201358</v>
      </c>
      <c r="DB35" s="410">
        <f t="shared" si="51"/>
        <v>1984.1491024460911</v>
      </c>
      <c r="DC35" s="307">
        <f t="shared" si="52"/>
        <v>1578.6961784904181</v>
      </c>
      <c r="DD35" s="307">
        <f t="shared" si="53"/>
        <v>190.93511863855016</v>
      </c>
      <c r="DE35" s="307">
        <f t="shared" si="54"/>
        <v>0</v>
      </c>
      <c r="DF35" s="307">
        <f t="shared" si="55"/>
        <v>30512.967442150657</v>
      </c>
      <c r="DG35" s="307" t="b">
        <f t="shared" si="68"/>
        <v>0</v>
      </c>
      <c r="DH35" s="27">
        <f t="shared" si="56"/>
        <v>147.37137718304197</v>
      </c>
      <c r="DI35" s="96">
        <f t="shared" si="57"/>
        <v>86.395981284411775</v>
      </c>
      <c r="DJ35" s="101">
        <f t="shared" si="58"/>
        <v>8.7644131402353515E-3</v>
      </c>
      <c r="DK35" s="92">
        <f t="shared" si="59"/>
        <v>0</v>
      </c>
      <c r="DL35" s="96">
        <f t="shared" si="60"/>
        <v>0</v>
      </c>
      <c r="DM35" s="101">
        <f t="shared" si="61"/>
        <v>0</v>
      </c>
      <c r="DN35" s="292">
        <v>2993.4819951580012</v>
      </c>
      <c r="DO35" s="96">
        <f t="shared" si="62"/>
        <v>1876.0611933118964</v>
      </c>
      <c r="DP35" s="294">
        <v>1.0997493659807147</v>
      </c>
      <c r="DQ35" s="29"/>
      <c r="DR35" s="53" t="s">
        <v>98</v>
      </c>
      <c r="DS35" s="42"/>
      <c r="DT35" s="42"/>
      <c r="DU35" s="300">
        <v>0.1077</v>
      </c>
      <c r="DV35" s="29"/>
      <c r="DW35" s="320"/>
      <c r="DX35" s="321"/>
      <c r="DY35" s="321"/>
      <c r="DZ35" s="321"/>
      <c r="EA35" s="321"/>
      <c r="EB35" s="321"/>
      <c r="EC35" s="321"/>
      <c r="ED35" s="321"/>
      <c r="EE35" s="321"/>
      <c r="EF35" s="321"/>
      <c r="EG35" s="321"/>
      <c r="EH35" s="321"/>
      <c r="EI35" s="322"/>
      <c r="EJ35" s="323"/>
      <c r="EK35" s="332" t="e">
        <f>IF(AND(#REF!="Fresh Start",A35&gt;2019),AV35,IF(BD35-(AT35-AX35)&lt;0,0,BD35-(AT35-AX35)))</f>
        <v>#REF!</v>
      </c>
      <c r="EL35" s="332">
        <f t="shared" si="63"/>
        <v>1.9500000000000003E-2</v>
      </c>
      <c r="EM35" s="332" t="e">
        <f t="shared" si="70"/>
        <v>#DIV/0!</v>
      </c>
      <c r="EN35" s="332">
        <f t="shared" si="64"/>
        <v>0</v>
      </c>
      <c r="EO35" s="332">
        <v>0.11560000000000001</v>
      </c>
      <c r="EP35" s="332">
        <v>0.1439788008272706</v>
      </c>
      <c r="EQ35" s="333" t="e">
        <f>SUM(EK35:EM35)</f>
        <v>#REF!</v>
      </c>
      <c r="ER35" s="277"/>
      <c r="ES35" s="334">
        <v>26</v>
      </c>
      <c r="ET35" s="29">
        <f t="shared" si="85"/>
        <v>5331.1049549356276</v>
      </c>
      <c r="EU35" s="29">
        <f t="shared" si="86"/>
        <v>5332.3087523089007</v>
      </c>
      <c r="EV35" s="29">
        <f t="shared" si="72"/>
        <v>1.2037973732731189</v>
      </c>
      <c r="EW35" s="29">
        <f t="shared" si="73"/>
        <v>0.96303789861849509</v>
      </c>
      <c r="EX35" s="29">
        <f t="shared" si="87"/>
        <v>0.72772999690005236</v>
      </c>
      <c r="EY35" s="29">
        <f t="shared" si="102"/>
        <v>0.47549170172642335</v>
      </c>
      <c r="EZ35" s="29">
        <f t="shared" si="105"/>
        <v>0.22762145999731725</v>
      </c>
      <c r="FA35" s="29">
        <f t="shared" si="74"/>
        <v>2.3938810572422882</v>
      </c>
      <c r="FB35" s="29"/>
      <c r="FC35" s="29">
        <f t="shared" si="247"/>
        <v>759.76238632473837</v>
      </c>
      <c r="FD35" s="29">
        <f t="shared" si="248"/>
        <v>759.37654502572457</v>
      </c>
      <c r="FE35" s="29">
        <f t="shared" si="203"/>
        <v>-0.38584129901380493</v>
      </c>
      <c r="FF35" s="29">
        <f t="shared" si="204"/>
        <v>-0.30867303921104394</v>
      </c>
      <c r="FG35" s="29">
        <f t="shared" si="205"/>
        <v>-0.22580877980581138</v>
      </c>
      <c r="FH35" s="29">
        <f t="shared" si="206"/>
        <v>-0.14396531806751228</v>
      </c>
      <c r="FI35" s="29">
        <f t="shared" si="207"/>
        <v>-6.8437248044267568E-2</v>
      </c>
      <c r="FJ35" s="29">
        <f t="shared" si="208"/>
        <v>-0.7468843851286352</v>
      </c>
      <c r="FK35" s="29"/>
      <c r="FL35" s="29"/>
      <c r="FM35" s="27">
        <f t="shared" si="27"/>
        <v>732.17934138470446</v>
      </c>
      <c r="FN35" s="29"/>
      <c r="FO35" s="301">
        <f t="shared" si="119"/>
        <v>2692.9198979187549</v>
      </c>
      <c r="FP35" s="89">
        <f t="shared" si="209"/>
        <v>-3.2722856183975566E-2</v>
      </c>
      <c r="FQ35" s="27">
        <f t="shared" si="103"/>
        <v>20</v>
      </c>
      <c r="FR35" s="302">
        <f t="shared" si="88"/>
        <v>13.464518542443937</v>
      </c>
      <c r="FS35" s="89">
        <f t="shared" si="89"/>
        <v>54.378427203072278</v>
      </c>
      <c r="FT35" s="89">
        <f t="shared" si="210"/>
        <v>2692.8871750625708</v>
      </c>
      <c r="FU35" s="29">
        <f t="shared" si="90"/>
        <v>20</v>
      </c>
      <c r="FV35" s="137">
        <f t="shared" si="91"/>
        <v>13.464518542443937</v>
      </c>
      <c r="FW35" s="48">
        <v>-729.8625270850489</v>
      </c>
      <c r="FX35" s="29">
        <f t="shared" si="120"/>
        <v>-2072.4594282804173</v>
      </c>
      <c r="FY35" s="29">
        <f t="shared" si="121"/>
        <v>0</v>
      </c>
      <c r="FZ35" s="29">
        <f t="shared" si="266"/>
        <v>0</v>
      </c>
      <c r="GA35" s="29">
        <f t="shared" si="267"/>
        <v>0</v>
      </c>
      <c r="GB35" s="29">
        <f t="shared" si="268"/>
        <v>0</v>
      </c>
      <c r="GC35" s="29">
        <f t="shared" si="269"/>
        <v>0</v>
      </c>
      <c r="GD35" s="29">
        <f t="shared" si="270"/>
        <v>0</v>
      </c>
      <c r="GE35" s="29">
        <f t="shared" si="271"/>
        <v>0</v>
      </c>
      <c r="GF35" s="29">
        <f t="shared" si="272"/>
        <v>0</v>
      </c>
      <c r="GG35" s="29">
        <f t="shared" si="273"/>
        <v>0</v>
      </c>
      <c r="GH35" s="29">
        <f t="shared" si="274"/>
        <v>0</v>
      </c>
      <c r="GI35" s="29">
        <f t="shared" si="275"/>
        <v>0</v>
      </c>
      <c r="GJ35" s="29">
        <f t="shared" si="276"/>
        <v>0</v>
      </c>
      <c r="GK35" s="29">
        <f t="shared" si="277"/>
        <v>0</v>
      </c>
      <c r="GL35" s="29">
        <f t="shared" si="278"/>
        <v>0</v>
      </c>
      <c r="GM35" s="29">
        <f t="shared" si="279"/>
        <v>0</v>
      </c>
      <c r="GN35" s="29">
        <f t="shared" si="280"/>
        <v>0</v>
      </c>
      <c r="GO35" s="29">
        <f t="shared" si="251"/>
        <v>0</v>
      </c>
      <c r="GP35" s="29">
        <f t="shared" si="252"/>
        <v>0</v>
      </c>
      <c r="GQ35" s="29">
        <f t="shared" si="253"/>
        <v>0</v>
      </c>
      <c r="GR35" s="29">
        <f t="shared" si="254"/>
        <v>0</v>
      </c>
      <c r="GS35" s="29">
        <f t="shared" si="255"/>
        <v>0</v>
      </c>
      <c r="GT35" s="29">
        <f t="shared" si="256"/>
        <v>0</v>
      </c>
      <c r="GU35" s="29">
        <f t="shared" si="257"/>
        <v>0</v>
      </c>
      <c r="GV35" s="29">
        <f t="shared" si="258"/>
        <v>0</v>
      </c>
      <c r="GW35" s="29">
        <f t="shared" si="259"/>
        <v>0</v>
      </c>
      <c r="GX35" s="29">
        <f t="shared" si="260"/>
        <v>0</v>
      </c>
      <c r="GY35" s="29">
        <f t="shared" si="261"/>
        <v>0</v>
      </c>
      <c r="GZ35" s="29">
        <f t="shared" si="262"/>
        <v>0</v>
      </c>
      <c r="HA35" s="29">
        <f t="shared" si="263"/>
        <v>0</v>
      </c>
      <c r="HB35" s="29">
        <f t="shared" si="264"/>
        <v>0</v>
      </c>
      <c r="HC35" s="29">
        <f t="shared" si="265"/>
        <v>0</v>
      </c>
      <c r="HD35" s="29"/>
      <c r="HE35" s="29">
        <f t="shared" si="32"/>
        <v>20</v>
      </c>
      <c r="HF35" s="29">
        <f t="shared" si="317"/>
        <v>0</v>
      </c>
      <c r="HG35" s="29">
        <f t="shared" si="318"/>
        <v>0</v>
      </c>
      <c r="HH35" s="29">
        <f t="shared" si="319"/>
        <v>0</v>
      </c>
      <c r="HI35" s="29">
        <f t="shared" si="126"/>
        <v>0</v>
      </c>
      <c r="HJ35" s="29">
        <f t="shared" si="127"/>
        <v>0</v>
      </c>
      <c r="HK35" s="29">
        <f t="shared" si="128"/>
        <v>0</v>
      </c>
      <c r="HL35" s="29">
        <f t="shared" si="129"/>
        <v>0</v>
      </c>
      <c r="HM35" s="29">
        <f t="shared" si="130"/>
        <v>0</v>
      </c>
      <c r="HN35" s="29">
        <f t="shared" si="131"/>
        <v>0</v>
      </c>
      <c r="HO35" s="29">
        <f t="shared" si="132"/>
        <v>0</v>
      </c>
      <c r="HP35" s="29">
        <f t="shared" si="133"/>
        <v>0</v>
      </c>
      <c r="HQ35" s="29">
        <f t="shared" si="134"/>
        <v>0</v>
      </c>
      <c r="HR35" s="29">
        <f t="shared" si="135"/>
        <v>0</v>
      </c>
      <c r="HS35" s="29">
        <f t="shared" si="136"/>
        <v>0</v>
      </c>
      <c r="HT35" s="29">
        <f t="shared" si="137"/>
        <v>0</v>
      </c>
      <c r="HU35" s="29">
        <f t="shared" si="138"/>
        <v>0</v>
      </c>
      <c r="HV35" s="29">
        <f t="shared" si="139"/>
        <v>0</v>
      </c>
      <c r="HW35" s="29">
        <f t="shared" si="140"/>
        <v>0</v>
      </c>
      <c r="HX35" s="29">
        <f t="shared" si="141"/>
        <v>0</v>
      </c>
      <c r="HY35" s="29">
        <f t="shared" si="142"/>
        <v>0</v>
      </c>
      <c r="HZ35" s="29">
        <f t="shared" si="143"/>
        <v>0</v>
      </c>
      <c r="IA35" s="29">
        <f t="shared" si="144"/>
        <v>0</v>
      </c>
      <c r="IB35" s="29">
        <f t="shared" si="145"/>
        <v>0</v>
      </c>
      <c r="IC35" s="29">
        <f t="shared" si="146"/>
        <v>0</v>
      </c>
      <c r="ID35" s="29">
        <f t="shared" si="147"/>
        <v>0</v>
      </c>
      <c r="IE35" s="29">
        <f t="shared" si="148"/>
        <v>0</v>
      </c>
      <c r="IF35" s="29">
        <f t="shared" si="149"/>
        <v>0</v>
      </c>
      <c r="IG35" s="29">
        <f t="shared" si="150"/>
        <v>0</v>
      </c>
      <c r="IH35" s="29">
        <f t="shared" si="151"/>
        <v>0</v>
      </c>
      <c r="II35" s="29">
        <f t="shared" si="152"/>
        <v>0</v>
      </c>
      <c r="IJ35" s="29">
        <f t="shared" si="153"/>
        <v>0</v>
      </c>
      <c r="IK35" s="29">
        <f t="shared" si="154"/>
        <v>0</v>
      </c>
      <c r="IL35" s="48"/>
      <c r="IM35" s="48"/>
      <c r="IN35" s="48"/>
      <c r="IO35" s="29">
        <f t="shared" si="211"/>
        <v>-0.1577627126553125</v>
      </c>
      <c r="IP35" s="29">
        <f t="shared" si="249"/>
        <v>0</v>
      </c>
      <c r="IQ35" s="29">
        <f t="shared" si="302"/>
        <v>0</v>
      </c>
      <c r="IR35" s="29">
        <f t="shared" si="303"/>
        <v>0</v>
      </c>
      <c r="IS35" s="29">
        <f t="shared" si="304"/>
        <v>0</v>
      </c>
      <c r="IT35" s="29">
        <f t="shared" si="305"/>
        <v>0</v>
      </c>
      <c r="IU35" s="29">
        <f t="shared" si="306"/>
        <v>0</v>
      </c>
      <c r="IV35" s="29">
        <f t="shared" si="307"/>
        <v>0</v>
      </c>
      <c r="IW35" s="29">
        <f t="shared" si="308"/>
        <v>0</v>
      </c>
      <c r="IX35" s="29">
        <f t="shared" si="309"/>
        <v>0</v>
      </c>
      <c r="IY35" s="29">
        <f t="shared" si="310"/>
        <v>0</v>
      </c>
      <c r="IZ35" s="29">
        <f t="shared" si="311"/>
        <v>0</v>
      </c>
      <c r="JA35" s="29">
        <f t="shared" si="312"/>
        <v>0</v>
      </c>
      <c r="JB35" s="29">
        <f t="shared" si="313"/>
        <v>0</v>
      </c>
      <c r="JC35" s="29">
        <f t="shared" si="314"/>
        <v>0</v>
      </c>
      <c r="JD35" s="29">
        <f t="shared" si="315"/>
        <v>0</v>
      </c>
      <c r="JE35" s="29">
        <f t="shared" si="316"/>
        <v>0</v>
      </c>
      <c r="JF35" s="29">
        <f t="shared" si="285"/>
        <v>0</v>
      </c>
      <c r="JG35" s="29">
        <f t="shared" si="286"/>
        <v>0</v>
      </c>
      <c r="JH35" s="29">
        <f t="shared" si="287"/>
        <v>0</v>
      </c>
      <c r="JI35" s="29">
        <f t="shared" si="288"/>
        <v>0</v>
      </c>
      <c r="JJ35" s="29">
        <f t="shared" si="289"/>
        <v>0</v>
      </c>
      <c r="JK35" s="29">
        <f t="shared" si="290"/>
        <v>0</v>
      </c>
      <c r="JL35" s="29">
        <f t="shared" si="291"/>
        <v>0</v>
      </c>
      <c r="JM35" s="29">
        <f t="shared" si="292"/>
        <v>0</v>
      </c>
      <c r="JN35" s="29">
        <f t="shared" si="293"/>
        <v>0</v>
      </c>
      <c r="JO35" s="29">
        <f t="shared" si="294"/>
        <v>0</v>
      </c>
      <c r="JP35" s="29">
        <f t="shared" si="295"/>
        <v>0</v>
      </c>
      <c r="JQ35" s="29">
        <f t="shared" si="296"/>
        <v>0</v>
      </c>
      <c r="JR35" s="29">
        <f t="shared" si="297"/>
        <v>0</v>
      </c>
      <c r="JS35" s="29">
        <f t="shared" si="298"/>
        <v>0</v>
      </c>
      <c r="JT35" s="29">
        <f t="shared" si="299"/>
        <v>0</v>
      </c>
      <c r="JU35" s="48"/>
      <c r="JV35" s="394">
        <f t="shared" si="213"/>
        <v>20</v>
      </c>
      <c r="JW35" s="29">
        <f t="shared" si="214"/>
        <v>0</v>
      </c>
      <c r="JX35" s="29">
        <f t="shared" si="215"/>
        <v>0</v>
      </c>
      <c r="JY35" s="29">
        <f t="shared" si="216"/>
        <v>0</v>
      </c>
      <c r="JZ35" s="29">
        <f t="shared" si="217"/>
        <v>0</v>
      </c>
      <c r="KA35" s="29">
        <f t="shared" si="218"/>
        <v>0</v>
      </c>
      <c r="KB35" s="29">
        <f t="shared" si="219"/>
        <v>0</v>
      </c>
      <c r="KC35" s="29">
        <f t="shared" si="220"/>
        <v>0</v>
      </c>
      <c r="KD35" s="29">
        <f t="shared" si="221"/>
        <v>0</v>
      </c>
      <c r="KE35" s="29">
        <f t="shared" si="222"/>
        <v>0</v>
      </c>
      <c r="KF35" s="29">
        <f t="shared" si="223"/>
        <v>0</v>
      </c>
      <c r="KG35" s="29">
        <f t="shared" si="224"/>
        <v>0</v>
      </c>
      <c r="KH35" s="29">
        <f t="shared" si="225"/>
        <v>0</v>
      </c>
      <c r="KI35" s="29">
        <f t="shared" si="226"/>
        <v>0</v>
      </c>
      <c r="KJ35" s="29">
        <f t="shared" si="227"/>
        <v>0</v>
      </c>
      <c r="KK35" s="29">
        <f t="shared" si="228"/>
        <v>0</v>
      </c>
      <c r="KL35" s="29">
        <f t="shared" si="229"/>
        <v>0</v>
      </c>
      <c r="KM35" s="29">
        <f t="shared" si="230"/>
        <v>0</v>
      </c>
      <c r="KN35" s="29">
        <f t="shared" si="231"/>
        <v>0</v>
      </c>
      <c r="KO35" s="29">
        <f t="shared" si="232"/>
        <v>0</v>
      </c>
      <c r="KP35" s="29">
        <f t="shared" si="233"/>
        <v>0</v>
      </c>
      <c r="KQ35" s="29">
        <f t="shared" si="234"/>
        <v>0</v>
      </c>
      <c r="KR35" s="29">
        <f t="shared" si="235"/>
        <v>0</v>
      </c>
      <c r="KS35" s="29">
        <f t="shared" si="236"/>
        <v>0</v>
      </c>
      <c r="KT35" s="29">
        <f t="shared" si="237"/>
        <v>0</v>
      </c>
      <c r="KU35" s="29">
        <f t="shared" si="238"/>
        <v>0</v>
      </c>
      <c r="KV35" s="29">
        <f t="shared" si="239"/>
        <v>0</v>
      </c>
      <c r="KW35" s="29">
        <f t="shared" si="240"/>
        <v>0</v>
      </c>
      <c r="KX35" s="29">
        <f t="shared" si="241"/>
        <v>0</v>
      </c>
      <c r="KY35" s="29">
        <f t="shared" si="242"/>
        <v>0</v>
      </c>
      <c r="KZ35" s="29">
        <f t="shared" si="243"/>
        <v>0</v>
      </c>
      <c r="LA35" s="29">
        <f t="shared" si="244"/>
        <v>0</v>
      </c>
      <c r="LB35" s="29">
        <f t="shared" si="245"/>
        <v>0</v>
      </c>
      <c r="LC35" s="48"/>
      <c r="LD35" s="48"/>
      <c r="LE35" s="48"/>
      <c r="LF35" s="48"/>
      <c r="LG35" s="48"/>
      <c r="LH35" s="48"/>
      <c r="LI35" s="48"/>
      <c r="LJ35" s="48"/>
      <c r="LK35" s="48"/>
      <c r="LL35" s="48"/>
      <c r="LM35" s="48"/>
      <c r="LN35" s="48"/>
      <c r="LO35" s="48"/>
      <c r="LP35" s="46">
        <f t="shared" si="33"/>
        <v>0.13588720260706383</v>
      </c>
      <c r="LQ35" s="47">
        <f t="shared" si="34"/>
        <v>0.51871900242855629</v>
      </c>
      <c r="LR35" s="28"/>
      <c r="LS35" s="48"/>
      <c r="LT35" s="28"/>
      <c r="LU35" s="161">
        <v>6.1273333333333346E-2</v>
      </c>
      <c r="LV35" s="111">
        <f t="shared" si="75"/>
        <v>9.9338588583818298E-18</v>
      </c>
      <c r="LW35" s="152">
        <f t="shared" si="18"/>
        <v>1.3819267942552563E-13</v>
      </c>
      <c r="LX35" s="223" t="e">
        <f>LX34*(1+#REF!)</f>
        <v>#REF!</v>
      </c>
      <c r="LY35" s="153"/>
      <c r="LZ35" s="124">
        <f t="shared" si="76"/>
        <v>-579.30993336226675</v>
      </c>
      <c r="MA35" s="125">
        <f t="shared" si="77"/>
        <v>-649.99701131069742</v>
      </c>
      <c r="MB35" s="28"/>
      <c r="MC35" s="374">
        <f t="shared" si="300"/>
        <v>5.000000000000001E-2</v>
      </c>
      <c r="MD35" s="387">
        <f t="shared" si="187"/>
        <v>-687.73309352086267</v>
      </c>
      <c r="ME35" s="152">
        <f t="shared" si="188"/>
        <v>-5822.0606191001289</v>
      </c>
      <c r="MF35" s="28"/>
      <c r="MG35" s="374">
        <f t="shared" si="301"/>
        <v>5.000000000000001E-2</v>
      </c>
      <c r="MH35" s="387">
        <f t="shared" si="189"/>
        <v>-26.774195823789469</v>
      </c>
      <c r="MI35" s="152">
        <f t="shared" si="155"/>
        <v>-226.65913939915865</v>
      </c>
      <c r="MJ35" s="28"/>
      <c r="MK35" s="28"/>
      <c r="ML35" s="38"/>
      <c r="MM35" s="38" t="s">
        <v>231</v>
      </c>
      <c r="MN35" s="344">
        <f>((MM33/MO33)^0.5-1)*100</f>
        <v>11.704903145611345</v>
      </c>
      <c r="MO35" s="38"/>
      <c r="MP35" s="28"/>
      <c r="MQ35" s="28"/>
      <c r="MR35" s="28"/>
      <c r="MS35" s="28"/>
      <c r="MT35" s="28"/>
      <c r="MU35" s="28"/>
      <c r="MV35" s="28"/>
      <c r="MW35" s="28"/>
    </row>
    <row r="36" spans="1:361" s="30" customFormat="1" ht="12.75" customHeight="1" x14ac:dyDescent="0.3">
      <c r="A36" s="298">
        <f t="shared" si="99"/>
        <v>2045</v>
      </c>
      <c r="B36" s="348">
        <f t="shared" si="2"/>
        <v>2043</v>
      </c>
      <c r="C36" s="26">
        <v>52413</v>
      </c>
      <c r="D36" s="92">
        <f t="shared" si="156"/>
        <v>4510.5731415755026</v>
      </c>
      <c r="E36" s="27">
        <f t="shared" si="106"/>
        <v>4510.5731415755026</v>
      </c>
      <c r="F36" s="107">
        <f t="shared" si="21"/>
        <v>15103.276582651002</v>
      </c>
      <c r="G36" s="27">
        <f t="shared" si="157"/>
        <v>20180.05391559788</v>
      </c>
      <c r="H36" s="27">
        <f t="shared" si="158"/>
        <v>5246.8140180554492</v>
      </c>
      <c r="I36" s="289">
        <f t="shared" si="159"/>
        <v>4459.7919153471321</v>
      </c>
      <c r="J36" s="68">
        <v>1406.0827400000001</v>
      </c>
      <c r="K36" s="290">
        <f t="shared" si="160"/>
        <v>3053.7091753471323</v>
      </c>
      <c r="L36" s="290">
        <f t="shared" si="107"/>
        <v>14933.239897542431</v>
      </c>
      <c r="M36" s="290">
        <f t="shared" si="161"/>
        <v>12693.253912911066</v>
      </c>
      <c r="N36" s="27">
        <f t="shared" si="162"/>
        <v>0</v>
      </c>
      <c r="O36" s="290">
        <f t="shared" si="163"/>
        <v>787.02210270831733</v>
      </c>
      <c r="P36" s="290">
        <f t="shared" si="108"/>
        <v>2239.9859846313648</v>
      </c>
      <c r="Q36" s="290">
        <f t="shared" si="164"/>
        <v>776.61609184370866</v>
      </c>
      <c r="R36" s="254">
        <f t="shared" si="3"/>
        <v>0.26</v>
      </c>
      <c r="S36" s="251">
        <v>0.74</v>
      </c>
      <c r="T36" s="284">
        <f t="shared" si="165"/>
        <v>7.0000000000000007E-2</v>
      </c>
      <c r="U36" s="284">
        <f t="shared" si="166"/>
        <v>7.0000000000000007E-2</v>
      </c>
      <c r="V36" s="27">
        <f t="shared" si="5"/>
        <v>92390.039903450554</v>
      </c>
      <c r="W36" s="27">
        <f t="shared" si="167"/>
        <v>78916.70930643435</v>
      </c>
      <c r="X36" s="27">
        <f t="shared" si="190"/>
        <v>13473.3305970162</v>
      </c>
      <c r="Y36" s="27">
        <f t="shared" si="168"/>
        <v>480.31958928288623</v>
      </c>
      <c r="Z36" s="27">
        <f t="shared" si="191"/>
        <v>1367.0634464205218</v>
      </c>
      <c r="AA36" s="111">
        <f t="shared" si="169"/>
        <v>7.0000000000000007E-2</v>
      </c>
      <c r="AB36" s="111">
        <f t="shared" si="170"/>
        <v>7.0000000000000007E-2</v>
      </c>
      <c r="AC36" s="92">
        <f t="shared" si="7"/>
        <v>92390.039903450554</v>
      </c>
      <c r="AD36" s="27">
        <f t="shared" si="171"/>
        <v>78916.70930643435</v>
      </c>
      <c r="AE36" s="27">
        <f t="shared" si="192"/>
        <v>13473.3305970162</v>
      </c>
      <c r="AF36" s="145">
        <f t="shared" si="172"/>
        <v>480.31958928288623</v>
      </c>
      <c r="AG36" s="27">
        <f t="shared" si="193"/>
        <v>1367.0634464205218</v>
      </c>
      <c r="AH36" s="27">
        <f t="shared" si="173"/>
        <v>94678.888893671116</v>
      </c>
      <c r="AI36" s="27">
        <f t="shared" si="174"/>
        <v>81205.415104245345</v>
      </c>
      <c r="AJ36" s="27">
        <f t="shared" si="194"/>
        <v>13473.473789425771</v>
      </c>
      <c r="AK36" s="27">
        <f t="shared" si="11"/>
        <v>94681.802998127168</v>
      </c>
      <c r="AL36" s="27">
        <f t="shared" si="175"/>
        <v>81209.102761300514</v>
      </c>
      <c r="AM36" s="27">
        <f t="shared" si="246"/>
        <v>13472.700236826653</v>
      </c>
      <c r="AN36" s="409">
        <f>INDEX(Inv.Returns!$B$2:$E$32,MATCH(B36,Inv.Returns!$A$2:$A$32,0),MATCH(SCRS!$DU$52,Inv.Returns!$B$1:$E$1,0))</f>
        <v>7.0000000000000007E-2</v>
      </c>
      <c r="AO36" s="27">
        <f t="shared" si="41"/>
        <v>-2288.848990220562</v>
      </c>
      <c r="AP36" s="223">
        <f t="shared" si="12"/>
        <v>-2291.7630946766149</v>
      </c>
      <c r="AQ36" s="67">
        <f t="shared" si="22"/>
        <v>1.0247737634122949</v>
      </c>
      <c r="AR36" s="146">
        <f t="shared" si="23"/>
        <v>1.0248053047392507</v>
      </c>
      <c r="AS36" s="346"/>
      <c r="AT36" s="283">
        <f t="shared" si="176"/>
        <v>0.10950000000000001</v>
      </c>
      <c r="AU36" s="390">
        <f t="shared" si="109"/>
        <v>0.1095</v>
      </c>
      <c r="AV36" s="296">
        <f t="shared" si="110"/>
        <v>-7.9080886993789009E-3</v>
      </c>
      <c r="AW36" s="296">
        <f t="shared" si="111"/>
        <v>-6.4468036192986468E-7</v>
      </c>
      <c r="AX36" s="111">
        <f t="shared" si="82"/>
        <v>0.09</v>
      </c>
      <c r="AY36" s="111">
        <f t="shared" si="112"/>
        <v>0.09</v>
      </c>
      <c r="AZ36" s="111">
        <f t="shared" si="113"/>
        <v>0</v>
      </c>
      <c r="BA36" s="256">
        <f t="shared" si="24"/>
        <v>1.9500000000000017E-2</v>
      </c>
      <c r="BB36" s="111">
        <f t="shared" si="114"/>
        <v>1.9500000000000003E-2</v>
      </c>
      <c r="BC36" s="128">
        <f t="shared" si="83"/>
        <v>0.11559999999999999</v>
      </c>
      <c r="BD36" s="128">
        <f t="shared" si="104"/>
        <v>0.11559999999999999</v>
      </c>
      <c r="BE36" s="402">
        <f t="shared" si="15"/>
        <v>9.6099999999999977E-2</v>
      </c>
      <c r="BF36" s="402">
        <f t="shared" si="115"/>
        <v>9.6099999999999991E-2</v>
      </c>
      <c r="BG36" s="402">
        <f t="shared" si="177"/>
        <v>6.5599999999999992E-2</v>
      </c>
      <c r="BH36" s="402">
        <f t="shared" si="26"/>
        <v>0.11559999999999999</v>
      </c>
      <c r="BI36" s="152">
        <f t="shared" si="42"/>
        <v>0</v>
      </c>
      <c r="BJ36" s="100">
        <f t="shared" si="43"/>
        <v>4.1869522882181265E-2</v>
      </c>
      <c r="BK36" s="27">
        <f t="shared" si="67"/>
        <v>0</v>
      </c>
      <c r="BL36" s="27">
        <f t="shared" si="17"/>
        <v>20</v>
      </c>
      <c r="BM36" s="107">
        <f t="shared" si="31"/>
        <v>0.01</v>
      </c>
      <c r="BN36" s="27"/>
      <c r="BO36" s="27"/>
      <c r="BP36" s="92">
        <f t="shared" si="178"/>
        <v>-5087.4657088322165</v>
      </c>
      <c r="BQ36" s="27">
        <f t="shared" si="195"/>
        <v>-666.39583042783113</v>
      </c>
      <c r="BR36" s="27">
        <f t="shared" si="179"/>
        <v>-198.06056218371526</v>
      </c>
      <c r="BS36" s="27">
        <f t="shared" si="116"/>
        <v>-25.943513011258492</v>
      </c>
      <c r="BT36" s="27">
        <f t="shared" si="180"/>
        <v>-8.0276254476248372</v>
      </c>
      <c r="BU36" s="27">
        <f t="shared" si="196"/>
        <v>-22.84785704323992</v>
      </c>
      <c r="BV36" s="297">
        <f t="shared" si="181"/>
        <v>401.3812723812419</v>
      </c>
      <c r="BW36" s="297">
        <f t="shared" si="197"/>
        <v>1142.392852161996</v>
      </c>
      <c r="BX36" s="297">
        <f t="shared" si="198"/>
        <v>0</v>
      </c>
      <c r="BY36" s="297">
        <f t="shared" si="182"/>
        <v>69.89544826593378</v>
      </c>
      <c r="BZ36" s="297">
        <f t="shared" si="84"/>
        <v>86.965942349269142</v>
      </c>
      <c r="CA36" s="297">
        <f t="shared" si="199"/>
        <v>247.51845130176571</v>
      </c>
      <c r="CB36" s="297">
        <f t="shared" si="183"/>
        <v>0</v>
      </c>
      <c r="CC36" s="297">
        <f t="shared" si="200"/>
        <v>0</v>
      </c>
      <c r="CD36" s="297">
        <f t="shared" si="201"/>
        <v>0</v>
      </c>
      <c r="CE36" s="297"/>
      <c r="CF36" s="297">
        <f t="shared" si="184"/>
        <v>0</v>
      </c>
      <c r="CG36" s="297">
        <f t="shared" si="202"/>
        <v>0</v>
      </c>
      <c r="CH36" s="297">
        <f t="shared" si="185"/>
        <v>0</v>
      </c>
      <c r="CI36" s="427">
        <f>IF(AND($DU$74="Yes",MAX($AQ$13:AQ35)&lt;100%),MAX(BD34*(G36+Q36)-SUM(BZ36:CH36,CJ36,CY36),0),0)</f>
        <v>0</v>
      </c>
      <c r="CJ36" s="27"/>
      <c r="CK36" s="27">
        <f t="shared" si="44"/>
        <v>0</v>
      </c>
      <c r="CL36" s="27">
        <f t="shared" si="45"/>
        <v>0</v>
      </c>
      <c r="CM36" s="27">
        <f t="shared" si="46"/>
        <v>0</v>
      </c>
      <c r="CN36" s="27">
        <f t="shared" si="47"/>
        <v>1948.1539664602064</v>
      </c>
      <c r="CO36" s="27">
        <f t="shared" si="48"/>
        <v>0</v>
      </c>
      <c r="CP36" s="107">
        <f t="shared" si="4"/>
        <v>1948.1539664602064</v>
      </c>
      <c r="CQ36" s="27">
        <f t="shared" si="117"/>
        <v>0</v>
      </c>
      <c r="CR36" s="27">
        <f t="shared" si="118"/>
        <v>0</v>
      </c>
      <c r="CS36" s="27">
        <f t="shared" si="186"/>
        <v>0</v>
      </c>
      <c r="CT36" s="27">
        <f>SUM($CS$14:CS36)</f>
        <v>45362.643910443665</v>
      </c>
      <c r="CU36" s="223">
        <v>3043.6390883079562</v>
      </c>
      <c r="CV36" s="417">
        <v>618.67811617519692</v>
      </c>
      <c r="CW36" s="417">
        <v>3662.3172044831531</v>
      </c>
      <c r="CX36" s="417">
        <v>62841.956456703272</v>
      </c>
      <c r="CY36" s="103">
        <f t="shared" si="49"/>
        <v>151.35040436698409</v>
      </c>
      <c r="CZ36" s="111">
        <f t="shared" si="101"/>
        <v>2.3182824267667615E-2</v>
      </c>
      <c r="DA36" s="92">
        <f t="shared" si="50"/>
        <v>485.83479801801894</v>
      </c>
      <c r="DB36" s="410">
        <f t="shared" si="51"/>
        <v>297.78008604262942</v>
      </c>
      <c r="DC36" s="307">
        <f t="shared" si="52"/>
        <v>0</v>
      </c>
      <c r="DD36" s="307">
        <f t="shared" si="53"/>
        <v>191.77541989417202</v>
      </c>
      <c r="DE36" s="307">
        <f t="shared" si="54"/>
        <v>0</v>
      </c>
      <c r="DF36" s="307">
        <f t="shared" si="55"/>
        <v>30050.804383417424</v>
      </c>
      <c r="DG36" s="307" t="b">
        <f t="shared" si="68"/>
        <v>0</v>
      </c>
      <c r="DH36" s="27">
        <f t="shared" si="56"/>
        <v>151.35040436698409</v>
      </c>
      <c r="DI36" s="96">
        <f t="shared" si="57"/>
        <v>86.776208096910409</v>
      </c>
      <c r="DJ36" s="101">
        <f t="shared" si="58"/>
        <v>8.4437638790072315E-3</v>
      </c>
      <c r="DK36" s="92">
        <f t="shared" si="59"/>
        <v>0</v>
      </c>
      <c r="DL36" s="96">
        <f t="shared" si="60"/>
        <v>0</v>
      </c>
      <c r="DM36" s="101">
        <f t="shared" si="61"/>
        <v>0</v>
      </c>
      <c r="DN36" s="292">
        <v>2855.9054480059012</v>
      </c>
      <c r="DO36" s="96">
        <f t="shared" si="62"/>
        <v>1750.454626770621</v>
      </c>
      <c r="DP36" s="294">
        <v>1.1281178214136816</v>
      </c>
      <c r="DQ36" s="29"/>
      <c r="DR36" s="53" t="s">
        <v>99</v>
      </c>
      <c r="DS36" s="42"/>
      <c r="DT36" s="42"/>
      <c r="DU36" s="245">
        <v>0.1077</v>
      </c>
      <c r="DV36" s="29"/>
      <c r="DW36" s="320"/>
      <c r="DX36" s="321"/>
      <c r="DY36" s="321"/>
      <c r="DZ36" s="321"/>
      <c r="EA36" s="321"/>
      <c r="EB36" s="321"/>
      <c r="EC36" s="321"/>
      <c r="ED36" s="321"/>
      <c r="EE36" s="321"/>
      <c r="EF36" s="321"/>
      <c r="EG36" s="321"/>
      <c r="EH36" s="321"/>
      <c r="EI36" s="322"/>
      <c r="EJ36" s="323"/>
      <c r="EK36" s="332" t="e">
        <f>IF(AND(#REF!="Fresh Start",A36&gt;2019),AV36,IF(BD36-(AT36-AX36)&lt;0,0,BD36-(AT36-AX36)))</f>
        <v>#REF!</v>
      </c>
      <c r="EL36" s="332">
        <f t="shared" si="63"/>
        <v>1.9500000000000017E-2</v>
      </c>
      <c r="EM36" s="332" t="e">
        <f t="shared" si="70"/>
        <v>#DIV/0!</v>
      </c>
      <c r="EN36" s="332">
        <f t="shared" si="64"/>
        <v>0</v>
      </c>
      <c r="EO36" s="332">
        <v>0.1056</v>
      </c>
      <c r="EP36" s="332">
        <v>0.14369079844627314</v>
      </c>
      <c r="EQ36" s="333" t="e">
        <f t="shared" si="71"/>
        <v>#REF!</v>
      </c>
      <c r="ER36" s="277"/>
      <c r="ES36" s="30">
        <v>27</v>
      </c>
      <c r="ET36" s="29">
        <f t="shared" si="85"/>
        <v>5467.4550182341982</v>
      </c>
      <c r="EU36" s="29">
        <f t="shared" si="86"/>
        <v>5470.2581175455362</v>
      </c>
      <c r="EV36" s="29">
        <f t="shared" si="72"/>
        <v>2.8030993113379736</v>
      </c>
      <c r="EW36" s="29">
        <f t="shared" si="73"/>
        <v>2.242479449070379</v>
      </c>
      <c r="EX36" s="29">
        <f t="shared" si="87"/>
        <v>0.72227842396387132</v>
      </c>
      <c r="EY36" s="29">
        <f t="shared" si="102"/>
        <v>0.48515333126670157</v>
      </c>
      <c r="EZ36" s="29">
        <f t="shared" si="105"/>
        <v>0.23774585086321168</v>
      </c>
      <c r="FA36" s="29">
        <f t="shared" si="74"/>
        <v>3.6876570551641636</v>
      </c>
      <c r="FB36" s="29"/>
      <c r="FC36" s="29">
        <f t="shared" si="247"/>
        <v>859.34731915537645</v>
      </c>
      <c r="FD36" s="29">
        <f t="shared" si="248"/>
        <v>858.94791168770291</v>
      </c>
      <c r="FE36" s="29">
        <f t="shared" si="203"/>
        <v>-0.39940746767354085</v>
      </c>
      <c r="FF36" s="29">
        <f t="shared" si="204"/>
        <v>-0.31952597413883266</v>
      </c>
      <c r="FG36" s="29">
        <f t="shared" si="205"/>
        <v>-0.23150477940828296</v>
      </c>
      <c r="FH36" s="29">
        <f t="shared" si="206"/>
        <v>-0.15053918653720758</v>
      </c>
      <c r="FI36" s="29">
        <f t="shared" si="207"/>
        <v>-7.1982659033756141E-2</v>
      </c>
      <c r="FJ36" s="29">
        <f t="shared" si="208"/>
        <v>-0.77355259911807928</v>
      </c>
      <c r="FK36" s="29"/>
      <c r="FL36" s="29"/>
      <c r="FM36" s="27">
        <f t="shared" si="27"/>
        <v>-2072.6171909930708</v>
      </c>
      <c r="FN36" s="29"/>
      <c r="FO36" s="301">
        <f t="shared" si="119"/>
        <v>0</v>
      </c>
      <c r="FP36" s="89">
        <f t="shared" si="209"/>
        <v>0</v>
      </c>
      <c r="FQ36" s="27">
        <f t="shared" si="103"/>
        <v>20</v>
      </c>
      <c r="FR36" s="302">
        <f t="shared" si="88"/>
        <v>13.464518542443937</v>
      </c>
      <c r="FS36" s="89">
        <f t="shared" si="89"/>
        <v>-153.93177145247344</v>
      </c>
      <c r="FT36" s="89">
        <f t="shared" si="210"/>
        <v>0</v>
      </c>
      <c r="FU36" s="29">
        <f t="shared" si="90"/>
        <v>20</v>
      </c>
      <c r="FV36" s="137">
        <f t="shared" si="91"/>
        <v>13.464518542443937</v>
      </c>
      <c r="FW36" s="48">
        <v>-554.51392413586518</v>
      </c>
      <c r="FX36" s="29">
        <f t="shared" si="120"/>
        <v>-71.17420955094849</v>
      </c>
      <c r="FY36" s="29">
        <f t="shared" si="121"/>
        <v>-2217.5315882600466</v>
      </c>
      <c r="FZ36" s="29">
        <f t="shared" si="266"/>
        <v>0</v>
      </c>
      <c r="GA36" s="29">
        <f t="shared" si="267"/>
        <v>0</v>
      </c>
      <c r="GB36" s="29">
        <f t="shared" si="268"/>
        <v>0</v>
      </c>
      <c r="GC36" s="29">
        <f t="shared" si="269"/>
        <v>0</v>
      </c>
      <c r="GD36" s="29">
        <f t="shared" si="270"/>
        <v>0</v>
      </c>
      <c r="GE36" s="29">
        <f t="shared" si="271"/>
        <v>0</v>
      </c>
      <c r="GF36" s="29">
        <f t="shared" si="272"/>
        <v>0</v>
      </c>
      <c r="GG36" s="29">
        <f t="shared" si="273"/>
        <v>0</v>
      </c>
      <c r="GH36" s="29">
        <f t="shared" si="274"/>
        <v>0</v>
      </c>
      <c r="GI36" s="29">
        <f t="shared" si="275"/>
        <v>0</v>
      </c>
      <c r="GJ36" s="29">
        <f t="shared" si="276"/>
        <v>0</v>
      </c>
      <c r="GK36" s="29">
        <f t="shared" si="277"/>
        <v>0</v>
      </c>
      <c r="GL36" s="29">
        <f t="shared" si="278"/>
        <v>0</v>
      </c>
      <c r="GM36" s="29">
        <f t="shared" si="279"/>
        <v>0</v>
      </c>
      <c r="GN36" s="29">
        <f t="shared" si="280"/>
        <v>0</v>
      </c>
      <c r="GO36" s="29">
        <f t="shared" si="251"/>
        <v>0</v>
      </c>
      <c r="GP36" s="29">
        <f t="shared" si="252"/>
        <v>0</v>
      </c>
      <c r="GQ36" s="29">
        <f t="shared" si="253"/>
        <v>0</v>
      </c>
      <c r="GR36" s="29">
        <f t="shared" si="254"/>
        <v>0</v>
      </c>
      <c r="GS36" s="29">
        <f t="shared" si="255"/>
        <v>0</v>
      </c>
      <c r="GT36" s="29">
        <f t="shared" si="256"/>
        <v>0</v>
      </c>
      <c r="GU36" s="29">
        <f t="shared" si="257"/>
        <v>0</v>
      </c>
      <c r="GV36" s="29">
        <f t="shared" si="258"/>
        <v>0</v>
      </c>
      <c r="GW36" s="29">
        <f t="shared" si="259"/>
        <v>0</v>
      </c>
      <c r="GX36" s="29">
        <f t="shared" si="260"/>
        <v>0</v>
      </c>
      <c r="GY36" s="29">
        <f t="shared" si="261"/>
        <v>0</v>
      </c>
      <c r="GZ36" s="29">
        <f t="shared" si="262"/>
        <v>0</v>
      </c>
      <c r="HA36" s="29">
        <f t="shared" si="263"/>
        <v>0</v>
      </c>
      <c r="HB36" s="29">
        <f t="shared" si="264"/>
        <v>0</v>
      </c>
      <c r="HC36" s="29">
        <f t="shared" si="265"/>
        <v>0</v>
      </c>
      <c r="HD36" s="29"/>
      <c r="HE36" s="29">
        <f t="shared" si="32"/>
        <v>20</v>
      </c>
      <c r="HF36" s="29">
        <f t="shared" si="317"/>
        <v>0</v>
      </c>
      <c r="HG36" s="29">
        <f t="shared" si="318"/>
        <v>-164.69445834767617</v>
      </c>
      <c r="HH36" s="29">
        <f t="shared" si="319"/>
        <v>0</v>
      </c>
      <c r="HI36" s="29">
        <f t="shared" si="126"/>
        <v>0</v>
      </c>
      <c r="HJ36" s="29">
        <f t="shared" si="127"/>
        <v>0</v>
      </c>
      <c r="HK36" s="29">
        <f t="shared" si="128"/>
        <v>0</v>
      </c>
      <c r="HL36" s="29">
        <f t="shared" si="129"/>
        <v>0</v>
      </c>
      <c r="HM36" s="29">
        <f t="shared" si="130"/>
        <v>0</v>
      </c>
      <c r="HN36" s="29">
        <f t="shared" si="131"/>
        <v>0</v>
      </c>
      <c r="HO36" s="29">
        <f t="shared" si="132"/>
        <v>0</v>
      </c>
      <c r="HP36" s="29">
        <f t="shared" si="133"/>
        <v>0</v>
      </c>
      <c r="HQ36" s="29">
        <f t="shared" si="134"/>
        <v>0</v>
      </c>
      <c r="HR36" s="29">
        <f t="shared" si="135"/>
        <v>0</v>
      </c>
      <c r="HS36" s="29">
        <f t="shared" si="136"/>
        <v>0</v>
      </c>
      <c r="HT36" s="29">
        <f t="shared" si="137"/>
        <v>0</v>
      </c>
      <c r="HU36" s="29">
        <f t="shared" si="138"/>
        <v>0</v>
      </c>
      <c r="HV36" s="29">
        <f t="shared" si="139"/>
        <v>0</v>
      </c>
      <c r="HW36" s="29">
        <f t="shared" si="140"/>
        <v>0</v>
      </c>
      <c r="HX36" s="29">
        <f t="shared" si="141"/>
        <v>0</v>
      </c>
      <c r="HY36" s="29">
        <f t="shared" si="142"/>
        <v>0</v>
      </c>
      <c r="HZ36" s="29">
        <f t="shared" si="143"/>
        <v>0</v>
      </c>
      <c r="IA36" s="29">
        <f t="shared" si="144"/>
        <v>0</v>
      </c>
      <c r="IB36" s="29">
        <f t="shared" si="145"/>
        <v>0</v>
      </c>
      <c r="IC36" s="29">
        <f t="shared" si="146"/>
        <v>0</v>
      </c>
      <c r="ID36" s="29">
        <f t="shared" si="147"/>
        <v>0</v>
      </c>
      <c r="IE36" s="29">
        <f t="shared" si="148"/>
        <v>0</v>
      </c>
      <c r="IF36" s="29">
        <f t="shared" si="149"/>
        <v>0</v>
      </c>
      <c r="IG36" s="29">
        <f t="shared" si="150"/>
        <v>0</v>
      </c>
      <c r="IH36" s="29">
        <f t="shared" si="151"/>
        <v>0</v>
      </c>
      <c r="II36" s="29">
        <f t="shared" si="152"/>
        <v>0</v>
      </c>
      <c r="IJ36" s="29">
        <f t="shared" si="153"/>
        <v>0</v>
      </c>
      <c r="IK36" s="29">
        <f t="shared" si="154"/>
        <v>0</v>
      </c>
      <c r="IL36" s="48"/>
      <c r="IM36" s="48"/>
      <c r="IN36" s="48"/>
      <c r="IO36" s="29">
        <f t="shared" si="211"/>
        <v>2.5613692970709978E-2</v>
      </c>
      <c r="IP36" s="29">
        <f t="shared" si="249"/>
        <v>-0.16880610254118439</v>
      </c>
      <c r="IQ36" s="29">
        <f t="shared" si="302"/>
        <v>0</v>
      </c>
      <c r="IR36" s="29">
        <f t="shared" si="303"/>
        <v>0</v>
      </c>
      <c r="IS36" s="29">
        <f t="shared" si="304"/>
        <v>0</v>
      </c>
      <c r="IT36" s="29">
        <f t="shared" si="305"/>
        <v>0</v>
      </c>
      <c r="IU36" s="29">
        <f t="shared" si="306"/>
        <v>0</v>
      </c>
      <c r="IV36" s="29">
        <f t="shared" si="307"/>
        <v>0</v>
      </c>
      <c r="IW36" s="29">
        <f t="shared" si="308"/>
        <v>0</v>
      </c>
      <c r="IX36" s="29">
        <f t="shared" si="309"/>
        <v>0</v>
      </c>
      <c r="IY36" s="29">
        <f t="shared" si="310"/>
        <v>0</v>
      </c>
      <c r="IZ36" s="29">
        <f t="shared" si="311"/>
        <v>0</v>
      </c>
      <c r="JA36" s="29">
        <f t="shared" si="312"/>
        <v>0</v>
      </c>
      <c r="JB36" s="29">
        <f t="shared" si="313"/>
        <v>0</v>
      </c>
      <c r="JC36" s="29">
        <f t="shared" si="314"/>
        <v>0</v>
      </c>
      <c r="JD36" s="29">
        <f t="shared" si="315"/>
        <v>0</v>
      </c>
      <c r="JE36" s="29">
        <f t="shared" si="316"/>
        <v>0</v>
      </c>
      <c r="JF36" s="29">
        <f t="shared" si="285"/>
        <v>0</v>
      </c>
      <c r="JG36" s="29">
        <f t="shared" si="286"/>
        <v>0</v>
      </c>
      <c r="JH36" s="29">
        <f t="shared" si="287"/>
        <v>0</v>
      </c>
      <c r="JI36" s="29">
        <f t="shared" si="288"/>
        <v>0</v>
      </c>
      <c r="JJ36" s="29">
        <f t="shared" si="289"/>
        <v>0</v>
      </c>
      <c r="JK36" s="29">
        <f t="shared" si="290"/>
        <v>0</v>
      </c>
      <c r="JL36" s="29">
        <f t="shared" si="291"/>
        <v>0</v>
      </c>
      <c r="JM36" s="29">
        <f t="shared" si="292"/>
        <v>0</v>
      </c>
      <c r="JN36" s="29">
        <f t="shared" si="293"/>
        <v>0</v>
      </c>
      <c r="JO36" s="29">
        <f t="shared" si="294"/>
        <v>0</v>
      </c>
      <c r="JP36" s="29">
        <f t="shared" si="295"/>
        <v>0</v>
      </c>
      <c r="JQ36" s="29">
        <f t="shared" si="296"/>
        <v>0</v>
      </c>
      <c r="JR36" s="29">
        <f t="shared" si="297"/>
        <v>0</v>
      </c>
      <c r="JS36" s="29">
        <f t="shared" si="298"/>
        <v>0</v>
      </c>
      <c r="JT36" s="29">
        <f t="shared" si="299"/>
        <v>0</v>
      </c>
      <c r="JU36" s="48"/>
      <c r="JV36" s="394">
        <f t="shared" si="213"/>
        <v>20</v>
      </c>
      <c r="JW36" s="29">
        <f t="shared" si="214"/>
        <v>0</v>
      </c>
      <c r="JX36" s="29">
        <f t="shared" si="215"/>
        <v>-1.2537106470540349E-2</v>
      </c>
      <c r="JY36" s="29">
        <f t="shared" si="216"/>
        <v>0</v>
      </c>
      <c r="JZ36" s="29">
        <f t="shared" si="217"/>
        <v>0</v>
      </c>
      <c r="KA36" s="29">
        <f t="shared" si="218"/>
        <v>0</v>
      </c>
      <c r="KB36" s="29">
        <f t="shared" si="219"/>
        <v>0</v>
      </c>
      <c r="KC36" s="29">
        <f t="shared" si="220"/>
        <v>0</v>
      </c>
      <c r="KD36" s="29">
        <f t="shared" si="221"/>
        <v>0</v>
      </c>
      <c r="KE36" s="29">
        <f t="shared" si="222"/>
        <v>0</v>
      </c>
      <c r="KF36" s="29">
        <f t="shared" si="223"/>
        <v>0</v>
      </c>
      <c r="KG36" s="29">
        <f t="shared" si="224"/>
        <v>0</v>
      </c>
      <c r="KH36" s="29">
        <f t="shared" si="225"/>
        <v>0</v>
      </c>
      <c r="KI36" s="29">
        <f t="shared" si="226"/>
        <v>0</v>
      </c>
      <c r="KJ36" s="29">
        <f t="shared" si="227"/>
        <v>0</v>
      </c>
      <c r="KK36" s="29">
        <f t="shared" si="228"/>
        <v>0</v>
      </c>
      <c r="KL36" s="29">
        <f t="shared" si="229"/>
        <v>0</v>
      </c>
      <c r="KM36" s="29">
        <f t="shared" si="230"/>
        <v>0</v>
      </c>
      <c r="KN36" s="29">
        <f t="shared" si="231"/>
        <v>0</v>
      </c>
      <c r="KO36" s="29">
        <f t="shared" si="232"/>
        <v>0</v>
      </c>
      <c r="KP36" s="29">
        <f t="shared" si="233"/>
        <v>0</v>
      </c>
      <c r="KQ36" s="29">
        <f t="shared" si="234"/>
        <v>0</v>
      </c>
      <c r="KR36" s="29">
        <f t="shared" si="235"/>
        <v>0</v>
      </c>
      <c r="KS36" s="29">
        <f t="shared" si="236"/>
        <v>0</v>
      </c>
      <c r="KT36" s="29">
        <f t="shared" si="237"/>
        <v>0</v>
      </c>
      <c r="KU36" s="29">
        <f t="shared" si="238"/>
        <v>0</v>
      </c>
      <c r="KV36" s="29">
        <f t="shared" si="239"/>
        <v>0</v>
      </c>
      <c r="KW36" s="29">
        <f t="shared" si="240"/>
        <v>0</v>
      </c>
      <c r="KX36" s="29">
        <f t="shared" si="241"/>
        <v>0</v>
      </c>
      <c r="KY36" s="29">
        <f t="shared" si="242"/>
        <v>0</v>
      </c>
      <c r="KZ36" s="29">
        <f t="shared" si="243"/>
        <v>0</v>
      </c>
      <c r="LA36" s="29">
        <f t="shared" si="244"/>
        <v>0</v>
      </c>
      <c r="LB36" s="29">
        <f t="shared" si="245"/>
        <v>0</v>
      </c>
      <c r="LC36" s="48"/>
      <c r="LD36" s="48"/>
      <c r="LE36" s="48"/>
      <c r="LF36" s="48"/>
      <c r="LG36" s="48"/>
      <c r="LH36" s="48"/>
      <c r="LI36" s="48"/>
      <c r="LJ36" s="48"/>
      <c r="LK36" s="48"/>
      <c r="LL36" s="48"/>
      <c r="LM36" s="48"/>
      <c r="LN36" s="48"/>
      <c r="LO36" s="48"/>
      <c r="LP36" s="117">
        <f>LP35/(1+LP3)^0.5</f>
        <v>0.13136711715458962</v>
      </c>
      <c r="LQ36" s="118">
        <f>LQ35/(1+LQ3)^0.5</f>
        <v>0.51298007842517801</v>
      </c>
      <c r="LR36" s="60" t="s">
        <v>25</v>
      </c>
      <c r="LS36" s="48"/>
      <c r="LT36" s="28"/>
      <c r="LU36" s="161">
        <v>6.5216666666666673E-2</v>
      </c>
      <c r="LV36" s="111">
        <f t="shared" si="75"/>
        <v>1.057316660669353E-17</v>
      </c>
      <c r="LW36" s="152">
        <f t="shared" si="18"/>
        <v>1.5968945961534195E-13</v>
      </c>
      <c r="LX36" s="223" t="e">
        <f>LX35*(1+#REF!)</f>
        <v>#REF!</v>
      </c>
      <c r="LY36" s="153"/>
      <c r="LZ36" s="124">
        <f t="shared" si="76"/>
        <v>-665.92224967881339</v>
      </c>
      <c r="MA36" s="125">
        <f t="shared" si="77"/>
        <v>-739.79539262903563</v>
      </c>
      <c r="MB36" s="28"/>
      <c r="MC36" s="374">
        <f t="shared" si="300"/>
        <v>5.2500000000000012E-2</v>
      </c>
      <c r="MD36" s="387">
        <f t="shared" si="187"/>
        <v>-783.99509462097785</v>
      </c>
      <c r="ME36" s="152">
        <f t="shared" si="188"/>
        <v>-5871.4608034531948</v>
      </c>
      <c r="MF36" s="28"/>
      <c r="MG36" s="374">
        <f t="shared" si="301"/>
        <v>5.2500000000000012E-2</v>
      </c>
      <c r="MH36" s="387">
        <f t="shared" si="189"/>
        <v>-30.521780013245284</v>
      </c>
      <c r="MI36" s="152">
        <f t="shared" si="155"/>
        <v>-228.58234219696055</v>
      </c>
      <c r="MJ36" s="28"/>
      <c r="MK36" s="28"/>
      <c r="ML36" s="38"/>
      <c r="MM36" s="38" t="s">
        <v>149</v>
      </c>
      <c r="MN36" s="38">
        <f>((MM33*MO33)/(MN33^2)-1)*100</f>
        <v>0.82332702644751787</v>
      </c>
      <c r="MO36" s="38"/>
      <c r="MP36" s="28"/>
      <c r="MQ36" s="28"/>
      <c r="MR36" s="28"/>
      <c r="MS36" s="28"/>
      <c r="MT36" s="28"/>
      <c r="MU36" s="28"/>
      <c r="MV36" s="28"/>
      <c r="MW36" s="28"/>
    </row>
    <row r="37" spans="1:361" s="30" customFormat="1" ht="12.75" customHeight="1" x14ac:dyDescent="0.3">
      <c r="A37" s="298">
        <f t="shared" si="99"/>
        <v>2046</v>
      </c>
      <c r="B37" s="348">
        <f t="shared" si="2"/>
        <v>2044</v>
      </c>
      <c r="C37" s="26">
        <v>52779</v>
      </c>
      <c r="D37" s="92">
        <f t="shared" si="156"/>
        <v>4097.8556991213427</v>
      </c>
      <c r="E37" s="27">
        <f t="shared" si="106"/>
        <v>4097.8556991213427</v>
      </c>
      <c r="F37" s="107">
        <f t="shared" si="21"/>
        <v>16139.892011884576</v>
      </c>
      <c r="G37" s="27">
        <f t="shared" si="157"/>
        <v>20724.915371319021</v>
      </c>
      <c r="H37" s="27">
        <f t="shared" si="158"/>
        <v>4766.7305354033742</v>
      </c>
      <c r="I37" s="289">
        <f t="shared" si="159"/>
        <v>4051.7209550928683</v>
      </c>
      <c r="J37" s="68">
        <v>1311.804893</v>
      </c>
      <c r="K37" s="290">
        <f t="shared" si="160"/>
        <v>2739.9160620928683</v>
      </c>
      <c r="L37" s="290">
        <f t="shared" si="107"/>
        <v>15958.184835915647</v>
      </c>
      <c r="M37" s="290">
        <f t="shared" si="161"/>
        <v>13564.457110528299</v>
      </c>
      <c r="N37" s="27">
        <f t="shared" si="162"/>
        <v>0</v>
      </c>
      <c r="O37" s="290">
        <f t="shared" si="163"/>
        <v>715.00958031050607</v>
      </c>
      <c r="P37" s="290">
        <f t="shared" si="108"/>
        <v>2393.7277253873467</v>
      </c>
      <c r="Q37" s="290">
        <f t="shared" si="164"/>
        <v>797.58472632348878</v>
      </c>
      <c r="R37" s="254">
        <f t="shared" si="3"/>
        <v>0.22999999999999998</v>
      </c>
      <c r="S37" s="251">
        <v>0.77</v>
      </c>
      <c r="T37" s="284">
        <f t="shared" si="165"/>
        <v>7.0000000000000007E-2</v>
      </c>
      <c r="U37" s="284">
        <f t="shared" si="166"/>
        <v>7.0000000000000007E-2</v>
      </c>
      <c r="V37" s="27">
        <f t="shared" si="5"/>
        <v>94645.69727370255</v>
      </c>
      <c r="W37" s="27">
        <f t="shared" si="167"/>
        <v>79519.833868733462</v>
      </c>
      <c r="X37" s="27">
        <f t="shared" si="190"/>
        <v>15125.86340496909</v>
      </c>
      <c r="Y37" s="27">
        <f t="shared" si="168"/>
        <v>436.37034686350194</v>
      </c>
      <c r="Z37" s="27">
        <f t="shared" si="191"/>
        <v>1460.8920308038978</v>
      </c>
      <c r="AA37" s="111">
        <f t="shared" si="169"/>
        <v>7.0000000000000007E-2</v>
      </c>
      <c r="AB37" s="111">
        <f t="shared" si="170"/>
        <v>7.0000000000000007E-2</v>
      </c>
      <c r="AC37" s="92">
        <f t="shared" si="7"/>
        <v>94645.69727370255</v>
      </c>
      <c r="AD37" s="27">
        <f t="shared" si="171"/>
        <v>79519.833868733462</v>
      </c>
      <c r="AE37" s="27">
        <f t="shared" si="192"/>
        <v>15125.86340496909</v>
      </c>
      <c r="AF37" s="145">
        <f t="shared" si="172"/>
        <v>436.37034686350194</v>
      </c>
      <c r="AG37" s="27">
        <f t="shared" si="193"/>
        <v>1460.8920308038978</v>
      </c>
      <c r="AH37" s="27">
        <f t="shared" si="173"/>
        <v>96997.853213070921</v>
      </c>
      <c r="AI37" s="27">
        <f t="shared" si="174"/>
        <v>81871.88324499251</v>
      </c>
      <c r="AJ37" s="27">
        <f t="shared" si="194"/>
        <v>15125.969968078412</v>
      </c>
      <c r="AK37" s="27">
        <f t="shared" si="11"/>
        <v>97001.762069173958</v>
      </c>
      <c r="AL37" s="27">
        <f t="shared" si="175"/>
        <v>81876.586118091451</v>
      </c>
      <c r="AM37" s="27">
        <f t="shared" si="246"/>
        <v>15125.175951082503</v>
      </c>
      <c r="AN37" s="409">
        <f>INDEX(Inv.Returns!$B$2:$E$32,MATCH(B37,Inv.Returns!$A$2:$A$32,0),MATCH(SCRS!$DU$52,Inv.Returns!$B$1:$E$1,0))</f>
        <v>7.0000000000000007E-2</v>
      </c>
      <c r="AO37" s="27">
        <f t="shared" si="41"/>
        <v>-2352.155939368371</v>
      </c>
      <c r="AP37" s="223">
        <f t="shared" si="12"/>
        <v>-2356.0647954714077</v>
      </c>
      <c r="AQ37" s="67">
        <f t="shared" si="22"/>
        <v>1.0248522226273662</v>
      </c>
      <c r="AR37" s="146">
        <f t="shared" si="23"/>
        <v>1.0248935225090898</v>
      </c>
      <c r="AS37" s="346"/>
      <c r="AT37" s="283">
        <f t="shared" si="176"/>
        <v>0.1095</v>
      </c>
      <c r="AU37" s="390">
        <f t="shared" si="109"/>
        <v>0.1095</v>
      </c>
      <c r="AV37" s="296">
        <f t="shared" si="110"/>
        <v>-8.1653768392265531E-3</v>
      </c>
      <c r="AW37" s="296">
        <f t="shared" si="111"/>
        <v>-4.7175565328937059E-7</v>
      </c>
      <c r="AX37" s="111">
        <f t="shared" si="82"/>
        <v>0.09</v>
      </c>
      <c r="AY37" s="111">
        <f t="shared" si="112"/>
        <v>0.09</v>
      </c>
      <c r="AZ37" s="111">
        <f t="shared" si="113"/>
        <v>0</v>
      </c>
      <c r="BA37" s="256">
        <f t="shared" si="24"/>
        <v>1.9500000000000003E-2</v>
      </c>
      <c r="BB37" s="111">
        <f t="shared" si="114"/>
        <v>1.9500000000000003E-2</v>
      </c>
      <c r="BC37" s="128">
        <f t="shared" si="83"/>
        <v>0.1056</v>
      </c>
      <c r="BD37" s="128">
        <f t="shared" si="104"/>
        <v>0.1056</v>
      </c>
      <c r="BE37" s="402">
        <f t="shared" si="15"/>
        <v>8.6099999999999996E-2</v>
      </c>
      <c r="BF37" s="402">
        <f t="shared" si="115"/>
        <v>8.6099999999999996E-2</v>
      </c>
      <c r="BG37" s="402">
        <f t="shared" si="177"/>
        <v>5.5599999999999997E-2</v>
      </c>
      <c r="BH37" s="402">
        <f t="shared" si="26"/>
        <v>0.1056</v>
      </c>
      <c r="BI37" s="152">
        <f t="shared" si="42"/>
        <v>0</v>
      </c>
      <c r="BJ37" s="100">
        <f t="shared" si="43"/>
        <v>4.1869522882181265E-2</v>
      </c>
      <c r="BK37" s="27">
        <f t="shared" si="67"/>
        <v>0</v>
      </c>
      <c r="BL37" s="27">
        <f t="shared" si="17"/>
        <v>20</v>
      </c>
      <c r="BM37" s="107">
        <f t="shared" si="31"/>
        <v>0.01</v>
      </c>
      <c r="BN37" s="27"/>
      <c r="BO37" s="27"/>
      <c r="BP37" s="92">
        <f t="shared" si="178"/>
        <v>-4999.1036668089773</v>
      </c>
      <c r="BQ37" s="27">
        <f t="shared" si="195"/>
        <v>-746.04514107905663</v>
      </c>
      <c r="BR37" s="27">
        <f t="shared" si="179"/>
        <v>-194.62053197605394</v>
      </c>
      <c r="BS37" s="27">
        <f t="shared" si="116"/>
        <v>-29.044347129459986</v>
      </c>
      <c r="BT37" s="27">
        <f t="shared" si="180"/>
        <v>-7.2930977191671627</v>
      </c>
      <c r="BU37" s="27">
        <f t="shared" si="196"/>
        <v>-24.416022798950937</v>
      </c>
      <c r="BV37" s="297">
        <f t="shared" si="181"/>
        <v>364.65488595835814</v>
      </c>
      <c r="BW37" s="297">
        <f t="shared" si="197"/>
        <v>1220.801139947547</v>
      </c>
      <c r="BX37" s="297">
        <f t="shared" si="198"/>
        <v>0</v>
      </c>
      <c r="BY37" s="297">
        <f t="shared" si="182"/>
        <v>71.782625369113987</v>
      </c>
      <c r="BZ37" s="297">
        <f t="shared" si="84"/>
        <v>79.008558624310922</v>
      </c>
      <c r="CA37" s="297">
        <f t="shared" si="199"/>
        <v>264.50691365530156</v>
      </c>
      <c r="CB37" s="297">
        <f t="shared" si="183"/>
        <v>-164.69445834767617</v>
      </c>
      <c r="CC37" s="297">
        <f t="shared" si="200"/>
        <v>0</v>
      </c>
      <c r="CD37" s="297">
        <f t="shared" si="201"/>
        <v>-1.2537106470540349E-2</v>
      </c>
      <c r="CE37" s="297"/>
      <c r="CF37" s="297">
        <f t="shared" si="184"/>
        <v>0</v>
      </c>
      <c r="CG37" s="297">
        <f t="shared" si="202"/>
        <v>0</v>
      </c>
      <c r="CH37" s="297">
        <f t="shared" si="185"/>
        <v>0</v>
      </c>
      <c r="CI37" s="427">
        <f>IF(AND($DU$74="Yes",MAX($AQ$13:AQ36)&lt;100%),MAX(BD35*(G37+Q37)-SUM(BZ37:CH37,CJ37,CY37),0),0)</f>
        <v>0</v>
      </c>
      <c r="CJ37" s="27"/>
      <c r="CK37" s="27">
        <f t="shared" si="44"/>
        <v>0</v>
      </c>
      <c r="CL37" s="27">
        <f t="shared" si="45"/>
        <v>0</v>
      </c>
      <c r="CM37" s="27">
        <f t="shared" si="46"/>
        <v>0</v>
      </c>
      <c r="CN37" s="27">
        <f t="shared" si="47"/>
        <v>1836.0471281004848</v>
      </c>
      <c r="CO37" s="27">
        <f t="shared" si="48"/>
        <v>0</v>
      </c>
      <c r="CP37" s="107">
        <f t="shared" si="4"/>
        <v>1836.0471281004848</v>
      </c>
      <c r="CQ37" s="27">
        <f t="shared" si="117"/>
        <v>-164.70699545414672</v>
      </c>
      <c r="CR37" s="27">
        <f t="shared" si="118"/>
        <v>0</v>
      </c>
      <c r="CS37" s="27">
        <f t="shared" si="186"/>
        <v>-164.70699545414672</v>
      </c>
      <c r="CT37" s="27">
        <f>SUM($CS$14:CS37)</f>
        <v>45197.936914989521</v>
      </c>
      <c r="CU37" s="223">
        <v>3138.1710479380818</v>
      </c>
      <c r="CV37" s="417">
        <v>637.23845966045292</v>
      </c>
      <c r="CW37" s="417">
        <v>3775.4095075985347</v>
      </c>
      <c r="CX37" s="417">
        <v>66617.365964301804</v>
      </c>
      <c r="CY37" s="103">
        <f t="shared" si="49"/>
        <v>155.43686528489263</v>
      </c>
      <c r="CZ37" s="111">
        <f t="shared" si="101"/>
        <v>1.5530042541245953E-2</v>
      </c>
      <c r="DA37" s="92">
        <f t="shared" si="50"/>
        <v>334.24534211035837</v>
      </c>
      <c r="DB37" s="410">
        <f t="shared" si="51"/>
        <v>200.35910370115488</v>
      </c>
      <c r="DC37" s="307">
        <f t="shared" si="52"/>
        <v>-92.356148059405854</v>
      </c>
      <c r="DD37" s="307">
        <f t="shared" si="53"/>
        <v>192.61941929712907</v>
      </c>
      <c r="DE37" s="307">
        <f t="shared" si="54"/>
        <v>0</v>
      </c>
      <c r="DF37" s="307">
        <f t="shared" si="55"/>
        <v>29594.766907058292</v>
      </c>
      <c r="DG37" s="307" t="b">
        <f t="shared" si="68"/>
        <v>0</v>
      </c>
      <c r="DH37" s="27">
        <f t="shared" si="56"/>
        <v>155.43686528489263</v>
      </c>
      <c r="DI37" s="96">
        <f t="shared" si="57"/>
        <v>87.15810827924399</v>
      </c>
      <c r="DJ37" s="101">
        <f t="shared" si="58"/>
        <v>8.242721881888012E-3</v>
      </c>
      <c r="DK37" s="92">
        <f t="shared" si="59"/>
        <v>0</v>
      </c>
      <c r="DL37" s="96">
        <f t="shared" si="60"/>
        <v>0</v>
      </c>
      <c r="DM37" s="101">
        <f t="shared" si="61"/>
        <v>0</v>
      </c>
      <c r="DN37" s="292">
        <v>2707.3801742290343</v>
      </c>
      <c r="DO37" s="96">
        <f t="shared" si="62"/>
        <v>1622.9044858543002</v>
      </c>
      <c r="DP37" s="294">
        <v>1.1540468668447155</v>
      </c>
      <c r="DQ37" s="29"/>
      <c r="DR37" s="53" t="s">
        <v>241</v>
      </c>
      <c r="DS37" s="42"/>
      <c r="DT37" s="42"/>
      <c r="DU37" s="245">
        <v>0.1077</v>
      </c>
      <c r="DV37" s="29"/>
      <c r="DW37" s="320"/>
      <c r="DX37" s="321"/>
      <c r="DY37" s="321"/>
      <c r="DZ37" s="321"/>
      <c r="EA37" s="321"/>
      <c r="EB37" s="321"/>
      <c r="EC37" s="321"/>
      <c r="ED37" s="321"/>
      <c r="EE37" s="321"/>
      <c r="EF37" s="321"/>
      <c r="EG37" s="321"/>
      <c r="EH37" s="321"/>
      <c r="EI37" s="322"/>
      <c r="EJ37" s="323"/>
      <c r="EK37" s="332" t="e">
        <f>IF(AND(#REF!="Fresh Start",A37&gt;2019),AV37,IF(BD37-(AT37-AX37)&lt;0,0,BD37-(AT37-AX37)))</f>
        <v>#REF!</v>
      </c>
      <c r="EL37" s="332">
        <f t="shared" si="63"/>
        <v>1.9500000000000003E-2</v>
      </c>
      <c r="EM37" s="332" t="e">
        <f t="shared" si="70"/>
        <v>#DIV/0!</v>
      </c>
      <c r="EN37" s="332">
        <f t="shared" si="64"/>
        <v>0</v>
      </c>
      <c r="EO37" s="332">
        <v>9.5600000000000004E-2</v>
      </c>
      <c r="EP37" s="332">
        <v>0.14344509077636353</v>
      </c>
      <c r="EQ37" s="333" t="e">
        <f t="shared" si="71"/>
        <v>#REF!</v>
      </c>
      <c r="ER37" s="277"/>
      <c r="ES37" s="334">
        <v>28</v>
      </c>
      <c r="ET37" s="29">
        <f t="shared" si="85"/>
        <v>5514.877894319533</v>
      </c>
      <c r="EU37" s="29">
        <f t="shared" si="86"/>
        <v>5517.7490416910287</v>
      </c>
      <c r="EV37" s="29">
        <f t="shared" si="72"/>
        <v>2.871147371495681</v>
      </c>
      <c r="EW37" s="29">
        <f t="shared" si="73"/>
        <v>2.2969178971965447</v>
      </c>
      <c r="EX37" s="29">
        <f t="shared" si="87"/>
        <v>1.6818595868027844</v>
      </c>
      <c r="EY37" s="29">
        <f t="shared" si="102"/>
        <v>0.48151894930924755</v>
      </c>
      <c r="EZ37" s="29">
        <f t="shared" si="105"/>
        <v>0.24257666563335079</v>
      </c>
      <c r="FA37" s="29">
        <f t="shared" si="74"/>
        <v>4.702873098941927</v>
      </c>
      <c r="FB37" s="29"/>
      <c r="FC37" s="29">
        <f t="shared" si="247"/>
        <v>967.09166676997768</v>
      </c>
      <c r="FD37" s="29">
        <f t="shared" si="248"/>
        <v>966.68570876693968</v>
      </c>
      <c r="FE37" s="29">
        <f t="shared" si="203"/>
        <v>-0.40595800303799479</v>
      </c>
      <c r="FF37" s="29">
        <f t="shared" si="204"/>
        <v>-0.32476640243039584</v>
      </c>
      <c r="FG37" s="29">
        <f t="shared" si="205"/>
        <v>-0.23964448060412449</v>
      </c>
      <c r="FH37" s="29">
        <f t="shared" si="206"/>
        <v>-0.15433651960552197</v>
      </c>
      <c r="FI37" s="29">
        <f t="shared" si="207"/>
        <v>-7.5269593268603788E-2</v>
      </c>
      <c r="FJ37" s="29">
        <f t="shared" si="208"/>
        <v>-0.79401699590864616</v>
      </c>
      <c r="FK37" s="29"/>
      <c r="FL37" s="29"/>
      <c r="FM37" s="27">
        <f t="shared" si="27"/>
        <v>-2288.848990220562</v>
      </c>
      <c r="FN37" s="29"/>
      <c r="FO37" s="301">
        <f t="shared" si="119"/>
        <v>-164.69445834767617</v>
      </c>
      <c r="FP37" s="89">
        <f t="shared" si="209"/>
        <v>-1.2537106470540349E-2</v>
      </c>
      <c r="FQ37" s="27">
        <f t="shared" si="103"/>
        <v>20</v>
      </c>
      <c r="FR37" s="302">
        <f t="shared" si="88"/>
        <v>13.464518542443937</v>
      </c>
      <c r="FS37" s="89">
        <f t="shared" si="89"/>
        <v>-169.99114992529948</v>
      </c>
      <c r="FT37" s="89">
        <f t="shared" si="210"/>
        <v>-164.70699545414672</v>
      </c>
      <c r="FU37" s="29">
        <f t="shared" si="90"/>
        <v>20</v>
      </c>
      <c r="FV37" s="137">
        <f t="shared" si="91"/>
        <v>13.464518542443937</v>
      </c>
      <c r="FW37" s="48">
        <v>-890.11026027159733</v>
      </c>
      <c r="FX37" s="29">
        <f t="shared" si="120"/>
        <v>-73.495444999574829</v>
      </c>
      <c r="FY37" s="29">
        <f t="shared" si="121"/>
        <v>-76.156404219514883</v>
      </c>
      <c r="FZ37" s="29">
        <f t="shared" si="266"/>
        <v>-2202.3975270399587</v>
      </c>
      <c r="GA37" s="29">
        <f t="shared" si="267"/>
        <v>0</v>
      </c>
      <c r="GB37" s="29">
        <f t="shared" si="268"/>
        <v>0</v>
      </c>
      <c r="GC37" s="29">
        <f t="shared" si="269"/>
        <v>0</v>
      </c>
      <c r="GD37" s="29">
        <f t="shared" si="270"/>
        <v>0</v>
      </c>
      <c r="GE37" s="29">
        <f t="shared" si="271"/>
        <v>0</v>
      </c>
      <c r="GF37" s="29">
        <f t="shared" si="272"/>
        <v>0</v>
      </c>
      <c r="GG37" s="29">
        <f t="shared" si="273"/>
        <v>0</v>
      </c>
      <c r="GH37" s="29">
        <f t="shared" si="274"/>
        <v>0</v>
      </c>
      <c r="GI37" s="29">
        <f t="shared" si="275"/>
        <v>0</v>
      </c>
      <c r="GJ37" s="29">
        <f t="shared" si="276"/>
        <v>0</v>
      </c>
      <c r="GK37" s="29">
        <f t="shared" si="277"/>
        <v>0</v>
      </c>
      <c r="GL37" s="29">
        <f t="shared" si="278"/>
        <v>0</v>
      </c>
      <c r="GM37" s="29">
        <f t="shared" si="279"/>
        <v>0</v>
      </c>
      <c r="GN37" s="29">
        <f t="shared" si="280"/>
        <v>0</v>
      </c>
      <c r="GO37" s="29">
        <f t="shared" si="251"/>
        <v>0</v>
      </c>
      <c r="GP37" s="29">
        <f t="shared" si="252"/>
        <v>0</v>
      </c>
      <c r="GQ37" s="29">
        <f t="shared" si="253"/>
        <v>0</v>
      </c>
      <c r="GR37" s="29">
        <f t="shared" si="254"/>
        <v>0</v>
      </c>
      <c r="GS37" s="29">
        <f t="shared" si="255"/>
        <v>0</v>
      </c>
      <c r="GT37" s="29">
        <f t="shared" si="256"/>
        <v>0</v>
      </c>
      <c r="GU37" s="29">
        <f t="shared" si="257"/>
        <v>0</v>
      </c>
      <c r="GV37" s="29">
        <f t="shared" si="258"/>
        <v>0</v>
      </c>
      <c r="GW37" s="29">
        <f t="shared" si="259"/>
        <v>0</v>
      </c>
      <c r="GX37" s="29">
        <f t="shared" si="260"/>
        <v>0</v>
      </c>
      <c r="GY37" s="29">
        <f t="shared" si="261"/>
        <v>0</v>
      </c>
      <c r="GZ37" s="29">
        <f t="shared" si="262"/>
        <v>0</v>
      </c>
      <c r="HA37" s="29">
        <f t="shared" si="263"/>
        <v>0</v>
      </c>
      <c r="HB37" s="29">
        <f t="shared" si="264"/>
        <v>0</v>
      </c>
      <c r="HC37" s="29">
        <f t="shared" si="265"/>
        <v>0</v>
      </c>
      <c r="HD37" s="29"/>
      <c r="HE37" s="29">
        <f t="shared" si="32"/>
        <v>20</v>
      </c>
      <c r="HF37" s="29">
        <f t="shared" si="317"/>
        <v>0</v>
      </c>
      <c r="HG37" s="29">
        <f t="shared" si="318"/>
        <v>-5.6560807562074018</v>
      </c>
      <c r="HH37" s="29">
        <f t="shared" si="319"/>
        <v>-169.14120872306344</v>
      </c>
      <c r="HI37" s="29">
        <f t="shared" si="126"/>
        <v>0</v>
      </c>
      <c r="HJ37" s="29">
        <f t="shared" si="127"/>
        <v>0</v>
      </c>
      <c r="HK37" s="29">
        <f t="shared" si="128"/>
        <v>0</v>
      </c>
      <c r="HL37" s="29">
        <f t="shared" si="129"/>
        <v>0</v>
      </c>
      <c r="HM37" s="29">
        <f t="shared" si="130"/>
        <v>0</v>
      </c>
      <c r="HN37" s="29">
        <f t="shared" si="131"/>
        <v>0</v>
      </c>
      <c r="HO37" s="29">
        <f t="shared" si="132"/>
        <v>0</v>
      </c>
      <c r="HP37" s="29">
        <f t="shared" si="133"/>
        <v>0</v>
      </c>
      <c r="HQ37" s="29">
        <f t="shared" si="134"/>
        <v>0</v>
      </c>
      <c r="HR37" s="29">
        <f t="shared" si="135"/>
        <v>0</v>
      </c>
      <c r="HS37" s="29">
        <f t="shared" si="136"/>
        <v>0</v>
      </c>
      <c r="HT37" s="29">
        <f t="shared" si="137"/>
        <v>0</v>
      </c>
      <c r="HU37" s="29">
        <f t="shared" si="138"/>
        <v>0</v>
      </c>
      <c r="HV37" s="29">
        <f t="shared" si="139"/>
        <v>0</v>
      </c>
      <c r="HW37" s="29">
        <f t="shared" si="140"/>
        <v>0</v>
      </c>
      <c r="HX37" s="29">
        <f t="shared" si="141"/>
        <v>0</v>
      </c>
      <c r="HY37" s="29">
        <f t="shared" si="142"/>
        <v>0</v>
      </c>
      <c r="HZ37" s="29">
        <f t="shared" si="143"/>
        <v>0</v>
      </c>
      <c r="IA37" s="29">
        <f t="shared" si="144"/>
        <v>0</v>
      </c>
      <c r="IB37" s="29">
        <f t="shared" si="145"/>
        <v>0</v>
      </c>
      <c r="IC37" s="29">
        <f t="shared" si="146"/>
        <v>0</v>
      </c>
      <c r="ID37" s="29">
        <f t="shared" si="147"/>
        <v>0</v>
      </c>
      <c r="IE37" s="29">
        <f t="shared" si="148"/>
        <v>0</v>
      </c>
      <c r="IF37" s="29">
        <f t="shared" si="149"/>
        <v>0</v>
      </c>
      <c r="IG37" s="29">
        <f t="shared" si="150"/>
        <v>0</v>
      </c>
      <c r="IH37" s="29">
        <f t="shared" si="151"/>
        <v>0</v>
      </c>
      <c r="II37" s="29">
        <f t="shared" si="152"/>
        <v>0</v>
      </c>
      <c r="IJ37" s="29">
        <f t="shared" si="153"/>
        <v>0</v>
      </c>
      <c r="IK37" s="29">
        <f t="shared" si="154"/>
        <v>0</v>
      </c>
      <c r="IL37" s="48"/>
      <c r="IM37" s="48"/>
      <c r="IN37" s="48"/>
      <c r="IO37" s="29">
        <f t="shared" si="211"/>
        <v>3.3684285145386211E-2</v>
      </c>
      <c r="IP37" s="29">
        <f t="shared" si="249"/>
        <v>2.7406651478659678E-2</v>
      </c>
      <c r="IQ37" s="29">
        <f t="shared" si="302"/>
        <v>-0.16765404594649694</v>
      </c>
      <c r="IR37" s="29">
        <f t="shared" si="303"/>
        <v>0</v>
      </c>
      <c r="IS37" s="29">
        <f t="shared" si="304"/>
        <v>0</v>
      </c>
      <c r="IT37" s="29">
        <f t="shared" si="305"/>
        <v>0</v>
      </c>
      <c r="IU37" s="29">
        <f t="shared" si="306"/>
        <v>0</v>
      </c>
      <c r="IV37" s="29">
        <f t="shared" si="307"/>
        <v>0</v>
      </c>
      <c r="IW37" s="29">
        <f t="shared" si="308"/>
        <v>0</v>
      </c>
      <c r="IX37" s="29">
        <f t="shared" si="309"/>
        <v>0</v>
      </c>
      <c r="IY37" s="29">
        <f t="shared" si="310"/>
        <v>0</v>
      </c>
      <c r="IZ37" s="29">
        <f t="shared" si="311"/>
        <v>0</v>
      </c>
      <c r="JA37" s="29">
        <f t="shared" si="312"/>
        <v>0</v>
      </c>
      <c r="JB37" s="29">
        <f t="shared" si="313"/>
        <v>0</v>
      </c>
      <c r="JC37" s="29">
        <f t="shared" si="314"/>
        <v>0</v>
      </c>
      <c r="JD37" s="29">
        <f t="shared" si="315"/>
        <v>0</v>
      </c>
      <c r="JE37" s="29">
        <f t="shared" si="316"/>
        <v>0</v>
      </c>
      <c r="JF37" s="29">
        <f t="shared" si="285"/>
        <v>0</v>
      </c>
      <c r="JG37" s="29">
        <f t="shared" si="286"/>
        <v>0</v>
      </c>
      <c r="JH37" s="29">
        <f t="shared" si="287"/>
        <v>0</v>
      </c>
      <c r="JI37" s="29">
        <f t="shared" si="288"/>
        <v>0</v>
      </c>
      <c r="JJ37" s="29">
        <f t="shared" si="289"/>
        <v>0</v>
      </c>
      <c r="JK37" s="29">
        <f t="shared" si="290"/>
        <v>0</v>
      </c>
      <c r="JL37" s="29">
        <f t="shared" si="291"/>
        <v>0</v>
      </c>
      <c r="JM37" s="29">
        <f t="shared" si="292"/>
        <v>0</v>
      </c>
      <c r="JN37" s="29">
        <f t="shared" si="293"/>
        <v>0</v>
      </c>
      <c r="JO37" s="29">
        <f t="shared" si="294"/>
        <v>0</v>
      </c>
      <c r="JP37" s="29">
        <f t="shared" si="295"/>
        <v>0</v>
      </c>
      <c r="JQ37" s="29">
        <f t="shared" si="296"/>
        <v>0</v>
      </c>
      <c r="JR37" s="29">
        <f t="shared" si="297"/>
        <v>0</v>
      </c>
      <c r="JS37" s="29">
        <f t="shared" si="298"/>
        <v>0</v>
      </c>
      <c r="JT37" s="29">
        <f t="shared" si="299"/>
        <v>0</v>
      </c>
      <c r="JU37" s="48"/>
      <c r="JV37" s="394">
        <f t="shared" si="213"/>
        <v>20</v>
      </c>
      <c r="JW37" s="29">
        <f t="shared" si="214"/>
        <v>0</v>
      </c>
      <c r="JX37" s="29">
        <f t="shared" si="215"/>
        <v>2.0354720736776612E-3</v>
      </c>
      <c r="JY37" s="29">
        <f t="shared" si="216"/>
        <v>-1.2875608345244939E-2</v>
      </c>
      <c r="JZ37" s="29">
        <f t="shared" si="217"/>
        <v>0</v>
      </c>
      <c r="KA37" s="29">
        <f t="shared" si="218"/>
        <v>0</v>
      </c>
      <c r="KB37" s="29">
        <f t="shared" si="219"/>
        <v>0</v>
      </c>
      <c r="KC37" s="29">
        <f t="shared" si="220"/>
        <v>0</v>
      </c>
      <c r="KD37" s="29">
        <f t="shared" si="221"/>
        <v>0</v>
      </c>
      <c r="KE37" s="29">
        <f t="shared" si="222"/>
        <v>0</v>
      </c>
      <c r="KF37" s="29">
        <f t="shared" si="223"/>
        <v>0</v>
      </c>
      <c r="KG37" s="29">
        <f t="shared" si="224"/>
        <v>0</v>
      </c>
      <c r="KH37" s="29">
        <f t="shared" si="225"/>
        <v>0</v>
      </c>
      <c r="KI37" s="29">
        <f t="shared" si="226"/>
        <v>0</v>
      </c>
      <c r="KJ37" s="29">
        <f t="shared" si="227"/>
        <v>0</v>
      </c>
      <c r="KK37" s="29">
        <f t="shared" si="228"/>
        <v>0</v>
      </c>
      <c r="KL37" s="29">
        <f t="shared" si="229"/>
        <v>0</v>
      </c>
      <c r="KM37" s="29">
        <f t="shared" si="230"/>
        <v>0</v>
      </c>
      <c r="KN37" s="29">
        <f t="shared" si="231"/>
        <v>0</v>
      </c>
      <c r="KO37" s="29">
        <f t="shared" si="232"/>
        <v>0</v>
      </c>
      <c r="KP37" s="29">
        <f t="shared" si="233"/>
        <v>0</v>
      </c>
      <c r="KQ37" s="29">
        <f t="shared" si="234"/>
        <v>0</v>
      </c>
      <c r="KR37" s="29">
        <f t="shared" si="235"/>
        <v>0</v>
      </c>
      <c r="KS37" s="29">
        <f t="shared" si="236"/>
        <v>0</v>
      </c>
      <c r="KT37" s="29">
        <f t="shared" si="237"/>
        <v>0</v>
      </c>
      <c r="KU37" s="29">
        <f t="shared" si="238"/>
        <v>0</v>
      </c>
      <c r="KV37" s="29">
        <f t="shared" si="239"/>
        <v>0</v>
      </c>
      <c r="KW37" s="29">
        <f t="shared" si="240"/>
        <v>0</v>
      </c>
      <c r="KX37" s="29">
        <f t="shared" si="241"/>
        <v>0</v>
      </c>
      <c r="KY37" s="29">
        <f t="shared" si="242"/>
        <v>0</v>
      </c>
      <c r="KZ37" s="29">
        <f t="shared" si="243"/>
        <v>0</v>
      </c>
      <c r="LA37" s="29">
        <f t="shared" si="244"/>
        <v>0</v>
      </c>
      <c r="LB37" s="29">
        <f t="shared" si="245"/>
        <v>0</v>
      </c>
      <c r="LC37" s="48"/>
      <c r="LD37" s="48"/>
      <c r="LE37" s="48"/>
      <c r="LF37" s="48"/>
      <c r="LG37" s="48"/>
      <c r="LH37" s="48"/>
      <c r="LI37" s="48"/>
      <c r="LJ37" s="48"/>
      <c r="LK37" s="48"/>
      <c r="LL37" s="48"/>
      <c r="LM37" s="48"/>
      <c r="LN37" s="48"/>
      <c r="LO37" s="48"/>
      <c r="LP37" s="28"/>
      <c r="LQ37" s="28"/>
      <c r="LR37" s="28"/>
      <c r="LS37" s="48"/>
      <c r="LT37" s="28"/>
      <c r="LU37" s="161">
        <v>6.9159999999999999E-2</v>
      </c>
      <c r="LV37" s="111">
        <f t="shared" si="75"/>
        <v>1.1212474355005231E-17</v>
      </c>
      <c r="LW37" s="152">
        <f t="shared" si="18"/>
        <v>1.8096812527580959E-13</v>
      </c>
      <c r="LX37" s="223" t="e">
        <f>LX36*(1+#REF!)</f>
        <v>#REF!</v>
      </c>
      <c r="LY37" s="153"/>
      <c r="LZ37" s="124">
        <f t="shared" si="76"/>
        <v>-750.16320834278304</v>
      </c>
      <c r="MA37" s="125">
        <f t="shared" si="77"/>
        <v>-827.01493123189721</v>
      </c>
      <c r="MB37" s="28"/>
      <c r="MC37" s="374">
        <f t="shared" si="300"/>
        <v>5.5000000000000014E-2</v>
      </c>
      <c r="MD37" s="387">
        <f t="shared" si="187"/>
        <v>-877.70016597536073</v>
      </c>
      <c r="ME37" s="152">
        <f t="shared" si="188"/>
        <v>-5876.8038327843378</v>
      </c>
      <c r="MF37" s="28"/>
      <c r="MG37" s="374">
        <f t="shared" si="301"/>
        <v>5.5000000000000014E-2</v>
      </c>
      <c r="MH37" s="387">
        <f t="shared" si="189"/>
        <v>-34.169820152305867</v>
      </c>
      <c r="MI37" s="152">
        <f t="shared" si="155"/>
        <v>-228.79035212835981</v>
      </c>
      <c r="MJ37" s="28"/>
      <c r="MK37" s="28"/>
      <c r="ML37" s="28"/>
      <c r="MM37" s="28"/>
      <c r="MN37" s="28"/>
      <c r="MO37" s="28"/>
      <c r="MP37" s="28"/>
      <c r="MQ37" s="28"/>
      <c r="MR37" s="28"/>
      <c r="MS37" s="28"/>
      <c r="MT37" s="28"/>
      <c r="MU37" s="28"/>
      <c r="MV37" s="28"/>
      <c r="MW37" s="28"/>
    </row>
    <row r="38" spans="1:361" s="30" customFormat="1" ht="12.75" customHeight="1" x14ac:dyDescent="0.3">
      <c r="A38" s="298">
        <f t="shared" si="99"/>
        <v>2047</v>
      </c>
      <c r="B38" s="348">
        <f t="shared" si="2"/>
        <v>2045</v>
      </c>
      <c r="C38" s="26">
        <v>53144</v>
      </c>
      <c r="D38" s="92">
        <f t="shared" si="156"/>
        <v>3842.5414723021727</v>
      </c>
      <c r="E38" s="27">
        <f t="shared" si="106"/>
        <v>3842.5414723021727</v>
      </c>
      <c r="F38" s="107">
        <f t="shared" si="21"/>
        <v>17006.205955847159</v>
      </c>
      <c r="G38" s="27">
        <f t="shared" si="157"/>
        <v>21284.488086344634</v>
      </c>
      <c r="H38" s="27">
        <f t="shared" si="158"/>
        <v>4469.7424981323711</v>
      </c>
      <c r="I38" s="289">
        <f t="shared" si="159"/>
        <v>3799.2811234125156</v>
      </c>
      <c r="J38" s="68">
        <v>1222.8153279999999</v>
      </c>
      <c r="K38" s="290">
        <f t="shared" si="160"/>
        <v>2576.4657954125159</v>
      </c>
      <c r="L38" s="290">
        <f t="shared" si="107"/>
        <v>16814.745588212263</v>
      </c>
      <c r="M38" s="290">
        <f t="shared" si="161"/>
        <v>14292.533749980423</v>
      </c>
      <c r="N38" s="27">
        <f t="shared" si="162"/>
        <v>0</v>
      </c>
      <c r="O38" s="290">
        <f t="shared" si="163"/>
        <v>670.4613747198556</v>
      </c>
      <c r="P38" s="290">
        <f t="shared" si="108"/>
        <v>2522.2118382318395</v>
      </c>
      <c r="Q38" s="290">
        <f t="shared" si="164"/>
        <v>819.11951393422294</v>
      </c>
      <c r="R38" s="254">
        <f t="shared" si="3"/>
        <v>0.20999999999999996</v>
      </c>
      <c r="S38" s="251">
        <v>0.79</v>
      </c>
      <c r="T38" s="284">
        <f t="shared" si="165"/>
        <v>7.0000000000000007E-2</v>
      </c>
      <c r="U38" s="284">
        <f t="shared" si="166"/>
        <v>7.0000000000000007E-2</v>
      </c>
      <c r="V38" s="27">
        <f t="shared" si="5"/>
        <v>97168.704082785815</v>
      </c>
      <c r="W38" s="27">
        <f t="shared" si="167"/>
        <v>80274.9530188473</v>
      </c>
      <c r="X38" s="27">
        <f t="shared" si="190"/>
        <v>16893.751063938507</v>
      </c>
      <c r="Y38" s="27">
        <f t="shared" si="168"/>
        <v>409.18257699152798</v>
      </c>
      <c r="Z38" s="27">
        <f t="shared" si="191"/>
        <v>1539.3058848728915</v>
      </c>
      <c r="AA38" s="111">
        <f t="shared" si="169"/>
        <v>7.0000000000000007E-2</v>
      </c>
      <c r="AB38" s="111">
        <f t="shared" si="170"/>
        <v>7.0000000000000007E-2</v>
      </c>
      <c r="AC38" s="92">
        <f t="shared" si="7"/>
        <v>97168.704082785815</v>
      </c>
      <c r="AD38" s="27">
        <f t="shared" si="171"/>
        <v>80274.9530188473</v>
      </c>
      <c r="AE38" s="27">
        <f t="shared" si="192"/>
        <v>16893.751063938507</v>
      </c>
      <c r="AF38" s="145">
        <f t="shared" si="172"/>
        <v>409.18257699152798</v>
      </c>
      <c r="AG38" s="27">
        <f t="shared" si="193"/>
        <v>1539.3058848728915</v>
      </c>
      <c r="AH38" s="27">
        <f t="shared" si="173"/>
        <v>99580.597732269511</v>
      </c>
      <c r="AI38" s="27">
        <f t="shared" si="174"/>
        <v>82686.78833147879</v>
      </c>
      <c r="AJ38" s="27">
        <f t="shared" si="194"/>
        <v>16893.809400790724</v>
      </c>
      <c r="AK38" s="27">
        <f t="shared" si="11"/>
        <v>99585.12782186117</v>
      </c>
      <c r="AL38" s="27">
        <f t="shared" si="175"/>
        <v>82692.123546705465</v>
      </c>
      <c r="AM38" s="27">
        <f t="shared" si="246"/>
        <v>16893.004275155708</v>
      </c>
      <c r="AN38" s="409">
        <f>INDEX(Inv.Returns!$B$2:$E$32,MATCH(B38,Inv.Returns!$A$2:$A$32,0),MATCH(SCRS!$DU$52,Inv.Returns!$B$1:$E$1,0))</f>
        <v>7.0000000000000007E-2</v>
      </c>
      <c r="AO38" s="27">
        <f t="shared" si="41"/>
        <v>-2411.8936494836962</v>
      </c>
      <c r="AP38" s="223">
        <f t="shared" si="12"/>
        <v>-2416.4237390753551</v>
      </c>
      <c r="AQ38" s="67">
        <f t="shared" si="22"/>
        <v>1.0248217126311452</v>
      </c>
      <c r="AR38" s="146">
        <f t="shared" si="23"/>
        <v>1.0248683335018713</v>
      </c>
      <c r="AS38" s="346"/>
      <c r="AT38" s="283">
        <f t="shared" si="176"/>
        <v>0.1095</v>
      </c>
      <c r="AU38" s="390">
        <f t="shared" si="109"/>
        <v>0.1095</v>
      </c>
      <c r="AV38" s="296">
        <f t="shared" si="110"/>
        <v>-8.4242819993068409E-3</v>
      </c>
      <c r="AW38" s="296">
        <f t="shared" si="111"/>
        <v>-2.731095595271215E-7</v>
      </c>
      <c r="AX38" s="111">
        <f t="shared" si="82"/>
        <v>0.09</v>
      </c>
      <c r="AY38" s="111">
        <f t="shared" si="112"/>
        <v>0.09</v>
      </c>
      <c r="AZ38" s="111">
        <f t="shared" si="113"/>
        <v>0</v>
      </c>
      <c r="BA38" s="256">
        <f t="shared" si="24"/>
        <v>1.9500000000000003E-2</v>
      </c>
      <c r="BB38" s="111">
        <f t="shared" si="114"/>
        <v>1.9500000000000003E-2</v>
      </c>
      <c r="BC38" s="128">
        <f t="shared" si="83"/>
        <v>9.5600000000000004E-2</v>
      </c>
      <c r="BD38" s="128">
        <f t="shared" si="104"/>
        <v>9.5600000000000004E-2</v>
      </c>
      <c r="BE38" s="402">
        <f t="shared" si="15"/>
        <v>7.6100000000000001E-2</v>
      </c>
      <c r="BF38" s="402">
        <f t="shared" si="115"/>
        <v>7.6100000000000001E-2</v>
      </c>
      <c r="BG38" s="402">
        <f t="shared" si="177"/>
        <v>4.5600000000000002E-2</v>
      </c>
      <c r="BH38" s="402">
        <f t="shared" si="26"/>
        <v>9.5600000000000004E-2</v>
      </c>
      <c r="BI38" s="152">
        <f t="shared" si="42"/>
        <v>0</v>
      </c>
      <c r="BJ38" s="100">
        <f t="shared" si="43"/>
        <v>4.1869522882181265E-2</v>
      </c>
      <c r="BK38" s="27">
        <f t="shared" si="67"/>
        <v>0</v>
      </c>
      <c r="BL38" s="27">
        <f t="shared" si="17"/>
        <v>20</v>
      </c>
      <c r="BM38" s="107">
        <f t="shared" si="31"/>
        <v>0.01</v>
      </c>
      <c r="BN38" s="27"/>
      <c r="BO38" s="27"/>
      <c r="BP38" s="92">
        <f t="shared" si="178"/>
        <v>-4870.7870639166249</v>
      </c>
      <c r="BQ38" s="27">
        <f t="shared" si="195"/>
        <v>-821.8206906238745</v>
      </c>
      <c r="BR38" s="27">
        <f t="shared" si="179"/>
        <v>-189.6250273454788</v>
      </c>
      <c r="BS38" s="27">
        <f t="shared" si="116"/>
        <v>-31.994371523053712</v>
      </c>
      <c r="BT38" s="27">
        <f t="shared" si="180"/>
        <v>-6.838706022142528</v>
      </c>
      <c r="BU38" s="27">
        <f t="shared" si="196"/>
        <v>-25.726560749964761</v>
      </c>
      <c r="BV38" s="297">
        <f t="shared" si="181"/>
        <v>341.93530110712641</v>
      </c>
      <c r="BW38" s="297">
        <f t="shared" si="197"/>
        <v>1286.328037498238</v>
      </c>
      <c r="BX38" s="297">
        <f t="shared" si="198"/>
        <v>0</v>
      </c>
      <c r="BY38" s="297">
        <f t="shared" si="182"/>
        <v>73.720756254080058</v>
      </c>
      <c r="BZ38" s="297">
        <f t="shared" si="84"/>
        <v>74.085981906544134</v>
      </c>
      <c r="CA38" s="297">
        <f t="shared" si="199"/>
        <v>278.70440812461834</v>
      </c>
      <c r="CB38" s="297">
        <f t="shared" si="183"/>
        <v>-174.79728947927083</v>
      </c>
      <c r="CC38" s="297">
        <f t="shared" si="200"/>
        <v>0</v>
      </c>
      <c r="CD38" s="297">
        <f t="shared" si="201"/>
        <v>-1.0840136271567278E-2</v>
      </c>
      <c r="CE38" s="297"/>
      <c r="CF38" s="297">
        <f t="shared" si="184"/>
        <v>0</v>
      </c>
      <c r="CG38" s="297">
        <f t="shared" si="202"/>
        <v>0</v>
      </c>
      <c r="CH38" s="297">
        <f t="shared" si="185"/>
        <v>0</v>
      </c>
      <c r="CI38" s="427">
        <f>IF(AND($DU$74="Yes",MAX($AQ$13:AQ37)&lt;100%),MAX(BD36*(G38+Q38)-SUM(BZ38:CH38,CJ38,CY38),0),0)</f>
        <v>0</v>
      </c>
      <c r="CJ38" s="27"/>
      <c r="CK38" s="27">
        <f t="shared" si="44"/>
        <v>0</v>
      </c>
      <c r="CL38" s="27">
        <f t="shared" si="45"/>
        <v>0</v>
      </c>
      <c r="CM38" s="27">
        <f t="shared" si="46"/>
        <v>0</v>
      </c>
      <c r="CN38" s="27">
        <f t="shared" si="47"/>
        <v>1879.9663552750644</v>
      </c>
      <c r="CO38" s="27">
        <f t="shared" si="48"/>
        <v>0</v>
      </c>
      <c r="CP38" s="107">
        <f t="shared" si="4"/>
        <v>1879.9663552750644</v>
      </c>
      <c r="CQ38" s="27">
        <f t="shared" si="117"/>
        <v>-174.80812961554238</v>
      </c>
      <c r="CR38" s="27">
        <f t="shared" si="118"/>
        <v>0</v>
      </c>
      <c r="CS38" s="27">
        <f t="shared" si="186"/>
        <v>-174.80812961554238</v>
      </c>
      <c r="CT38" s="27">
        <f>SUM($CS$14:CS38)</f>
        <v>45023.128785373978</v>
      </c>
      <c r="CU38" s="223">
        <v>3235.347276002331</v>
      </c>
      <c r="CV38" s="417">
        <v>656.35561345026645</v>
      </c>
      <c r="CW38" s="417">
        <v>3891.7028894525974</v>
      </c>
      <c r="CX38" s="417">
        <v>70509.068853754405</v>
      </c>
      <c r="CY38" s="103">
        <f t="shared" si="49"/>
        <v>159.63366064758475</v>
      </c>
      <c r="CZ38" s="111">
        <f t="shared" si="101"/>
        <v>1.5274245144441739E-2</v>
      </c>
      <c r="DA38" s="92">
        <f t="shared" si="50"/>
        <v>337.61592106320484</v>
      </c>
      <c r="DB38" s="410">
        <f t="shared" si="51"/>
        <v>197.92621440503527</v>
      </c>
      <c r="DC38" s="307">
        <f t="shared" si="52"/>
        <v>-95.863233917187117</v>
      </c>
      <c r="DD38" s="307">
        <f t="shared" si="53"/>
        <v>193.46713312288688</v>
      </c>
      <c r="DE38" s="307">
        <f t="shared" si="54"/>
        <v>0</v>
      </c>
      <c r="DF38" s="307">
        <f t="shared" si="55"/>
        <v>29143.700092778919</v>
      </c>
      <c r="DG38" s="307" t="b">
        <f t="shared" si="68"/>
        <v>0</v>
      </c>
      <c r="DH38" s="27">
        <f t="shared" si="56"/>
        <v>159.63366064758475</v>
      </c>
      <c r="DI38" s="96">
        <f t="shared" si="57"/>
        <v>87.541689195876373</v>
      </c>
      <c r="DJ38" s="101">
        <f t="shared" si="58"/>
        <v>8.0510306753324764E-3</v>
      </c>
      <c r="DK38" s="92">
        <f t="shared" si="59"/>
        <v>0</v>
      </c>
      <c r="DL38" s="96">
        <f t="shared" si="60"/>
        <v>0</v>
      </c>
      <c r="DM38" s="309">
        <f t="shared" si="61"/>
        <v>0</v>
      </c>
      <c r="DN38" s="292">
        <v>2547.3730691223495</v>
      </c>
      <c r="DO38" s="96">
        <f t="shared" si="62"/>
        <v>1493.3890163145875</v>
      </c>
      <c r="DP38" s="294">
        <v>1.1771650646767426</v>
      </c>
      <c r="DQ38" s="29"/>
      <c r="DR38" s="53" t="s">
        <v>202</v>
      </c>
      <c r="DS38" s="42"/>
      <c r="DT38" s="42"/>
      <c r="DU38" s="259">
        <v>1.8E-3</v>
      </c>
      <c r="DV38" s="29"/>
      <c r="DW38" s="320"/>
      <c r="DX38" s="321"/>
      <c r="DY38" s="321"/>
      <c r="DZ38" s="321"/>
      <c r="EA38" s="321"/>
      <c r="EB38" s="321"/>
      <c r="EC38" s="321"/>
      <c r="ED38" s="321"/>
      <c r="EE38" s="321"/>
      <c r="EF38" s="321"/>
      <c r="EG38" s="321"/>
      <c r="EH38" s="321"/>
      <c r="EI38" s="322"/>
      <c r="EJ38" s="323"/>
      <c r="EK38" s="332" t="e">
        <f>IF(AND(#REF!="Fresh Start",A38&gt;2019),AV38,IF(BD38-(AT38-AX38)&lt;0,0,BD38-(AT38-AX38)))</f>
        <v>#REF!</v>
      </c>
      <c r="EL38" s="332">
        <f t="shared" si="63"/>
        <v>1.9500000000000003E-2</v>
      </c>
      <c r="EM38" s="332" t="e">
        <f t="shared" si="70"/>
        <v>#DIV/0!</v>
      </c>
      <c r="EN38" s="332">
        <f t="shared" si="64"/>
        <v>0</v>
      </c>
      <c r="EO38" s="332">
        <v>8.5600000000000009E-2</v>
      </c>
      <c r="EP38" s="332">
        <v>0.14330498767576727</v>
      </c>
      <c r="EQ38" s="333" t="e">
        <f t="shared" si="71"/>
        <v>#REF!</v>
      </c>
      <c r="ER38" s="277"/>
      <c r="ES38" s="30">
        <v>29</v>
      </c>
      <c r="ET38" s="29">
        <f t="shared" si="85"/>
        <v>5565.0303166040503</v>
      </c>
      <c r="EU38" s="29">
        <f t="shared" si="86"/>
        <v>5567.8434761097806</v>
      </c>
      <c r="EV38" s="29">
        <f t="shared" si="72"/>
        <v>2.8131595057302548</v>
      </c>
      <c r="EW38" s="29">
        <f t="shared" si="73"/>
        <v>2.250527604584204</v>
      </c>
      <c r="EX38" s="29">
        <f t="shared" si="87"/>
        <v>1.7226884228974084</v>
      </c>
      <c r="EY38" s="29">
        <f t="shared" si="102"/>
        <v>1.1212397245351895</v>
      </c>
      <c r="EZ38" s="29">
        <f t="shared" si="105"/>
        <v>0.24075947465462377</v>
      </c>
      <c r="FA38" s="29">
        <f t="shared" si="74"/>
        <v>5.3352152266714254</v>
      </c>
      <c r="FB38" s="29"/>
      <c r="FC38" s="29">
        <f t="shared" si="247"/>
        <v>1082.7541159664145</v>
      </c>
      <c r="FD38" s="29">
        <f t="shared" si="248"/>
        <v>1082.3483414835134</v>
      </c>
      <c r="FE38" s="29">
        <f t="shared" si="203"/>
        <v>-0.40577448290105167</v>
      </c>
      <c r="FF38" s="29">
        <f t="shared" si="204"/>
        <v>-0.32461958632084131</v>
      </c>
      <c r="FG38" s="29">
        <f t="shared" si="205"/>
        <v>-0.24357480182279689</v>
      </c>
      <c r="FH38" s="29">
        <f t="shared" si="206"/>
        <v>-0.15976298706941633</v>
      </c>
      <c r="FI38" s="29">
        <f t="shared" si="207"/>
        <v>-7.7168259802760986E-2</v>
      </c>
      <c r="FJ38" s="29">
        <f t="shared" si="208"/>
        <v>-0.80512563501581558</v>
      </c>
      <c r="FK38" s="29"/>
      <c r="FL38" s="29"/>
      <c r="FM38" s="27">
        <f t="shared" si="27"/>
        <v>-2352.155939368371</v>
      </c>
      <c r="FN38" s="29"/>
      <c r="FO38" s="301">
        <f t="shared" si="119"/>
        <v>-174.79728947927083</v>
      </c>
      <c r="FP38" s="89">
        <f t="shared" si="209"/>
        <v>-1.0840136271567278E-2</v>
      </c>
      <c r="FQ38" s="27">
        <f t="shared" si="103"/>
        <v>20</v>
      </c>
      <c r="FR38" s="302">
        <f t="shared" si="88"/>
        <v>13.464518542443937</v>
      </c>
      <c r="FS38" s="89">
        <f t="shared" si="89"/>
        <v>-174.69291099817019</v>
      </c>
      <c r="FT38" s="89">
        <f t="shared" si="210"/>
        <v>-174.80812961554238</v>
      </c>
      <c r="FU38" s="29">
        <f t="shared" si="90"/>
        <v>20</v>
      </c>
      <c r="FV38" s="137">
        <f t="shared" si="91"/>
        <v>13.464518542443937</v>
      </c>
      <c r="FW38" s="48">
        <v>-1172.0943662181912</v>
      </c>
      <c r="FX38" s="29">
        <f t="shared" si="120"/>
        <v>-75.954202215009445</v>
      </c>
      <c r="FY38" s="29">
        <f t="shared" si="121"/>
        <v>-78.640126149545068</v>
      </c>
      <c r="FZ38" s="29">
        <f t="shared" si="266"/>
        <v>-75.636657087225217</v>
      </c>
      <c r="GA38" s="29">
        <f t="shared" si="267"/>
        <v>-2181.6043271797107</v>
      </c>
      <c r="GB38" s="29">
        <f t="shared" si="268"/>
        <v>0</v>
      </c>
      <c r="GC38" s="29">
        <f t="shared" si="269"/>
        <v>0</v>
      </c>
      <c r="GD38" s="29">
        <f t="shared" si="270"/>
        <v>0</v>
      </c>
      <c r="GE38" s="29">
        <f t="shared" si="271"/>
        <v>0</v>
      </c>
      <c r="GF38" s="29">
        <f t="shared" si="272"/>
        <v>0</v>
      </c>
      <c r="GG38" s="29">
        <f t="shared" si="273"/>
        <v>0</v>
      </c>
      <c r="GH38" s="29">
        <f t="shared" si="274"/>
        <v>0</v>
      </c>
      <c r="GI38" s="29">
        <f t="shared" si="275"/>
        <v>0</v>
      </c>
      <c r="GJ38" s="29">
        <f t="shared" si="276"/>
        <v>0</v>
      </c>
      <c r="GK38" s="29">
        <f t="shared" si="277"/>
        <v>0</v>
      </c>
      <c r="GL38" s="29">
        <f t="shared" si="278"/>
        <v>0</v>
      </c>
      <c r="GM38" s="29">
        <f t="shared" si="279"/>
        <v>0</v>
      </c>
      <c r="GN38" s="29">
        <f t="shared" si="280"/>
        <v>0</v>
      </c>
      <c r="GO38" s="29">
        <f t="shared" si="251"/>
        <v>0</v>
      </c>
      <c r="GP38" s="29">
        <f t="shared" si="252"/>
        <v>0</v>
      </c>
      <c r="GQ38" s="29">
        <f t="shared" si="253"/>
        <v>0</v>
      </c>
      <c r="GR38" s="29">
        <f t="shared" si="254"/>
        <v>0</v>
      </c>
      <c r="GS38" s="29">
        <f t="shared" si="255"/>
        <v>0</v>
      </c>
      <c r="GT38" s="29">
        <f t="shared" si="256"/>
        <v>0</v>
      </c>
      <c r="GU38" s="29">
        <f t="shared" si="257"/>
        <v>0</v>
      </c>
      <c r="GV38" s="29">
        <f t="shared" si="258"/>
        <v>0</v>
      </c>
      <c r="GW38" s="29">
        <f t="shared" si="259"/>
        <v>0</v>
      </c>
      <c r="GX38" s="29">
        <f t="shared" si="260"/>
        <v>0</v>
      </c>
      <c r="GY38" s="29">
        <f t="shared" si="261"/>
        <v>0</v>
      </c>
      <c r="GZ38" s="29">
        <f t="shared" si="262"/>
        <v>0</v>
      </c>
      <c r="HA38" s="29">
        <f t="shared" si="263"/>
        <v>0</v>
      </c>
      <c r="HB38" s="29">
        <f t="shared" si="264"/>
        <v>0</v>
      </c>
      <c r="HC38" s="29">
        <f t="shared" si="265"/>
        <v>0</v>
      </c>
      <c r="HD38" s="29"/>
      <c r="HE38" s="29">
        <f t="shared" si="32"/>
        <v>20</v>
      </c>
      <c r="HF38" s="29">
        <f t="shared" si="317"/>
        <v>0</v>
      </c>
      <c r="HG38" s="29">
        <f t="shared" si="318"/>
        <v>-5.8405449776499134</v>
      </c>
      <c r="HH38" s="29">
        <f t="shared" si="319"/>
        <v>-5.8087949366250013</v>
      </c>
      <c r="HI38" s="29">
        <f t="shared" si="126"/>
        <v>-173.70802135858611</v>
      </c>
      <c r="HJ38" s="29">
        <f t="shared" si="127"/>
        <v>0</v>
      </c>
      <c r="HK38" s="29">
        <f t="shared" si="128"/>
        <v>0</v>
      </c>
      <c r="HL38" s="29">
        <f t="shared" si="129"/>
        <v>0</v>
      </c>
      <c r="HM38" s="29">
        <f t="shared" si="130"/>
        <v>0</v>
      </c>
      <c r="HN38" s="29">
        <f t="shared" si="131"/>
        <v>0</v>
      </c>
      <c r="HO38" s="29">
        <f t="shared" si="132"/>
        <v>0</v>
      </c>
      <c r="HP38" s="29">
        <f t="shared" si="133"/>
        <v>0</v>
      </c>
      <c r="HQ38" s="29">
        <f t="shared" si="134"/>
        <v>0</v>
      </c>
      <c r="HR38" s="29">
        <f t="shared" si="135"/>
        <v>0</v>
      </c>
      <c r="HS38" s="29">
        <f t="shared" si="136"/>
        <v>0</v>
      </c>
      <c r="HT38" s="29">
        <f t="shared" si="137"/>
        <v>0</v>
      </c>
      <c r="HU38" s="29">
        <f t="shared" si="138"/>
        <v>0</v>
      </c>
      <c r="HV38" s="29">
        <f t="shared" si="139"/>
        <v>0</v>
      </c>
      <c r="HW38" s="29">
        <f t="shared" si="140"/>
        <v>0</v>
      </c>
      <c r="HX38" s="29">
        <f t="shared" si="141"/>
        <v>0</v>
      </c>
      <c r="HY38" s="29">
        <f t="shared" si="142"/>
        <v>0</v>
      </c>
      <c r="HZ38" s="29">
        <f t="shared" si="143"/>
        <v>0</v>
      </c>
      <c r="IA38" s="29">
        <f t="shared" si="144"/>
        <v>0</v>
      </c>
      <c r="IB38" s="29">
        <f t="shared" si="145"/>
        <v>0</v>
      </c>
      <c r="IC38" s="29">
        <f t="shared" si="146"/>
        <v>0</v>
      </c>
      <c r="ID38" s="29">
        <f t="shared" si="147"/>
        <v>0</v>
      </c>
      <c r="IE38" s="29">
        <f t="shared" si="148"/>
        <v>0</v>
      </c>
      <c r="IF38" s="29">
        <f t="shared" si="149"/>
        <v>0</v>
      </c>
      <c r="IG38" s="29">
        <f t="shared" si="150"/>
        <v>0</v>
      </c>
      <c r="IH38" s="29">
        <f t="shared" si="151"/>
        <v>0</v>
      </c>
      <c r="II38" s="29">
        <f t="shared" si="152"/>
        <v>0</v>
      </c>
      <c r="IJ38" s="29">
        <f t="shared" si="153"/>
        <v>0</v>
      </c>
      <c r="IK38" s="29">
        <f t="shared" si="154"/>
        <v>0</v>
      </c>
      <c r="IL38" s="48"/>
      <c r="IM38" s="48"/>
      <c r="IN38" s="48"/>
      <c r="IO38" s="29">
        <f t="shared" si="211"/>
        <v>4.4472550608876171E-2</v>
      </c>
      <c r="IP38" s="29">
        <f t="shared" si="249"/>
        <v>3.604218510556325E-2</v>
      </c>
      <c r="IQ38" s="29">
        <f t="shared" si="302"/>
        <v>2.7219608397284184E-2</v>
      </c>
      <c r="IR38" s="29">
        <f t="shared" si="303"/>
        <v>-0.16607119632832196</v>
      </c>
      <c r="IS38" s="29">
        <f t="shared" si="304"/>
        <v>0</v>
      </c>
      <c r="IT38" s="29">
        <f t="shared" si="305"/>
        <v>0</v>
      </c>
      <c r="IU38" s="29">
        <f t="shared" si="306"/>
        <v>0</v>
      </c>
      <c r="IV38" s="29">
        <f t="shared" si="307"/>
        <v>0</v>
      </c>
      <c r="IW38" s="29">
        <f t="shared" si="308"/>
        <v>0</v>
      </c>
      <c r="IX38" s="29">
        <f t="shared" si="309"/>
        <v>0</v>
      </c>
      <c r="IY38" s="29">
        <f t="shared" si="310"/>
        <v>0</v>
      </c>
      <c r="IZ38" s="29">
        <f t="shared" si="311"/>
        <v>0</v>
      </c>
      <c r="JA38" s="29">
        <f t="shared" si="312"/>
        <v>0</v>
      </c>
      <c r="JB38" s="29">
        <f t="shared" si="313"/>
        <v>0</v>
      </c>
      <c r="JC38" s="29">
        <f t="shared" si="314"/>
        <v>0</v>
      </c>
      <c r="JD38" s="29">
        <f t="shared" si="315"/>
        <v>0</v>
      </c>
      <c r="JE38" s="29">
        <f t="shared" si="316"/>
        <v>0</v>
      </c>
      <c r="JF38" s="29">
        <f t="shared" si="285"/>
        <v>0</v>
      </c>
      <c r="JG38" s="29">
        <f t="shared" si="286"/>
        <v>0</v>
      </c>
      <c r="JH38" s="29">
        <f t="shared" si="287"/>
        <v>0</v>
      </c>
      <c r="JI38" s="29">
        <f t="shared" si="288"/>
        <v>0</v>
      </c>
      <c r="JJ38" s="29">
        <f t="shared" si="289"/>
        <v>0</v>
      </c>
      <c r="JK38" s="29">
        <f t="shared" si="290"/>
        <v>0</v>
      </c>
      <c r="JL38" s="29">
        <f t="shared" si="291"/>
        <v>0</v>
      </c>
      <c r="JM38" s="29">
        <f t="shared" si="292"/>
        <v>0</v>
      </c>
      <c r="JN38" s="29">
        <f t="shared" si="293"/>
        <v>0</v>
      </c>
      <c r="JO38" s="29">
        <f t="shared" si="294"/>
        <v>0</v>
      </c>
      <c r="JP38" s="29">
        <f t="shared" si="295"/>
        <v>0</v>
      </c>
      <c r="JQ38" s="29">
        <f t="shared" si="296"/>
        <v>0</v>
      </c>
      <c r="JR38" s="29">
        <f t="shared" si="297"/>
        <v>0</v>
      </c>
      <c r="JS38" s="29">
        <f t="shared" si="298"/>
        <v>0</v>
      </c>
      <c r="JT38" s="29">
        <f t="shared" si="299"/>
        <v>0</v>
      </c>
      <c r="JU38" s="48"/>
      <c r="JV38" s="394">
        <f t="shared" si="213"/>
        <v>20</v>
      </c>
      <c r="JW38" s="29">
        <f t="shared" si="214"/>
        <v>0</v>
      </c>
      <c r="JX38" s="29">
        <f t="shared" si="215"/>
        <v>2.6768268759070871E-3</v>
      </c>
      <c r="JY38" s="29">
        <f t="shared" si="216"/>
        <v>2.0904298196669576E-3</v>
      </c>
      <c r="JZ38" s="29">
        <f t="shared" si="217"/>
        <v>-1.3223249770566547E-2</v>
      </c>
      <c r="KA38" s="29">
        <f t="shared" si="218"/>
        <v>0</v>
      </c>
      <c r="KB38" s="29">
        <f t="shared" si="219"/>
        <v>0</v>
      </c>
      <c r="KC38" s="29">
        <f t="shared" si="220"/>
        <v>0</v>
      </c>
      <c r="KD38" s="29">
        <f t="shared" si="221"/>
        <v>0</v>
      </c>
      <c r="KE38" s="29">
        <f t="shared" si="222"/>
        <v>0</v>
      </c>
      <c r="KF38" s="29">
        <f t="shared" si="223"/>
        <v>0</v>
      </c>
      <c r="KG38" s="29">
        <f t="shared" si="224"/>
        <v>0</v>
      </c>
      <c r="KH38" s="29">
        <f t="shared" si="225"/>
        <v>0</v>
      </c>
      <c r="KI38" s="29">
        <f t="shared" si="226"/>
        <v>0</v>
      </c>
      <c r="KJ38" s="29">
        <f t="shared" si="227"/>
        <v>0</v>
      </c>
      <c r="KK38" s="29">
        <f t="shared" si="228"/>
        <v>0</v>
      </c>
      <c r="KL38" s="29">
        <f t="shared" si="229"/>
        <v>0</v>
      </c>
      <c r="KM38" s="29">
        <f t="shared" si="230"/>
        <v>0</v>
      </c>
      <c r="KN38" s="29">
        <f t="shared" si="231"/>
        <v>0</v>
      </c>
      <c r="KO38" s="29">
        <f t="shared" si="232"/>
        <v>0</v>
      </c>
      <c r="KP38" s="29">
        <f t="shared" si="233"/>
        <v>0</v>
      </c>
      <c r="KQ38" s="29">
        <f t="shared" si="234"/>
        <v>0</v>
      </c>
      <c r="KR38" s="29">
        <f t="shared" si="235"/>
        <v>0</v>
      </c>
      <c r="KS38" s="29">
        <f t="shared" si="236"/>
        <v>0</v>
      </c>
      <c r="KT38" s="29">
        <f t="shared" si="237"/>
        <v>0</v>
      </c>
      <c r="KU38" s="29">
        <f t="shared" si="238"/>
        <v>0</v>
      </c>
      <c r="KV38" s="29">
        <f t="shared" si="239"/>
        <v>0</v>
      </c>
      <c r="KW38" s="29">
        <f t="shared" si="240"/>
        <v>0</v>
      </c>
      <c r="KX38" s="29">
        <f t="shared" si="241"/>
        <v>0</v>
      </c>
      <c r="KY38" s="29">
        <f t="shared" si="242"/>
        <v>0</v>
      </c>
      <c r="KZ38" s="29">
        <f t="shared" si="243"/>
        <v>0</v>
      </c>
      <c r="LA38" s="29">
        <f t="shared" si="244"/>
        <v>0</v>
      </c>
      <c r="LB38" s="29">
        <f t="shared" si="245"/>
        <v>0</v>
      </c>
      <c r="LC38" s="48"/>
      <c r="LD38" s="48"/>
      <c r="LE38" s="48"/>
      <c r="LF38" s="48"/>
      <c r="LG38" s="48"/>
      <c r="LH38" s="48"/>
      <c r="LI38" s="48"/>
      <c r="LJ38" s="48"/>
      <c r="LK38" s="48"/>
      <c r="LL38" s="48"/>
      <c r="LM38" s="48"/>
      <c r="LN38" s="48"/>
      <c r="LO38" s="48"/>
      <c r="LP38" s="119"/>
      <c r="LQ38" s="119"/>
      <c r="LR38" s="28"/>
      <c r="LS38" s="48"/>
      <c r="LT38" s="39"/>
      <c r="LU38" s="161">
        <v>7.3103333333333326E-2</v>
      </c>
      <c r="LV38" s="111">
        <f t="shared" si="75"/>
        <v>1.1851782103316931E-17</v>
      </c>
      <c r="LW38" s="152">
        <f t="shared" si="18"/>
        <v>2.0155384739283115E-13</v>
      </c>
      <c r="LX38" s="223" t="e">
        <f>LX37*(1+#REF!)</f>
        <v>#REF!</v>
      </c>
      <c r="LY38" s="153"/>
      <c r="LZ38" s="124">
        <f t="shared" si="76"/>
        <v>-830.20449423832179</v>
      </c>
      <c r="MA38" s="125">
        <f t="shared" si="77"/>
        <v>-909.80492912310001</v>
      </c>
      <c r="MB38" s="28"/>
      <c r="MC38" s="374">
        <f t="shared" si="300"/>
        <v>5.7500000000000016E-2</v>
      </c>
      <c r="MD38" s="387">
        <f t="shared" si="187"/>
        <v>-966.84787132220538</v>
      </c>
      <c r="ME38" s="152">
        <f t="shared" si="188"/>
        <v>-5837.6349352388306</v>
      </c>
      <c r="MF38" s="28"/>
      <c r="MG38" s="374">
        <f t="shared" si="301"/>
        <v>5.7500000000000016E-2</v>
      </c>
      <c r="MH38" s="387">
        <f t="shared" si="189"/>
        <v>-37.640437085945543</v>
      </c>
      <c r="MI38" s="152">
        <f t="shared" si="155"/>
        <v>-227.26546443142433</v>
      </c>
      <c r="MJ38" s="28"/>
      <c r="MK38" s="28"/>
      <c r="ML38" s="28"/>
      <c r="MM38" s="28"/>
      <c r="MN38" s="28"/>
      <c r="MO38" s="28"/>
      <c r="MP38" s="28"/>
      <c r="MQ38" s="28"/>
      <c r="MR38" s="28"/>
      <c r="MS38" s="28"/>
      <c r="MT38" s="28"/>
      <c r="MU38" s="28"/>
      <c r="MV38" s="28"/>
      <c r="MW38" s="28"/>
    </row>
    <row r="39" spans="1:361" ht="12" customHeight="1" x14ac:dyDescent="0.3">
      <c r="A39" s="298">
        <f t="shared" si="99"/>
        <v>2048</v>
      </c>
      <c r="B39" s="348">
        <f t="shared" si="2"/>
        <v>2046</v>
      </c>
      <c r="C39" s="26">
        <v>53509</v>
      </c>
      <c r="D39" s="92">
        <f t="shared" si="156"/>
        <v>3382.5343646180004</v>
      </c>
      <c r="E39" s="27">
        <f t="shared" si="106"/>
        <v>3382.5343646180004</v>
      </c>
      <c r="F39" s="107">
        <f t="shared" si="21"/>
        <v>18128.615548933067</v>
      </c>
      <c r="G39" s="27">
        <f t="shared" si="157"/>
        <v>21859.169264675937</v>
      </c>
      <c r="H39" s="27">
        <f t="shared" si="158"/>
        <v>3934.6504676416698</v>
      </c>
      <c r="I39" s="289">
        <f t="shared" si="159"/>
        <v>3344.4528974954192</v>
      </c>
      <c r="J39" s="68">
        <v>1138.8996259999999</v>
      </c>
      <c r="K39" s="290">
        <f t="shared" si="160"/>
        <v>2205.5532714954193</v>
      </c>
      <c r="L39" s="290">
        <f t="shared" si="107"/>
        <v>17924.518797034267</v>
      </c>
      <c r="M39" s="290">
        <f t="shared" si="161"/>
        <v>15235.840977479127</v>
      </c>
      <c r="N39" s="27">
        <f t="shared" si="162"/>
        <v>0</v>
      </c>
      <c r="O39" s="290">
        <f t="shared" si="163"/>
        <v>590.19757014625043</v>
      </c>
      <c r="P39" s="290">
        <f t="shared" si="108"/>
        <v>2688.6778195551401</v>
      </c>
      <c r="Q39" s="290">
        <f t="shared" si="164"/>
        <v>841.23574081044694</v>
      </c>
      <c r="R39" s="254">
        <f t="shared" si="3"/>
        <v>0.18000000000000005</v>
      </c>
      <c r="S39" s="251">
        <v>0.82</v>
      </c>
      <c r="T39" s="284">
        <f t="shared" si="165"/>
        <v>7.0000000000000007E-2</v>
      </c>
      <c r="U39" s="284">
        <f t="shared" si="166"/>
        <v>7.0000000000000007E-2</v>
      </c>
      <c r="V39" s="27">
        <f t="shared" si="5"/>
        <v>100029.58680494502</v>
      </c>
      <c r="W39" s="27">
        <f t="shared" si="167"/>
        <v>81238.330932688623</v>
      </c>
      <c r="X39" s="27">
        <f t="shared" si="190"/>
        <v>18791.255872256399</v>
      </c>
      <c r="Y39" s="27">
        <f t="shared" si="168"/>
        <v>360.19757706025666</v>
      </c>
      <c r="Z39" s="27">
        <f t="shared" si="191"/>
        <v>1640.9000732745021</v>
      </c>
      <c r="AA39" s="111">
        <f t="shared" si="169"/>
        <v>7.0000000000000007E-2</v>
      </c>
      <c r="AB39" s="111">
        <f t="shared" si="170"/>
        <v>7.0000000000000007E-2</v>
      </c>
      <c r="AC39" s="92">
        <f t="shared" si="7"/>
        <v>100029.58680494502</v>
      </c>
      <c r="AD39" s="27">
        <f t="shared" si="171"/>
        <v>81238.330932688623</v>
      </c>
      <c r="AE39" s="27">
        <f t="shared" si="192"/>
        <v>18791.255872256399</v>
      </c>
      <c r="AF39" s="145">
        <f t="shared" si="172"/>
        <v>360.19757706025666</v>
      </c>
      <c r="AG39" s="27">
        <f t="shared" si="193"/>
        <v>1640.9000732745021</v>
      </c>
      <c r="AH39" s="27">
        <f t="shared" si="173"/>
        <v>102496.9652240314</v>
      </c>
      <c r="AI39" s="27">
        <f t="shared" si="174"/>
        <v>83705.704127541103</v>
      </c>
      <c r="AJ39" s="27">
        <f t="shared" si="194"/>
        <v>18791.261096490296</v>
      </c>
      <c r="AK39" s="27">
        <f t="shared" si="11"/>
        <v>102501.73260491976</v>
      </c>
      <c r="AL39" s="27">
        <f t="shared" si="175"/>
        <v>83711.284543608199</v>
      </c>
      <c r="AM39" s="27">
        <f t="shared" si="246"/>
        <v>18790.448061311552</v>
      </c>
      <c r="AN39" s="409">
        <f>INDEX(Inv.Returns!$B$2:$E$32,MATCH(B39,Inv.Returns!$A$2:$A$32,0),MATCH(SCRS!$DU$52,Inv.Returns!$B$1:$E$1,0))</f>
        <v>7.0000000000000007E-2</v>
      </c>
      <c r="AO39" s="27">
        <f t="shared" si="41"/>
        <v>-2467.3784190863807</v>
      </c>
      <c r="AP39" s="223">
        <f t="shared" si="12"/>
        <v>-2472.1457999747363</v>
      </c>
      <c r="AQ39" s="67">
        <f t="shared" si="22"/>
        <v>1.0246664861657151</v>
      </c>
      <c r="AR39" s="146">
        <f t="shared" si="23"/>
        <v>1.024714145873614</v>
      </c>
      <c r="AS39" s="346"/>
      <c r="AT39" s="283">
        <f t="shared" si="176"/>
        <v>0.1095</v>
      </c>
      <c r="AU39" s="390">
        <f t="shared" si="109"/>
        <v>0.1095</v>
      </c>
      <c r="AV39" s="296">
        <f t="shared" si="110"/>
        <v>-8.684646196380659E-3</v>
      </c>
      <c r="AW39" s="296">
        <f t="shared" si="111"/>
        <v>-7.2577045117129761E-8</v>
      </c>
      <c r="AX39" s="111">
        <f t="shared" si="82"/>
        <v>0.09</v>
      </c>
      <c r="AY39" s="111">
        <f t="shared" si="112"/>
        <v>0.09</v>
      </c>
      <c r="AZ39" s="111">
        <f t="shared" si="113"/>
        <v>0</v>
      </c>
      <c r="BA39" s="256">
        <f t="shared" si="24"/>
        <v>1.9500000000000003E-2</v>
      </c>
      <c r="BB39" s="111">
        <f t="shared" si="114"/>
        <v>1.9500000000000003E-2</v>
      </c>
      <c r="BC39" s="128">
        <f t="shared" si="83"/>
        <v>8.5600000000000009E-2</v>
      </c>
      <c r="BD39" s="128">
        <f t="shared" si="104"/>
        <v>8.5600000000000009E-2</v>
      </c>
      <c r="BE39" s="402">
        <f t="shared" si="15"/>
        <v>6.6100000000000006E-2</v>
      </c>
      <c r="BF39" s="402">
        <f t="shared" si="115"/>
        <v>6.6100000000000006E-2</v>
      </c>
      <c r="BG39" s="402">
        <f t="shared" si="177"/>
        <v>3.5600000000000007E-2</v>
      </c>
      <c r="BH39" s="402">
        <f t="shared" si="26"/>
        <v>8.5600000000000009E-2</v>
      </c>
      <c r="BI39" s="152">
        <f t="shared" si="42"/>
        <v>0</v>
      </c>
      <c r="BJ39" s="100">
        <f t="shared" si="43"/>
        <v>4.1869522882181265E-2</v>
      </c>
      <c r="BK39" s="27">
        <f t="shared" si="67"/>
        <v>0</v>
      </c>
      <c r="BL39" s="27">
        <f t="shared" si="17"/>
        <v>20</v>
      </c>
      <c r="BM39" s="107">
        <f t="shared" si="31"/>
        <v>0.01</v>
      </c>
      <c r="BN39" s="27"/>
      <c r="BO39" s="27"/>
      <c r="BP39" s="92">
        <f t="shared" si="178"/>
        <v>-4679.0358859389735</v>
      </c>
      <c r="BQ39" s="27">
        <f t="shared" si="195"/>
        <v>-914.15045864874787</v>
      </c>
      <c r="BR39" s="27">
        <f t="shared" si="179"/>
        <v>-182.15994585240648</v>
      </c>
      <c r="BS39" s="27">
        <f t="shared" si="116"/>
        <v>-35.588869610687212</v>
      </c>
      <c r="BT39" s="27">
        <f t="shared" si="180"/>
        <v>-6.0200152154917541</v>
      </c>
      <c r="BU39" s="27">
        <f t="shared" si="196"/>
        <v>-27.424513759462428</v>
      </c>
      <c r="BV39" s="297">
        <f t="shared" si="181"/>
        <v>301.00076077458772</v>
      </c>
      <c r="BW39" s="297">
        <f t="shared" si="197"/>
        <v>1371.2256879731215</v>
      </c>
      <c r="BX39" s="297">
        <f t="shared" si="198"/>
        <v>0</v>
      </c>
      <c r="BY39" s="297">
        <f t="shared" si="182"/>
        <v>75.711216672940225</v>
      </c>
      <c r="BZ39" s="297">
        <f t="shared" si="84"/>
        <v>65.216831501160698</v>
      </c>
      <c r="CA39" s="297">
        <f t="shared" si="199"/>
        <v>297.098899060843</v>
      </c>
      <c r="CB39" s="297">
        <f t="shared" si="183"/>
        <v>-185.35736127286103</v>
      </c>
      <c r="CC39" s="297">
        <f t="shared" si="200"/>
        <v>0</v>
      </c>
      <c r="CD39" s="297">
        <f t="shared" si="201"/>
        <v>-8.4559930749925037E-3</v>
      </c>
      <c r="CE39" s="297"/>
      <c r="CF39" s="297">
        <f t="shared" si="184"/>
        <v>0</v>
      </c>
      <c r="CG39" s="297">
        <f t="shared" si="202"/>
        <v>0</v>
      </c>
      <c r="CH39" s="297">
        <f t="shared" si="185"/>
        <v>0</v>
      </c>
      <c r="CI39" s="427">
        <f>IF(AND($DU$74="Yes",MAX($AQ$13:AQ38)&lt;100%),MAX(BD37*(G39+Q39)-SUM(BZ39:CH39,CJ39,CY39),0),0)</f>
        <v>0</v>
      </c>
      <c r="CJ39" s="27"/>
      <c r="CK39" s="27">
        <f t="shared" si="44"/>
        <v>0</v>
      </c>
      <c r="CL39" s="27">
        <f t="shared" si="45"/>
        <v>0</v>
      </c>
      <c r="CM39" s="27">
        <f t="shared" si="46"/>
        <v>0</v>
      </c>
      <c r="CN39" s="105">
        <f t="shared" si="47"/>
        <v>1924.8875787167174</v>
      </c>
      <c r="CO39" s="27">
        <f t="shared" si="48"/>
        <v>0</v>
      </c>
      <c r="CP39" s="108">
        <f t="shared" si="4"/>
        <v>1924.8875787167174</v>
      </c>
      <c r="CQ39" s="27">
        <f t="shared" si="117"/>
        <v>-185.36581726593602</v>
      </c>
      <c r="CR39" s="27">
        <f t="shared" si="118"/>
        <v>0</v>
      </c>
      <c r="CS39" s="27">
        <f t="shared" si="186"/>
        <v>-185.36581726593602</v>
      </c>
      <c r="CT39" s="27">
        <f>SUM($CS$14:CS39)</f>
        <v>44837.762968108043</v>
      </c>
      <c r="CU39" s="223">
        <v>3335.2559112971876</v>
      </c>
      <c r="CV39" s="417">
        <v>676.04628185377453</v>
      </c>
      <c r="CW39" s="417">
        <v>4011.302193150962</v>
      </c>
      <c r="CX39" s="417">
        <v>74520.371046905362</v>
      </c>
      <c r="CY39" s="103">
        <f t="shared" si="49"/>
        <v>163.94376948506954</v>
      </c>
      <c r="CZ39" s="111">
        <f t="shared" si="101"/>
        <v>1.5017074924379004E-2</v>
      </c>
      <c r="DA39" s="92">
        <f t="shared" si="50"/>
        <v>340.89368278113722</v>
      </c>
      <c r="DB39" s="410">
        <f t="shared" si="51"/>
        <v>195.45016268480543</v>
      </c>
      <c r="DC39" s="307">
        <f t="shared" si="52"/>
        <v>-99.416113986767314</v>
      </c>
      <c r="DD39" s="307">
        <f t="shared" si="53"/>
        <v>194.31857771853763</v>
      </c>
      <c r="DE39" s="307">
        <f t="shared" si="54"/>
        <v>0</v>
      </c>
      <c r="DF39" s="307">
        <f t="shared" si="55"/>
        <v>28698.154394270328</v>
      </c>
      <c r="DG39" s="307" t="b">
        <f t="shared" si="68"/>
        <v>0</v>
      </c>
      <c r="DH39" s="105">
        <f t="shared" si="56"/>
        <v>163.94376948506954</v>
      </c>
      <c r="DI39" s="148">
        <f t="shared" si="57"/>
        <v>87.926958243682179</v>
      </c>
      <c r="DJ39" s="102">
        <f t="shared" si="58"/>
        <v>7.8680527054385569E-3</v>
      </c>
      <c r="DK39" s="93">
        <f t="shared" si="59"/>
        <v>0</v>
      </c>
      <c r="DL39" s="148">
        <f t="shared" si="60"/>
        <v>0</v>
      </c>
      <c r="DM39" s="310">
        <f t="shared" si="61"/>
        <v>0</v>
      </c>
      <c r="DN39" s="293">
        <v>2375.3288955524572</v>
      </c>
      <c r="DO39" s="96">
        <f t="shared" si="62"/>
        <v>1361.8862493374897</v>
      </c>
      <c r="DP39" s="294">
        <v>1.1970783782637879</v>
      </c>
      <c r="DQ39" s="41"/>
      <c r="DR39" s="50" t="s">
        <v>151</v>
      </c>
      <c r="DS39" s="34"/>
      <c r="DT39" s="34"/>
      <c r="DU39" s="264">
        <v>0.09</v>
      </c>
      <c r="DV39" s="41"/>
      <c r="EJ39" s="339"/>
      <c r="EK39" s="332" t="e">
        <f>IF(AND(#REF!="Fresh Start",A39&gt;2019),AV39,IF(BD39-(AT39-AX39)&lt;0,0,BD39-(AT39-AX39)))</f>
        <v>#REF!</v>
      </c>
      <c r="EL39" s="332">
        <f t="shared" si="63"/>
        <v>1.9500000000000003E-2</v>
      </c>
      <c r="EM39" s="332" t="e">
        <f t="shared" si="70"/>
        <v>#DIV/0!</v>
      </c>
      <c r="EN39" s="332">
        <f t="shared" si="64"/>
        <v>0</v>
      </c>
      <c r="EO39" s="332">
        <v>7.5600000000000014E-2</v>
      </c>
      <c r="EP39" s="332">
        <v>0.14304146722243882</v>
      </c>
      <c r="EQ39" s="333" t="e">
        <f t="shared" si="71"/>
        <v>#REF!</v>
      </c>
      <c r="ER39" s="277"/>
      <c r="ES39" s="334">
        <v>30</v>
      </c>
      <c r="ET39" s="29">
        <f t="shared" si="85"/>
        <v>5627.0760942927964</v>
      </c>
      <c r="EU39" s="29">
        <f t="shared" si="86"/>
        <v>5629.805396233779</v>
      </c>
      <c r="EV39" s="29">
        <f t="shared" si="72"/>
        <v>2.7293019409826229</v>
      </c>
      <c r="EW39" s="29">
        <f t="shared" si="73"/>
        <v>2.1834415527860984</v>
      </c>
      <c r="EX39" s="29">
        <f t="shared" si="87"/>
        <v>1.687895703438153</v>
      </c>
      <c r="EY39" s="29">
        <f t="shared" si="102"/>
        <v>1.1484589485982721</v>
      </c>
      <c r="EZ39" s="29">
        <f t="shared" si="105"/>
        <v>0.56061986226759475</v>
      </c>
      <c r="FA39" s="29">
        <f t="shared" si="74"/>
        <v>5.5804160670901179</v>
      </c>
      <c r="FB39" s="29"/>
      <c r="FC39" s="29">
        <f t="shared" si="247"/>
        <v>1206.7006293766694</v>
      </c>
      <c r="FD39" s="29">
        <f t="shared" si="248"/>
        <v>1206.2914971338516</v>
      </c>
      <c r="FE39" s="29">
        <f t="shared" si="203"/>
        <v>-0.40913224281780458</v>
      </c>
      <c r="FF39" s="29">
        <f t="shared" si="204"/>
        <v>-0.32730579425424366</v>
      </c>
      <c r="FG39" s="29">
        <f t="shared" si="205"/>
        <v>-0.24346468974063099</v>
      </c>
      <c r="FH39" s="29">
        <f t="shared" si="206"/>
        <v>-0.16238320121519792</v>
      </c>
      <c r="FI39" s="29">
        <f t="shared" si="207"/>
        <v>-7.9881493534708164E-2</v>
      </c>
      <c r="FJ39" s="29">
        <f t="shared" si="208"/>
        <v>-0.81303517874478071</v>
      </c>
      <c r="FK39" s="29"/>
      <c r="FL39" s="41"/>
      <c r="FM39" s="27">
        <f t="shared" si="27"/>
        <v>-2411.8936494836962</v>
      </c>
      <c r="FN39" s="41"/>
      <c r="FO39" s="301">
        <f t="shared" si="119"/>
        <v>-185.35736127286103</v>
      </c>
      <c r="FP39" s="89">
        <f t="shared" si="209"/>
        <v>-8.4559930749925037E-3</v>
      </c>
      <c r="FQ39" s="27">
        <f t="shared" si="103"/>
        <v>20</v>
      </c>
      <c r="FR39" s="302">
        <f t="shared" si="88"/>
        <v>13.464518542443937</v>
      </c>
      <c r="FS39" s="89">
        <f t="shared" si="89"/>
        <v>-179.12958728384763</v>
      </c>
      <c r="FT39" s="89">
        <f t="shared" si="210"/>
        <v>-185.36581726593602</v>
      </c>
      <c r="FU39" s="29">
        <f t="shared" si="90"/>
        <v>20</v>
      </c>
      <c r="FV39" s="137">
        <f t="shared" si="91"/>
        <v>13.464518542443937</v>
      </c>
      <c r="FW39" s="48">
        <v>-1441.132927342579</v>
      </c>
      <c r="FX39" s="29">
        <f t="shared" si="120"/>
        <v>-78.444555718378524</v>
      </c>
      <c r="FY39" s="29">
        <f t="shared" si="121"/>
        <v>-81.270996370060118</v>
      </c>
      <c r="FZ39" s="29">
        <f t="shared" si="266"/>
        <v>-78.103428278000209</v>
      </c>
      <c r="GA39" s="29">
        <f t="shared" si="267"/>
        <v>-74.922558879128573</v>
      </c>
      <c r="GB39" s="29">
        <f t="shared" si="268"/>
        <v>-2154.6316556069128</v>
      </c>
      <c r="GC39" s="29">
        <f t="shared" si="269"/>
        <v>0</v>
      </c>
      <c r="GD39" s="29">
        <f t="shared" si="270"/>
        <v>0</v>
      </c>
      <c r="GE39" s="29">
        <f t="shared" si="271"/>
        <v>0</v>
      </c>
      <c r="GF39" s="29">
        <f t="shared" si="272"/>
        <v>0</v>
      </c>
      <c r="GG39" s="29">
        <f t="shared" si="273"/>
        <v>0</v>
      </c>
      <c r="GH39" s="29">
        <f t="shared" si="274"/>
        <v>0</v>
      </c>
      <c r="GI39" s="29">
        <f t="shared" si="275"/>
        <v>0</v>
      </c>
      <c r="GJ39" s="29">
        <f t="shared" si="276"/>
        <v>0</v>
      </c>
      <c r="GK39" s="29">
        <f t="shared" si="277"/>
        <v>0</v>
      </c>
      <c r="GL39" s="29">
        <f t="shared" si="278"/>
        <v>0</v>
      </c>
      <c r="GM39" s="29">
        <f t="shared" si="279"/>
        <v>0</v>
      </c>
      <c r="GN39" s="29">
        <f t="shared" si="280"/>
        <v>0</v>
      </c>
      <c r="GO39" s="29">
        <f t="shared" si="251"/>
        <v>0</v>
      </c>
      <c r="GP39" s="29">
        <f t="shared" si="252"/>
        <v>0</v>
      </c>
      <c r="GQ39" s="29">
        <f t="shared" si="253"/>
        <v>0</v>
      </c>
      <c r="GR39" s="29">
        <f t="shared" si="254"/>
        <v>0</v>
      </c>
      <c r="GS39" s="29">
        <f t="shared" si="255"/>
        <v>0</v>
      </c>
      <c r="GT39" s="29">
        <f t="shared" si="256"/>
        <v>0</v>
      </c>
      <c r="GU39" s="29">
        <f t="shared" si="257"/>
        <v>0</v>
      </c>
      <c r="GV39" s="29">
        <f t="shared" si="258"/>
        <v>0</v>
      </c>
      <c r="GW39" s="29">
        <f t="shared" si="259"/>
        <v>0</v>
      </c>
      <c r="GX39" s="29">
        <f t="shared" si="260"/>
        <v>0</v>
      </c>
      <c r="GY39" s="29">
        <f t="shared" si="261"/>
        <v>0</v>
      </c>
      <c r="GZ39" s="29">
        <f t="shared" si="262"/>
        <v>0</v>
      </c>
      <c r="HA39" s="29">
        <f t="shared" si="263"/>
        <v>0</v>
      </c>
      <c r="HB39" s="29">
        <f t="shared" si="264"/>
        <v>0</v>
      </c>
      <c r="HC39" s="29">
        <f t="shared" si="265"/>
        <v>0</v>
      </c>
      <c r="HD39" s="29"/>
      <c r="HE39" s="29">
        <f t="shared" si="32"/>
        <v>20</v>
      </c>
      <c r="HF39" s="29">
        <f t="shared" si="317"/>
        <v>0</v>
      </c>
      <c r="HG39" s="29">
        <f t="shared" si="318"/>
        <v>-6.035937795612309</v>
      </c>
      <c r="HH39" s="29">
        <f t="shared" si="319"/>
        <v>-5.9982396920464609</v>
      </c>
      <c r="HI39" s="29">
        <f t="shared" si="126"/>
        <v>-5.9656323999138747</v>
      </c>
      <c r="HJ39" s="29">
        <f t="shared" si="127"/>
        <v>-178.3981379352679</v>
      </c>
      <c r="HK39" s="29">
        <f t="shared" si="128"/>
        <v>0</v>
      </c>
      <c r="HL39" s="29">
        <f t="shared" si="129"/>
        <v>0</v>
      </c>
      <c r="HM39" s="29">
        <f t="shared" si="130"/>
        <v>0</v>
      </c>
      <c r="HN39" s="29">
        <f t="shared" si="131"/>
        <v>0</v>
      </c>
      <c r="HO39" s="29">
        <f t="shared" si="132"/>
        <v>0</v>
      </c>
      <c r="HP39" s="29">
        <f t="shared" si="133"/>
        <v>0</v>
      </c>
      <c r="HQ39" s="29">
        <f t="shared" si="134"/>
        <v>0</v>
      </c>
      <c r="HR39" s="29">
        <f t="shared" si="135"/>
        <v>0</v>
      </c>
      <c r="HS39" s="29">
        <f t="shared" si="136"/>
        <v>0</v>
      </c>
      <c r="HT39" s="29">
        <f t="shared" si="137"/>
        <v>0</v>
      </c>
      <c r="HU39" s="29">
        <f t="shared" si="138"/>
        <v>0</v>
      </c>
      <c r="HV39" s="29">
        <f t="shared" si="139"/>
        <v>0</v>
      </c>
      <c r="HW39" s="29">
        <f t="shared" si="140"/>
        <v>0</v>
      </c>
      <c r="HX39" s="29">
        <f t="shared" si="141"/>
        <v>0</v>
      </c>
      <c r="HY39" s="29">
        <f t="shared" si="142"/>
        <v>0</v>
      </c>
      <c r="HZ39" s="29">
        <f t="shared" si="143"/>
        <v>0</v>
      </c>
      <c r="IA39" s="29">
        <f t="shared" si="144"/>
        <v>0</v>
      </c>
      <c r="IB39" s="29">
        <f t="shared" si="145"/>
        <v>0</v>
      </c>
      <c r="IC39" s="29">
        <f t="shared" si="146"/>
        <v>0</v>
      </c>
      <c r="ID39" s="29">
        <f t="shared" si="147"/>
        <v>0</v>
      </c>
      <c r="IE39" s="29">
        <f t="shared" si="148"/>
        <v>0</v>
      </c>
      <c r="IF39" s="29">
        <f t="shared" si="149"/>
        <v>0</v>
      </c>
      <c r="IG39" s="29">
        <f t="shared" si="150"/>
        <v>0</v>
      </c>
      <c r="IH39" s="29">
        <f t="shared" si="151"/>
        <v>0</v>
      </c>
      <c r="II39" s="29">
        <f t="shared" si="152"/>
        <v>0</v>
      </c>
      <c r="IJ39" s="29">
        <f t="shared" si="153"/>
        <v>0</v>
      </c>
      <c r="IK39" s="29">
        <f t="shared" si="154"/>
        <v>0</v>
      </c>
      <c r="IL39" s="48"/>
      <c r="IM39" s="5"/>
      <c r="IN39" s="5"/>
      <c r="IO39" s="29">
        <f t="shared" si="211"/>
        <v>4.8449250724053122E-2</v>
      </c>
      <c r="IP39" s="29">
        <f t="shared" si="249"/>
        <v>4.7585629151497506E-2</v>
      </c>
      <c r="IQ39" s="29">
        <f t="shared" si="302"/>
        <v>3.5796206812049362E-2</v>
      </c>
      <c r="IR39" s="29">
        <f t="shared" si="303"/>
        <v>2.69626235657206E-2</v>
      </c>
      <c r="IS39" s="29">
        <f t="shared" si="304"/>
        <v>-0.16401794415034512</v>
      </c>
      <c r="IT39" s="29">
        <f t="shared" si="305"/>
        <v>0</v>
      </c>
      <c r="IU39" s="29">
        <f t="shared" si="306"/>
        <v>0</v>
      </c>
      <c r="IV39" s="29">
        <f t="shared" si="307"/>
        <v>0</v>
      </c>
      <c r="IW39" s="29">
        <f t="shared" si="308"/>
        <v>0</v>
      </c>
      <c r="IX39" s="29">
        <f t="shared" si="309"/>
        <v>0</v>
      </c>
      <c r="IY39" s="29">
        <f t="shared" si="310"/>
        <v>0</v>
      </c>
      <c r="IZ39" s="29">
        <f t="shared" si="311"/>
        <v>0</v>
      </c>
      <c r="JA39" s="29">
        <f t="shared" si="312"/>
        <v>0</v>
      </c>
      <c r="JB39" s="29">
        <f t="shared" si="313"/>
        <v>0</v>
      </c>
      <c r="JC39" s="29">
        <f t="shared" si="314"/>
        <v>0</v>
      </c>
      <c r="JD39" s="29">
        <f t="shared" si="315"/>
        <v>0</v>
      </c>
      <c r="JE39" s="29">
        <f t="shared" si="316"/>
        <v>0</v>
      </c>
      <c r="JF39" s="29">
        <f t="shared" si="285"/>
        <v>0</v>
      </c>
      <c r="JG39" s="29">
        <f t="shared" si="286"/>
        <v>0</v>
      </c>
      <c r="JH39" s="29">
        <f t="shared" si="287"/>
        <v>0</v>
      </c>
      <c r="JI39" s="29">
        <f t="shared" si="288"/>
        <v>0</v>
      </c>
      <c r="JJ39" s="29">
        <f t="shared" si="289"/>
        <v>0</v>
      </c>
      <c r="JK39" s="29">
        <f t="shared" si="290"/>
        <v>0</v>
      </c>
      <c r="JL39" s="29">
        <f t="shared" si="291"/>
        <v>0</v>
      </c>
      <c r="JM39" s="29">
        <f t="shared" si="292"/>
        <v>0</v>
      </c>
      <c r="JN39" s="29">
        <f t="shared" si="293"/>
        <v>0</v>
      </c>
      <c r="JO39" s="29">
        <f t="shared" si="294"/>
        <v>0</v>
      </c>
      <c r="JP39" s="29">
        <f t="shared" si="295"/>
        <v>0</v>
      </c>
      <c r="JQ39" s="29">
        <f t="shared" si="296"/>
        <v>0</v>
      </c>
      <c r="JR39" s="29">
        <f t="shared" si="297"/>
        <v>0</v>
      </c>
      <c r="JS39" s="29">
        <f t="shared" si="298"/>
        <v>0</v>
      </c>
      <c r="JT39" s="29">
        <f t="shared" si="299"/>
        <v>0</v>
      </c>
      <c r="JU39" s="5"/>
      <c r="JV39" s="394">
        <f t="shared" si="213"/>
        <v>20</v>
      </c>
      <c r="JW39" s="29">
        <f t="shared" si="214"/>
        <v>0</v>
      </c>
      <c r="JX39" s="29">
        <f t="shared" si="215"/>
        <v>3.534150070163613E-3</v>
      </c>
      <c r="JY39" s="29">
        <f t="shared" si="216"/>
        <v>2.7491012015565782E-3</v>
      </c>
      <c r="JZ39" s="29">
        <f t="shared" si="217"/>
        <v>2.1468714247979649E-3</v>
      </c>
      <c r="KA39" s="29">
        <f t="shared" si="218"/>
        <v>-1.3580277514371844E-2</v>
      </c>
      <c r="KB39" s="29">
        <f t="shared" si="219"/>
        <v>0</v>
      </c>
      <c r="KC39" s="29">
        <f t="shared" si="220"/>
        <v>0</v>
      </c>
      <c r="KD39" s="29">
        <f t="shared" si="221"/>
        <v>0</v>
      </c>
      <c r="KE39" s="29">
        <f t="shared" si="222"/>
        <v>0</v>
      </c>
      <c r="KF39" s="29">
        <f t="shared" si="223"/>
        <v>0</v>
      </c>
      <c r="KG39" s="29">
        <f t="shared" si="224"/>
        <v>0</v>
      </c>
      <c r="KH39" s="29">
        <f t="shared" si="225"/>
        <v>0</v>
      </c>
      <c r="KI39" s="29">
        <f t="shared" si="226"/>
        <v>0</v>
      </c>
      <c r="KJ39" s="29">
        <f t="shared" si="227"/>
        <v>0</v>
      </c>
      <c r="KK39" s="29">
        <f t="shared" si="228"/>
        <v>0</v>
      </c>
      <c r="KL39" s="29">
        <f t="shared" si="229"/>
        <v>0</v>
      </c>
      <c r="KM39" s="29">
        <f t="shared" si="230"/>
        <v>0</v>
      </c>
      <c r="KN39" s="29">
        <f t="shared" si="231"/>
        <v>0</v>
      </c>
      <c r="KO39" s="29">
        <f t="shared" si="232"/>
        <v>0</v>
      </c>
      <c r="KP39" s="29">
        <f t="shared" si="233"/>
        <v>0</v>
      </c>
      <c r="KQ39" s="29">
        <f t="shared" si="234"/>
        <v>0</v>
      </c>
      <c r="KR39" s="29">
        <f t="shared" si="235"/>
        <v>0</v>
      </c>
      <c r="KS39" s="29">
        <f t="shared" si="236"/>
        <v>0</v>
      </c>
      <c r="KT39" s="29">
        <f t="shared" si="237"/>
        <v>0</v>
      </c>
      <c r="KU39" s="29">
        <f t="shared" si="238"/>
        <v>0</v>
      </c>
      <c r="KV39" s="29">
        <f t="shared" si="239"/>
        <v>0</v>
      </c>
      <c r="KW39" s="29">
        <f t="shared" si="240"/>
        <v>0</v>
      </c>
      <c r="KX39" s="29">
        <f t="shared" si="241"/>
        <v>0</v>
      </c>
      <c r="KY39" s="29">
        <f t="shared" si="242"/>
        <v>0</v>
      </c>
      <c r="KZ39" s="29">
        <f t="shared" si="243"/>
        <v>0</v>
      </c>
      <c r="LA39" s="29">
        <f t="shared" si="244"/>
        <v>0</v>
      </c>
      <c r="LB39" s="29">
        <f t="shared" si="245"/>
        <v>0</v>
      </c>
      <c r="LC39" s="5"/>
      <c r="LD39" s="5"/>
      <c r="LE39" s="5"/>
      <c r="LF39" s="5"/>
      <c r="LG39" s="5"/>
      <c r="LH39" s="5"/>
      <c r="LI39" s="5"/>
      <c r="LJ39" s="5"/>
      <c r="LK39" s="5"/>
      <c r="LL39" s="5"/>
      <c r="LM39" s="5"/>
      <c r="LN39" s="5"/>
      <c r="LO39" s="5"/>
      <c r="LP39" s="39"/>
      <c r="LQ39" s="39"/>
      <c r="LR39" s="39"/>
      <c r="LS39" s="5"/>
      <c r="LT39" s="39"/>
      <c r="LU39" s="161">
        <v>7.7046666666666652E-2</v>
      </c>
      <c r="LV39" s="111">
        <f t="shared" si="75"/>
        <v>1.2491089851628631E-17</v>
      </c>
      <c r="LW39" s="152">
        <f t="shared" si="18"/>
        <v>2.2644616570735485E-13</v>
      </c>
      <c r="LX39" s="223" t="e">
        <f>LX38*(1+#REF!)</f>
        <v>#REF!</v>
      </c>
      <c r="LY39" s="153"/>
      <c r="LZ39" s="124">
        <f t="shared" si="76"/>
        <v>-927.99863246573659</v>
      </c>
      <c r="MA39" s="125">
        <f t="shared" si="77"/>
        <v>-1010.786137785617</v>
      </c>
      <c r="MB39" s="39"/>
      <c r="MC39" s="374">
        <f t="shared" si="300"/>
        <v>6.0000000000000019E-2</v>
      </c>
      <c r="MD39" s="387">
        <f t="shared" si="187"/>
        <v>-1075.4711278220564</v>
      </c>
      <c r="ME39" s="152">
        <f t="shared" si="188"/>
        <v>-5754.5070137610301</v>
      </c>
      <c r="MF39" s="39"/>
      <c r="MG39" s="374">
        <f t="shared" si="301"/>
        <v>6.0000000000000019E-2</v>
      </c>
      <c r="MH39" s="387">
        <f t="shared" si="189"/>
        <v>-41.869258365514376</v>
      </c>
      <c r="MI39" s="152">
        <f t="shared" si="155"/>
        <v>-224.02920421792086</v>
      </c>
      <c r="MJ39" s="39"/>
      <c r="MK39" s="39"/>
      <c r="ML39" s="39"/>
      <c r="MM39" s="39"/>
      <c r="MN39" s="39"/>
      <c r="MO39" s="39"/>
      <c r="MP39" s="39"/>
      <c r="MQ39" s="39"/>
      <c r="MR39" s="39"/>
      <c r="MS39" s="39"/>
      <c r="MT39" s="39"/>
      <c r="MU39" s="39"/>
      <c r="MV39" s="39"/>
      <c r="MW39" s="39"/>
    </row>
    <row r="40" spans="1:361" ht="12.75" customHeight="1" x14ac:dyDescent="0.3">
      <c r="A40" s="298">
        <f t="shared" si="99"/>
        <v>2049</v>
      </c>
      <c r="B40" s="348">
        <f t="shared" si="2"/>
        <v>2047</v>
      </c>
      <c r="C40" s="26">
        <v>53874</v>
      </c>
      <c r="D40" s="92">
        <f t="shared" si="156"/>
        <v>3087.8780377446105</v>
      </c>
      <c r="E40" s="27">
        <f t="shared" si="106"/>
        <v>3087.8780377446105</v>
      </c>
      <c r="F40" s="107">
        <f t="shared" si="21"/>
        <v>19072.187880187288</v>
      </c>
      <c r="G40" s="27">
        <f t="shared" si="157"/>
        <v>22449.366834822184</v>
      </c>
      <c r="H40" s="27">
        <f t="shared" si="158"/>
        <v>3591.8986935715511</v>
      </c>
      <c r="I40" s="289">
        <f t="shared" si="159"/>
        <v>3053.1138895358185</v>
      </c>
      <c r="J40" s="267">
        <f>J39/J38*J39</f>
        <v>1060.7426390577104</v>
      </c>
      <c r="K40" s="290">
        <f t="shared" si="160"/>
        <v>1992.3712504781081</v>
      </c>
      <c r="L40" s="290">
        <f t="shared" si="107"/>
        <v>18857.468141250632</v>
      </c>
      <c r="M40" s="290">
        <f t="shared" si="161"/>
        <v>16028.847920063037</v>
      </c>
      <c r="N40" s="27">
        <f t="shared" si="162"/>
        <v>0</v>
      </c>
      <c r="O40" s="290">
        <f t="shared" si="163"/>
        <v>538.78480403573269</v>
      </c>
      <c r="P40" s="290">
        <f t="shared" si="108"/>
        <v>2828.6202211875948</v>
      </c>
      <c r="Q40" s="290">
        <f t="shared" si="164"/>
        <v>863.94910581232898</v>
      </c>
      <c r="R40" s="254">
        <f t="shared" si="3"/>
        <v>0.16000000000000003</v>
      </c>
      <c r="S40" s="251">
        <v>0.84</v>
      </c>
      <c r="T40" s="284">
        <f t="shared" si="165"/>
        <v>7.0000000000000007E-2</v>
      </c>
      <c r="U40" s="284">
        <f t="shared" si="166"/>
        <v>7.0000000000000007E-2</v>
      </c>
      <c r="V40" s="27">
        <f t="shared" si="5"/>
        <v>103298.15256511193</v>
      </c>
      <c r="W40" s="27">
        <f t="shared" si="167"/>
        <v>82482.419329023338</v>
      </c>
      <c r="X40" s="27">
        <f t="shared" si="190"/>
        <v>20815.733236088592</v>
      </c>
      <c r="Y40" s="27">
        <f t="shared" si="168"/>
        <v>328.82036590300766</v>
      </c>
      <c r="Z40" s="27">
        <f t="shared" si="191"/>
        <v>1726.3069209907892</v>
      </c>
      <c r="AA40" s="111">
        <f t="shared" si="169"/>
        <v>7.0000000000000007E-2</v>
      </c>
      <c r="AB40" s="111">
        <f t="shared" si="170"/>
        <v>7.0000000000000007E-2</v>
      </c>
      <c r="AC40" s="92">
        <f t="shared" si="7"/>
        <v>103298.15256511193</v>
      </c>
      <c r="AD40" s="27">
        <f t="shared" si="171"/>
        <v>82482.419329023338</v>
      </c>
      <c r="AE40" s="27">
        <f t="shared" si="192"/>
        <v>20815.733236088592</v>
      </c>
      <c r="AF40" s="145">
        <f t="shared" si="172"/>
        <v>328.82036590300766</v>
      </c>
      <c r="AG40" s="27">
        <f t="shared" si="193"/>
        <v>1726.3069209907892</v>
      </c>
      <c r="AH40" s="27">
        <f t="shared" si="173"/>
        <v>105816.0049300336</v>
      </c>
      <c r="AI40" s="27">
        <f t="shared" si="174"/>
        <v>85000.327770397169</v>
      </c>
      <c r="AJ40" s="27">
        <f t="shared" si="194"/>
        <v>20815.677159636431</v>
      </c>
      <c r="AK40" s="27">
        <f t="shared" si="11"/>
        <v>105820.61845817516</v>
      </c>
      <c r="AL40" s="27">
        <f t="shared" si="175"/>
        <v>85005.75490715912</v>
      </c>
      <c r="AM40" s="27">
        <f t="shared" si="246"/>
        <v>20814.863551016038</v>
      </c>
      <c r="AN40" s="409">
        <f>INDEX(Inv.Returns!$B$2:$E$32,MATCH(B40,Inv.Returns!$A$2:$A$32,0),MATCH(SCRS!$DU$52,Inv.Returns!$B$1:$E$1,0))</f>
        <v>7.0000000000000007E-2</v>
      </c>
      <c r="AO40" s="27">
        <f t="shared" ref="AO40:AO42" si="320">AC40-AH40</f>
        <v>-2517.8523649216659</v>
      </c>
      <c r="AP40" s="223">
        <f t="shared" si="12"/>
        <v>-2522.4658930632286</v>
      </c>
      <c r="AQ40" s="67">
        <f t="shared" ref="AQ40:AQ42" si="321">AH40/AC40</f>
        <v>1.0243746117660195</v>
      </c>
      <c r="AR40" s="146">
        <f t="shared" ref="AR40:AR42" si="322">AK40/AC40</f>
        <v>1.0244192740182188</v>
      </c>
      <c r="AS40" s="346"/>
      <c r="AT40" s="283">
        <f t="shared" si="176"/>
        <v>0.1095</v>
      </c>
      <c r="AU40" s="390">
        <f t="shared" si="109"/>
        <v>0.1095</v>
      </c>
      <c r="AV40" s="296">
        <f t="shared" si="110"/>
        <v>-8.9463424910829759E-3</v>
      </c>
      <c r="AW40" s="296">
        <f t="shared" si="111"/>
        <v>1.4394184151053014E-7</v>
      </c>
      <c r="AX40" s="111">
        <f t="shared" si="82"/>
        <v>0.09</v>
      </c>
      <c r="AY40" s="111">
        <f t="shared" si="112"/>
        <v>0.09</v>
      </c>
      <c r="AZ40" s="111">
        <f t="shared" si="113"/>
        <v>0</v>
      </c>
      <c r="BA40" s="256">
        <f t="shared" si="24"/>
        <v>1.9500000000000003E-2</v>
      </c>
      <c r="BB40" s="111">
        <f t="shared" si="114"/>
        <v>1.9500000000000003E-2</v>
      </c>
      <c r="BC40" s="128">
        <f t="shared" si="83"/>
        <v>7.5600000000000014E-2</v>
      </c>
      <c r="BD40" s="128">
        <f t="shared" si="104"/>
        <v>7.5600000000000014E-2</v>
      </c>
      <c r="BE40" s="402">
        <f t="shared" si="15"/>
        <v>5.6100000000000011E-2</v>
      </c>
      <c r="BF40" s="402">
        <f t="shared" si="115"/>
        <v>5.6100000000000011E-2</v>
      </c>
      <c r="BG40" s="402">
        <f t="shared" si="177"/>
        <v>2.5600000000000012E-2</v>
      </c>
      <c r="BH40" s="402">
        <f t="shared" si="26"/>
        <v>7.5600000000000014E-2</v>
      </c>
      <c r="BI40" s="152">
        <f t="shared" si="42"/>
        <v>0</v>
      </c>
      <c r="BJ40" s="100">
        <f t="shared" si="43"/>
        <v>4.1869522882181265E-2</v>
      </c>
      <c r="BK40" s="27">
        <f t="shared" si="67"/>
        <v>0</v>
      </c>
      <c r="BL40" s="27">
        <f t="shared" si="17"/>
        <v>20</v>
      </c>
      <c r="BM40" s="107">
        <f t="shared" si="31"/>
        <v>0.01</v>
      </c>
      <c r="BN40" s="27"/>
      <c r="BO40" s="27"/>
      <c r="BP40" s="92">
        <f t="shared" si="178"/>
        <v>-4450.3806844276696</v>
      </c>
      <c r="BQ40" s="27">
        <f t="shared" si="195"/>
        <v>-1001.8029950039401</v>
      </c>
      <c r="BR40" s="27">
        <f t="shared" si="179"/>
        <v>-173.25815066606509</v>
      </c>
      <c r="BS40" s="27">
        <f t="shared" si="116"/>
        <v>-39.001277992565605</v>
      </c>
      <c r="BT40" s="27">
        <f t="shared" si="180"/>
        <v>-5.4956050011644733</v>
      </c>
      <c r="BU40" s="27">
        <f t="shared" si="196"/>
        <v>-28.851926256113465</v>
      </c>
      <c r="BV40" s="297">
        <f t="shared" si="181"/>
        <v>274.78025005822366</v>
      </c>
      <c r="BW40" s="297">
        <f t="shared" si="197"/>
        <v>1442.5963128056733</v>
      </c>
      <c r="BX40" s="297">
        <f t="shared" si="198"/>
        <v>0</v>
      </c>
      <c r="BY40" s="297">
        <f t="shared" si="182"/>
        <v>77.755419523109609</v>
      </c>
      <c r="BZ40" s="297">
        <f t="shared" si="84"/>
        <v>59.535720845948447</v>
      </c>
      <c r="CA40" s="297">
        <f t="shared" si="199"/>
        <v>312.56253444122922</v>
      </c>
      <c r="CB40" s="297">
        <f t="shared" si="183"/>
        <v>-196.39794782284054</v>
      </c>
      <c r="CC40" s="297">
        <f t="shared" si="200"/>
        <v>0</v>
      </c>
      <c r="CD40" s="297">
        <f t="shared" si="201"/>
        <v>-5.1501548178536864E-3</v>
      </c>
      <c r="CE40" s="297"/>
      <c r="CF40" s="297">
        <f t="shared" si="184"/>
        <v>0</v>
      </c>
      <c r="CG40" s="297">
        <f t="shared" si="202"/>
        <v>0</v>
      </c>
      <c r="CH40" s="297">
        <f t="shared" si="185"/>
        <v>0</v>
      </c>
      <c r="CI40" s="427">
        <f>IF(AND($DU$74="Yes",MAX($AQ$13:AQ39)&lt;100%),MAX(BD38*(G40+Q40)-SUM(BZ40:CH40,CJ40,CY40),0),0)</f>
        <v>0</v>
      </c>
      <c r="CJ40" s="27"/>
      <c r="CK40" s="27">
        <f t="shared" si="44"/>
        <v>0</v>
      </c>
      <c r="CL40" s="27">
        <f t="shared" si="45"/>
        <v>0</v>
      </c>
      <c r="CM40" s="27">
        <f t="shared" si="46"/>
        <v>0</v>
      </c>
      <c r="CN40" s="105">
        <f t="shared" si="47"/>
        <v>1970.8271396965258</v>
      </c>
      <c r="CO40" s="27">
        <f t="shared" si="48"/>
        <v>0</v>
      </c>
      <c r="CP40" s="108">
        <f t="shared" ref="CP40:CP41" si="323">SUM(CN40:CO40)</f>
        <v>1970.8271396965258</v>
      </c>
      <c r="CQ40" s="27">
        <f t="shared" si="117"/>
        <v>-196.40309797765838</v>
      </c>
      <c r="CR40" s="27">
        <f t="shared" si="118"/>
        <v>0</v>
      </c>
      <c r="CS40" s="27">
        <f t="shared" si="186"/>
        <v>-196.40309797765838</v>
      </c>
      <c r="CT40" s="27">
        <f>SUM($CS$14:CS40)</f>
        <v>44641.359870130385</v>
      </c>
      <c r="CU40" s="223">
        <v>3437.9663467579803</v>
      </c>
      <c r="CV40" s="417">
        <v>696.32767030938771</v>
      </c>
      <c r="CW40" s="417">
        <v>4134.2940170673683</v>
      </c>
      <c r="CX40" s="417">
        <v>78654.66506397273</v>
      </c>
      <c r="CY40" s="103">
        <f t="shared" si="49"/>
        <v>168.37025126116637</v>
      </c>
      <c r="CZ40" s="111">
        <f t="shared" si="101"/>
        <v>1.4758321357923543E-2</v>
      </c>
      <c r="DA40" s="92">
        <f t="shared" si="50"/>
        <v>344.06540857068569</v>
      </c>
      <c r="DB40" s="410">
        <f t="shared" si="51"/>
        <v>192.92778505525339</v>
      </c>
      <c r="DC40" s="307">
        <f t="shared" si="52"/>
        <v>-103.01777132710654</v>
      </c>
      <c r="DD40" s="307">
        <f t="shared" si="53"/>
        <v>195.17376950311794</v>
      </c>
      <c r="DE40" s="307">
        <f t="shared" si="54"/>
        <v>0</v>
      </c>
      <c r="DF40" s="307">
        <f t="shared" si="55"/>
        <v>28258.105241842317</v>
      </c>
      <c r="DG40" s="307" t="b">
        <f t="shared" ref="DG40" si="324">ROUND(SUM(DC40:DE40),0)=ROUND(DB40,0)</f>
        <v>0</v>
      </c>
      <c r="DH40" s="105">
        <f t="shared" ref="DH40:DH42" si="325">CY40</f>
        <v>168.37025126116637</v>
      </c>
      <c r="DI40" s="148">
        <f t="shared" si="57"/>
        <v>88.313922852089561</v>
      </c>
      <c r="DJ40" s="102">
        <f t="shared" ref="DJ40:DJ42" si="326">DH40/$L43</f>
        <v>7.6932070897621427E-3</v>
      </c>
      <c r="DK40" s="93">
        <f t="shared" ref="DK40:DK42" si="327">CO40</f>
        <v>0</v>
      </c>
      <c r="DL40" s="148">
        <f t="shared" si="60"/>
        <v>0</v>
      </c>
      <c r="DM40" s="310">
        <f t="shared" ref="DM40:DM42" si="328">DK40/$I40</f>
        <v>0</v>
      </c>
      <c r="DN40" s="293">
        <v>2190.6694358061623</v>
      </c>
      <c r="DO40" s="96">
        <f t="shared" si="62"/>
        <v>1228.3739995661203</v>
      </c>
      <c r="DP40" s="294">
        <v>1.2134137491985475</v>
      </c>
      <c r="DQ40" s="41"/>
      <c r="DR40" s="53" t="s">
        <v>172</v>
      </c>
      <c r="DS40" s="42"/>
      <c r="DT40" s="42"/>
      <c r="DU40" s="259">
        <v>0.01</v>
      </c>
      <c r="DV40" s="41"/>
      <c r="EJ40" s="339"/>
      <c r="EK40" s="332" t="e">
        <f>IF(AND(#REF!="Fresh Start",A40&gt;2019),AV40,IF(BD40-(AT40-AX40)&lt;0,0,BD40-(AT40-AX40)))</f>
        <v>#REF!</v>
      </c>
      <c r="EL40" s="332">
        <f t="shared" si="63"/>
        <v>1.9500000000000003E-2</v>
      </c>
      <c r="EM40" s="332" t="e">
        <f t="shared" ref="EM40:EM41" si="329">DI40/$DG40</f>
        <v>#DIV/0!</v>
      </c>
      <c r="EN40" s="332">
        <f t="shared" si="64"/>
        <v>0</v>
      </c>
      <c r="EO40" s="332">
        <v>6.5600000000000019E-2</v>
      </c>
      <c r="EP40" s="332">
        <v>2.4647249465779036E-2</v>
      </c>
      <c r="EQ40" s="333" t="e">
        <f>SUM(EK40:EM40)</f>
        <v>#REF!</v>
      </c>
      <c r="ET40" s="29">
        <f t="shared" si="85"/>
        <v>5705.3187831404084</v>
      </c>
      <c r="EU40" s="29">
        <f t="shared" si="86"/>
        <v>5707.9313610413792</v>
      </c>
      <c r="EV40" s="29">
        <f t="shared" ref="EV40:EV42" si="330">EU40-ET40</f>
        <v>2.6125779009707912</v>
      </c>
      <c r="EW40" s="29">
        <f t="shared" ref="EW40:EW42" si="331">EV40*4/5</f>
        <v>2.0900623207766329</v>
      </c>
      <c r="EX40" s="29">
        <f t="shared" ref="EX40:EX42" si="332">EW39*(3/4)</f>
        <v>1.6375811645895739</v>
      </c>
      <c r="EY40" s="29">
        <f t="shared" ref="EY40:EY42" si="333">EX39*(2/3)</f>
        <v>1.125263802292102</v>
      </c>
      <c r="EZ40" s="29">
        <f t="shared" ref="EZ40:EZ42" si="334">EY39*(1/2)</f>
        <v>0.57422947429913607</v>
      </c>
      <c r="FA40" s="29">
        <f t="shared" ref="FA40:FA42" si="335">SUM(EW40:EZ40)</f>
        <v>5.4271367619574447</v>
      </c>
      <c r="FB40" s="29"/>
      <c r="FC40" s="29">
        <f t="shared" si="247"/>
        <v>1339.32377671619</v>
      </c>
      <c r="FD40" s="29">
        <f t="shared" si="248"/>
        <v>1338.9179918650211</v>
      </c>
      <c r="FE40" s="29">
        <f t="shared" si="203"/>
        <v>-0.40578485116884622</v>
      </c>
      <c r="FF40" s="29">
        <f t="shared" si="204"/>
        <v>-0.324627880935077</v>
      </c>
      <c r="FG40" s="29">
        <f t="shared" si="205"/>
        <v>-0.24547934569068275</v>
      </c>
      <c r="FH40" s="29">
        <f t="shared" si="206"/>
        <v>-0.16230979316042066</v>
      </c>
      <c r="FI40" s="29">
        <f t="shared" si="207"/>
        <v>-8.119160060759896E-2</v>
      </c>
      <c r="FJ40" s="29">
        <f t="shared" si="208"/>
        <v>-0.81360862039377935</v>
      </c>
      <c r="FK40" s="41"/>
      <c r="FL40" s="41"/>
      <c r="FM40" s="27">
        <f t="shared" si="27"/>
        <v>-2467.3784190863807</v>
      </c>
      <c r="FN40" s="41"/>
      <c r="FO40" s="301">
        <f t="shared" si="119"/>
        <v>-196.39794782284054</v>
      </c>
      <c r="FP40" s="89">
        <f t="shared" si="209"/>
        <v>-5.1501548178536864E-3</v>
      </c>
      <c r="FQ40" s="27">
        <f t="shared" si="103"/>
        <v>20</v>
      </c>
      <c r="FR40" s="302">
        <f t="shared" si="88"/>
        <v>13.464518542443937</v>
      </c>
      <c r="FS40" s="89">
        <f t="shared" ref="FS40:FS42" si="336">FM40/FR40</f>
        <v>-183.25040077062633</v>
      </c>
      <c r="FT40" s="89">
        <f t="shared" si="210"/>
        <v>-196.40309797765838</v>
      </c>
      <c r="FU40" s="29">
        <f t="shared" ref="FU40:FU42" si="337">FQ40</f>
        <v>20</v>
      </c>
      <c r="FV40" s="137">
        <f t="shared" si="91"/>
        <v>13.464518542443937</v>
      </c>
      <c r="FW40" s="48">
        <v>-1653.2118643223848</v>
      </c>
      <c r="FX40" s="29">
        <f t="shared" si="120"/>
        <v>-80.974739793085064</v>
      </c>
      <c r="FY40" s="29">
        <f t="shared" si="121"/>
        <v>-83.935674618665033</v>
      </c>
      <c r="FZ40" s="29">
        <f t="shared" si="266"/>
        <v>-80.716343511452095</v>
      </c>
      <c r="GA40" s="29">
        <f t="shared" si="267"/>
        <v>-77.366040874492853</v>
      </c>
      <c r="GB40" s="29">
        <f t="shared" si="268"/>
        <v>-73.996239862951697</v>
      </c>
      <c r="GC40" s="29">
        <f t="shared" si="269"/>
        <v>-2120.9194027131844</v>
      </c>
      <c r="GD40" s="29">
        <f t="shared" si="270"/>
        <v>0</v>
      </c>
      <c r="GE40" s="29">
        <f t="shared" si="271"/>
        <v>0</v>
      </c>
      <c r="GF40" s="29">
        <f t="shared" si="272"/>
        <v>0</v>
      </c>
      <c r="GG40" s="29">
        <f t="shared" si="273"/>
        <v>0</v>
      </c>
      <c r="GH40" s="29">
        <f t="shared" si="274"/>
        <v>0</v>
      </c>
      <c r="GI40" s="29">
        <f t="shared" si="275"/>
        <v>0</v>
      </c>
      <c r="GJ40" s="29">
        <f t="shared" si="276"/>
        <v>0</v>
      </c>
      <c r="GK40" s="29">
        <f t="shared" si="277"/>
        <v>0</v>
      </c>
      <c r="GL40" s="29">
        <f t="shared" si="278"/>
        <v>0</v>
      </c>
      <c r="GM40" s="29">
        <f t="shared" si="279"/>
        <v>0</v>
      </c>
      <c r="GN40" s="29">
        <f t="shared" si="280"/>
        <v>0</v>
      </c>
      <c r="GO40" s="29">
        <f t="shared" si="251"/>
        <v>0</v>
      </c>
      <c r="GP40" s="29">
        <f t="shared" si="252"/>
        <v>0</v>
      </c>
      <c r="GQ40" s="29">
        <f t="shared" si="253"/>
        <v>0</v>
      </c>
      <c r="GR40" s="29">
        <f t="shared" si="254"/>
        <v>0</v>
      </c>
      <c r="GS40" s="29">
        <f t="shared" si="255"/>
        <v>0</v>
      </c>
      <c r="GT40" s="29">
        <f t="shared" si="256"/>
        <v>0</v>
      </c>
      <c r="GU40" s="29">
        <f t="shared" si="257"/>
        <v>0</v>
      </c>
      <c r="GV40" s="29">
        <f t="shared" si="258"/>
        <v>0</v>
      </c>
      <c r="GW40" s="29">
        <f t="shared" si="259"/>
        <v>0</v>
      </c>
      <c r="GX40" s="29">
        <f t="shared" si="260"/>
        <v>0</v>
      </c>
      <c r="GY40" s="29">
        <f t="shared" si="261"/>
        <v>0</v>
      </c>
      <c r="GZ40" s="29">
        <f t="shared" si="262"/>
        <v>0</v>
      </c>
      <c r="HA40" s="29">
        <f t="shared" si="263"/>
        <v>0</v>
      </c>
      <c r="HB40" s="29">
        <f t="shared" si="264"/>
        <v>0</v>
      </c>
      <c r="HC40" s="29">
        <f t="shared" si="265"/>
        <v>0</v>
      </c>
      <c r="HD40" s="29"/>
      <c r="HE40" s="29">
        <f t="shared" si="32"/>
        <v>20</v>
      </c>
      <c r="HF40" s="29">
        <f t="shared" si="317"/>
        <v>0</v>
      </c>
      <c r="HG40" s="29">
        <f t="shared" si="318"/>
        <v>-6.2338415112338597</v>
      </c>
      <c r="HH40" s="29">
        <f t="shared" si="319"/>
        <v>-6.1989081160938415</v>
      </c>
      <c r="HI40" s="29">
        <f t="shared" si="126"/>
        <v>-6.160192163731713</v>
      </c>
      <c r="HJ40" s="29">
        <f t="shared" si="127"/>
        <v>-6.1267044747115493</v>
      </c>
      <c r="HK40" s="29">
        <f t="shared" si="128"/>
        <v>-183.21488765952014</v>
      </c>
      <c r="HL40" s="29">
        <f t="shared" si="129"/>
        <v>0</v>
      </c>
      <c r="HM40" s="29">
        <f t="shared" si="130"/>
        <v>0</v>
      </c>
      <c r="HN40" s="29">
        <f t="shared" si="131"/>
        <v>0</v>
      </c>
      <c r="HO40" s="29">
        <f t="shared" si="132"/>
        <v>0</v>
      </c>
      <c r="HP40" s="29">
        <f t="shared" si="133"/>
        <v>0</v>
      </c>
      <c r="HQ40" s="29">
        <f t="shared" si="134"/>
        <v>0</v>
      </c>
      <c r="HR40" s="29">
        <f t="shared" si="135"/>
        <v>0</v>
      </c>
      <c r="HS40" s="29">
        <f t="shared" si="136"/>
        <v>0</v>
      </c>
      <c r="HT40" s="29">
        <f t="shared" si="137"/>
        <v>0</v>
      </c>
      <c r="HU40" s="29">
        <f t="shared" si="138"/>
        <v>0</v>
      </c>
      <c r="HV40" s="29">
        <f t="shared" si="139"/>
        <v>0</v>
      </c>
      <c r="HW40" s="29">
        <f t="shared" si="140"/>
        <v>0</v>
      </c>
      <c r="HX40" s="29">
        <f t="shared" si="141"/>
        <v>0</v>
      </c>
      <c r="HY40" s="29">
        <f t="shared" si="142"/>
        <v>0</v>
      </c>
      <c r="HZ40" s="29">
        <f t="shared" si="143"/>
        <v>0</v>
      </c>
      <c r="IA40" s="29">
        <f t="shared" si="144"/>
        <v>0</v>
      </c>
      <c r="IB40" s="29">
        <f t="shared" si="145"/>
        <v>0</v>
      </c>
      <c r="IC40" s="29">
        <f t="shared" si="146"/>
        <v>0</v>
      </c>
      <c r="ID40" s="29">
        <f t="shared" si="147"/>
        <v>0</v>
      </c>
      <c r="IE40" s="29">
        <f t="shared" si="148"/>
        <v>0</v>
      </c>
      <c r="IF40" s="29">
        <f t="shared" si="149"/>
        <v>0</v>
      </c>
      <c r="IG40" s="29">
        <f t="shared" si="150"/>
        <v>0</v>
      </c>
      <c r="IH40" s="29">
        <f t="shared" si="151"/>
        <v>0</v>
      </c>
      <c r="II40" s="29">
        <f t="shared" si="152"/>
        <v>0</v>
      </c>
      <c r="IJ40" s="29">
        <f t="shared" si="153"/>
        <v>0</v>
      </c>
      <c r="IK40" s="29">
        <f t="shared" si="154"/>
        <v>0</v>
      </c>
      <c r="IL40" s="5"/>
      <c r="IM40" s="5"/>
      <c r="IN40" s="5"/>
      <c r="IO40" s="29">
        <f t="shared" si="211"/>
        <v>5.6339020863602596E-2</v>
      </c>
      <c r="IP40" s="29">
        <f t="shared" si="249"/>
        <v>5.1840698274736842E-2</v>
      </c>
      <c r="IQ40" s="29">
        <f t="shared" si="302"/>
        <v>4.7260869933370545E-2</v>
      </c>
      <c r="IR40" s="29">
        <f t="shared" si="303"/>
        <v>3.5458248894215116E-2</v>
      </c>
      <c r="IS40" s="29">
        <f t="shared" si="304"/>
        <v>2.6629266145624483E-2</v>
      </c>
      <c r="IT40" s="29">
        <f t="shared" si="305"/>
        <v>-0.16145165195004402</v>
      </c>
      <c r="IU40" s="29">
        <f t="shared" si="306"/>
        <v>0</v>
      </c>
      <c r="IV40" s="29">
        <f t="shared" si="307"/>
        <v>0</v>
      </c>
      <c r="IW40" s="29">
        <f t="shared" si="308"/>
        <v>0</v>
      </c>
      <c r="IX40" s="29">
        <f t="shared" si="309"/>
        <v>0</v>
      </c>
      <c r="IY40" s="29">
        <f t="shared" si="310"/>
        <v>0</v>
      </c>
      <c r="IZ40" s="29">
        <f t="shared" si="311"/>
        <v>0</v>
      </c>
      <c r="JA40" s="29">
        <f t="shared" si="312"/>
        <v>0</v>
      </c>
      <c r="JB40" s="29">
        <f t="shared" si="313"/>
        <v>0</v>
      </c>
      <c r="JC40" s="29">
        <f t="shared" si="314"/>
        <v>0</v>
      </c>
      <c r="JD40" s="29">
        <f t="shared" si="315"/>
        <v>0</v>
      </c>
      <c r="JE40" s="29">
        <f t="shared" si="316"/>
        <v>0</v>
      </c>
      <c r="JF40" s="29">
        <f t="shared" si="285"/>
        <v>0</v>
      </c>
      <c r="JG40" s="29">
        <f t="shared" si="286"/>
        <v>0</v>
      </c>
      <c r="JH40" s="29">
        <f t="shared" si="287"/>
        <v>0</v>
      </c>
      <c r="JI40" s="29">
        <f t="shared" si="288"/>
        <v>0</v>
      </c>
      <c r="JJ40" s="29">
        <f t="shared" si="289"/>
        <v>0</v>
      </c>
      <c r="JK40" s="29">
        <f t="shared" si="290"/>
        <v>0</v>
      </c>
      <c r="JL40" s="29">
        <f t="shared" si="291"/>
        <v>0</v>
      </c>
      <c r="JM40" s="29">
        <f t="shared" si="292"/>
        <v>0</v>
      </c>
      <c r="JN40" s="29">
        <f t="shared" si="293"/>
        <v>0</v>
      </c>
      <c r="JO40" s="29">
        <f t="shared" si="294"/>
        <v>0</v>
      </c>
      <c r="JP40" s="29">
        <f t="shared" si="295"/>
        <v>0</v>
      </c>
      <c r="JQ40" s="29">
        <f t="shared" si="296"/>
        <v>0</v>
      </c>
      <c r="JR40" s="29">
        <f t="shared" si="297"/>
        <v>0</v>
      </c>
      <c r="JS40" s="29">
        <f t="shared" si="298"/>
        <v>0</v>
      </c>
      <c r="JT40" s="29">
        <f t="shared" si="299"/>
        <v>0</v>
      </c>
      <c r="JU40" s="5"/>
      <c r="JV40" s="394">
        <f t="shared" si="213"/>
        <v>20</v>
      </c>
      <c r="JW40" s="29">
        <f t="shared" si="214"/>
        <v>0</v>
      </c>
      <c r="JX40" s="29">
        <f t="shared" si="215"/>
        <v>3.8501709594234972E-3</v>
      </c>
      <c r="JY40" s="29">
        <f t="shared" si="216"/>
        <v>3.6295721220580301E-3</v>
      </c>
      <c r="JZ40" s="29">
        <f t="shared" si="217"/>
        <v>2.8233269339986047E-3</v>
      </c>
      <c r="KA40" s="29">
        <f t="shared" si="218"/>
        <v>2.20483695326751E-3</v>
      </c>
      <c r="KB40" s="29">
        <f t="shared" si="219"/>
        <v>-1.3946945007259884E-2</v>
      </c>
      <c r="KC40" s="29">
        <f t="shared" si="220"/>
        <v>0</v>
      </c>
      <c r="KD40" s="29">
        <f t="shared" si="221"/>
        <v>0</v>
      </c>
      <c r="KE40" s="29">
        <f t="shared" si="222"/>
        <v>0</v>
      </c>
      <c r="KF40" s="29">
        <f t="shared" si="223"/>
        <v>0</v>
      </c>
      <c r="KG40" s="29">
        <f t="shared" si="224"/>
        <v>0</v>
      </c>
      <c r="KH40" s="29">
        <f t="shared" si="225"/>
        <v>0</v>
      </c>
      <c r="KI40" s="29">
        <f t="shared" si="226"/>
        <v>0</v>
      </c>
      <c r="KJ40" s="29">
        <f t="shared" si="227"/>
        <v>0</v>
      </c>
      <c r="KK40" s="29">
        <f t="shared" si="228"/>
        <v>0</v>
      </c>
      <c r="KL40" s="29">
        <f t="shared" si="229"/>
        <v>0</v>
      </c>
      <c r="KM40" s="29">
        <f t="shared" si="230"/>
        <v>0</v>
      </c>
      <c r="KN40" s="29">
        <f t="shared" si="231"/>
        <v>0</v>
      </c>
      <c r="KO40" s="29">
        <f t="shared" si="232"/>
        <v>0</v>
      </c>
      <c r="KP40" s="29">
        <f t="shared" si="233"/>
        <v>0</v>
      </c>
      <c r="KQ40" s="29">
        <f t="shared" si="234"/>
        <v>0</v>
      </c>
      <c r="KR40" s="29">
        <f t="shared" si="235"/>
        <v>0</v>
      </c>
      <c r="KS40" s="29">
        <f t="shared" si="236"/>
        <v>0</v>
      </c>
      <c r="KT40" s="29">
        <f t="shared" si="237"/>
        <v>0</v>
      </c>
      <c r="KU40" s="29">
        <f t="shared" si="238"/>
        <v>0</v>
      </c>
      <c r="KV40" s="29">
        <f t="shared" si="239"/>
        <v>0</v>
      </c>
      <c r="KW40" s="29">
        <f t="shared" si="240"/>
        <v>0</v>
      </c>
      <c r="KX40" s="29">
        <f t="shared" si="241"/>
        <v>0</v>
      </c>
      <c r="KY40" s="29">
        <f t="shared" si="242"/>
        <v>0</v>
      </c>
      <c r="KZ40" s="29">
        <f t="shared" si="243"/>
        <v>0</v>
      </c>
      <c r="LA40" s="29">
        <f t="shared" si="244"/>
        <v>0</v>
      </c>
      <c r="LB40" s="29">
        <f t="shared" si="245"/>
        <v>0</v>
      </c>
      <c r="LC40" s="5"/>
      <c r="LD40" s="5"/>
      <c r="LE40" s="5"/>
      <c r="LF40" s="5"/>
      <c r="LG40" s="5"/>
      <c r="LH40" s="5"/>
      <c r="LI40" s="5"/>
      <c r="LJ40" s="5"/>
      <c r="LK40" s="5"/>
      <c r="LL40" s="5"/>
      <c r="LM40" s="5"/>
      <c r="LN40" s="5"/>
      <c r="LO40" s="5"/>
      <c r="LP40" s="39"/>
      <c r="LQ40" s="39"/>
      <c r="LR40" s="39"/>
      <c r="LS40" s="5"/>
      <c r="LT40" s="39"/>
      <c r="LU40" s="161">
        <v>8.0989999999999979E-2</v>
      </c>
      <c r="LV40" s="63"/>
      <c r="LW40" s="63"/>
      <c r="LX40" s="63"/>
      <c r="LY40" s="153"/>
      <c r="LZ40" s="39"/>
      <c r="MA40" s="39"/>
      <c r="MB40" s="39"/>
      <c r="MC40" s="374">
        <f t="shared" si="300"/>
        <v>6.2500000000000014E-2</v>
      </c>
      <c r="MD40" s="387">
        <f t="shared" si="187"/>
        <v>-1178.5917588281648</v>
      </c>
      <c r="ME40" s="152">
        <f t="shared" si="188"/>
        <v>-5628.9724432558342</v>
      </c>
      <c r="MF40" s="39"/>
      <c r="MG40" s="374">
        <f t="shared" si="301"/>
        <v>6.2500000000000014E-2</v>
      </c>
      <c r="MH40" s="387">
        <f t="shared" si="189"/>
        <v>-45.88385646184188</v>
      </c>
      <c r="MI40" s="152">
        <f t="shared" si="155"/>
        <v>-219.14200712790696</v>
      </c>
      <c r="MJ40" s="39"/>
      <c r="MK40" s="39"/>
      <c r="ML40" s="39"/>
      <c r="MM40" s="39"/>
      <c r="MN40" s="39"/>
      <c r="MO40" s="39"/>
      <c r="MP40" s="39"/>
      <c r="MQ40" s="39"/>
      <c r="MR40" s="39"/>
      <c r="MS40" s="39"/>
      <c r="MT40" s="39"/>
      <c r="MU40" s="39"/>
      <c r="MV40" s="39"/>
      <c r="MW40" s="39"/>
    </row>
    <row r="41" spans="1:361" ht="12.75" customHeight="1" x14ac:dyDescent="0.3">
      <c r="A41" s="298">
        <f t="shared" si="99"/>
        <v>2050</v>
      </c>
      <c r="B41" s="348">
        <f t="shared" si="2"/>
        <v>2048</v>
      </c>
      <c r="C41" s="26">
        <v>54240</v>
      </c>
      <c r="D41" s="92">
        <f t="shared" si="156"/>
        <v>2774.8444016682502</v>
      </c>
      <c r="E41" s="27">
        <f t="shared" si="106"/>
        <v>2774.8444016682502</v>
      </c>
      <c r="F41" s="107">
        <f t="shared" si="21"/>
        <v>20053.497356594067</v>
      </c>
      <c r="G41" s="27">
        <f t="shared" si="157"/>
        <v>23055.499739362382</v>
      </c>
      <c r="H41" s="27">
        <f t="shared" si="158"/>
        <v>3227.7699635107347</v>
      </c>
      <c r="I41" s="289">
        <f t="shared" si="159"/>
        <v>2743.6044689841247</v>
      </c>
      <c r="J41" s="267">
        <f>J40/J39*J40</f>
        <v>987.94917535174977</v>
      </c>
      <c r="K41" s="290">
        <f t="shared" si="160"/>
        <v>1755.6552936323749</v>
      </c>
      <c r="L41" s="290">
        <f t="shared" si="107"/>
        <v>19827.729775851647</v>
      </c>
      <c r="M41" s="290">
        <f t="shared" si="161"/>
        <v>16853.5703094739</v>
      </c>
      <c r="N41" s="27">
        <f t="shared" si="162"/>
        <v>0</v>
      </c>
      <c r="O41" s="290">
        <f t="shared" si="163"/>
        <v>484.16549452661019</v>
      </c>
      <c r="P41" s="290">
        <f t="shared" si="108"/>
        <v>2974.1594663777469</v>
      </c>
      <c r="Q41" s="290">
        <f t="shared" si="164"/>
        <v>887.27573166926175</v>
      </c>
      <c r="R41" s="254">
        <f t="shared" si="3"/>
        <v>0.14000000000000001</v>
      </c>
      <c r="S41" s="251">
        <v>0.86</v>
      </c>
      <c r="T41" s="284">
        <f t="shared" si="165"/>
        <v>7.0000000000000007E-2</v>
      </c>
      <c r="U41" s="284">
        <f t="shared" si="166"/>
        <v>7.0000000000000007E-2</v>
      </c>
      <c r="V41" s="27">
        <f t="shared" si="5"/>
        <v>107048.47177671522</v>
      </c>
      <c r="W41" s="27">
        <f t="shared" si="167"/>
        <v>84075.343852035265</v>
      </c>
      <c r="X41" s="27">
        <f t="shared" si="190"/>
        <v>22973.127924679946</v>
      </c>
      <c r="Y41" s="27">
        <f t="shared" si="168"/>
        <v>295.48620130959023</v>
      </c>
      <c r="Z41" s="27">
        <f t="shared" si="191"/>
        <v>1815.1295223303391</v>
      </c>
      <c r="AA41" s="111">
        <f t="shared" si="169"/>
        <v>7.0000000000000007E-2</v>
      </c>
      <c r="AB41" s="111">
        <f t="shared" si="170"/>
        <v>7.0000000000000007E-2</v>
      </c>
      <c r="AC41" s="92">
        <f t="shared" si="7"/>
        <v>107048.47177671522</v>
      </c>
      <c r="AD41" s="27">
        <f t="shared" si="171"/>
        <v>84075.343852035265</v>
      </c>
      <c r="AE41" s="27">
        <f t="shared" si="192"/>
        <v>22973.127924679946</v>
      </c>
      <c r="AF41" s="145">
        <f t="shared" si="172"/>
        <v>295.48620130959023</v>
      </c>
      <c r="AG41" s="27">
        <f t="shared" si="193"/>
        <v>1815.1295223303391</v>
      </c>
      <c r="AH41" s="27">
        <f t="shared" si="173"/>
        <v>109610.63438620255</v>
      </c>
      <c r="AI41" s="27">
        <f t="shared" si="174"/>
        <v>86637.629631724019</v>
      </c>
      <c r="AJ41" s="27">
        <f t="shared" si="194"/>
        <v>22973.004754478534</v>
      </c>
      <c r="AK41" s="27">
        <f t="shared" si="11"/>
        <v>109615.02210318261</v>
      </c>
      <c r="AL41" s="27">
        <f t="shared" si="175"/>
        <v>86642.826230082821</v>
      </c>
      <c r="AM41" s="27">
        <f t="shared" si="246"/>
        <v>22972.19587309979</v>
      </c>
      <c r="AN41" s="409">
        <f>INDEX(Inv.Returns!$B$2:$E$32,MATCH(B41,Inv.Returns!$A$2:$A$32,0),MATCH(SCRS!$DU$52,Inv.Returns!$B$1:$E$1,0))</f>
        <v>7.0000000000000007E-2</v>
      </c>
      <c r="AO41" s="27">
        <f t="shared" si="320"/>
        <v>-2562.1626094873354</v>
      </c>
      <c r="AP41" s="223">
        <f t="shared" si="12"/>
        <v>-2566.5503264673898</v>
      </c>
      <c r="AQ41" s="67">
        <f t="shared" si="321"/>
        <v>1.0239346023998508</v>
      </c>
      <c r="AR41" s="146">
        <f t="shared" si="322"/>
        <v>1.0239755905326773</v>
      </c>
      <c r="AS41" s="346"/>
      <c r="AT41" s="283">
        <f t="shared" si="176"/>
        <v>0.10949999999999999</v>
      </c>
      <c r="AU41" s="390">
        <f t="shared" si="109"/>
        <v>0.1095</v>
      </c>
      <c r="AV41" s="296">
        <f t="shared" si="110"/>
        <v>-9.2082019317101284E-3</v>
      </c>
      <c r="AW41" s="296">
        <f t="shared" si="111"/>
        <v>3.6470717049880695E-7</v>
      </c>
      <c r="AX41" s="111">
        <f t="shared" si="82"/>
        <v>0.09</v>
      </c>
      <c r="AY41" s="111">
        <f t="shared" si="112"/>
        <v>0.09</v>
      </c>
      <c r="AZ41" s="111">
        <f t="shared" si="113"/>
        <v>0</v>
      </c>
      <c r="BA41" s="256">
        <f t="shared" si="24"/>
        <v>1.949999999999999E-2</v>
      </c>
      <c r="BB41" s="111">
        <f t="shared" si="114"/>
        <v>1.9500000000000003E-2</v>
      </c>
      <c r="BC41" s="128">
        <f t="shared" si="83"/>
        <v>6.5600000000000019E-2</v>
      </c>
      <c r="BD41" s="128">
        <f t="shared" si="104"/>
        <v>6.5600000000000019E-2</v>
      </c>
      <c r="BE41" s="402">
        <f t="shared" si="15"/>
        <v>4.610000000000003E-2</v>
      </c>
      <c r="BF41" s="402">
        <f t="shared" si="115"/>
        <v>4.6100000000000016E-2</v>
      </c>
      <c r="BG41" s="402">
        <f t="shared" si="177"/>
        <v>1.5600000000000017E-2</v>
      </c>
      <c r="BH41" s="402">
        <f t="shared" si="26"/>
        <v>6.5600000000000019E-2</v>
      </c>
      <c r="BI41" s="152">
        <f t="shared" si="42"/>
        <v>0</v>
      </c>
      <c r="BJ41" s="100">
        <f t="shared" si="43"/>
        <v>4.1869522882181265E-2</v>
      </c>
      <c r="BK41" s="27">
        <f t="shared" si="67"/>
        <v>0</v>
      </c>
      <c r="BL41" s="27">
        <f t="shared" si="17"/>
        <v>20</v>
      </c>
      <c r="BM41" s="107">
        <f t="shared" si="31"/>
        <v>0.01</v>
      </c>
      <c r="BN41" s="27"/>
      <c r="BO41" s="27"/>
      <c r="BP41" s="92">
        <f t="shared" si="178"/>
        <v>-4174.7345077181881</v>
      </c>
      <c r="BQ41" s="27">
        <f t="shared" si="195"/>
        <v>-1095.4820701158037</v>
      </c>
      <c r="BR41" s="27">
        <f t="shared" si="179"/>
        <v>-162.52694580937361</v>
      </c>
      <c r="BS41" s="27">
        <f t="shared" si="116"/>
        <v>-42.64830606968755</v>
      </c>
      <c r="BT41" s="27">
        <f t="shared" si="180"/>
        <v>-4.9384880441714243</v>
      </c>
      <c r="BU41" s="27">
        <f t="shared" si="196"/>
        <v>-30.33642655705302</v>
      </c>
      <c r="BV41" s="297">
        <f t="shared" si="181"/>
        <v>246.92440220857122</v>
      </c>
      <c r="BW41" s="297">
        <f t="shared" si="197"/>
        <v>1516.8213278526509</v>
      </c>
      <c r="BX41" s="297">
        <f t="shared" si="198"/>
        <v>0</v>
      </c>
      <c r="BY41" s="297">
        <f t="shared" si="182"/>
        <v>79.85481585023355</v>
      </c>
      <c r="BZ41" s="297">
        <f t="shared" si="84"/>
        <v>53.500287145190441</v>
      </c>
      <c r="CA41" s="297">
        <f t="shared" si="199"/>
        <v>328.64462103474102</v>
      </c>
      <c r="CB41" s="297">
        <f t="shared" si="183"/>
        <v>-207.93453392529111</v>
      </c>
      <c r="CC41" s="297">
        <f t="shared" si="200"/>
        <v>0</v>
      </c>
      <c r="CD41" s="297">
        <f t="shared" si="201"/>
        <v>-1.4390380385122421E-3</v>
      </c>
      <c r="CE41" s="297"/>
      <c r="CF41" s="297">
        <f t="shared" si="184"/>
        <v>0</v>
      </c>
      <c r="CG41" s="297">
        <f t="shared" si="202"/>
        <v>0</v>
      </c>
      <c r="CH41" s="297">
        <f t="shared" si="185"/>
        <v>0</v>
      </c>
      <c r="CI41" s="427">
        <f>IF(AND($DU$74="Yes",MAX($AQ$13:AQ40)&lt;100%),MAX(BD39*(G41+Q41)-SUM(BZ41:CH41,CJ41,CY41),0),0)</f>
        <v>0</v>
      </c>
      <c r="CJ41" s="27"/>
      <c r="CK41" s="27">
        <f t="shared" si="44"/>
        <v>0</v>
      </c>
      <c r="CL41" s="27">
        <f t="shared" si="45"/>
        <v>0</v>
      </c>
      <c r="CM41" s="27">
        <f t="shared" si="46"/>
        <v>0</v>
      </c>
      <c r="CN41" s="105">
        <f t="shared" si="47"/>
        <v>2017.8094811280575</v>
      </c>
      <c r="CO41" s="27">
        <f t="shared" si="48"/>
        <v>0</v>
      </c>
      <c r="CP41" s="108">
        <f t="shared" si="323"/>
        <v>2017.8094811280575</v>
      </c>
      <c r="CQ41" s="27">
        <f t="shared" si="117"/>
        <v>-207.93597296332962</v>
      </c>
      <c r="CR41" s="27">
        <f t="shared" si="118"/>
        <v>0</v>
      </c>
      <c r="CS41" s="27">
        <f t="shared" si="186"/>
        <v>-207.93597296332962</v>
      </c>
      <c r="CT41" s="27">
        <f>SUM($CS$14:CS41)</f>
        <v>44433.423897167057</v>
      </c>
      <c r="CU41" s="223">
        <v>3543.576049756231</v>
      </c>
      <c r="CV41" s="417">
        <v>717.21750041866949</v>
      </c>
      <c r="CW41" s="417">
        <v>4260.7935501749007</v>
      </c>
      <c r="CX41" s="417">
        <v>82915.458614147632</v>
      </c>
      <c r="CY41" s="103">
        <f t="shared" si="49"/>
        <v>172.91624804521786</v>
      </c>
      <c r="CZ41" s="111">
        <f t="shared" si="101"/>
        <v>1.4498117968061237E-2</v>
      </c>
      <c r="DA41" s="92">
        <f t="shared" si="50"/>
        <v>347.1251832618197</v>
      </c>
      <c r="DB41" s="410">
        <f t="shared" si="51"/>
        <v>190.36038378054707</v>
      </c>
      <c r="DC41" s="307">
        <f t="shared" si="52"/>
        <v>-106.66701171814459</v>
      </c>
      <c r="DD41" s="307">
        <f t="shared" si="53"/>
        <v>196.03272496792383</v>
      </c>
      <c r="DE41" s="307">
        <f t="shared" si="54"/>
        <v>0</v>
      </c>
      <c r="DF41" s="307">
        <f t="shared" si="55"/>
        <v>27824.039453781676</v>
      </c>
      <c r="DG41" s="307" t="b">
        <f t="shared" si="68"/>
        <v>0</v>
      </c>
      <c r="DH41" s="105">
        <f t="shared" si="325"/>
        <v>172.91624804521786</v>
      </c>
      <c r="DI41" s="148">
        <f t="shared" si="57"/>
        <v>88.702590483223446</v>
      </c>
      <c r="DJ41" s="102">
        <f t="shared" si="326"/>
        <v>7.5222469322118726E-3</v>
      </c>
      <c r="DK41" s="93">
        <f t="shared" si="327"/>
        <v>0</v>
      </c>
      <c r="DL41" s="148">
        <f t="shared" si="60"/>
        <v>0</v>
      </c>
      <c r="DM41" s="310">
        <f t="shared" si="328"/>
        <v>0</v>
      </c>
      <c r="DN41" s="293">
        <v>1992.7926124690921</v>
      </c>
      <c r="DO41" s="96">
        <f t="shared" si="62"/>
        <v>1092.8298631059879</v>
      </c>
      <c r="DP41" s="294">
        <v>1.2258397172599245</v>
      </c>
      <c r="DQ41" s="41"/>
      <c r="DR41" s="53" t="s">
        <v>111</v>
      </c>
      <c r="DS41" s="42"/>
      <c r="DT41" s="42"/>
      <c r="DU41" s="253">
        <v>0.85</v>
      </c>
      <c r="EK41" s="332" t="e">
        <f>IF(AND(#REF!="Fresh Start",A41&gt;2019),AV41,IF(BD41-(AT41-AX41)&lt;0,0,BD41-(AT41-AX41)))</f>
        <v>#REF!</v>
      </c>
      <c r="EL41" s="332">
        <f t="shared" si="63"/>
        <v>1.949999999999999E-2</v>
      </c>
      <c r="EM41" s="332" t="e">
        <f t="shared" si="329"/>
        <v>#DIV/0!</v>
      </c>
      <c r="EN41" s="332">
        <f t="shared" si="64"/>
        <v>0</v>
      </c>
      <c r="EO41" s="332">
        <v>5.5600000000000017E-2</v>
      </c>
      <c r="EP41" s="332">
        <v>-9.3746968290881194E-2</v>
      </c>
      <c r="EQ41" s="333" t="e">
        <f t="shared" ref="EQ41" si="338">SUM(EK41:EM41)</f>
        <v>#REF!</v>
      </c>
      <c r="ET41" s="29">
        <f t="shared" si="85"/>
        <v>5804.4579195408824</v>
      </c>
      <c r="EU41" s="29">
        <f t="shared" si="86"/>
        <v>5806.9262932167294</v>
      </c>
      <c r="EV41" s="29">
        <f t="shared" si="330"/>
        <v>2.4683736758470332</v>
      </c>
      <c r="EW41" s="29">
        <f t="shared" si="331"/>
        <v>1.9746989406776265</v>
      </c>
      <c r="EX41" s="29">
        <f t="shared" si="332"/>
        <v>1.5675467405824746</v>
      </c>
      <c r="EY41" s="29">
        <f t="shared" si="333"/>
        <v>1.0917207763930492</v>
      </c>
      <c r="EZ41" s="29">
        <f t="shared" si="334"/>
        <v>0.56263190114605099</v>
      </c>
      <c r="FA41" s="29">
        <f t="shared" si="335"/>
        <v>5.1965983587992008</v>
      </c>
      <c r="FB41" s="29"/>
      <c r="FC41" s="29">
        <f t="shared" si="247"/>
        <v>1480.7353683198612</v>
      </c>
      <c r="FD41" s="29">
        <f t="shared" si="248"/>
        <v>1480.3346149769427</v>
      </c>
      <c r="FE41" s="29">
        <f t="shared" si="203"/>
        <v>-0.40075334291850595</v>
      </c>
      <c r="FF41" s="29">
        <f t="shared" si="204"/>
        <v>-0.32060267433480477</v>
      </c>
      <c r="FG41" s="29">
        <f t="shared" si="205"/>
        <v>-0.24347091070130775</v>
      </c>
      <c r="FH41" s="29">
        <f t="shared" si="206"/>
        <v>-0.16365289712712183</v>
      </c>
      <c r="FI41" s="29">
        <f t="shared" si="207"/>
        <v>-8.1154896580210328E-2</v>
      </c>
      <c r="FJ41" s="29">
        <f t="shared" si="208"/>
        <v>-0.80888137874344468</v>
      </c>
      <c r="FL41" s="41"/>
      <c r="FM41" s="27">
        <f t="shared" si="27"/>
        <v>-2517.8523649216659</v>
      </c>
      <c r="FN41" s="41"/>
      <c r="FO41" s="301">
        <f t="shared" si="119"/>
        <v>-207.93453392529111</v>
      </c>
      <c r="FP41" s="89">
        <f t="shared" si="209"/>
        <v>-1.4390380385122421E-3</v>
      </c>
      <c r="FQ41" s="27">
        <f t="shared" si="103"/>
        <v>20</v>
      </c>
      <c r="FR41" s="302">
        <f t="shared" si="88"/>
        <v>13.464518542443937</v>
      </c>
      <c r="FS41" s="89">
        <f t="shared" si="336"/>
        <v>-186.99906402035018</v>
      </c>
      <c r="FT41" s="89">
        <f t="shared" si="210"/>
        <v>-207.93597296332962</v>
      </c>
      <c r="FU41" s="29">
        <f t="shared" si="337"/>
        <v>20</v>
      </c>
      <c r="FV41" s="137">
        <f t="shared" si="91"/>
        <v>13.464518542443937</v>
      </c>
      <c r="FW41" s="48">
        <v>-1878.5350849539336</v>
      </c>
      <c r="FX41" s="29">
        <f t="shared" si="120"/>
        <v>-83.21290178651725</v>
      </c>
      <c r="FY41" s="29">
        <f t="shared" si="121"/>
        <v>-86.642971578601021</v>
      </c>
      <c r="FZ41" s="29">
        <f t="shared" si="266"/>
        <v>-83.362836042225638</v>
      </c>
      <c r="GA41" s="29">
        <f t="shared" si="267"/>
        <v>-79.954287142419673</v>
      </c>
      <c r="GB41" s="29">
        <f t="shared" si="268"/>
        <v>-76.409511413399869</v>
      </c>
      <c r="GC41" s="29">
        <f t="shared" si="269"/>
        <v>-72.838464265924102</v>
      </c>
      <c r="GD41" s="29">
        <f t="shared" si="270"/>
        <v>-2079.8648074596672</v>
      </c>
      <c r="GE41" s="29">
        <f t="shared" si="271"/>
        <v>0</v>
      </c>
      <c r="GF41" s="29">
        <f t="shared" si="272"/>
        <v>0</v>
      </c>
      <c r="GG41" s="29">
        <f t="shared" si="273"/>
        <v>0</v>
      </c>
      <c r="GH41" s="29">
        <f t="shared" si="274"/>
        <v>0</v>
      </c>
      <c r="GI41" s="29">
        <f t="shared" si="275"/>
        <v>0</v>
      </c>
      <c r="GJ41" s="29">
        <f t="shared" si="276"/>
        <v>0</v>
      </c>
      <c r="GK41" s="29">
        <f t="shared" si="277"/>
        <v>0</v>
      </c>
      <c r="GL41" s="29">
        <f t="shared" si="278"/>
        <v>0</v>
      </c>
      <c r="GM41" s="29">
        <f t="shared" si="279"/>
        <v>0</v>
      </c>
      <c r="GN41" s="29">
        <f t="shared" si="280"/>
        <v>0</v>
      </c>
      <c r="GO41" s="29">
        <f t="shared" si="251"/>
        <v>0</v>
      </c>
      <c r="GP41" s="29">
        <f t="shared" si="252"/>
        <v>0</v>
      </c>
      <c r="GQ41" s="29">
        <f t="shared" si="253"/>
        <v>0</v>
      </c>
      <c r="GR41" s="29">
        <f t="shared" si="254"/>
        <v>0</v>
      </c>
      <c r="GS41" s="29">
        <f t="shared" si="255"/>
        <v>0</v>
      </c>
      <c r="GT41" s="29">
        <f t="shared" si="256"/>
        <v>0</v>
      </c>
      <c r="GU41" s="29">
        <f t="shared" si="257"/>
        <v>0</v>
      </c>
      <c r="GV41" s="29">
        <f t="shared" si="258"/>
        <v>0</v>
      </c>
      <c r="GW41" s="29">
        <f t="shared" si="259"/>
        <v>0</v>
      </c>
      <c r="GX41" s="29">
        <f t="shared" si="260"/>
        <v>0</v>
      </c>
      <c r="GY41" s="29">
        <f t="shared" si="261"/>
        <v>0</v>
      </c>
      <c r="GZ41" s="29">
        <f t="shared" si="262"/>
        <v>0</v>
      </c>
      <c r="HA41" s="29">
        <f t="shared" si="263"/>
        <v>0</v>
      </c>
      <c r="HB41" s="29">
        <f t="shared" si="264"/>
        <v>0</v>
      </c>
      <c r="HC41" s="29">
        <f t="shared" si="265"/>
        <v>0</v>
      </c>
      <c r="HD41" s="29"/>
      <c r="HE41" s="29">
        <f t="shared" si="32"/>
        <v>20</v>
      </c>
      <c r="HF41" s="29">
        <f t="shared" si="317"/>
        <v>0</v>
      </c>
      <c r="HG41" s="29">
        <f t="shared" si="318"/>
        <v>-6.434910487551269</v>
      </c>
      <c r="HH41" s="29">
        <f t="shared" si="319"/>
        <v>-6.4021552320371731</v>
      </c>
      <c r="HI41" s="29">
        <f t="shared" si="126"/>
        <v>-6.3662786352283733</v>
      </c>
      <c r="HJ41" s="29">
        <f t="shared" si="127"/>
        <v>-6.3265173521524698</v>
      </c>
      <c r="HK41" s="29">
        <f t="shared" si="128"/>
        <v>-6.2921254955287598</v>
      </c>
      <c r="HL41" s="29">
        <f t="shared" si="129"/>
        <v>-188.16168962632719</v>
      </c>
      <c r="HM41" s="29">
        <f t="shared" si="130"/>
        <v>0</v>
      </c>
      <c r="HN41" s="29">
        <f t="shared" si="131"/>
        <v>0</v>
      </c>
      <c r="HO41" s="29">
        <f t="shared" si="132"/>
        <v>0</v>
      </c>
      <c r="HP41" s="29">
        <f t="shared" si="133"/>
        <v>0</v>
      </c>
      <c r="HQ41" s="29">
        <f t="shared" si="134"/>
        <v>0</v>
      </c>
      <c r="HR41" s="29">
        <f t="shared" si="135"/>
        <v>0</v>
      </c>
      <c r="HS41" s="29">
        <f t="shared" si="136"/>
        <v>0</v>
      </c>
      <c r="HT41" s="29">
        <f t="shared" si="137"/>
        <v>0</v>
      </c>
      <c r="HU41" s="29">
        <f t="shared" si="138"/>
        <v>0</v>
      </c>
      <c r="HV41" s="29">
        <f t="shared" si="139"/>
        <v>0</v>
      </c>
      <c r="HW41" s="29">
        <f t="shared" si="140"/>
        <v>0</v>
      </c>
      <c r="HX41" s="29">
        <f t="shared" si="141"/>
        <v>0</v>
      </c>
      <c r="HY41" s="29">
        <f t="shared" si="142"/>
        <v>0</v>
      </c>
      <c r="HZ41" s="29">
        <f t="shared" si="143"/>
        <v>0</v>
      </c>
      <c r="IA41" s="29">
        <f t="shared" si="144"/>
        <v>0</v>
      </c>
      <c r="IB41" s="29">
        <f t="shared" si="145"/>
        <v>0</v>
      </c>
      <c r="IC41" s="29">
        <f t="shared" si="146"/>
        <v>0</v>
      </c>
      <c r="ID41" s="29">
        <f t="shared" si="147"/>
        <v>0</v>
      </c>
      <c r="IE41" s="29">
        <f t="shared" si="148"/>
        <v>0</v>
      </c>
      <c r="IF41" s="29">
        <f t="shared" si="149"/>
        <v>0</v>
      </c>
      <c r="IG41" s="29">
        <f t="shared" si="150"/>
        <v>0</v>
      </c>
      <c r="IH41" s="29">
        <f t="shared" si="151"/>
        <v>0</v>
      </c>
      <c r="II41" s="29">
        <f t="shared" si="152"/>
        <v>0</v>
      </c>
      <c r="IJ41" s="29">
        <f t="shared" si="153"/>
        <v>0</v>
      </c>
      <c r="IK41" s="29">
        <f t="shared" si="154"/>
        <v>0</v>
      </c>
      <c r="IL41" s="5"/>
      <c r="IM41" s="5"/>
      <c r="IN41" s="5"/>
      <c r="IO41" s="29">
        <f t="shared" si="211"/>
        <v>6.1679845077562412E-2</v>
      </c>
      <c r="IP41" s="29">
        <f t="shared" si="249"/>
        <v>6.0282752324054778E-2</v>
      </c>
      <c r="IQ41" s="29">
        <f t="shared" si="302"/>
        <v>5.148689934554207E-2</v>
      </c>
      <c r="IR41" s="29">
        <f t="shared" si="303"/>
        <v>4.6814672231988937E-2</v>
      </c>
      <c r="IS41" s="29">
        <f t="shared" si="304"/>
        <v>3.501985422747618E-2</v>
      </c>
      <c r="IT41" s="29">
        <f t="shared" si="305"/>
        <v>2.6212613697239831E-2</v>
      </c>
      <c r="IU41" s="29">
        <f t="shared" si="306"/>
        <v>-0.15832643549186953</v>
      </c>
      <c r="IV41" s="29">
        <f t="shared" si="307"/>
        <v>0</v>
      </c>
      <c r="IW41" s="29">
        <f t="shared" si="308"/>
        <v>0</v>
      </c>
      <c r="IX41" s="29">
        <f t="shared" si="309"/>
        <v>0</v>
      </c>
      <c r="IY41" s="29">
        <f t="shared" si="310"/>
        <v>0</v>
      </c>
      <c r="IZ41" s="29">
        <f t="shared" si="311"/>
        <v>0</v>
      </c>
      <c r="JA41" s="29">
        <f t="shared" si="312"/>
        <v>0</v>
      </c>
      <c r="JB41" s="29">
        <f t="shared" si="313"/>
        <v>0</v>
      </c>
      <c r="JC41" s="29">
        <f t="shared" si="314"/>
        <v>0</v>
      </c>
      <c r="JD41" s="29">
        <f t="shared" si="315"/>
        <v>0</v>
      </c>
      <c r="JE41" s="29">
        <f t="shared" si="316"/>
        <v>0</v>
      </c>
      <c r="JF41" s="29">
        <f t="shared" si="285"/>
        <v>0</v>
      </c>
      <c r="JG41" s="29">
        <f t="shared" si="286"/>
        <v>0</v>
      </c>
      <c r="JH41" s="29">
        <f t="shared" si="287"/>
        <v>0</v>
      </c>
      <c r="JI41" s="29">
        <f t="shared" si="288"/>
        <v>0</v>
      </c>
      <c r="JJ41" s="29">
        <f t="shared" si="289"/>
        <v>0</v>
      </c>
      <c r="JK41" s="29">
        <f t="shared" si="290"/>
        <v>0</v>
      </c>
      <c r="JL41" s="29">
        <f t="shared" si="291"/>
        <v>0</v>
      </c>
      <c r="JM41" s="29">
        <f t="shared" si="292"/>
        <v>0</v>
      </c>
      <c r="JN41" s="29">
        <f t="shared" si="293"/>
        <v>0</v>
      </c>
      <c r="JO41" s="29">
        <f t="shared" si="294"/>
        <v>0</v>
      </c>
      <c r="JP41" s="29">
        <f t="shared" si="295"/>
        <v>0</v>
      </c>
      <c r="JQ41" s="29">
        <f t="shared" si="296"/>
        <v>0</v>
      </c>
      <c r="JR41" s="29">
        <f t="shared" si="297"/>
        <v>0</v>
      </c>
      <c r="JS41" s="29">
        <f t="shared" si="298"/>
        <v>0</v>
      </c>
      <c r="JT41" s="29">
        <f t="shared" si="299"/>
        <v>0</v>
      </c>
      <c r="JU41" s="5"/>
      <c r="JV41" s="394">
        <f t="shared" si="213"/>
        <v>20</v>
      </c>
      <c r="JW41" s="29">
        <f t="shared" si="214"/>
        <v>0</v>
      </c>
      <c r="JX41" s="29">
        <f t="shared" si="215"/>
        <v>4.4771561741347565E-3</v>
      </c>
      <c r="JY41" s="29">
        <f t="shared" si="216"/>
        <v>3.9541255753279313E-3</v>
      </c>
      <c r="JZ41" s="29">
        <f t="shared" si="217"/>
        <v>3.7275705693535954E-3</v>
      </c>
      <c r="KA41" s="29">
        <f t="shared" si="218"/>
        <v>2.8995567612165674E-3</v>
      </c>
      <c r="KB41" s="29">
        <f t="shared" si="219"/>
        <v>2.2643675510057326E-3</v>
      </c>
      <c r="KC41" s="29">
        <f t="shared" si="220"/>
        <v>-1.4323512522455898E-2</v>
      </c>
      <c r="KD41" s="29">
        <f t="shared" si="221"/>
        <v>0</v>
      </c>
      <c r="KE41" s="29">
        <f t="shared" si="222"/>
        <v>0</v>
      </c>
      <c r="KF41" s="29">
        <f t="shared" si="223"/>
        <v>0</v>
      </c>
      <c r="KG41" s="29">
        <f t="shared" si="224"/>
        <v>0</v>
      </c>
      <c r="KH41" s="29">
        <f t="shared" si="225"/>
        <v>0</v>
      </c>
      <c r="KI41" s="29">
        <f t="shared" si="226"/>
        <v>0</v>
      </c>
      <c r="KJ41" s="29">
        <f t="shared" si="227"/>
        <v>0</v>
      </c>
      <c r="KK41" s="29">
        <f t="shared" si="228"/>
        <v>0</v>
      </c>
      <c r="KL41" s="29">
        <f t="shared" si="229"/>
        <v>0</v>
      </c>
      <c r="KM41" s="29">
        <f t="shared" si="230"/>
        <v>0</v>
      </c>
      <c r="KN41" s="29">
        <f t="shared" si="231"/>
        <v>0</v>
      </c>
      <c r="KO41" s="29">
        <f t="shared" si="232"/>
        <v>0</v>
      </c>
      <c r="KP41" s="29">
        <f t="shared" si="233"/>
        <v>0</v>
      </c>
      <c r="KQ41" s="29">
        <f t="shared" si="234"/>
        <v>0</v>
      </c>
      <c r="KR41" s="29">
        <f t="shared" si="235"/>
        <v>0</v>
      </c>
      <c r="KS41" s="29">
        <f t="shared" si="236"/>
        <v>0</v>
      </c>
      <c r="KT41" s="29">
        <f t="shared" si="237"/>
        <v>0</v>
      </c>
      <c r="KU41" s="29">
        <f t="shared" si="238"/>
        <v>0</v>
      </c>
      <c r="KV41" s="29">
        <f t="shared" si="239"/>
        <v>0</v>
      </c>
      <c r="KW41" s="29">
        <f t="shared" si="240"/>
        <v>0</v>
      </c>
      <c r="KX41" s="29">
        <f t="shared" si="241"/>
        <v>0</v>
      </c>
      <c r="KY41" s="29">
        <f t="shared" si="242"/>
        <v>0</v>
      </c>
      <c r="KZ41" s="29">
        <f t="shared" si="243"/>
        <v>0</v>
      </c>
      <c r="LA41" s="29">
        <f t="shared" si="244"/>
        <v>0</v>
      </c>
      <c r="LB41" s="29">
        <f t="shared" si="245"/>
        <v>0</v>
      </c>
      <c r="LC41" s="5"/>
      <c r="LD41" s="5"/>
      <c r="LE41" s="5"/>
      <c r="LF41" s="5"/>
      <c r="LG41" s="5"/>
      <c r="LH41" s="5"/>
      <c r="LI41" s="5"/>
      <c r="LJ41" s="5"/>
      <c r="LK41" s="5"/>
      <c r="LL41" s="5"/>
      <c r="LM41" s="5"/>
      <c r="LN41" s="5"/>
      <c r="LO41" s="5"/>
      <c r="LP41" s="39"/>
      <c r="LQ41" s="39"/>
      <c r="LR41" s="39"/>
      <c r="LS41" s="5"/>
      <c r="LT41" s="39"/>
      <c r="LU41" s="161">
        <v>8.4933333333333305E-2</v>
      </c>
      <c r="LY41" s="153"/>
      <c r="LZ41" s="39"/>
      <c r="MA41" s="39"/>
      <c r="MB41" s="39"/>
      <c r="MC41" s="374">
        <f t="shared" si="300"/>
        <v>6.5000000000000016E-2</v>
      </c>
      <c r="MD41" s="387">
        <f t="shared" si="187"/>
        <v>-1288.8024354303573</v>
      </c>
      <c r="ME41" s="152">
        <f t="shared" si="188"/>
        <v>-5463.5369431485451</v>
      </c>
      <c r="MF41" s="39"/>
      <c r="MG41" s="374">
        <f t="shared" si="301"/>
        <v>6.5000000000000016E-2</v>
      </c>
      <c r="MH41" s="387">
        <f t="shared" si="189"/>
        <v>-50.17447772904417</v>
      </c>
      <c r="MI41" s="152">
        <f t="shared" si="155"/>
        <v>-212.7014235384178</v>
      </c>
      <c r="MJ41" s="39"/>
      <c r="MK41" s="39"/>
      <c r="ML41" s="39"/>
      <c r="MM41" s="39"/>
      <c r="MN41" s="39"/>
      <c r="MO41" s="39"/>
      <c r="MP41" s="39"/>
      <c r="MQ41" s="39"/>
      <c r="MR41" s="39"/>
      <c r="MS41" s="39"/>
      <c r="MT41" s="39"/>
      <c r="MU41" s="39"/>
      <c r="MV41" s="39"/>
      <c r="MW41" s="39"/>
    </row>
    <row r="42" spans="1:361" ht="12.75" customHeight="1" x14ac:dyDescent="0.3">
      <c r="A42" s="298">
        <f t="shared" si="99"/>
        <v>2051</v>
      </c>
      <c r="B42" s="348">
        <f t="shared" si="2"/>
        <v>2049</v>
      </c>
      <c r="C42" s="26">
        <v>54605</v>
      </c>
      <c r="D42" s="92">
        <f t="shared" si="156"/>
        <v>2442.6558861542503</v>
      </c>
      <c r="E42" s="27">
        <f t="shared" si="106"/>
        <v>2442.6558861542503</v>
      </c>
      <c r="F42" s="107">
        <f t="shared" si="21"/>
        <v>21073.893919762155</v>
      </c>
      <c r="G42" s="27">
        <f t="shared" si="157"/>
        <v>23677.998232325164</v>
      </c>
      <c r="H42" s="27">
        <f t="shared" si="158"/>
        <v>2841.3597878790206</v>
      </c>
      <c r="I42" s="289">
        <f t="shared" si="159"/>
        <v>2415.1558196971673</v>
      </c>
      <c r="J42" s="267">
        <f>J41/J40*J41</f>
        <v>920.15116309951611</v>
      </c>
      <c r="K42" s="290">
        <f t="shared" si="160"/>
        <v>1495.0046565976513</v>
      </c>
      <c r="L42" s="290">
        <f t="shared" si="107"/>
        <v>20836.638444446144</v>
      </c>
      <c r="M42" s="290">
        <f t="shared" si="161"/>
        <v>17711.142677779222</v>
      </c>
      <c r="N42" s="27">
        <f t="shared" si="162"/>
        <v>0</v>
      </c>
      <c r="O42" s="290">
        <f t="shared" si="163"/>
        <v>426.2039681818531</v>
      </c>
      <c r="P42" s="290">
        <f t="shared" si="108"/>
        <v>3125.4957666669216</v>
      </c>
      <c r="Q42" s="290">
        <f t="shared" si="164"/>
        <v>911.23217642433178</v>
      </c>
      <c r="R42" s="254">
        <f t="shared" si="3"/>
        <v>0.12</v>
      </c>
      <c r="S42" s="251">
        <v>0.88</v>
      </c>
      <c r="T42" s="284">
        <f t="shared" si="165"/>
        <v>7.0000000000000007E-2</v>
      </c>
      <c r="U42" s="284">
        <f t="shared" si="166"/>
        <v>7.0000000000000007E-2</v>
      </c>
      <c r="V42" s="27">
        <f t="shared" si="5"/>
        <v>111356.27119900691</v>
      </c>
      <c r="W42" s="27">
        <f t="shared" si="167"/>
        <v>86086.681893725196</v>
      </c>
      <c r="X42" s="27">
        <f t="shared" si="190"/>
        <v>25269.589305281712</v>
      </c>
      <c r="Y42" s="27">
        <f t="shared" si="168"/>
        <v>260.11228178138492</v>
      </c>
      <c r="Z42" s="27">
        <f t="shared" si="191"/>
        <v>1907.4900663968224</v>
      </c>
      <c r="AA42" s="111">
        <f t="shared" si="169"/>
        <v>7.0000000000000007E-2</v>
      </c>
      <c r="AB42" s="111">
        <f t="shared" si="170"/>
        <v>7.0000000000000007E-2</v>
      </c>
      <c r="AC42" s="92">
        <f t="shared" si="7"/>
        <v>111356.27119900691</v>
      </c>
      <c r="AD42" s="27">
        <f t="shared" si="171"/>
        <v>86086.681893725196</v>
      </c>
      <c r="AE42" s="27">
        <f t="shared" si="192"/>
        <v>25269.589305281712</v>
      </c>
      <c r="AF42" s="145">
        <f t="shared" si="172"/>
        <v>260.11228178138492</v>
      </c>
      <c r="AG42" s="27">
        <f t="shared" si="193"/>
        <v>1907.4900663968224</v>
      </c>
      <c r="AH42" s="27">
        <f t="shared" si="173"/>
        <v>113955.65192940993</v>
      </c>
      <c r="AI42" s="27">
        <f t="shared" si="174"/>
        <v>88686.257090978237</v>
      </c>
      <c r="AJ42" s="27">
        <f t="shared" si="194"/>
        <v>25269.394838431694</v>
      </c>
      <c r="AK42" s="27">
        <f t="shared" si="11"/>
        <v>113959.76299642105</v>
      </c>
      <c r="AL42" s="27">
        <f t="shared" si="175"/>
        <v>88691.167883867194</v>
      </c>
      <c r="AM42" s="27">
        <f t="shared" si="246"/>
        <v>25268.595112553863</v>
      </c>
      <c r="AN42" s="409">
        <f>INDEX(Inv.Returns!$B$2:$E$32,MATCH(B42,Inv.Returns!$A$2:$A$32,0),MATCH(SCRS!$DU$52,Inv.Returns!$B$1:$E$1,0))</f>
        <v>7.0000000000000007E-2</v>
      </c>
      <c r="AO42" s="27">
        <f t="shared" si="320"/>
        <v>-2599.3807304030197</v>
      </c>
      <c r="AP42" s="223">
        <f t="shared" si="12"/>
        <v>-2603.4917974141426</v>
      </c>
      <c r="AQ42" s="67">
        <f t="shared" si="321"/>
        <v>1.0233429217987877</v>
      </c>
      <c r="AR42" s="146">
        <f t="shared" si="322"/>
        <v>1.023379839944186</v>
      </c>
      <c r="AS42" s="346"/>
      <c r="AT42" s="283">
        <f t="shared" si="176"/>
        <v>0.1095</v>
      </c>
      <c r="AU42" s="390">
        <f t="shared" si="109"/>
        <v>0.1095</v>
      </c>
      <c r="AV42" s="296">
        <f t="shared" si="110"/>
        <v>-9.4701307673743622E-3</v>
      </c>
      <c r="AW42" s="296">
        <f t="shared" si="111"/>
        <v>5.8399714030549073E-7</v>
      </c>
      <c r="AX42" s="111">
        <f t="shared" si="82"/>
        <v>0.09</v>
      </c>
      <c r="AY42" s="111">
        <f t="shared" si="112"/>
        <v>0.09</v>
      </c>
      <c r="AZ42" s="111">
        <f t="shared" si="113"/>
        <v>0</v>
      </c>
      <c r="BA42" s="256">
        <f t="shared" si="24"/>
        <v>1.9500000000000003E-2</v>
      </c>
      <c r="BB42" s="111">
        <f t="shared" si="114"/>
        <v>1.9500000000000003E-2</v>
      </c>
      <c r="BC42" s="128">
        <f t="shared" si="83"/>
        <v>5.5600000000000017E-2</v>
      </c>
      <c r="BD42" s="128">
        <f t="shared" si="104"/>
        <v>5.5600000000000017E-2</v>
      </c>
      <c r="BE42" s="402">
        <f t="shared" si="15"/>
        <v>3.6100000000000014E-2</v>
      </c>
      <c r="BF42" s="402">
        <f t="shared" si="115"/>
        <v>3.6100000000000014E-2</v>
      </c>
      <c r="BG42" s="402">
        <f t="shared" si="177"/>
        <v>5.6000000000000147E-3</v>
      </c>
      <c r="BH42" s="402">
        <f t="shared" si="26"/>
        <v>5.5600000000000017E-2</v>
      </c>
      <c r="BI42" s="152">
        <f t="shared" si="42"/>
        <v>0</v>
      </c>
      <c r="BJ42" s="100">
        <f t="shared" si="43"/>
        <v>4.1869522882181265E-2</v>
      </c>
      <c r="BK42" s="27">
        <f t="shared" si="67"/>
        <v>0</v>
      </c>
      <c r="BL42" s="27">
        <f t="shared" si="17"/>
        <v>20</v>
      </c>
      <c r="BM42" s="107">
        <f t="shared" si="31"/>
        <v>0.01</v>
      </c>
      <c r="BN42" s="27"/>
      <c r="BO42" s="27"/>
      <c r="BP42" s="92">
        <f t="shared" si="178"/>
        <v>-3855.104205044945</v>
      </c>
      <c r="BQ42" s="27">
        <f t="shared" si="195"/>
        <v>-1195.5021307500979</v>
      </c>
      <c r="BR42" s="27">
        <f t="shared" si="179"/>
        <v>-150.08339118678239</v>
      </c>
      <c r="BS42" s="27">
        <f t="shared" si="116"/>
        <v>-46.542195595957168</v>
      </c>
      <c r="BT42" s="27">
        <f t="shared" si="180"/>
        <v>-4.3472804754549008</v>
      </c>
      <c r="BU42" s="27">
        <f t="shared" si="196"/>
        <v>-31.880056820002601</v>
      </c>
      <c r="BV42" s="297">
        <f t="shared" si="181"/>
        <v>217.36402377274504</v>
      </c>
      <c r="BW42" s="297">
        <f t="shared" si="197"/>
        <v>1594.00284100013</v>
      </c>
      <c r="BX42" s="297">
        <f t="shared" si="198"/>
        <v>0</v>
      </c>
      <c r="BY42" s="297">
        <f t="shared" si="182"/>
        <v>82.010895878189856</v>
      </c>
      <c r="BZ42" s="297">
        <f t="shared" si="84"/>
        <v>47.095538484094789</v>
      </c>
      <c r="CA42" s="297">
        <f t="shared" si="199"/>
        <v>345.36728221669478</v>
      </c>
      <c r="CB42" s="297">
        <f t="shared" si="183"/>
        <v>-219.98367682882522</v>
      </c>
      <c r="CC42" s="297">
        <f t="shared" si="200"/>
        <v>0</v>
      </c>
      <c r="CD42" s="297">
        <f t="shared" si="201"/>
        <v>2.999264108582686E-3</v>
      </c>
      <c r="CE42" s="297"/>
      <c r="CF42" s="297">
        <f t="shared" si="184"/>
        <v>0</v>
      </c>
      <c r="CG42" s="297">
        <f t="shared" si="202"/>
        <v>0</v>
      </c>
      <c r="CH42" s="297">
        <f t="shared" si="185"/>
        <v>0</v>
      </c>
      <c r="CI42" s="427">
        <f>IF(AND($DU$74="Yes",MAX($AQ$13:AQ41)&lt;100%),MAX(BD40*(G42+Q42)-SUM(BZ42:CH42,CJ42,CY42),0),0)</f>
        <v>0</v>
      </c>
      <c r="CJ42" s="27"/>
      <c r="CK42" s="27">
        <f t="shared" si="44"/>
        <v>0</v>
      </c>
      <c r="CL42" s="27">
        <f t="shared" si="45"/>
        <v>0</v>
      </c>
      <c r="CM42" s="27">
        <f t="shared" si="46"/>
        <v>0</v>
      </c>
      <c r="CN42" s="105">
        <f t="shared" si="47"/>
        <v>2065.8599037871377</v>
      </c>
      <c r="CO42" s="27">
        <f t="shared" si="48"/>
        <v>0</v>
      </c>
      <c r="CP42" s="92">
        <f t="shared" ref="CP42" si="339">NC42-NB42</f>
        <v>0</v>
      </c>
      <c r="CQ42" s="27">
        <f t="shared" si="117"/>
        <v>-219.98067756471664</v>
      </c>
      <c r="CR42" s="27">
        <f t="shared" si="118"/>
        <v>0</v>
      </c>
      <c r="CS42" s="27">
        <f t="shared" si="186"/>
        <v>-219.98067756471664</v>
      </c>
      <c r="CT42" s="27">
        <f>SUM($CS$14:CS42)</f>
        <v>44213.443219602341</v>
      </c>
      <c r="CU42" s="223">
        <v>3652.1844911923281</v>
      </c>
      <c r="CV42" s="417">
        <v>738.73402543122961</v>
      </c>
      <c r="CW42" s="417">
        <v>4390.9185166235575</v>
      </c>
      <c r="CX42" s="417">
        <v>87306.377130771187</v>
      </c>
      <c r="CY42" s="103">
        <f t="shared" si="49"/>
        <v>177.58498674243876</v>
      </c>
      <c r="CZ42" s="111">
        <f t="shared" si="101"/>
        <v>1.423660375128896E-2</v>
      </c>
      <c r="DA42" s="92">
        <f t="shared" si="50"/>
        <v>350.06712987851165</v>
      </c>
      <c r="DB42" s="410">
        <f t="shared" si="51"/>
        <v>187.74936069843596</v>
      </c>
      <c r="DC42" s="307">
        <f t="shared" si="52"/>
        <v>-110.36254790139093</v>
      </c>
      <c r="DD42" s="307">
        <f t="shared" si="53"/>
        <v>196.89546067682909</v>
      </c>
      <c r="DE42" s="307">
        <f t="shared" si="54"/>
        <v>0</v>
      </c>
      <c r="DF42" s="307">
        <f t="shared" si="55"/>
        <v>27394.892109933364</v>
      </c>
      <c r="DG42" s="307" t="b">
        <f t="shared" si="68"/>
        <v>0</v>
      </c>
      <c r="DH42" s="105">
        <f t="shared" si="325"/>
        <v>177.58498674243876</v>
      </c>
      <c r="DI42" s="148">
        <f t="shared" si="57"/>
        <v>89.092968632049391</v>
      </c>
      <c r="DJ42" s="102">
        <f t="shared" si="326"/>
        <v>7.3550858892738324E-3</v>
      </c>
      <c r="DK42" s="93">
        <f t="shared" si="327"/>
        <v>0</v>
      </c>
      <c r="DL42" s="148">
        <f t="shared" si="60"/>
        <v>0</v>
      </c>
      <c r="DM42" s="310">
        <f t="shared" si="328"/>
        <v>0</v>
      </c>
      <c r="DN42" s="293">
        <v>1781.071577239572</v>
      </c>
      <c r="DO42" s="96">
        <f t="shared" si="62"/>
        <v>955.2312155126765</v>
      </c>
      <c r="DP42" s="294">
        <v>1.2340997452547366</v>
      </c>
      <c r="DQ42" s="8"/>
      <c r="DR42" s="53" t="s">
        <v>183</v>
      </c>
      <c r="DS42" s="42"/>
      <c r="DT42" s="42"/>
      <c r="DU42" s="259">
        <f>DU46</f>
        <v>0.05</v>
      </c>
      <c r="DV42" s="8"/>
      <c r="EJ42" s="340"/>
      <c r="EK42" s="332" t="e">
        <f>IF(AND(#REF!="Fresh Start",A42&gt;2019),AV42,IF(BD42-(AT42-AX42)&lt;0,0,BD42-(AT42-AX42)))</f>
        <v>#REF!</v>
      </c>
      <c r="EL42" s="332">
        <f t="shared" si="63"/>
        <v>1.9500000000000003E-2</v>
      </c>
      <c r="EM42" s="332" t="e">
        <f t="shared" ref="EM42" si="340">DI42/$DG42</f>
        <v>#DIV/0!</v>
      </c>
      <c r="EN42" s="332">
        <f t="shared" si="64"/>
        <v>0</v>
      </c>
      <c r="EO42" s="332">
        <v>4.5600000000000016E-2</v>
      </c>
      <c r="EP42" s="332">
        <v>-0.21214118604754001</v>
      </c>
      <c r="EQ42" s="333" t="e">
        <f t="shared" ref="EQ42" si="341">SUM(EK42:EM42)</f>
        <v>#REF!</v>
      </c>
      <c r="ET42" s="29">
        <f t="shared" si="85"/>
        <v>5929.091152766764</v>
      </c>
      <c r="EU42" s="29">
        <f t="shared" si="86"/>
        <v>5931.3897491853513</v>
      </c>
      <c r="EV42" s="29">
        <f t="shared" si="330"/>
        <v>2.2985964185872945</v>
      </c>
      <c r="EW42" s="29">
        <f t="shared" si="331"/>
        <v>1.8388771348698356</v>
      </c>
      <c r="EX42" s="29">
        <f t="shared" si="332"/>
        <v>1.4810242055082199</v>
      </c>
      <c r="EY42" s="29">
        <f t="shared" si="333"/>
        <v>1.0450311603883162</v>
      </c>
      <c r="EZ42" s="29">
        <f t="shared" si="334"/>
        <v>0.5458603881965246</v>
      </c>
      <c r="FA42" s="29">
        <f t="shared" si="335"/>
        <v>4.9107928889628969</v>
      </c>
      <c r="FB42" s="29"/>
      <c r="FC42" s="29">
        <f t="shared" si="247"/>
        <v>1631.344416993006</v>
      </c>
      <c r="FD42" s="29">
        <f t="shared" si="248"/>
        <v>1630.9505001391972</v>
      </c>
      <c r="FE42" s="29">
        <f t="shared" si="203"/>
        <v>-0.39391685380883246</v>
      </c>
      <c r="FF42" s="29">
        <f t="shared" si="204"/>
        <v>-0.31513348304706595</v>
      </c>
      <c r="FG42" s="29">
        <f t="shared" si="205"/>
        <v>-0.24045200575110359</v>
      </c>
      <c r="FH42" s="29">
        <f t="shared" si="206"/>
        <v>-0.1623139404675385</v>
      </c>
      <c r="FI42" s="29">
        <f t="shared" si="207"/>
        <v>-8.1826448563560916E-2</v>
      </c>
      <c r="FJ42" s="29">
        <f t="shared" si="208"/>
        <v>-0.79972587782926885</v>
      </c>
      <c r="FL42" s="8"/>
      <c r="FM42" s="27">
        <f t="shared" si="27"/>
        <v>-2562.1626094873354</v>
      </c>
      <c r="FN42" s="41"/>
      <c r="FO42" s="301">
        <f t="shared" si="119"/>
        <v>-219.98367682882522</v>
      </c>
      <c r="FP42" s="89">
        <f t="shared" si="209"/>
        <v>2.999264108582686E-3</v>
      </c>
      <c r="FQ42" s="27">
        <f t="shared" si="103"/>
        <v>20</v>
      </c>
      <c r="FR42" s="302">
        <f t="shared" si="88"/>
        <v>13.464518542443937</v>
      </c>
      <c r="FS42" s="89">
        <f t="shared" si="336"/>
        <v>-190.28995365936632</v>
      </c>
      <c r="FT42" s="89">
        <f t="shared" si="210"/>
        <v>-219.98067756471664</v>
      </c>
      <c r="FU42" s="29">
        <f t="shared" si="337"/>
        <v>20</v>
      </c>
      <c r="FV42" s="137">
        <f t="shared" si="91"/>
        <v>13.464518542443937</v>
      </c>
      <c r="FW42" s="48">
        <v>-2109.5956976490129</v>
      </c>
      <c r="FX42" s="29">
        <f t="shared" si="120"/>
        <v>-85.482297687867685</v>
      </c>
      <c r="FY42" s="29">
        <f t="shared" si="121"/>
        <v>-89.03780491157346</v>
      </c>
      <c r="FZ42" s="29">
        <f t="shared" si="266"/>
        <v>-86.05165642300058</v>
      </c>
      <c r="GA42" s="29">
        <f t="shared" si="267"/>
        <v>-82.575793698842347</v>
      </c>
      <c r="GB42" s="29">
        <f t="shared" si="268"/>
        <v>-78.965757416354464</v>
      </c>
      <c r="GC42" s="29">
        <f t="shared" si="269"/>
        <v>-75.213976777328085</v>
      </c>
      <c r="GD42" s="29">
        <f t="shared" si="270"/>
        <v>-71.428531542643867</v>
      </c>
      <c r="GE42" s="29">
        <f t="shared" si="271"/>
        <v>-2030.819378795431</v>
      </c>
      <c r="GF42" s="29">
        <f t="shared" si="272"/>
        <v>0</v>
      </c>
      <c r="GG42" s="29">
        <f t="shared" si="273"/>
        <v>0</v>
      </c>
      <c r="GH42" s="29">
        <f t="shared" si="274"/>
        <v>0</v>
      </c>
      <c r="GI42" s="29">
        <f t="shared" si="275"/>
        <v>0</v>
      </c>
      <c r="GJ42" s="29">
        <f t="shared" si="276"/>
        <v>0</v>
      </c>
      <c r="GK42" s="29">
        <f t="shared" si="277"/>
        <v>0</v>
      </c>
      <c r="GL42" s="29">
        <f t="shared" si="278"/>
        <v>0</v>
      </c>
      <c r="GM42" s="29">
        <f t="shared" si="279"/>
        <v>0</v>
      </c>
      <c r="GN42" s="29">
        <f t="shared" si="280"/>
        <v>0</v>
      </c>
      <c r="GO42" s="29">
        <f t="shared" si="251"/>
        <v>0</v>
      </c>
      <c r="GP42" s="29">
        <f t="shared" si="252"/>
        <v>0</v>
      </c>
      <c r="GQ42" s="29">
        <f t="shared" si="253"/>
        <v>0</v>
      </c>
      <c r="GR42" s="29">
        <f t="shared" si="254"/>
        <v>0</v>
      </c>
      <c r="GS42" s="29">
        <f t="shared" si="255"/>
        <v>0</v>
      </c>
      <c r="GT42" s="29">
        <f t="shared" si="256"/>
        <v>0</v>
      </c>
      <c r="GU42" s="29">
        <f t="shared" si="257"/>
        <v>0</v>
      </c>
      <c r="GV42" s="29">
        <f t="shared" si="258"/>
        <v>0</v>
      </c>
      <c r="GW42" s="29">
        <f t="shared" si="259"/>
        <v>0</v>
      </c>
      <c r="GX42" s="29">
        <f t="shared" si="260"/>
        <v>0</v>
      </c>
      <c r="GY42" s="29">
        <f t="shared" si="261"/>
        <v>0</v>
      </c>
      <c r="GZ42" s="29">
        <f t="shared" si="262"/>
        <v>0</v>
      </c>
      <c r="HA42" s="29">
        <f t="shared" si="263"/>
        <v>0</v>
      </c>
      <c r="HB42" s="29">
        <f t="shared" si="264"/>
        <v>0</v>
      </c>
      <c r="HC42" s="29">
        <f t="shared" si="265"/>
        <v>0</v>
      </c>
      <c r="HD42" s="29"/>
      <c r="HE42" s="29">
        <f t="shared" si="32"/>
        <v>20</v>
      </c>
      <c r="HF42" s="29">
        <f t="shared" si="317"/>
        <v>0</v>
      </c>
      <c r="HG42" s="29">
        <f t="shared" si="318"/>
        <v>-6.6127730175350381</v>
      </c>
      <c r="HH42" s="29">
        <f t="shared" si="319"/>
        <v>-6.6086530707151541</v>
      </c>
      <c r="HI42" s="29">
        <f t="shared" si="126"/>
        <v>-6.575013423302174</v>
      </c>
      <c r="HJ42" s="29">
        <f t="shared" si="127"/>
        <v>-6.5381681583795404</v>
      </c>
      <c r="HK42" s="29">
        <f t="shared" si="128"/>
        <v>-6.4973333206605863</v>
      </c>
      <c r="HL42" s="29">
        <f t="shared" si="129"/>
        <v>-6.4620128839080362</v>
      </c>
      <c r="HM42" s="29">
        <f t="shared" si="130"/>
        <v>-193.24205524623804</v>
      </c>
      <c r="HN42" s="29">
        <f t="shared" si="131"/>
        <v>0</v>
      </c>
      <c r="HO42" s="29">
        <f t="shared" si="132"/>
        <v>0</v>
      </c>
      <c r="HP42" s="29">
        <f t="shared" si="133"/>
        <v>0</v>
      </c>
      <c r="HQ42" s="29">
        <f t="shared" si="134"/>
        <v>0</v>
      </c>
      <c r="HR42" s="29">
        <f t="shared" si="135"/>
        <v>0</v>
      </c>
      <c r="HS42" s="29">
        <f t="shared" si="136"/>
        <v>0</v>
      </c>
      <c r="HT42" s="29">
        <f t="shared" si="137"/>
        <v>0</v>
      </c>
      <c r="HU42" s="29">
        <f t="shared" si="138"/>
        <v>0</v>
      </c>
      <c r="HV42" s="29">
        <f t="shared" si="139"/>
        <v>0</v>
      </c>
      <c r="HW42" s="29">
        <f t="shared" si="140"/>
        <v>0</v>
      </c>
      <c r="HX42" s="29">
        <f t="shared" si="141"/>
        <v>0</v>
      </c>
      <c r="HY42" s="29">
        <f t="shared" si="142"/>
        <v>0</v>
      </c>
      <c r="HZ42" s="29">
        <f t="shared" si="143"/>
        <v>0</v>
      </c>
      <c r="IA42" s="29">
        <f t="shared" si="144"/>
        <v>0</v>
      </c>
      <c r="IB42" s="29">
        <f t="shared" si="145"/>
        <v>0</v>
      </c>
      <c r="IC42" s="29">
        <f t="shared" si="146"/>
        <v>0</v>
      </c>
      <c r="ID42" s="29">
        <f t="shared" si="147"/>
        <v>0</v>
      </c>
      <c r="IE42" s="29">
        <f t="shared" si="148"/>
        <v>0</v>
      </c>
      <c r="IF42" s="29">
        <f t="shared" si="149"/>
        <v>0</v>
      </c>
      <c r="IG42" s="29">
        <f t="shared" si="150"/>
        <v>0</v>
      </c>
      <c r="IH42" s="29">
        <f t="shared" si="151"/>
        <v>0</v>
      </c>
      <c r="II42" s="29">
        <f t="shared" si="152"/>
        <v>0</v>
      </c>
      <c r="IJ42" s="29">
        <f t="shared" si="153"/>
        <v>0</v>
      </c>
      <c r="IK42" s="29">
        <f t="shared" si="154"/>
        <v>0</v>
      </c>
      <c r="IL42" s="8"/>
      <c r="IM42" s="8"/>
      <c r="IN42" s="8"/>
      <c r="IO42" s="29">
        <f t="shared" si="211"/>
        <v>6.5777197425217315E-2</v>
      </c>
      <c r="IP42" s="29">
        <f t="shared" si="249"/>
        <v>6.5997434232991786E-2</v>
      </c>
      <c r="IQ42" s="29">
        <f t="shared" si="302"/>
        <v>5.9871338629198016E-2</v>
      </c>
      <c r="IR42" s="29">
        <f t="shared" si="303"/>
        <v>5.1000803000476151E-2</v>
      </c>
      <c r="IS42" s="29">
        <f t="shared" si="304"/>
        <v>4.6235870309399248E-2</v>
      </c>
      <c r="IT42" s="29">
        <f t="shared" si="305"/>
        <v>3.4471919187653494E-2</v>
      </c>
      <c r="IU42" s="29">
        <f t="shared" si="306"/>
        <v>2.5705216648346636E-2</v>
      </c>
      <c r="IV42" s="29">
        <f t="shared" si="307"/>
        <v>-0.15459292941506658</v>
      </c>
      <c r="IW42" s="29">
        <f t="shared" si="308"/>
        <v>0</v>
      </c>
      <c r="IX42" s="29">
        <f t="shared" si="309"/>
        <v>0</v>
      </c>
      <c r="IY42" s="29">
        <f t="shared" si="310"/>
        <v>0</v>
      </c>
      <c r="IZ42" s="29">
        <f t="shared" si="311"/>
        <v>0</v>
      </c>
      <c r="JA42" s="29">
        <f t="shared" si="312"/>
        <v>0</v>
      </c>
      <c r="JB42" s="29">
        <f t="shared" si="313"/>
        <v>0</v>
      </c>
      <c r="JC42" s="29">
        <f t="shared" si="314"/>
        <v>0</v>
      </c>
      <c r="JD42" s="29">
        <f t="shared" si="315"/>
        <v>0</v>
      </c>
      <c r="JE42" s="29">
        <f t="shared" si="316"/>
        <v>0</v>
      </c>
      <c r="JF42" s="29">
        <f t="shared" si="285"/>
        <v>0</v>
      </c>
      <c r="JG42" s="29">
        <f t="shared" si="286"/>
        <v>0</v>
      </c>
      <c r="JH42" s="29">
        <f t="shared" si="287"/>
        <v>0</v>
      </c>
      <c r="JI42" s="29">
        <f t="shared" si="288"/>
        <v>0</v>
      </c>
      <c r="JJ42" s="29">
        <f t="shared" si="289"/>
        <v>0</v>
      </c>
      <c r="JK42" s="29">
        <f t="shared" si="290"/>
        <v>0</v>
      </c>
      <c r="JL42" s="29">
        <f t="shared" si="291"/>
        <v>0</v>
      </c>
      <c r="JM42" s="29">
        <f t="shared" si="292"/>
        <v>0</v>
      </c>
      <c r="JN42" s="29">
        <f t="shared" si="293"/>
        <v>0</v>
      </c>
      <c r="JO42" s="29">
        <f t="shared" si="294"/>
        <v>0</v>
      </c>
      <c r="JP42" s="29">
        <f t="shared" si="295"/>
        <v>0</v>
      </c>
      <c r="JQ42" s="29">
        <f t="shared" si="296"/>
        <v>0</v>
      </c>
      <c r="JR42" s="29">
        <f t="shared" si="297"/>
        <v>0</v>
      </c>
      <c r="JS42" s="29">
        <f t="shared" si="298"/>
        <v>0</v>
      </c>
      <c r="JT42" s="29">
        <f t="shared" si="299"/>
        <v>0</v>
      </c>
      <c r="JU42" s="8"/>
      <c r="JV42" s="394">
        <f t="shared" si="213"/>
        <v>20</v>
      </c>
      <c r="JW42" s="29">
        <f t="shared" si="214"/>
        <v>0</v>
      </c>
      <c r="JX42" s="29">
        <f t="shared" si="215"/>
        <v>4.9015814434767479E-3</v>
      </c>
      <c r="JY42" s="29">
        <f t="shared" si="216"/>
        <v>4.5980393908363944E-3</v>
      </c>
      <c r="JZ42" s="29">
        <f t="shared" si="217"/>
        <v>4.0608869658617834E-3</v>
      </c>
      <c r="KA42" s="29">
        <f t="shared" si="218"/>
        <v>3.828214974726143E-3</v>
      </c>
      <c r="KB42" s="29">
        <f t="shared" si="219"/>
        <v>2.9778447937694142E-3</v>
      </c>
      <c r="KC42" s="29">
        <f t="shared" si="220"/>
        <v>2.3255054748828872E-3</v>
      </c>
      <c r="KD42" s="29">
        <f t="shared" si="221"/>
        <v>-1.471024736056221E-2</v>
      </c>
      <c r="KE42" s="29">
        <f t="shared" si="222"/>
        <v>0</v>
      </c>
      <c r="KF42" s="29">
        <f t="shared" si="223"/>
        <v>0</v>
      </c>
      <c r="KG42" s="29">
        <f t="shared" si="224"/>
        <v>0</v>
      </c>
      <c r="KH42" s="29">
        <f t="shared" si="225"/>
        <v>0</v>
      </c>
      <c r="KI42" s="29">
        <f t="shared" si="226"/>
        <v>0</v>
      </c>
      <c r="KJ42" s="29">
        <f t="shared" si="227"/>
        <v>0</v>
      </c>
      <c r="KK42" s="29">
        <f t="shared" si="228"/>
        <v>0</v>
      </c>
      <c r="KL42" s="29">
        <f t="shared" si="229"/>
        <v>0</v>
      </c>
      <c r="KM42" s="29">
        <f t="shared" si="230"/>
        <v>0</v>
      </c>
      <c r="KN42" s="29">
        <f t="shared" si="231"/>
        <v>0</v>
      </c>
      <c r="KO42" s="29">
        <f t="shared" si="232"/>
        <v>0</v>
      </c>
      <c r="KP42" s="29">
        <f t="shared" si="233"/>
        <v>0</v>
      </c>
      <c r="KQ42" s="29">
        <f t="shared" si="234"/>
        <v>0</v>
      </c>
      <c r="KR42" s="29">
        <f t="shared" si="235"/>
        <v>0</v>
      </c>
      <c r="KS42" s="29">
        <f t="shared" si="236"/>
        <v>0</v>
      </c>
      <c r="KT42" s="29">
        <f t="shared" si="237"/>
        <v>0</v>
      </c>
      <c r="KU42" s="29">
        <f t="shared" si="238"/>
        <v>0</v>
      </c>
      <c r="KV42" s="29">
        <f t="shared" si="239"/>
        <v>0</v>
      </c>
      <c r="KW42" s="29">
        <f t="shared" si="240"/>
        <v>0</v>
      </c>
      <c r="KX42" s="29">
        <f t="shared" si="241"/>
        <v>0</v>
      </c>
      <c r="KY42" s="29">
        <f t="shared" si="242"/>
        <v>0</v>
      </c>
      <c r="KZ42" s="29">
        <f t="shared" si="243"/>
        <v>0</v>
      </c>
      <c r="LA42" s="29">
        <f t="shared" si="244"/>
        <v>0</v>
      </c>
      <c r="LB42" s="29">
        <f t="shared" si="245"/>
        <v>0</v>
      </c>
      <c r="LC42" s="8"/>
      <c r="LD42" s="8"/>
      <c r="LE42" s="8"/>
      <c r="LF42" s="8"/>
      <c r="LG42" s="8"/>
      <c r="LH42" s="8"/>
      <c r="LI42" s="8"/>
      <c r="LJ42" s="8"/>
      <c r="LK42" s="8"/>
      <c r="LL42" s="8"/>
      <c r="LM42" s="8"/>
      <c r="LN42" s="8"/>
      <c r="LO42" s="8"/>
      <c r="LP42" s="39"/>
      <c r="LQ42" s="39"/>
      <c r="LR42" s="39"/>
      <c r="LS42" s="8"/>
      <c r="LT42" s="39"/>
      <c r="LU42" s="161">
        <v>8.8876666666666645E-2</v>
      </c>
      <c r="LY42" s="153"/>
      <c r="LZ42" s="39"/>
      <c r="MA42" s="39"/>
      <c r="MB42" s="39"/>
      <c r="MC42" s="374">
        <f t="shared" si="300"/>
        <v>6.7500000000000018E-2</v>
      </c>
      <c r="MD42" s="387">
        <f t="shared" si="187"/>
        <v>-1406.4730950001151</v>
      </c>
      <c r="ME42" s="152">
        <f t="shared" si="188"/>
        <v>-5261.5773000450599</v>
      </c>
      <c r="MF42" s="39"/>
      <c r="MG42" s="374">
        <f t="shared" si="301"/>
        <v>6.7500000000000018E-2</v>
      </c>
      <c r="MH42" s="387">
        <f t="shared" si="189"/>
        <v>-54.755524230537851</v>
      </c>
      <c r="MI42" s="152">
        <f t="shared" si="155"/>
        <v>-204.83891541732024</v>
      </c>
      <c r="MJ42" s="39"/>
      <c r="MK42" s="39"/>
      <c r="ML42" s="39"/>
      <c r="MM42" s="39"/>
      <c r="MN42" s="39"/>
      <c r="MO42" s="39"/>
      <c r="MP42" s="39"/>
      <c r="MQ42" s="39"/>
      <c r="MR42" s="39"/>
      <c r="MS42" s="39"/>
      <c r="MT42" s="39"/>
      <c r="MU42" s="39"/>
      <c r="MV42" s="39"/>
      <c r="MW42" s="39"/>
    </row>
    <row r="43" spans="1:361" ht="12.75" customHeight="1" x14ac:dyDescent="0.3">
      <c r="A43" s="298">
        <f t="shared" si="99"/>
        <v>2052</v>
      </c>
      <c r="B43" s="348">
        <f t="shared" si="2"/>
        <v>2050</v>
      </c>
      <c r="C43" s="26">
        <v>54970</v>
      </c>
      <c r="D43" s="92">
        <f t="shared" si="156"/>
        <v>2090.5063292336772</v>
      </c>
      <c r="E43" s="27">
        <f t="shared" si="106"/>
        <v>2090.5063292336772</v>
      </c>
      <c r="F43" s="107">
        <f t="shared" si="21"/>
        <v>22134.772897768366</v>
      </c>
      <c r="G43" s="27">
        <f t="shared" si="157"/>
        <v>24317.304184597942</v>
      </c>
      <c r="H43" s="27">
        <f t="shared" ref="H43:H44" si="342">G43-L43</f>
        <v>2431.7304184597924</v>
      </c>
      <c r="I43" s="289">
        <f t="shared" ref="I43:I44" si="343">H43-O43</f>
        <v>2066.9708556908236</v>
      </c>
      <c r="J43" s="267">
        <f t="shared" ref="J43:J45" si="344">J42/J41*J42</f>
        <v>857.00578944452343</v>
      </c>
      <c r="K43" s="290">
        <f t="shared" ref="K43:K44" si="345">I43-J43</f>
        <v>1209.9650662463</v>
      </c>
      <c r="L43" s="290">
        <f t="shared" ref="L43:L44" si="346">G43*S43</f>
        <v>21885.57376613815</v>
      </c>
      <c r="M43" s="290">
        <f t="shared" ref="M43:M44" si="347">L43-P43</f>
        <v>18602.737701217426</v>
      </c>
      <c r="N43" s="27">
        <f t="shared" si="162"/>
        <v>0</v>
      </c>
      <c r="O43" s="290">
        <f t="shared" si="163"/>
        <v>364.75956276896886</v>
      </c>
      <c r="P43" s="290">
        <f t="shared" si="108"/>
        <v>3282.8360649207225</v>
      </c>
      <c r="Q43" s="290">
        <f t="shared" si="164"/>
        <v>935.83544518778865</v>
      </c>
      <c r="R43" s="254">
        <f t="shared" si="3"/>
        <v>9.9999999999999978E-2</v>
      </c>
      <c r="S43" s="251">
        <v>0.9</v>
      </c>
      <c r="T43" s="284">
        <f t="shared" si="165"/>
        <v>7.0000000000000007E-2</v>
      </c>
      <c r="U43" s="284">
        <f t="shared" si="166"/>
        <v>7.0000000000000007E-2</v>
      </c>
      <c r="V43" s="27">
        <f t="shared" ref="V43:V44" si="348">W43+X43</f>
        <v>116298.24080983357</v>
      </c>
      <c r="W43" s="27">
        <f t="shared" ref="W43:W44" si="349">W42*(1+T43)+(Y43+BP43+BR43)*(1+T43)^0.5</f>
        <v>88586.765957406809</v>
      </c>
      <c r="X43" s="27">
        <f t="shared" si="190"/>
        <v>27711.474852426771</v>
      </c>
      <c r="Y43" s="27">
        <f t="shared" si="168"/>
        <v>222.61276115790167</v>
      </c>
      <c r="Z43" s="27">
        <f t="shared" si="191"/>
        <v>2003.5148504211168</v>
      </c>
      <c r="AA43" s="111">
        <f t="shared" si="169"/>
        <v>7.0000000000000007E-2</v>
      </c>
      <c r="AB43" s="111">
        <f t="shared" si="170"/>
        <v>7.0000000000000007E-2</v>
      </c>
      <c r="AC43" s="92">
        <f t="shared" ref="AC43:AC44" si="350">AD43+AE43</f>
        <v>116298.24080983357</v>
      </c>
      <c r="AD43" s="27">
        <f t="shared" si="171"/>
        <v>88586.765957406809</v>
      </c>
      <c r="AE43" s="27">
        <f t="shared" si="192"/>
        <v>27711.474852426771</v>
      </c>
      <c r="AF43" s="145">
        <f t="shared" si="172"/>
        <v>222.61276115790167</v>
      </c>
      <c r="AG43" s="27">
        <f t="shared" si="193"/>
        <v>2003.5148504211168</v>
      </c>
      <c r="AH43" s="27">
        <f t="shared" ref="AH43:AH44" si="351">SUM(AI43:AJ43)</f>
        <v>118926.78381355848</v>
      </c>
      <c r="AI43" s="27">
        <f t="shared" si="174"/>
        <v>91215.578564039664</v>
      </c>
      <c r="AJ43" s="27">
        <f t="shared" si="194"/>
        <v>27711.205249518815</v>
      </c>
      <c r="AK43" s="27">
        <f t="shared" ref="AK43:AK44" si="352">AL43+AM43</f>
        <v>118930.57138539685</v>
      </c>
      <c r="AL43" s="27">
        <f t="shared" si="175"/>
        <v>91220.152062724184</v>
      </c>
      <c r="AM43" s="27">
        <f t="shared" si="246"/>
        <v>27710.41932267266</v>
      </c>
      <c r="AN43" s="409">
        <f>INDEX(Inv.Returns!$B$2:$E$32,MATCH(B43,Inv.Returns!$A$2:$A$32,0),MATCH(SCRS!$DU$52,Inv.Returns!$B$1:$E$1,0))</f>
        <v>7.0000000000000007E-2</v>
      </c>
      <c r="AO43" s="27">
        <f t="shared" ref="AO43:AO44" si="353">AC43-AH43</f>
        <v>-2628.5430037249025</v>
      </c>
      <c r="AP43" s="223">
        <f t="shared" ref="AP43:AP44" si="354">AC43-AK43</f>
        <v>-2632.3305755632755</v>
      </c>
      <c r="AQ43" s="67">
        <f t="shared" ref="AQ43:AQ44" si="355">AH43/AC43</f>
        <v>1.0226017434607888</v>
      </c>
      <c r="AR43" s="146">
        <f t="shared" ref="AR43:AR44" si="356">AK43/AC43</f>
        <v>1.0226343112091227</v>
      </c>
      <c r="AS43" s="346"/>
      <c r="AT43" s="283">
        <f t="shared" ref="AT43" si="357">AF45/(J45+K45)+$DU$38</f>
        <v>0.1095</v>
      </c>
      <c r="AU43" s="390">
        <f t="shared" ref="AU43" si="358">IFERROR(AG45/M45+$DU$38,0)</f>
        <v>0.1095</v>
      </c>
      <c r="AV43" s="296">
        <f t="shared" ref="AV43" si="359">FO45/(Q45+G45)</f>
        <v>-9.7321012060806039E-3</v>
      </c>
      <c r="AW43" s="296">
        <f t="shared" ref="AW43" si="360">FP45/L45</f>
        <v>8.0068951528036398E-7</v>
      </c>
      <c r="AX43" s="111">
        <f t="shared" si="82"/>
        <v>0.09</v>
      </c>
      <c r="AY43" s="111">
        <f t="shared" si="112"/>
        <v>0.09</v>
      </c>
      <c r="AZ43" s="111">
        <f t="shared" si="113"/>
        <v>0</v>
      </c>
      <c r="BA43" s="256">
        <f t="shared" ref="BA43" si="361">AT43-AX43</f>
        <v>1.9500000000000003E-2</v>
      </c>
      <c r="BB43" s="111">
        <f t="shared" ref="BB43" si="362">AU43-AY43</f>
        <v>1.9500000000000003E-2</v>
      </c>
      <c r="BC43" s="128">
        <f t="shared" ref="BC43" si="363">IF(A43&lt;=2024,BC42+$DU$40,IF(AQ42&lt;$DU$41,BC42,BC42-$DU$40))</f>
        <v>4.5600000000000016E-2</v>
      </c>
      <c r="BD43" s="128">
        <f t="shared" ref="BD43" si="364">IF(BK43&lt;=BL43,BC43,BD42+$DU$40)</f>
        <v>4.5600000000000016E-2</v>
      </c>
      <c r="BE43" s="402">
        <f t="shared" ref="BE43" si="365">BD43-BA43</f>
        <v>2.6100000000000012E-2</v>
      </c>
      <c r="BF43" s="402">
        <f t="shared" ref="BF43" si="366">BD43-BB43</f>
        <v>2.6100000000000012E-2</v>
      </c>
      <c r="BG43" s="402">
        <f t="shared" ref="BG43" si="367">IF($DU$43="Yes",BD43-BA43,BD43-$DU$42)</f>
        <v>-4.3999999999999873E-3</v>
      </c>
      <c r="BH43" s="402">
        <f t="shared" ref="BH43" si="368">BD43</f>
        <v>4.5600000000000016E-2</v>
      </c>
      <c r="BI43" s="152">
        <f t="shared" ref="BI43" si="369">IF(AO43&lt;0,0,AO43*(1+AA43)^0.5/SUM(BX43:BY43,CB43:CK43))</f>
        <v>0</v>
      </c>
      <c r="BJ43" s="100">
        <f t="shared" si="43"/>
        <v>4.1869522882181265E-2</v>
      </c>
      <c r="BK43" s="27">
        <f t="shared" ref="BK43" si="370">IFERROR(LOG((1+BJ43)/(1+BJ43-BI43*BJ43))/LOG(1+BJ43),"Inf")</f>
        <v>0</v>
      </c>
      <c r="BL43" s="27">
        <f t="shared" si="17"/>
        <v>20</v>
      </c>
      <c r="BM43" s="107">
        <f t="shared" si="31"/>
        <v>0.01</v>
      </c>
      <c r="BP43" s="92">
        <f t="shared" ref="BP43:BP44" si="371">ME43-MD43</f>
        <v>-3495.2364834713826</v>
      </c>
      <c r="BQ43" s="27">
        <f t="shared" si="195"/>
        <v>-1302.1916390852202</v>
      </c>
      <c r="BR43" s="27">
        <f t="shared" ref="BR43:BR44" si="372">MI43-MH43</f>
        <v>-136.07335017109696</v>
      </c>
      <c r="BS43" s="27">
        <f t="shared" ref="BS43:BS44" si="373">BQ43*BR43/BP43</f>
        <v>-50.695733960505471</v>
      </c>
      <c r="BT43" s="27">
        <f t="shared" si="180"/>
        <v>-3.7205475402434822</v>
      </c>
      <c r="BU43" s="27">
        <f t="shared" si="196"/>
        <v>-33.484927862191363</v>
      </c>
      <c r="BV43" s="297">
        <f t="shared" ref="BV43:BV44" si="374">AX41*I43</f>
        <v>186.0273770121741</v>
      </c>
      <c r="BW43" s="297">
        <f t="shared" ref="BW43:BW44" si="375">AY41*M43</f>
        <v>1674.2463931095683</v>
      </c>
      <c r="BX43" s="297">
        <f t="shared" ref="BX43:BX44" si="376">AZ41*M43</f>
        <v>0</v>
      </c>
      <c r="BY43" s="297">
        <f t="shared" ref="BY43:BY44" si="377">AX41*(N43+Q43)</f>
        <v>84.225190066900979</v>
      </c>
      <c r="BZ43" s="297">
        <f t="shared" ref="BZ43:BZ44" si="378">AT41*I43-BV43</f>
        <v>40.305931685971046</v>
      </c>
      <c r="CA43" s="297">
        <f t="shared" ref="CA43:CA44" si="379">AU41*M43-BW43</f>
        <v>362.75338517373984</v>
      </c>
      <c r="CB43" s="297">
        <f t="shared" si="183"/>
        <v>-232.53600912073858</v>
      </c>
      <c r="CC43" s="297">
        <f t="shared" si="200"/>
        <v>0</v>
      </c>
      <c r="CD43" s="297">
        <f t="shared" si="201"/>
        <v>7.9818256829911633E-3</v>
      </c>
      <c r="CE43" s="297"/>
      <c r="CF43" s="297">
        <f t="shared" si="184"/>
        <v>0</v>
      </c>
      <c r="CG43" s="297">
        <f t="shared" si="202"/>
        <v>0</v>
      </c>
      <c r="CH43" s="297">
        <f t="shared" si="185"/>
        <v>0</v>
      </c>
      <c r="CI43" s="427">
        <f>IF(AND($DU$74="Yes",MAX($AQ$13:AQ42)&lt;100%),MAX(BD41*(G43+Q43)-SUM(BZ43:CH43,CJ43,CY43),0),0)</f>
        <v>0</v>
      </c>
      <c r="CJ43" s="27"/>
      <c r="CK43" s="27">
        <f t="shared" si="44"/>
        <v>0</v>
      </c>
      <c r="CL43" s="27">
        <f t="shared" si="45"/>
        <v>0</v>
      </c>
      <c r="CM43" s="27">
        <f t="shared" si="46"/>
        <v>0</v>
      </c>
      <c r="CN43" s="105">
        <f t="shared" si="47"/>
        <v>2115.0302497532989</v>
      </c>
      <c r="CO43" s="27">
        <f t="shared" si="48"/>
        <v>0</v>
      </c>
      <c r="CP43" s="92">
        <f t="shared" ref="CP43:CP44" si="380">NC43-NB43</f>
        <v>0</v>
      </c>
      <c r="CQ43" s="27">
        <f t="shared" si="117"/>
        <v>-232.52802729505558</v>
      </c>
      <c r="CR43" s="27">
        <f t="shared" si="118"/>
        <v>0</v>
      </c>
      <c r="CS43" s="27">
        <f t="shared" si="186"/>
        <v>-232.52802729505558</v>
      </c>
      <c r="CT43" s="27">
        <f>SUM($CS$14:CS43)</f>
        <v>43980.915192307286</v>
      </c>
      <c r="CU43" s="223">
        <v>3763.8932687701727</v>
      </c>
      <c r="CV43" s="417">
        <v>760.8960461941665</v>
      </c>
      <c r="CW43" s="417">
        <v>4524.7893149643387</v>
      </c>
      <c r="CX43" s="417">
        <v>91831.166445735522</v>
      </c>
      <c r="CY43" s="103">
        <f t="shared" si="49"/>
        <v>182.37978138448457</v>
      </c>
      <c r="CZ43" s="111">
        <f t="shared" si="101"/>
        <v>1.3974938408564695E-2</v>
      </c>
      <c r="DA43" s="92">
        <f t="shared" si="50"/>
        <v>352.91107094913986</v>
      </c>
      <c r="DB43" s="410">
        <f t="shared" si="51"/>
        <v>185.10966670178703</v>
      </c>
      <c r="DC43" s="308"/>
      <c r="DD43" s="308"/>
      <c r="DE43" s="308"/>
      <c r="DF43" s="308"/>
      <c r="DG43" s="308"/>
      <c r="DN43" s="39">
        <v>1554.8537665450581</v>
      </c>
      <c r="DP43" s="41">
        <v>1.2380368139888671</v>
      </c>
      <c r="DQ43" s="8"/>
      <c r="DR43" s="53" t="s">
        <v>330</v>
      </c>
      <c r="DU43" s="400" t="s">
        <v>53</v>
      </c>
      <c r="DV43" s="8"/>
      <c r="EJ43" s="340"/>
      <c r="ET43" s="29">
        <f t="shared" si="85"/>
        <v>6083.886475666859</v>
      </c>
      <c r="EU43" s="29">
        <f t="shared" si="86"/>
        <v>6085.9920703954049</v>
      </c>
      <c r="EV43" s="29">
        <f t="shared" ref="EV43:EV44" si="381">EU43-ET43</f>
        <v>2.1055947285458387</v>
      </c>
      <c r="EW43" s="29">
        <f t="shared" ref="EW43:EW44" si="382">EV43*4/5</f>
        <v>1.684475782836671</v>
      </c>
      <c r="EX43" s="29">
        <f t="shared" ref="EX43:EX44" si="383">EW42*(3/4)</f>
        <v>1.3791578511523768</v>
      </c>
      <c r="EY43" s="29">
        <f t="shared" ref="EY43:EY44" si="384">EX42*(2/3)</f>
        <v>0.98734947033881326</v>
      </c>
      <c r="EZ43" s="29">
        <f t="shared" ref="EZ43:EZ44" si="385">EY42*(1/2)</f>
        <v>0.52251558019415811</v>
      </c>
      <c r="FA43" s="29">
        <f t="shared" ref="FA43:FA44" si="386">SUM(EW43:EZ43)</f>
        <v>4.5734986845220185</v>
      </c>
      <c r="FB43" s="29"/>
      <c r="FC43" s="29">
        <f t="shared" si="247"/>
        <v>1791.5738989508081</v>
      </c>
      <c r="FD43" s="29">
        <f t="shared" si="248"/>
        <v>1791.1887509177232</v>
      </c>
      <c r="FE43" s="29">
        <f t="shared" ref="FE43:FE44" si="387">FD43-FC43</f>
        <v>-0.38514803308498813</v>
      </c>
      <c r="FF43" s="29">
        <f t="shared" ref="FF43:FF44" si="388">FE43*4/5</f>
        <v>-0.30811842646799048</v>
      </c>
      <c r="FG43" s="29">
        <f t="shared" ref="FG43:FG44" si="389">FF42*(3/4)</f>
        <v>-0.23635011228529945</v>
      </c>
      <c r="FH43" s="29">
        <f t="shared" ref="FH43:FH44" si="390">FG42*(2/3)</f>
        <v>-0.16030133716740239</v>
      </c>
      <c r="FI43" s="29">
        <f t="shared" ref="FI43:FI44" si="391">FH42*(1/2)</f>
        <v>-8.1156970233769249E-2</v>
      </c>
      <c r="FJ43" s="29">
        <f t="shared" ref="FJ43:FJ44" si="392">SUM(FF43:FI43)</f>
        <v>-0.78592684615446151</v>
      </c>
      <c r="FL43" s="8"/>
      <c r="FM43" s="27">
        <f t="shared" si="27"/>
        <v>-2599.3807304030197</v>
      </c>
      <c r="FN43" s="41"/>
      <c r="FO43" s="301">
        <f t="shared" si="119"/>
        <v>-232.53600912073858</v>
      </c>
      <c r="FP43" s="89">
        <f t="shared" ref="FP43:FP44" si="393">SUM(JW42:LB42)</f>
        <v>7.9818256829911633E-3</v>
      </c>
      <c r="FQ43" s="27">
        <f t="shared" si="103"/>
        <v>20</v>
      </c>
      <c r="FR43" s="302">
        <f t="shared" si="88"/>
        <v>13.464518542443937</v>
      </c>
      <c r="FS43" s="89">
        <f t="shared" ref="FS43:FS44" si="394">FM43/FR43</f>
        <v>-193.05411643268513</v>
      </c>
      <c r="FT43" s="89">
        <f t="shared" si="210"/>
        <v>-232.52802729505558</v>
      </c>
      <c r="FU43" s="29">
        <f t="shared" ref="FU43:FU44" si="395">FQ43</f>
        <v>20</v>
      </c>
      <c r="FV43" s="137">
        <f t="shared" si="91"/>
        <v>13.464518542443937</v>
      </c>
      <c r="FW43" s="48">
        <v>-2331.9164413709614</v>
      </c>
      <c r="FX43" s="29">
        <f t="shared" si="120"/>
        <v>-87.804263758558591</v>
      </c>
      <c r="FY43" s="29">
        <f t="shared" si="121"/>
        <v>-91.466058526018429</v>
      </c>
      <c r="FZ43" s="29">
        <f t="shared" si="266"/>
        <v>-88.43014565766795</v>
      </c>
      <c r="GA43" s="29">
        <f t="shared" si="267"/>
        <v>-85.239228481023332</v>
      </c>
      <c r="GB43" s="29">
        <f t="shared" si="268"/>
        <v>-81.554852488031074</v>
      </c>
      <c r="GC43" s="29">
        <f t="shared" si="269"/>
        <v>-77.730226704161751</v>
      </c>
      <c r="GD43" s="29">
        <f t="shared" si="270"/>
        <v>-73.758061304986001</v>
      </c>
      <c r="GE43" s="29">
        <f t="shared" si="271"/>
        <v>-69.744170647742848</v>
      </c>
      <c r="GF43" s="29">
        <f t="shared" si="272"/>
        <v>-1973.0855990646651</v>
      </c>
      <c r="GG43" s="29">
        <f t="shared" si="273"/>
        <v>0</v>
      </c>
      <c r="GH43" s="29">
        <f t="shared" si="274"/>
        <v>0</v>
      </c>
      <c r="GI43" s="29">
        <f t="shared" si="275"/>
        <v>0</v>
      </c>
      <c r="GJ43" s="29">
        <f t="shared" si="276"/>
        <v>0</v>
      </c>
      <c r="GK43" s="29">
        <f t="shared" si="277"/>
        <v>0</v>
      </c>
      <c r="GL43" s="29">
        <f t="shared" si="278"/>
        <v>0</v>
      </c>
      <c r="GM43" s="29">
        <f t="shared" si="279"/>
        <v>0</v>
      </c>
      <c r="GN43" s="29">
        <f t="shared" si="280"/>
        <v>0</v>
      </c>
      <c r="GO43" s="29">
        <f t="shared" si="251"/>
        <v>0</v>
      </c>
      <c r="GP43" s="29">
        <f t="shared" si="252"/>
        <v>0</v>
      </c>
      <c r="GQ43" s="29">
        <f t="shared" si="253"/>
        <v>0</v>
      </c>
      <c r="GR43" s="29">
        <f t="shared" si="254"/>
        <v>0</v>
      </c>
      <c r="GS43" s="29">
        <f t="shared" si="255"/>
        <v>0</v>
      </c>
      <c r="GT43" s="29">
        <f t="shared" si="256"/>
        <v>0</v>
      </c>
      <c r="GU43" s="29">
        <f t="shared" si="257"/>
        <v>0</v>
      </c>
      <c r="GV43" s="29">
        <f t="shared" si="258"/>
        <v>0</v>
      </c>
      <c r="GW43" s="29">
        <f t="shared" si="259"/>
        <v>0</v>
      </c>
      <c r="GX43" s="29">
        <f t="shared" si="260"/>
        <v>0</v>
      </c>
      <c r="GY43" s="29">
        <f t="shared" si="261"/>
        <v>0</v>
      </c>
      <c r="GZ43" s="29">
        <f t="shared" si="262"/>
        <v>0</v>
      </c>
      <c r="HA43" s="29">
        <f t="shared" si="263"/>
        <v>0</v>
      </c>
      <c r="HB43" s="29">
        <f t="shared" si="264"/>
        <v>0</v>
      </c>
      <c r="HC43" s="29">
        <f t="shared" si="265"/>
        <v>0</v>
      </c>
      <c r="HD43" s="29"/>
      <c r="HE43" s="29">
        <f t="shared" ref="HE43:HE44" si="396">FU43</f>
        <v>20</v>
      </c>
      <c r="HF43" s="29">
        <f t="shared" si="317"/>
        <v>0</v>
      </c>
      <c r="HG43" s="29">
        <f t="shared" si="318"/>
        <v>-6.7931176475186819</v>
      </c>
      <c r="HH43" s="29">
        <f t="shared" si="319"/>
        <v>-6.791317889008484</v>
      </c>
      <c r="HI43" s="29">
        <f t="shared" si="126"/>
        <v>-6.7870867036244604</v>
      </c>
      <c r="HJ43" s="29">
        <f t="shared" si="127"/>
        <v>-6.7525387857313328</v>
      </c>
      <c r="HK43" s="29">
        <f t="shared" si="128"/>
        <v>-6.7146986986557868</v>
      </c>
      <c r="HL43" s="29">
        <f t="shared" si="129"/>
        <v>-6.672761320318422</v>
      </c>
      <c r="HM43" s="29">
        <f t="shared" si="130"/>
        <v>-6.636487231773553</v>
      </c>
      <c r="HN43" s="29">
        <f t="shared" si="131"/>
        <v>-198.45959073788646</v>
      </c>
      <c r="HO43" s="29">
        <f t="shared" si="132"/>
        <v>0</v>
      </c>
      <c r="HP43" s="29">
        <f t="shared" si="133"/>
        <v>0</v>
      </c>
      <c r="HQ43" s="29">
        <f t="shared" si="134"/>
        <v>0</v>
      </c>
      <c r="HR43" s="29">
        <f t="shared" si="135"/>
        <v>0</v>
      </c>
      <c r="HS43" s="29">
        <f t="shared" si="136"/>
        <v>0</v>
      </c>
      <c r="HT43" s="29">
        <f t="shared" si="137"/>
        <v>0</v>
      </c>
      <c r="HU43" s="29">
        <f t="shared" si="138"/>
        <v>0</v>
      </c>
      <c r="HV43" s="29">
        <f t="shared" si="139"/>
        <v>0</v>
      </c>
      <c r="HW43" s="29">
        <f t="shared" si="140"/>
        <v>0</v>
      </c>
      <c r="HX43" s="29">
        <f t="shared" si="141"/>
        <v>0</v>
      </c>
      <c r="HY43" s="29">
        <f t="shared" si="142"/>
        <v>0</v>
      </c>
      <c r="HZ43" s="29">
        <f t="shared" si="143"/>
        <v>0</v>
      </c>
      <c r="IA43" s="29">
        <f t="shared" si="144"/>
        <v>0</v>
      </c>
      <c r="IB43" s="29">
        <f t="shared" si="145"/>
        <v>0</v>
      </c>
      <c r="IC43" s="29">
        <f t="shared" si="146"/>
        <v>0</v>
      </c>
      <c r="ID43" s="29">
        <f t="shared" si="147"/>
        <v>0</v>
      </c>
      <c r="IE43" s="29">
        <f t="shared" si="148"/>
        <v>0</v>
      </c>
      <c r="IF43" s="29">
        <f t="shared" si="149"/>
        <v>0</v>
      </c>
      <c r="IG43" s="29">
        <f t="shared" si="150"/>
        <v>0</v>
      </c>
      <c r="IH43" s="29">
        <f t="shared" si="151"/>
        <v>0</v>
      </c>
      <c r="II43" s="29">
        <f t="shared" si="152"/>
        <v>0</v>
      </c>
      <c r="IJ43" s="29">
        <f t="shared" si="153"/>
        <v>0</v>
      </c>
      <c r="IK43" s="29">
        <f t="shared" si="154"/>
        <v>0</v>
      </c>
      <c r="IL43" s="8"/>
      <c r="IM43" s="8"/>
      <c r="IN43" s="8"/>
      <c r="IO43" s="29">
        <f t="shared" si="211"/>
        <v>6.9779843123185858E-2</v>
      </c>
      <c r="IP43" s="29">
        <f t="shared" si="249"/>
        <v>7.0381601244982536E-2</v>
      </c>
      <c r="IQ43" s="29">
        <f t="shared" si="302"/>
        <v>6.5547019359382452E-2</v>
      </c>
      <c r="IR43" s="29">
        <f t="shared" si="303"/>
        <v>5.930608340404768E-2</v>
      </c>
      <c r="IS43" s="29">
        <f t="shared" si="304"/>
        <v>5.0370245070175769E-2</v>
      </c>
      <c r="IT43" s="29">
        <f t="shared" si="305"/>
        <v>4.5512444869799898E-2</v>
      </c>
      <c r="IU43" s="29">
        <f t="shared" si="306"/>
        <v>3.3804646924478078E-2</v>
      </c>
      <c r="IV43" s="29">
        <f t="shared" si="307"/>
        <v>2.5099060245823018E-2</v>
      </c>
      <c r="IW43" s="29">
        <f t="shared" si="308"/>
        <v>-0.15019803628573408</v>
      </c>
      <c r="IX43" s="29">
        <f t="shared" si="309"/>
        <v>0</v>
      </c>
      <c r="IY43" s="29">
        <f t="shared" si="310"/>
        <v>0</v>
      </c>
      <c r="IZ43" s="29">
        <f t="shared" si="311"/>
        <v>0</v>
      </c>
      <c r="JA43" s="29">
        <f t="shared" si="312"/>
        <v>0</v>
      </c>
      <c r="JB43" s="29">
        <f t="shared" si="313"/>
        <v>0</v>
      </c>
      <c r="JC43" s="29">
        <f t="shared" si="314"/>
        <v>0</v>
      </c>
      <c r="JD43" s="29">
        <f t="shared" si="315"/>
        <v>0</v>
      </c>
      <c r="JE43" s="29">
        <f t="shared" si="316"/>
        <v>0</v>
      </c>
      <c r="JF43" s="29">
        <f t="shared" si="285"/>
        <v>0</v>
      </c>
      <c r="JG43" s="29">
        <f t="shared" si="286"/>
        <v>0</v>
      </c>
      <c r="JH43" s="29">
        <f t="shared" si="287"/>
        <v>0</v>
      </c>
      <c r="JI43" s="29">
        <f t="shared" si="288"/>
        <v>0</v>
      </c>
      <c r="JJ43" s="29">
        <f t="shared" si="289"/>
        <v>0</v>
      </c>
      <c r="JK43" s="29">
        <f t="shared" si="290"/>
        <v>0</v>
      </c>
      <c r="JL43" s="29">
        <f t="shared" si="291"/>
        <v>0</v>
      </c>
      <c r="JM43" s="29">
        <f t="shared" si="292"/>
        <v>0</v>
      </c>
      <c r="JN43" s="29">
        <f t="shared" si="293"/>
        <v>0</v>
      </c>
      <c r="JO43" s="29">
        <f t="shared" si="294"/>
        <v>0</v>
      </c>
      <c r="JP43" s="29">
        <f t="shared" si="295"/>
        <v>0</v>
      </c>
      <c r="JQ43" s="29">
        <f t="shared" si="296"/>
        <v>0</v>
      </c>
      <c r="JR43" s="29">
        <f t="shared" si="297"/>
        <v>0</v>
      </c>
      <c r="JS43" s="29">
        <f t="shared" si="298"/>
        <v>0</v>
      </c>
      <c r="JT43" s="29">
        <f t="shared" si="299"/>
        <v>0</v>
      </c>
      <c r="JU43" s="8"/>
      <c r="JV43" s="394">
        <f t="shared" si="213"/>
        <v>20</v>
      </c>
      <c r="JW43" s="29">
        <f t="shared" si="214"/>
        <v>0</v>
      </c>
      <c r="JX43" s="29">
        <f t="shared" si="215"/>
        <v>5.2271903390470296E-3</v>
      </c>
      <c r="JY43" s="29">
        <f t="shared" si="216"/>
        <v>5.0339241424506185E-3</v>
      </c>
      <c r="JZ43" s="29">
        <f t="shared" si="217"/>
        <v>4.722186454388975E-3</v>
      </c>
      <c r="KA43" s="29">
        <f t="shared" si="218"/>
        <v>4.1705309139400517E-3</v>
      </c>
      <c r="KB43" s="29">
        <f t="shared" si="219"/>
        <v>3.9315767790437488E-3</v>
      </c>
      <c r="KC43" s="29">
        <f t="shared" si="220"/>
        <v>3.0582466032011879E-3</v>
      </c>
      <c r="KD43" s="29">
        <f t="shared" si="221"/>
        <v>2.3882941227047249E-3</v>
      </c>
      <c r="KE43" s="29">
        <f t="shared" si="222"/>
        <v>-1.5107424039297386E-2</v>
      </c>
      <c r="KF43" s="29">
        <f t="shared" si="223"/>
        <v>0</v>
      </c>
      <c r="KG43" s="29">
        <f t="shared" si="224"/>
        <v>0</v>
      </c>
      <c r="KH43" s="29">
        <f t="shared" si="225"/>
        <v>0</v>
      </c>
      <c r="KI43" s="29">
        <f t="shared" si="226"/>
        <v>0</v>
      </c>
      <c r="KJ43" s="29">
        <f t="shared" si="227"/>
        <v>0</v>
      </c>
      <c r="KK43" s="29">
        <f t="shared" si="228"/>
        <v>0</v>
      </c>
      <c r="KL43" s="29">
        <f t="shared" si="229"/>
        <v>0</v>
      </c>
      <c r="KM43" s="29">
        <f t="shared" si="230"/>
        <v>0</v>
      </c>
      <c r="KN43" s="29">
        <f t="shared" si="231"/>
        <v>0</v>
      </c>
      <c r="KO43" s="29">
        <f t="shared" si="232"/>
        <v>0</v>
      </c>
      <c r="KP43" s="29">
        <f t="shared" si="233"/>
        <v>0</v>
      </c>
      <c r="KQ43" s="29">
        <f t="shared" si="234"/>
        <v>0</v>
      </c>
      <c r="KR43" s="29">
        <f t="shared" si="235"/>
        <v>0</v>
      </c>
      <c r="KS43" s="29">
        <f t="shared" si="236"/>
        <v>0</v>
      </c>
      <c r="KT43" s="29">
        <f t="shared" si="237"/>
        <v>0</v>
      </c>
      <c r="KU43" s="29">
        <f t="shared" si="238"/>
        <v>0</v>
      </c>
      <c r="KV43" s="29">
        <f t="shared" si="239"/>
        <v>0</v>
      </c>
      <c r="KW43" s="29">
        <f t="shared" si="240"/>
        <v>0</v>
      </c>
      <c r="KX43" s="29">
        <f t="shared" si="241"/>
        <v>0</v>
      </c>
      <c r="KY43" s="29">
        <f t="shared" si="242"/>
        <v>0</v>
      </c>
      <c r="KZ43" s="29">
        <f t="shared" si="243"/>
        <v>0</v>
      </c>
      <c r="LA43" s="29">
        <f t="shared" si="244"/>
        <v>0</v>
      </c>
      <c r="LB43" s="29">
        <f t="shared" si="245"/>
        <v>0</v>
      </c>
      <c r="LP43" s="39"/>
      <c r="LQ43" s="39"/>
      <c r="LR43" s="39"/>
      <c r="LT43" s="39"/>
      <c r="LU43" s="39"/>
      <c r="LY43" s="39"/>
      <c r="LZ43" s="39"/>
      <c r="MA43" s="39"/>
      <c r="MB43" s="39"/>
      <c r="MC43" s="374">
        <f t="shared" si="300"/>
        <v>7.0000000000000021E-2</v>
      </c>
      <c r="MD43" s="387">
        <f t="shared" si="187"/>
        <v>-1531.9901636296709</v>
      </c>
      <c r="ME43" s="152">
        <f t="shared" si="188"/>
        <v>-5027.2266471010535</v>
      </c>
      <c r="MF43" s="39"/>
      <c r="MG43" s="374">
        <f t="shared" si="301"/>
        <v>7.0000000000000021E-2</v>
      </c>
      <c r="MH43" s="387">
        <f t="shared" si="189"/>
        <v>-59.64203995353585</v>
      </c>
      <c r="MI43" s="152">
        <f t="shared" si="155"/>
        <v>-195.71539012463282</v>
      </c>
      <c r="MJ43" s="39"/>
      <c r="MK43" s="39"/>
      <c r="ML43" s="39"/>
      <c r="MM43" s="39"/>
      <c r="MN43" s="39"/>
      <c r="MO43" s="39"/>
      <c r="MP43" s="39"/>
      <c r="MQ43" s="39"/>
      <c r="MR43" s="39"/>
      <c r="MS43" s="39"/>
      <c r="MT43" s="39"/>
      <c r="MU43" s="39"/>
      <c r="MV43" s="39"/>
      <c r="MW43" s="39"/>
    </row>
    <row r="44" spans="1:361" ht="12.75" customHeight="1" x14ac:dyDescent="0.3">
      <c r="A44" s="298">
        <f t="shared" si="99"/>
        <v>2053</v>
      </c>
      <c r="B44" s="348">
        <f t="shared" si="2"/>
        <v>2051</v>
      </c>
      <c r="C44" s="26">
        <v>55335</v>
      </c>
      <c r="D44" s="92">
        <f t="shared" si="156"/>
        <v>1707.8011364614661</v>
      </c>
      <c r="E44" s="27">
        <f t="shared" si="106"/>
        <v>1707.8011364614661</v>
      </c>
      <c r="F44" s="107">
        <f t="shared" si="21"/>
        <v>23249.05748796284</v>
      </c>
      <c r="G44" s="27">
        <f t="shared" si="157"/>
        <v>24973.871397582087</v>
      </c>
      <c r="H44" s="27">
        <f t="shared" si="342"/>
        <v>1986.5579520803913</v>
      </c>
      <c r="I44" s="289">
        <f t="shared" si="343"/>
        <v>1688.5742592683325</v>
      </c>
      <c r="J44" s="267">
        <f t="shared" si="344"/>
        <v>798.19376706259482</v>
      </c>
      <c r="K44" s="290">
        <f t="shared" si="345"/>
        <v>890.38049220573771</v>
      </c>
      <c r="L44" s="290">
        <f t="shared" si="346"/>
        <v>22987.313445501695</v>
      </c>
      <c r="M44" s="290">
        <f t="shared" si="347"/>
        <v>19539.216428676442</v>
      </c>
      <c r="N44" s="27">
        <f t="shared" si="162"/>
        <v>0</v>
      </c>
      <c r="O44" s="290">
        <f t="shared" si="163"/>
        <v>297.98369281205868</v>
      </c>
      <c r="P44" s="290">
        <f t="shared" si="108"/>
        <v>3448.0970168252543</v>
      </c>
      <c r="Q44" s="290">
        <f t="shared" si="164"/>
        <v>961.10300220785882</v>
      </c>
      <c r="R44" s="254">
        <f t="shared" si="3"/>
        <v>7.9545454545454475E-2</v>
      </c>
      <c r="S44" s="251">
        <v>0.92045454545454553</v>
      </c>
      <c r="T44" s="284">
        <f t="shared" si="165"/>
        <v>7.0000000000000007E-2</v>
      </c>
      <c r="U44" s="284">
        <f t="shared" si="166"/>
        <v>7.0000000000000007E-2</v>
      </c>
      <c r="V44" s="27">
        <f t="shared" si="348"/>
        <v>121951.57728418932</v>
      </c>
      <c r="W44" s="27">
        <f t="shared" si="349"/>
        <v>91645.900692706069</v>
      </c>
      <c r="X44" s="27">
        <f t="shared" si="190"/>
        <v>30305.676591483258</v>
      </c>
      <c r="Y44" s="27">
        <f t="shared" si="168"/>
        <v>181.85944772319942</v>
      </c>
      <c r="Z44" s="27">
        <f t="shared" si="191"/>
        <v>2104.3736093684529</v>
      </c>
      <c r="AA44" s="111">
        <f t="shared" si="169"/>
        <v>7.0000000000000007E-2</v>
      </c>
      <c r="AB44" s="111">
        <f t="shared" si="170"/>
        <v>7.0000000000000007E-2</v>
      </c>
      <c r="AC44" s="92">
        <f t="shared" si="350"/>
        <v>121951.57728418932</v>
      </c>
      <c r="AD44" s="27">
        <f t="shared" si="171"/>
        <v>91645.900692706069</v>
      </c>
      <c r="AE44" s="27">
        <f t="shared" si="192"/>
        <v>30305.676591483258</v>
      </c>
      <c r="AF44" s="145">
        <f t="shared" si="172"/>
        <v>181.85944772319942</v>
      </c>
      <c r="AG44" s="27">
        <f t="shared" si="193"/>
        <v>2104.3736093684529</v>
      </c>
      <c r="AH44" s="27">
        <f t="shared" si="351"/>
        <v>124600.1801175007</v>
      </c>
      <c r="AI44" s="27">
        <f t="shared" si="174"/>
        <v>94294.85065173576</v>
      </c>
      <c r="AJ44" s="27">
        <f t="shared" si="194"/>
        <v>30305.329465764935</v>
      </c>
      <c r="AK44" s="27">
        <f t="shared" si="352"/>
        <v>124603.60195139924</v>
      </c>
      <c r="AL44" s="27">
        <f t="shared" si="175"/>
        <v>94299.040890315911</v>
      </c>
      <c r="AM44" s="27">
        <f t="shared" si="246"/>
        <v>30304.561061083321</v>
      </c>
      <c r="AN44" s="409">
        <f>INDEX(Inv.Returns!$B$2:$E$32,MATCH(B44,Inv.Returns!$A$2:$A$32,0),MATCH(SCRS!$DU$52,Inv.Returns!$B$1:$E$1,0))</f>
        <v>7.0000000000000007E-2</v>
      </c>
      <c r="AO44" s="27">
        <f t="shared" si="353"/>
        <v>-2648.6028333113791</v>
      </c>
      <c r="AP44" s="27">
        <f t="shared" si="354"/>
        <v>-2652.0246672099165</v>
      </c>
      <c r="AQ44" s="67">
        <f t="shared" si="355"/>
        <v>1.0217184795169907</v>
      </c>
      <c r="AR44" s="146">
        <f t="shared" si="356"/>
        <v>1.0217465384726414</v>
      </c>
      <c r="AS44" s="67"/>
      <c r="AT44" s="23"/>
      <c r="AU44" s="23"/>
      <c r="BI44" s="28"/>
      <c r="BJ44" s="100"/>
      <c r="BL44" s="27">
        <f t="shared" si="17"/>
        <v>20</v>
      </c>
      <c r="BP44" s="92">
        <f t="shared" si="371"/>
        <v>-3098.6525055885095</v>
      </c>
      <c r="BQ44" s="27">
        <f t="shared" si="195"/>
        <v>-1416.5931910790425</v>
      </c>
      <c r="BR44" s="27">
        <f t="shared" si="372"/>
        <v>-120.63390544399613</v>
      </c>
      <c r="BS44" s="27">
        <f t="shared" si="373"/>
        <v>-55.14951055564778</v>
      </c>
      <c r="BT44" s="27">
        <f t="shared" si="180"/>
        <v>-3.0394336666829984</v>
      </c>
      <c r="BU44" s="27">
        <f t="shared" si="196"/>
        <v>-35.170589571617597</v>
      </c>
      <c r="BV44" s="297">
        <f t="shared" si="374"/>
        <v>151.97168333414993</v>
      </c>
      <c r="BW44" s="297">
        <f t="shared" si="375"/>
        <v>1758.5294785808796</v>
      </c>
      <c r="BX44" s="297">
        <f t="shared" si="376"/>
        <v>0</v>
      </c>
      <c r="BY44" s="297">
        <f t="shared" si="377"/>
        <v>86.499270198707293</v>
      </c>
      <c r="BZ44" s="297">
        <f t="shared" si="378"/>
        <v>32.927198055732475</v>
      </c>
      <c r="CA44" s="297">
        <f t="shared" si="379"/>
        <v>381.01472035919096</v>
      </c>
      <c r="CB44" s="297">
        <f t="shared" si="183"/>
        <v>-245.60759901451721</v>
      </c>
      <c r="CC44" s="297">
        <f t="shared" si="200"/>
        <v>0</v>
      </c>
      <c r="CD44" s="297">
        <f t="shared" si="201"/>
        <v>1.3424525315478946E-2</v>
      </c>
      <c r="CE44" s="297"/>
      <c r="CF44" s="297">
        <f t="shared" si="184"/>
        <v>0</v>
      </c>
      <c r="CG44" s="297">
        <f t="shared" si="202"/>
        <v>0</v>
      </c>
      <c r="CH44" s="297">
        <f t="shared" si="185"/>
        <v>0</v>
      </c>
      <c r="CI44" s="427">
        <f>IF(AND($DU$74="Yes",MAX($AQ$13:AQ43)&lt;100%),MAX(BD42*(G44+Q44)-SUM(BZ44:CH44,CJ44,CY44),0),0)</f>
        <v>0</v>
      </c>
      <c r="CJ44" s="27"/>
      <c r="CK44" s="27">
        <f t="shared" si="44"/>
        <v>0</v>
      </c>
      <c r="CL44" s="27">
        <f t="shared" si="45"/>
        <v>0</v>
      </c>
      <c r="CM44" s="27">
        <f t="shared" si="46"/>
        <v>0</v>
      </c>
      <c r="CN44" s="105">
        <f t="shared" si="47"/>
        <v>2165.3481760394584</v>
      </c>
      <c r="CO44" s="27">
        <f t="shared" si="48"/>
        <v>0</v>
      </c>
      <c r="CP44" s="92">
        <f t="shared" si="380"/>
        <v>0</v>
      </c>
      <c r="CQ44" s="27">
        <f t="shared" si="117"/>
        <v>-245.59417448920172</v>
      </c>
      <c r="CR44" s="27">
        <f t="shared" si="118"/>
        <v>0</v>
      </c>
      <c r="CS44" s="27">
        <f t="shared" si="186"/>
        <v>-245.59417448920172</v>
      </c>
      <c r="CT44" s="27">
        <f>SUM($CS$14:CS44)</f>
        <v>43735.321017818082</v>
      </c>
      <c r="CU44" s="223">
        <v>3878.8062296351118</v>
      </c>
      <c r="CV44" s="418">
        <v>783.72292757999139</v>
      </c>
      <c r="CW44" s="417">
        <v>4662.5291572151036</v>
      </c>
      <c r="CX44" s="417">
        <v>96493.695602950625</v>
      </c>
      <c r="CY44" s="103">
        <f t="shared" si="49"/>
        <v>187.30403548186564</v>
      </c>
      <c r="CZ44" s="111">
        <f t="shared" si="101"/>
        <v>1.3713211122755836E-2</v>
      </c>
      <c r="DA44" s="92">
        <f t="shared" si="50"/>
        <v>355.65177940758736</v>
      </c>
      <c r="DB44" s="218">
        <f t="shared" si="51"/>
        <v>182.44227769255841</v>
      </c>
      <c r="DN44" s="39">
        <v>1331.6803693416216</v>
      </c>
      <c r="DP44" s="41">
        <v>1.2377640762653876</v>
      </c>
      <c r="DQ44" s="8"/>
      <c r="DR44" s="50" t="s">
        <v>160</v>
      </c>
      <c r="DS44" s="34"/>
      <c r="DT44" s="34"/>
      <c r="DU44" s="149">
        <v>30</v>
      </c>
      <c r="DV44" s="8"/>
      <c r="EJ44" s="340"/>
      <c r="ET44" s="29">
        <f t="shared" si="85"/>
        <v>6273.531909166315</v>
      </c>
      <c r="EU44" s="29">
        <f t="shared" si="86"/>
        <v>6275.4241197168431</v>
      </c>
      <c r="EV44" s="29">
        <f t="shared" si="381"/>
        <v>1.8922105505280342</v>
      </c>
      <c r="EW44" s="29">
        <f t="shared" si="382"/>
        <v>1.5137684404224274</v>
      </c>
      <c r="EX44" s="29">
        <f t="shared" si="383"/>
        <v>1.2633568371275032</v>
      </c>
      <c r="EY44" s="29">
        <f t="shared" si="384"/>
        <v>0.91943856743491781</v>
      </c>
      <c r="EZ44" s="29">
        <f t="shared" si="385"/>
        <v>0.49367473516940663</v>
      </c>
      <c r="FA44" s="29">
        <f t="shared" si="386"/>
        <v>4.1902385801542543</v>
      </c>
      <c r="FC44" s="29">
        <f t="shared" si="247"/>
        <v>1961.8719042161542</v>
      </c>
      <c r="FD44" s="29">
        <f t="shared" si="248"/>
        <v>1961.4974061515825</v>
      </c>
      <c r="FE44" s="29">
        <f t="shared" si="387"/>
        <v>-0.37449806457175328</v>
      </c>
      <c r="FF44" s="29">
        <f t="shared" si="388"/>
        <v>-0.29959845165740262</v>
      </c>
      <c r="FG44" s="29">
        <f t="shared" si="389"/>
        <v>-0.23108881985099286</v>
      </c>
      <c r="FH44" s="29">
        <f t="shared" si="390"/>
        <v>-0.15756674152353295</v>
      </c>
      <c r="FI44" s="29">
        <f t="shared" si="391"/>
        <v>-8.0150668583701193E-2</v>
      </c>
      <c r="FJ44" s="29">
        <f t="shared" si="392"/>
        <v>-0.76840468161562958</v>
      </c>
      <c r="FL44" s="8"/>
      <c r="FM44" s="27">
        <f t="shared" si="27"/>
        <v>-2628.5430037249025</v>
      </c>
      <c r="FN44" s="41"/>
      <c r="FO44" s="301">
        <f t="shared" si="119"/>
        <v>-245.60759901451718</v>
      </c>
      <c r="FP44" s="89">
        <f t="shared" si="393"/>
        <v>1.3424525315478948E-2</v>
      </c>
      <c r="FQ44" s="27">
        <f t="shared" si="103"/>
        <v>20</v>
      </c>
      <c r="FR44" s="302">
        <f t="shared" si="88"/>
        <v>13.464518542443937</v>
      </c>
      <c r="FS44" s="89">
        <f t="shared" si="394"/>
        <v>-195.21997726387306</v>
      </c>
      <c r="FT44" s="89">
        <f t="shared" si="210"/>
        <v>-245.59417448920169</v>
      </c>
      <c r="FU44" s="29">
        <f t="shared" si="395"/>
        <v>20</v>
      </c>
      <c r="FV44" s="137">
        <f t="shared" si="91"/>
        <v>13.464518542443937</v>
      </c>
      <c r="FW44" s="48">
        <v>-2544.4750165339833</v>
      </c>
      <c r="FX44" s="29">
        <f t="shared" si="120"/>
        <v>-90.178945843561451</v>
      </c>
      <c r="FY44" s="29">
        <f t="shared" si="121"/>
        <v>-93.950562221657691</v>
      </c>
      <c r="FZ44" s="29">
        <f t="shared" si="266"/>
        <v>-90.841827089306832</v>
      </c>
      <c r="GA44" s="29">
        <f t="shared" si="267"/>
        <v>-87.595262004850724</v>
      </c>
      <c r="GB44" s="29">
        <f t="shared" si="268"/>
        <v>-84.185357398034824</v>
      </c>
      <c r="GC44" s="29">
        <f t="shared" si="269"/>
        <v>-80.278811729680299</v>
      </c>
      <c r="GD44" s="29">
        <f t="shared" si="270"/>
        <v>-76.225604231369431</v>
      </c>
      <c r="GE44" s="29">
        <f t="shared" si="271"/>
        <v>-72.018767615717593</v>
      </c>
      <c r="GF44" s="29">
        <f t="shared" si="272"/>
        <v>-67.761426821420827</v>
      </c>
      <c r="GG44" s="29">
        <f t="shared" si="273"/>
        <v>-1905.9133940740915</v>
      </c>
      <c r="GH44" s="29">
        <f t="shared" si="274"/>
        <v>0</v>
      </c>
      <c r="GI44" s="29">
        <f t="shared" si="275"/>
        <v>0</v>
      </c>
      <c r="GJ44" s="29">
        <f t="shared" si="276"/>
        <v>0</v>
      </c>
      <c r="GK44" s="29">
        <f t="shared" si="277"/>
        <v>0</v>
      </c>
      <c r="GL44" s="29">
        <f t="shared" si="278"/>
        <v>0</v>
      </c>
      <c r="GM44" s="29">
        <f t="shared" si="279"/>
        <v>0</v>
      </c>
      <c r="GN44" s="29">
        <f t="shared" si="280"/>
        <v>0</v>
      </c>
      <c r="GO44" s="29">
        <f t="shared" si="251"/>
        <v>0</v>
      </c>
      <c r="GP44" s="29">
        <f t="shared" si="252"/>
        <v>0</v>
      </c>
      <c r="GQ44" s="29">
        <f t="shared" si="253"/>
        <v>0</v>
      </c>
      <c r="GR44" s="29">
        <f t="shared" si="254"/>
        <v>0</v>
      </c>
      <c r="GS44" s="29">
        <f t="shared" si="255"/>
        <v>0</v>
      </c>
      <c r="GT44" s="29">
        <f t="shared" si="256"/>
        <v>0</v>
      </c>
      <c r="GU44" s="29">
        <f t="shared" si="257"/>
        <v>0</v>
      </c>
      <c r="GV44" s="29">
        <f t="shared" si="258"/>
        <v>0</v>
      </c>
      <c r="GW44" s="29">
        <f t="shared" si="259"/>
        <v>0</v>
      </c>
      <c r="GX44" s="29">
        <f t="shared" si="260"/>
        <v>0</v>
      </c>
      <c r="GY44" s="29">
        <f t="shared" si="261"/>
        <v>0</v>
      </c>
      <c r="GZ44" s="29">
        <f t="shared" si="262"/>
        <v>0</v>
      </c>
      <c r="HA44" s="29">
        <f t="shared" si="263"/>
        <v>0</v>
      </c>
      <c r="HB44" s="29">
        <f t="shared" si="264"/>
        <v>0</v>
      </c>
      <c r="HC44" s="29">
        <f t="shared" si="265"/>
        <v>0</v>
      </c>
      <c r="HD44" s="29"/>
      <c r="HE44" s="29">
        <f t="shared" si="396"/>
        <v>20</v>
      </c>
      <c r="HF44" s="29">
        <f t="shared" si="317"/>
        <v>0</v>
      </c>
      <c r="HG44" s="29">
        <f t="shared" si="318"/>
        <v>-6.9776399301244361</v>
      </c>
      <c r="HH44" s="29">
        <f t="shared" si="319"/>
        <v>-6.976531824001686</v>
      </c>
      <c r="HI44" s="29">
        <f t="shared" si="126"/>
        <v>-6.9746834720117104</v>
      </c>
      <c r="HJ44" s="29">
        <f t="shared" si="127"/>
        <v>-6.9703380446223209</v>
      </c>
      <c r="HK44" s="29">
        <f t="shared" si="128"/>
        <v>-6.9348573329460788</v>
      </c>
      <c r="HL44" s="29">
        <f t="shared" si="129"/>
        <v>-6.8959955635194916</v>
      </c>
      <c r="HM44" s="29">
        <f t="shared" si="130"/>
        <v>-6.8529258759670197</v>
      </c>
      <c r="HN44" s="29">
        <f t="shared" si="131"/>
        <v>-6.8156723870314373</v>
      </c>
      <c r="HO44" s="29">
        <f t="shared" si="132"/>
        <v>-203.81799968780945</v>
      </c>
      <c r="HP44" s="29">
        <f t="shared" si="133"/>
        <v>0</v>
      </c>
      <c r="HQ44" s="29">
        <f t="shared" si="134"/>
        <v>0</v>
      </c>
      <c r="HR44" s="29">
        <f t="shared" si="135"/>
        <v>0</v>
      </c>
      <c r="HS44" s="29">
        <f t="shared" si="136"/>
        <v>0</v>
      </c>
      <c r="HT44" s="29">
        <f t="shared" si="137"/>
        <v>0</v>
      </c>
      <c r="HU44" s="29">
        <f t="shared" si="138"/>
        <v>0</v>
      </c>
      <c r="HV44" s="29">
        <f t="shared" si="139"/>
        <v>0</v>
      </c>
      <c r="HW44" s="29">
        <f t="shared" si="140"/>
        <v>0</v>
      </c>
      <c r="HX44" s="29">
        <f t="shared" si="141"/>
        <v>0</v>
      </c>
      <c r="HY44" s="29">
        <f t="shared" si="142"/>
        <v>0</v>
      </c>
      <c r="HZ44" s="29">
        <f t="shared" si="143"/>
        <v>0</v>
      </c>
      <c r="IA44" s="29">
        <f t="shared" si="144"/>
        <v>0</v>
      </c>
      <c r="IB44" s="29">
        <f t="shared" si="145"/>
        <v>0</v>
      </c>
      <c r="IC44" s="29">
        <f t="shared" si="146"/>
        <v>0</v>
      </c>
      <c r="ID44" s="29">
        <f t="shared" si="147"/>
        <v>0</v>
      </c>
      <c r="IE44" s="29">
        <f t="shared" si="148"/>
        <v>0</v>
      </c>
      <c r="IF44" s="29">
        <f t="shared" si="149"/>
        <v>0</v>
      </c>
      <c r="IG44" s="29">
        <f t="shared" si="150"/>
        <v>0</v>
      </c>
      <c r="IH44" s="29">
        <f t="shared" si="151"/>
        <v>0</v>
      </c>
      <c r="II44" s="29">
        <f t="shared" si="152"/>
        <v>0</v>
      </c>
      <c r="IJ44" s="29">
        <f t="shared" si="153"/>
        <v>0</v>
      </c>
      <c r="IK44" s="29">
        <f t="shared" si="154"/>
        <v>0</v>
      </c>
      <c r="IL44" s="8"/>
      <c r="IM44" s="8"/>
      <c r="IN44" s="8"/>
      <c r="IO44" s="29">
        <f t="shared" si="211"/>
        <v>7.2537043773247212E-2</v>
      </c>
      <c r="IP44" s="29">
        <f t="shared" si="249"/>
        <v>7.4664432141808873E-2</v>
      </c>
      <c r="IQ44" s="29">
        <f t="shared" si="302"/>
        <v>6.9901265601671522E-2</v>
      </c>
      <c r="IR44" s="29">
        <f t="shared" si="303"/>
        <v>6.4928179092332672E-2</v>
      </c>
      <c r="IS44" s="29">
        <f t="shared" si="304"/>
        <v>5.8572841592048591E-2</v>
      </c>
      <c r="IT44" s="29">
        <f t="shared" si="305"/>
        <v>4.9582131502965351E-2</v>
      </c>
      <c r="IU44" s="29">
        <f t="shared" si="306"/>
        <v>4.4631461367674645E-2</v>
      </c>
      <c r="IV44" s="29">
        <f t="shared" si="307"/>
        <v>3.3007497324509985E-2</v>
      </c>
      <c r="IW44" s="29">
        <f t="shared" si="308"/>
        <v>2.4385523812789231E-2</v>
      </c>
      <c r="IX44" s="29">
        <f t="shared" si="309"/>
        <v>-0.14508465788626185</v>
      </c>
      <c r="IY44" s="29">
        <f t="shared" si="310"/>
        <v>0</v>
      </c>
      <c r="IZ44" s="29">
        <f t="shared" si="311"/>
        <v>0</v>
      </c>
      <c r="JA44" s="29">
        <f t="shared" si="312"/>
        <v>0</v>
      </c>
      <c r="JB44" s="29">
        <f t="shared" si="313"/>
        <v>0</v>
      </c>
      <c r="JC44" s="29">
        <f t="shared" si="314"/>
        <v>0</v>
      </c>
      <c r="JD44" s="29">
        <f t="shared" si="315"/>
        <v>0</v>
      </c>
      <c r="JE44" s="29">
        <f t="shared" si="316"/>
        <v>0</v>
      </c>
      <c r="JF44" s="29">
        <f t="shared" si="285"/>
        <v>0</v>
      </c>
      <c r="JG44" s="29">
        <f t="shared" si="286"/>
        <v>0</v>
      </c>
      <c r="JH44" s="29">
        <f t="shared" si="287"/>
        <v>0</v>
      </c>
      <c r="JI44" s="29">
        <f t="shared" si="288"/>
        <v>0</v>
      </c>
      <c r="JJ44" s="29">
        <f t="shared" si="289"/>
        <v>0</v>
      </c>
      <c r="JK44" s="29">
        <f t="shared" si="290"/>
        <v>0</v>
      </c>
      <c r="JL44" s="29">
        <f t="shared" si="291"/>
        <v>0</v>
      </c>
      <c r="JM44" s="29">
        <f t="shared" si="292"/>
        <v>0</v>
      </c>
      <c r="JN44" s="29">
        <f t="shared" si="293"/>
        <v>0</v>
      </c>
      <c r="JO44" s="29">
        <f t="shared" si="294"/>
        <v>0</v>
      </c>
      <c r="JP44" s="29">
        <f t="shared" si="295"/>
        <v>0</v>
      </c>
      <c r="JQ44" s="29">
        <f t="shared" si="296"/>
        <v>0</v>
      </c>
      <c r="JR44" s="29">
        <f t="shared" si="297"/>
        <v>0</v>
      </c>
      <c r="JS44" s="29">
        <f t="shared" si="298"/>
        <v>0</v>
      </c>
      <c r="JT44" s="29">
        <f t="shared" si="299"/>
        <v>0</v>
      </c>
      <c r="JU44" s="8"/>
      <c r="JV44" s="394">
        <f t="shared" si="213"/>
        <v>20</v>
      </c>
      <c r="JW44" s="29">
        <f t="shared" si="214"/>
        <v>0</v>
      </c>
      <c r="JX44" s="29">
        <f t="shared" si="215"/>
        <v>5.5452730750413133E-3</v>
      </c>
      <c r="JY44" s="29">
        <f t="shared" si="216"/>
        <v>5.3683244782012987E-3</v>
      </c>
      <c r="JZ44" s="29">
        <f t="shared" si="217"/>
        <v>5.1698400942967841E-3</v>
      </c>
      <c r="KA44" s="29">
        <f t="shared" si="218"/>
        <v>4.8496854886574776E-3</v>
      </c>
      <c r="KB44" s="29">
        <f t="shared" si="219"/>
        <v>4.2831352486164334E-3</v>
      </c>
      <c r="KC44" s="29">
        <f t="shared" si="220"/>
        <v>4.0377293520779288E-3</v>
      </c>
      <c r="KD44" s="29">
        <f t="shared" si="221"/>
        <v>3.1408192614876197E-3</v>
      </c>
      <c r="KE44" s="29">
        <f t="shared" si="222"/>
        <v>2.4527780640177521E-3</v>
      </c>
      <c r="KF44" s="29">
        <f t="shared" si="223"/>
        <v>-1.5515324488358417E-2</v>
      </c>
      <c r="KG44" s="29">
        <f t="shared" si="224"/>
        <v>0</v>
      </c>
      <c r="KH44" s="29">
        <f t="shared" si="225"/>
        <v>0</v>
      </c>
      <c r="KI44" s="29">
        <f t="shared" si="226"/>
        <v>0</v>
      </c>
      <c r="KJ44" s="29">
        <f t="shared" si="227"/>
        <v>0</v>
      </c>
      <c r="KK44" s="29">
        <f t="shared" si="228"/>
        <v>0</v>
      </c>
      <c r="KL44" s="29">
        <f t="shared" si="229"/>
        <v>0</v>
      </c>
      <c r="KM44" s="29">
        <f t="shared" si="230"/>
        <v>0</v>
      </c>
      <c r="KN44" s="29">
        <f t="shared" si="231"/>
        <v>0</v>
      </c>
      <c r="KO44" s="29">
        <f t="shared" si="232"/>
        <v>0</v>
      </c>
      <c r="KP44" s="29">
        <f t="shared" si="233"/>
        <v>0</v>
      </c>
      <c r="KQ44" s="29">
        <f t="shared" si="234"/>
        <v>0</v>
      </c>
      <c r="KR44" s="29">
        <f t="shared" si="235"/>
        <v>0</v>
      </c>
      <c r="KS44" s="29">
        <f t="shared" si="236"/>
        <v>0</v>
      </c>
      <c r="KT44" s="29">
        <f t="shared" si="237"/>
        <v>0</v>
      </c>
      <c r="KU44" s="29">
        <f t="shared" si="238"/>
        <v>0</v>
      </c>
      <c r="KV44" s="29">
        <f t="shared" si="239"/>
        <v>0</v>
      </c>
      <c r="KW44" s="29">
        <f t="shared" si="240"/>
        <v>0</v>
      </c>
      <c r="KX44" s="29">
        <f t="shared" si="241"/>
        <v>0</v>
      </c>
      <c r="KY44" s="29">
        <f t="shared" si="242"/>
        <v>0</v>
      </c>
      <c r="KZ44" s="29">
        <f t="shared" si="243"/>
        <v>0</v>
      </c>
      <c r="LA44" s="29">
        <f t="shared" si="244"/>
        <v>0</v>
      </c>
      <c r="LB44" s="29">
        <f t="shared" si="245"/>
        <v>0</v>
      </c>
      <c r="LP44" s="39"/>
      <c r="LQ44" s="39"/>
      <c r="LR44" s="39"/>
      <c r="LT44" s="39"/>
      <c r="LU44" s="39"/>
      <c r="LY44" s="39"/>
      <c r="LZ44" s="39"/>
      <c r="MA44" s="39"/>
      <c r="MB44" s="39"/>
      <c r="MC44" s="374">
        <f t="shared" si="300"/>
        <v>7.2500000000000023E-2</v>
      </c>
      <c r="MD44" s="387">
        <f t="shared" si="187"/>
        <v>-1666.5802247988734</v>
      </c>
      <c r="ME44" s="152">
        <f t="shared" si="188"/>
        <v>-4765.2327303873826</v>
      </c>
      <c r="MF44" s="39"/>
      <c r="MG44" s="374">
        <f t="shared" si="301"/>
        <v>7.2500000000000023E-2</v>
      </c>
      <c r="MH44" s="387">
        <f t="shared" si="189"/>
        <v>-64.881777124291489</v>
      </c>
      <c r="MI44" s="152">
        <f t="shared" si="155"/>
        <v>-185.51568256828762</v>
      </c>
      <c r="MJ44" s="39"/>
      <c r="MK44" s="39"/>
      <c r="ML44" s="39"/>
      <c r="MM44" s="39"/>
      <c r="MN44" s="39"/>
      <c r="MO44" s="39"/>
      <c r="MP44" s="39"/>
      <c r="MQ44" s="39"/>
      <c r="MR44" s="39"/>
      <c r="MS44" s="39"/>
      <c r="MT44" s="39"/>
      <c r="MU44" s="39"/>
      <c r="MV44" s="39"/>
      <c r="MW44" s="39"/>
    </row>
    <row r="45" spans="1:361" ht="12.75" customHeight="1" x14ac:dyDescent="0.3">
      <c r="A45" s="298">
        <f t="shared" ref="A45" si="397">YEAR(C45)+2</f>
        <v>2054</v>
      </c>
      <c r="B45" s="348">
        <f t="shared" ref="B45" si="398">YEAR(C45)</f>
        <v>2052</v>
      </c>
      <c r="C45" s="26">
        <v>55701</v>
      </c>
      <c r="D45" s="92">
        <f t="shared" si="156"/>
        <v>1292.6557504614441</v>
      </c>
      <c r="E45" s="27">
        <f t="shared" si="106"/>
        <v>1292.6557504614441</v>
      </c>
      <c r="F45" s="107">
        <f t="shared" si="21"/>
        <v>24419.436177413696</v>
      </c>
      <c r="G45" s="27">
        <f t="shared" si="157"/>
        <v>25648.1659253168</v>
      </c>
      <c r="H45" s="27">
        <f t="shared" ref="H45" si="399">G45-L45</f>
        <v>1503.6502234108739</v>
      </c>
      <c r="I45" s="289">
        <f t="shared" ref="I45" si="400">H45-O45</f>
        <v>1278.1026898992427</v>
      </c>
      <c r="J45" s="267">
        <f t="shared" si="344"/>
        <v>743.41771972220511</v>
      </c>
      <c r="K45" s="290">
        <f t="shared" ref="K45" si="401">I45-J45</f>
        <v>534.6849701770376</v>
      </c>
      <c r="L45" s="290">
        <f t="shared" ref="L45" si="402">G45*S45</f>
        <v>24144.515701905926</v>
      </c>
      <c r="M45" s="290">
        <f t="shared" ref="M45" si="403">L45-P45</f>
        <v>20522.838346620036</v>
      </c>
      <c r="N45" s="27">
        <f t="shared" si="162"/>
        <v>0</v>
      </c>
      <c r="O45" s="290">
        <f t="shared" ref="O45" si="404">H45*$DU$32</f>
        <v>225.54753351163109</v>
      </c>
      <c r="P45" s="290">
        <f t="shared" ref="P45" si="405">L45*$DU$31</f>
        <v>3621.677355285889</v>
      </c>
      <c r="Q45" s="290">
        <f t="shared" si="164"/>
        <v>987.05278326747089</v>
      </c>
      <c r="R45" s="254">
        <f t="shared" ref="R45" si="406">1-S45</f>
        <v>5.862603305785119E-2</v>
      </c>
      <c r="S45" s="251">
        <v>0.94137396694214881</v>
      </c>
      <c r="T45" s="284">
        <f t="shared" si="165"/>
        <v>7.0000000000000007E-2</v>
      </c>
      <c r="U45" s="284">
        <f t="shared" si="166"/>
        <v>7.0000000000000007E-2</v>
      </c>
      <c r="V45" s="27">
        <f t="shared" ref="V45" si="407">W45+X45</f>
        <v>128393.43237599765</v>
      </c>
      <c r="W45" s="27">
        <f t="shared" ref="W45" si="408">W44*(1+T45)+(Y45+BP45+BR45)*(1+T45)^0.5</f>
        <v>95334.155549965668</v>
      </c>
      <c r="X45" s="27">
        <f t="shared" ref="X45" si="409">X44*(1+U45)+(Z45+BQ45+BS45)*(1+U45)^0.5</f>
        <v>33059.276826031979</v>
      </c>
      <c r="Y45" s="27">
        <f t="shared" ref="Y45" si="410">J45*$DU$35+K45*$DU$36</f>
        <v>137.65165970214844</v>
      </c>
      <c r="Z45" s="27">
        <f t="shared" ref="Z45" si="411">M45*$DU$37</f>
        <v>2210.309689930978</v>
      </c>
      <c r="AA45" s="111">
        <f t="shared" si="169"/>
        <v>7.0000000000000007E-2</v>
      </c>
      <c r="AB45" s="111">
        <f t="shared" si="170"/>
        <v>7.0000000000000007E-2</v>
      </c>
      <c r="AC45" s="92">
        <f t="shared" ref="AC45" si="412">AD45+AE45</f>
        <v>128393.43237599765</v>
      </c>
      <c r="AD45" s="27">
        <f t="shared" si="171"/>
        <v>95334.155549965668</v>
      </c>
      <c r="AE45" s="27">
        <f t="shared" si="192"/>
        <v>33059.276826031979</v>
      </c>
      <c r="AF45" s="145">
        <f t="shared" si="172"/>
        <v>137.65165970214844</v>
      </c>
      <c r="AG45" s="27">
        <f t="shared" si="193"/>
        <v>2210.309689930978</v>
      </c>
      <c r="AH45" s="27">
        <f t="shared" ref="AH45" si="413">SUM(AI45:AJ45)</f>
        <v>131051.85494020165</v>
      </c>
      <c r="AI45" s="27">
        <f t="shared" ref="AI45" si="414">AL45-FA45</f>
        <v>97993.004753024361</v>
      </c>
      <c r="AJ45" s="27">
        <f t="shared" ref="AJ45" si="415">AM45-FJ45</f>
        <v>33058.850187177297</v>
      </c>
      <c r="AK45" s="27">
        <f t="shared" ref="AK45" si="416">AL45+AM45</f>
        <v>131054.87436616437</v>
      </c>
      <c r="AL45" s="27">
        <f t="shared" ref="AL45" si="417">AL44*(1+AN45)+SUM(BP45,BR45,BT45,BV45,BY45,BZ45,CB45,CF45,CH45,CL45,CJ45,CC45,CG45,CI45)*(1+AN45)^0.5</f>
        <v>97996.771160214485</v>
      </c>
      <c r="AM45" s="27">
        <f t="shared" ref="AM45" si="418">AM44*(1+AN45)+SUM(BQ45,BS45,BU45,BW45,BX45,CA45,CD45,CM45)*(1+AN45)^0.5</f>
        <v>33058.103205949883</v>
      </c>
      <c r="AN45" s="409">
        <f>INDEX(Inv.Returns!$B$2:$E$32,MATCH(B45,Inv.Returns!$A$2:$A$32,0),MATCH(SCRS!$DU$52,Inv.Returns!$B$1:$E$1,0))</f>
        <v>7.0000000000000007E-2</v>
      </c>
      <c r="AO45" s="27">
        <f t="shared" ref="AO45" si="419">AC45-AH45</f>
        <v>-2658.4225642039964</v>
      </c>
      <c r="AP45" s="223">
        <f t="shared" ref="AP45" si="420">AC45-AK45</f>
        <v>-2661.4419901667134</v>
      </c>
      <c r="AQ45" s="67">
        <f t="shared" ref="AQ45" si="421">AH45/AC45</f>
        <v>1.0207052846474176</v>
      </c>
      <c r="AR45" s="146">
        <f t="shared" ref="AR45" si="422">AK45/AC45</f>
        <v>1.0207288016288305</v>
      </c>
      <c r="AS45" s="23"/>
      <c r="BI45" s="28"/>
      <c r="BJ45" s="100"/>
      <c r="BP45" s="92">
        <f t="shared" ref="BP45" si="423">ME45-MD45</f>
        <v>-2669.9573110676147</v>
      </c>
      <c r="BQ45" s="27">
        <f t="shared" ref="BQ45" si="424">-MC45*M45</f>
        <v>-1539.2128759965033</v>
      </c>
      <c r="BR45" s="27">
        <f t="shared" ref="BR45" si="425">MI45-MH45</f>
        <v>-103.9443361983775</v>
      </c>
      <c r="BS45" s="27">
        <f t="shared" ref="BS45" si="426">BQ45*BR45/BP45</f>
        <v>-59.923227985797702</v>
      </c>
      <c r="BT45" s="27">
        <f t="shared" ref="BT45" si="427">-$DU$38*I45</f>
        <v>-2.3005848418186368</v>
      </c>
      <c r="BU45" s="27">
        <f t="shared" ref="BU45" si="428">-$DU$38*M45</f>
        <v>-36.941109023916063</v>
      </c>
      <c r="BV45" s="297">
        <f t="shared" ref="BV45" si="429">AX43*I45</f>
        <v>115.02924209093185</v>
      </c>
      <c r="BW45" s="297">
        <f t="shared" ref="BW45" si="430">AY43*M45</f>
        <v>1847.0554511958032</v>
      </c>
      <c r="BX45" s="297">
        <f t="shared" ref="BX45" si="431">AZ43*M45</f>
        <v>0</v>
      </c>
      <c r="BY45" s="297">
        <f t="shared" ref="BY45" si="432">AX43*(N45+Q45)</f>
        <v>88.834750494072381</v>
      </c>
      <c r="BZ45" s="297">
        <f t="shared" ref="BZ45" si="433">AT43*I45-BV45</f>
        <v>24.923002453035238</v>
      </c>
      <c r="CA45" s="297">
        <f t="shared" ref="CA45" si="434">AU43*M45-BW45</f>
        <v>400.19534775909074</v>
      </c>
      <c r="CB45" s="297">
        <f t="shared" si="183"/>
        <v>-259.21664411803363</v>
      </c>
      <c r="CC45" s="297">
        <f t="shared" si="200"/>
        <v>0</v>
      </c>
      <c r="CD45" s="297">
        <f t="shared" si="201"/>
        <v>1.9332260574038192E-2</v>
      </c>
      <c r="CE45" s="297"/>
      <c r="CF45" s="297">
        <f t="shared" si="184"/>
        <v>0</v>
      </c>
      <c r="CG45" s="297">
        <f t="shared" si="202"/>
        <v>0</v>
      </c>
      <c r="CH45" s="297">
        <f t="shared" si="185"/>
        <v>0</v>
      </c>
      <c r="CI45" s="427">
        <f>IF(AND($DU$74="Yes",MAX($AQ$13:AQ44)&lt;100%),MAX(BD43*(G45+Q45)-SUM(BZ45:CH45,CJ45,CY45),0),0)</f>
        <v>0</v>
      </c>
      <c r="CJ45" s="27"/>
      <c r="CK45" s="27">
        <f t="shared" ref="CK45" si="435">MAX(-(AK44*(1+AN45)+SUM(BP45:CJ45)*(1+AN45)^0.5)/(1+AN45)^0.5,0)</f>
        <v>0</v>
      </c>
      <c r="CL45" s="27">
        <f t="shared" ref="CL45" si="436">CK45*AD45/AC45</f>
        <v>0</v>
      </c>
      <c r="CM45" s="27">
        <f t="shared" ref="CM45" si="437">CK45*AE45/AC45</f>
        <v>0</v>
      </c>
      <c r="CN45" s="105">
        <f t="shared" ref="CN45" si="438">SUM(BV45:CK45)</f>
        <v>2216.8404821354738</v>
      </c>
      <c r="CO45" s="27">
        <f t="shared" si="48"/>
        <v>0</v>
      </c>
      <c r="CP45" s="92">
        <f t="shared" ref="CP45" si="439">NC45-NB45</f>
        <v>0</v>
      </c>
      <c r="CQ45" s="27">
        <f t="shared" ref="CQ45" si="440">SUM(CB45:CD45)</f>
        <v>-259.19731185745957</v>
      </c>
      <c r="CR45" s="27">
        <f t="shared" ref="CR45" si="441">SUM(CF45:CH45)</f>
        <v>0</v>
      </c>
      <c r="CS45" s="27">
        <f t="shared" ref="CS45" si="442">SUM(CQ45:CR45)</f>
        <v>-259.19731185745957</v>
      </c>
      <c r="CT45" s="27">
        <f>SUM($CS$14:CS45)</f>
        <v>43476.123705960621</v>
      </c>
      <c r="CU45" s="223">
        <v>3993.71919050005</v>
      </c>
      <c r="CV45" s="417">
        <v>806.54980896581606</v>
      </c>
      <c r="CW45" s="417">
        <v>4800.2689994658704</v>
      </c>
      <c r="CX45" s="417">
        <v>101156.22476016601</v>
      </c>
      <c r="CY45" s="103">
        <f t="shared" ref="CY45" si="443">$DU$46*(O45+P45)</f>
        <v>192.36124443987603</v>
      </c>
      <c r="CZ45" s="111">
        <f t="shared" ref="CZ45" si="444">DA45/(G45+Q45)</f>
        <v>1.3451448877311886E-2</v>
      </c>
      <c r="DA45" s="92">
        <f t="shared" ref="DA45" si="445">SUM(BZ45:CK45,CY45)</f>
        <v>358.28228279454243</v>
      </c>
      <c r="DB45" s="410">
        <f t="shared" ref="DB45" si="446">DA45/(1+$DU$27)^MAX(B45-$B$14,0)</f>
        <v>179.74735797192793</v>
      </c>
      <c r="DP45" s="41"/>
      <c r="DQ45" s="8"/>
      <c r="DR45" s="50" t="s">
        <v>161</v>
      </c>
      <c r="DS45" s="42"/>
      <c r="DT45" s="42"/>
      <c r="DU45" s="149">
        <v>20</v>
      </c>
      <c r="DV45" s="8"/>
      <c r="EJ45" s="340"/>
      <c r="ET45" s="29">
        <f t="shared" ref="ET45" si="447">AA44*AL44+SUM(BP45,BR45,BT45,BV45,BY45,BZ45,CB45,CF45,CH45,CL45,CJ45,CC45,CG45,CI45)*AA44/2</f>
        <v>6502.7007464805411</v>
      </c>
      <c r="EU45" s="29">
        <f t="shared" ref="EU45" si="448">AL45-AL44-SUM(BP45,BR45,BT45,BV45,BY45,BZ45,CB45,CF45,CH45,CL45,CJ45,CC45,CG45,CI45)</f>
        <v>6504.3621510863786</v>
      </c>
      <c r="EV45" s="29">
        <f t="shared" ref="EV45" si="449">EU45-ET45</f>
        <v>1.6614046058375607</v>
      </c>
      <c r="EW45" s="29">
        <f t="shared" ref="EW45" si="450">EV45*4/5</f>
        <v>1.3291236846700485</v>
      </c>
      <c r="EX45" s="29">
        <f t="shared" ref="EX45" si="451">EW44*(3/4)</f>
        <v>1.1353263303168206</v>
      </c>
      <c r="EY45" s="29">
        <f t="shared" ref="EY45" si="452">EX44*(2/3)</f>
        <v>0.84223789141833549</v>
      </c>
      <c r="EZ45" s="29">
        <f t="shared" ref="EZ45" si="453">EY44*(1/2)</f>
        <v>0.4597192837174589</v>
      </c>
      <c r="FA45" s="29">
        <f t="shared" ref="FA45" si="454">SUM(EW45:EZ45)</f>
        <v>3.7664071901226635</v>
      </c>
      <c r="FB45" s="29"/>
      <c r="FC45" s="29">
        <f t="shared" ref="FC45" si="455">AB44*AM44+SUM(BQ45,BS45,BU45,BW45,BX45,CA45,CD45,CM45)*AB44/2</f>
        <v>2142.7110264131566</v>
      </c>
      <c r="FD45" s="29">
        <f t="shared" ref="FD45" si="456">AM45-AM44-SUM(BQ45,BS45,BU45,BW45,BX45,CA45,CD45,CM45)</f>
        <v>2142.3492266573112</v>
      </c>
      <c r="FE45" s="29">
        <f t="shared" ref="FE45" si="457">FD45-FC45</f>
        <v>-0.36179975584536805</v>
      </c>
      <c r="FF45" s="29">
        <f t="shared" ref="FF45" si="458">FE45*4/5</f>
        <v>-0.28943980467629443</v>
      </c>
      <c r="FG45" s="29">
        <f t="shared" ref="FG45" si="459">FF44*(3/4)</f>
        <v>-0.22469883874305197</v>
      </c>
      <c r="FH45" s="29">
        <f t="shared" ref="FH45" si="460">FG44*(2/3)</f>
        <v>-0.15405921323399524</v>
      </c>
      <c r="FI45" s="29">
        <f t="shared" ref="FI45" si="461">FH44*(1/2)</f>
        <v>-7.8783370761766475E-2</v>
      </c>
      <c r="FJ45" s="29">
        <f t="shared" ref="FJ45" si="462">SUM(FF45:FI45)</f>
        <v>-0.7469812274151082</v>
      </c>
      <c r="FL45" s="8"/>
      <c r="FM45" s="27">
        <f t="shared" ref="FM45" si="463">AO44</f>
        <v>-2648.6028333113791</v>
      </c>
      <c r="FN45" s="41"/>
      <c r="FO45" s="301">
        <f t="shared" si="119"/>
        <v>-259.21664411803363</v>
      </c>
      <c r="FP45" s="89">
        <f t="shared" ref="FP45" si="464">SUM(JW44:LB44)</f>
        <v>1.9332260574038192E-2</v>
      </c>
      <c r="FQ45" s="27">
        <f t="shared" si="103"/>
        <v>20</v>
      </c>
      <c r="FR45" s="302">
        <f t="shared" si="88"/>
        <v>13.464518542443937</v>
      </c>
      <c r="FS45" s="89">
        <f t="shared" ref="FS45" si="465">FM45/FR45</f>
        <v>-196.70980621863609</v>
      </c>
      <c r="FT45" s="89">
        <f t="shared" ref="FT45" si="466">FO45+FP45</f>
        <v>-259.19731185745957</v>
      </c>
      <c r="FU45" s="29">
        <f t="shared" ref="FU45" si="467">FQ45</f>
        <v>20</v>
      </c>
      <c r="FV45" s="137">
        <f t="shared" si="91"/>
        <v>13.464518542443937</v>
      </c>
      <c r="FW45" s="48">
        <v>-2757.0335916970098</v>
      </c>
      <c r="FX45" s="29">
        <f t="shared" ref="FX45" si="468">AD45-AI45-SUM(FY45:HC45)</f>
        <v>-92.60852852437165</v>
      </c>
      <c r="FY45" s="29">
        <f t="shared" ref="FY45" si="469">IF(AND($AQ45&gt;=100%,$AQ44&lt;100%),0,FX44*(1+$AA44) - HF44*(1+$AA44)^0.5)</f>
        <v>-96.49147205261076</v>
      </c>
      <c r="FZ45" s="29">
        <f t="shared" ref="FZ45" si="470">IF(AND($AQ45&gt;=100%,$AQ44&lt;100%),0,FY44*(1+$AA44) - HG44*(1+$AA44)^0.5)</f>
        <v>-93.309374710349275</v>
      </c>
      <c r="GA45" s="29">
        <f t="shared" ref="GA45" si="471">IF(AND($AQ45&gt;=100%,$AQ44&lt;100%),0,FZ44*(1+$AA44) - HH44*(1+$AA44)^0.5)</f>
        <v>-89.984174352620045</v>
      </c>
      <c r="GB45" s="29">
        <f t="shared" ref="GB45" si="472">IF(AND($AQ45&gt;=100%,$AQ44&lt;100%),0,GA44*(1+$AA44) - HI44*(1+$AA44)^0.5)</f>
        <v>-86.512261662417245</v>
      </c>
      <c r="GC45" s="29">
        <f t="shared" ref="GC45" si="473">IF(AND($AQ45&gt;=100%,$AQ44&lt;100%),0,GB44*(1+$AA44) - HJ44*(1+$AA44)^0.5)</f>
        <v>-82.868158678167291</v>
      </c>
      <c r="GD45" s="29">
        <f t="shared" ref="GD45" si="474">IF(AND($AQ45&gt;=100%,$AQ44&lt;100%),0,GC44*(1+$AA44) - HK44*(1+$AA44)^0.5)</f>
        <v>-78.724856346567123</v>
      </c>
      <c r="GE45" s="29">
        <f t="shared" ref="GE45" si="475">IF(AND($AQ45&gt;=100%,$AQ44&lt;100%),0,GD44*(1+$AA44) - HL44*(1+$AA44)^0.5)</f>
        <v>-74.428123250245392</v>
      </c>
      <c r="GF45" s="29">
        <f t="shared" ref="GF45" si="476">IF(AND($AQ45&gt;=100%,$AQ44&lt;100%),0,GE44*(1+$AA44) - HM44*(1+$AA44)^0.5)</f>
        <v>-69.971359702723717</v>
      </c>
      <c r="GG45" s="29">
        <f t="shared" ref="GG45" si="477">IF(AND($AQ45&gt;=100%,$AQ44&lt;100%),0,GF44*(1+$AA44) - HN44*(1+$AA44)^0.5)</f>
        <v>-65.454540361421351</v>
      </c>
      <c r="GH45" s="29">
        <f t="shared" ref="GH45" si="478">IF(AND($AQ45&gt;=100%,$AQ44&lt;100%),0,GG44*(1+$AA44) - HO44*(1+$AA44)^0.5)</f>
        <v>-1828.4963534171995</v>
      </c>
      <c r="GI45" s="29">
        <f t="shared" ref="GI45" si="479">IF(AND($AQ45&gt;=100%,$AQ44&lt;100%),0,GH44*(1+$AA44) - HP44*(1+$AA44)^0.5)</f>
        <v>0</v>
      </c>
      <c r="GJ45" s="29">
        <f t="shared" ref="GJ45" si="480">IF(AND($AQ45&gt;=100%,$AQ44&lt;100%),0,GI44*(1+$AA44) - HQ44*(1+$AA44)^0.5)</f>
        <v>0</v>
      </c>
      <c r="GK45" s="29">
        <f t="shared" ref="GK45" si="481">IF(AND($AQ45&gt;=100%,$AQ44&lt;100%),0,GJ44*(1+$AA44) - HR44*(1+$AA44)^0.5)</f>
        <v>0</v>
      </c>
      <c r="GL45" s="29">
        <f t="shared" ref="GL45" si="482">IF(AND($AQ45&gt;=100%,$AQ44&lt;100%),0,GK44*(1+$AA44) - HS44*(1+$AA44)^0.5)</f>
        <v>0</v>
      </c>
      <c r="GM45" s="29">
        <f t="shared" ref="GM45" si="483">IF(AND($AQ45&gt;=100%,$AQ44&lt;100%),0,GL44*(1+$AA44) - HT44*(1+$AA44)^0.5)</f>
        <v>0</v>
      </c>
      <c r="GN45" s="29">
        <f t="shared" ref="GN45" si="484">IF(AND($AQ45&gt;=100%,$AQ44&lt;100%),0,GM44*(1+$AA44) - HU44*(1+$AA44)^0.5)</f>
        <v>0</v>
      </c>
      <c r="GO45" s="29">
        <f t="shared" ref="GO45" si="485">IF(AND($AQ45&gt;=100%,$AQ44&lt;100%),0,GN44*(1+$AA44) - HV44*(1+$AA44)^0.5)</f>
        <v>0</v>
      </c>
      <c r="GP45" s="29">
        <f t="shared" ref="GP45" si="486">IF(AND($AQ45&gt;=100%,$AQ44&lt;100%),0,GO44*(1+$AA44) - HW44*(1+$AA44)^0.5)</f>
        <v>0</v>
      </c>
      <c r="GQ45" s="29">
        <f t="shared" ref="GQ45" si="487">IF(AND($AQ45&gt;=100%,$AQ44&lt;100%),0,GP44*(1+$AA44) - HX44*(1+$AA44)^0.5)</f>
        <v>0</v>
      </c>
      <c r="GR45" s="29">
        <f t="shared" ref="GR45" si="488">IF(AND($AQ45&gt;=100%,$AQ44&lt;100%),0,GQ44*(1+$AA44) - HY44*(1+$AA44)^0.5)</f>
        <v>0</v>
      </c>
      <c r="GS45" s="29">
        <f t="shared" ref="GS45" si="489">IF(AND($AQ45&gt;=100%,$AQ44&lt;100%),0,GR44*(1+$AA44) - HZ44*(1+$AA44)^0.5)</f>
        <v>0</v>
      </c>
      <c r="GT45" s="29">
        <f t="shared" ref="GT45" si="490">IF(AND($AQ45&gt;=100%,$AQ44&lt;100%),0,GS44*(1+$AA44) - IA44*(1+$AA44)^0.5)</f>
        <v>0</v>
      </c>
      <c r="GU45" s="29">
        <f t="shared" ref="GU45" si="491">IF(AND($AQ45&gt;=100%,$AQ44&lt;100%),0,GT44*(1+$AA44) - IB44*(1+$AA44)^0.5)</f>
        <v>0</v>
      </c>
      <c r="GV45" s="29">
        <f t="shared" ref="GV45" si="492">IF(AND($AQ45&gt;=100%,$AQ44&lt;100%),0,GU44*(1+$AA44) - IC44*(1+$AA44)^0.5)</f>
        <v>0</v>
      </c>
      <c r="GW45" s="29">
        <f t="shared" ref="GW45" si="493">IF(AND($AQ45&gt;=100%,$AQ44&lt;100%),0,GV44*(1+$AA44) - ID44*(1+$AA44)^0.5)</f>
        <v>0</v>
      </c>
      <c r="GX45" s="29">
        <f t="shared" ref="GX45" si="494">IF(AND($AQ45&gt;=100%,$AQ44&lt;100%),0,GW44*(1+$AA44) - IE44*(1+$AA44)^0.5)</f>
        <v>0</v>
      </c>
      <c r="GY45" s="29">
        <f t="shared" ref="GY45" si="495">IF(AND($AQ45&gt;=100%,$AQ44&lt;100%),0,GX44*(1+$AA44) - IF44*(1+$AA44)^0.5)</f>
        <v>0</v>
      </c>
      <c r="GZ45" s="29">
        <f t="shared" ref="GZ45" si="496">IF(AND($AQ45&gt;=100%,$AQ44&lt;100%),0,GY44*(1+$AA44) - IG44*(1+$AA44)^0.5)</f>
        <v>0</v>
      </c>
      <c r="HA45" s="29">
        <f t="shared" ref="HA45" si="497">IF(AND($AQ45&gt;=100%,$AQ44&lt;100%),0,GZ44*(1+$AA44) - IH44*(1+$AA44)^0.5)</f>
        <v>0</v>
      </c>
      <c r="HB45" s="29">
        <f t="shared" ref="HB45" si="498">IF(AND($AQ45&gt;=100%,$AQ44&lt;100%),0,HA44*(1+$AA44) - II44*(1+$AA44)^0.5)</f>
        <v>0</v>
      </c>
      <c r="HC45" s="29">
        <f t="shared" ref="HC45" si="499">IF(AND($AQ45&gt;=100%,$AQ44&lt;100%),0,HB44*(1+$AA44) - IJ44*(1+$AA44)^0.5)</f>
        <v>0</v>
      </c>
      <c r="HD45" s="29"/>
      <c r="HE45" s="29">
        <f t="shared" ref="HE45" si="500">FU45</f>
        <v>20</v>
      </c>
      <c r="HF45" s="29">
        <f t="shared" si="317"/>
        <v>0</v>
      </c>
      <c r="HG45" s="29">
        <f t="shared" si="318"/>
        <v>-7.1663514553782663</v>
      </c>
      <c r="HH45" s="29">
        <f t="shared" si="319"/>
        <v>-7.166036208237796</v>
      </c>
      <c r="HI45" s="29">
        <f t="shared" si="126"/>
        <v>-7.16489818324973</v>
      </c>
      <c r="HJ45" s="29">
        <f t="shared" si="127"/>
        <v>-7.1629999257560266</v>
      </c>
      <c r="HK45" s="29">
        <f t="shared" si="128"/>
        <v>-7.1585371718271231</v>
      </c>
      <c r="HL45" s="29">
        <f t="shared" si="129"/>
        <v>-7.1220984809356223</v>
      </c>
      <c r="HM45" s="29">
        <f t="shared" si="130"/>
        <v>-7.0821874437345169</v>
      </c>
      <c r="HN45" s="29">
        <f t="shared" si="131"/>
        <v>-7.0379548746181282</v>
      </c>
      <c r="HO45" s="29">
        <f t="shared" si="132"/>
        <v>-6.9996955414812883</v>
      </c>
      <c r="HP45" s="29">
        <f t="shared" si="133"/>
        <v>-209.32108567938019</v>
      </c>
      <c r="HQ45" s="29">
        <f t="shared" si="134"/>
        <v>0</v>
      </c>
      <c r="HR45" s="29">
        <f t="shared" si="135"/>
        <v>0</v>
      </c>
      <c r="HS45" s="29">
        <f t="shared" si="136"/>
        <v>0</v>
      </c>
      <c r="HT45" s="29">
        <f t="shared" si="137"/>
        <v>0</v>
      </c>
      <c r="HU45" s="29">
        <f t="shared" si="138"/>
        <v>0</v>
      </c>
      <c r="HV45" s="29">
        <f t="shared" si="139"/>
        <v>0</v>
      </c>
      <c r="HW45" s="29">
        <f t="shared" si="140"/>
        <v>0</v>
      </c>
      <c r="HX45" s="29">
        <f t="shared" si="141"/>
        <v>0</v>
      </c>
      <c r="HY45" s="29">
        <f t="shared" si="142"/>
        <v>0</v>
      </c>
      <c r="HZ45" s="29">
        <f t="shared" si="143"/>
        <v>0</v>
      </c>
      <c r="IA45" s="29">
        <f t="shared" si="144"/>
        <v>0</v>
      </c>
      <c r="IB45" s="29">
        <f t="shared" si="145"/>
        <v>0</v>
      </c>
      <c r="IC45" s="29">
        <f t="shared" si="146"/>
        <v>0</v>
      </c>
      <c r="ID45" s="29">
        <f t="shared" si="147"/>
        <v>0</v>
      </c>
      <c r="IE45" s="29">
        <f t="shared" si="148"/>
        <v>0</v>
      </c>
      <c r="IF45" s="29">
        <f t="shared" si="149"/>
        <v>0</v>
      </c>
      <c r="IG45" s="29">
        <f t="shared" si="150"/>
        <v>0</v>
      </c>
      <c r="IH45" s="29">
        <f t="shared" si="151"/>
        <v>0</v>
      </c>
      <c r="II45" s="29">
        <f t="shared" si="152"/>
        <v>0</v>
      </c>
      <c r="IJ45" s="29">
        <f t="shared" si="153"/>
        <v>0</v>
      </c>
      <c r="IK45" s="29">
        <f t="shared" si="154"/>
        <v>0</v>
      </c>
      <c r="IL45" s="8"/>
      <c r="IM45" s="8"/>
      <c r="IN45" s="8"/>
      <c r="IO45" s="29">
        <f t="shared" ref="IO45" si="501">AE45-AJ45-SUM(IP45:JT45)</f>
        <v>7.521178190926292E-2</v>
      </c>
      <c r="IP45" s="29">
        <f t="shared" ref="IP45" si="502">IF(AND($AQ45&gt;=100%,$AQ44&lt;100%),0,IO44*(1+$AB44) - JW44*(1+$AB44)^0.5)</f>
        <v>7.7614636837374518E-2</v>
      </c>
      <c r="IQ45" s="29">
        <f t="shared" ref="IQ45" si="503">IF(AND($AQ45&gt;=100%,$AQ44&lt;100%),0,IP44*(1+$AB44) - JX44*(1+$AB44)^0.5)</f>
        <v>7.4154867320735063E-2</v>
      </c>
      <c r="IR45" s="29">
        <f t="shared" ref="IR45" si="504">IF(AND($AQ45&gt;=100%,$AQ44&lt;100%),0,IQ44*(1+$AB44) - JY44*(1+$AB44)^0.5)</f>
        <v>6.9241316174606327E-2</v>
      </c>
      <c r="IS45" s="29">
        <f t="shared" ref="IS45" si="505">IF(AND($AQ45&gt;=100%,$AQ44&lt;100%),0,IR44*(1+$AB44) - JZ44*(1+$AB44)^0.5)</f>
        <v>6.4125427452789818E-2</v>
      </c>
      <c r="IT45" s="29">
        <f t="shared" ref="IT45" si="506">IF(AND($AQ45&gt;=100%,$AQ44&lt;100%),0,IS44*(1+$AB44) - KA44*(1+$AB44)^0.5)</f>
        <v>5.7656386826651931E-2</v>
      </c>
      <c r="IU45" s="29">
        <f t="shared" ref="IU45" si="507">IF(AND($AQ45&gt;=100%,$AQ44&lt;100%),0,IT44*(1+$AB44) - KB44*(1+$AB44)^0.5)</f>
        <v>4.8622371156552886E-2</v>
      </c>
      <c r="IV45" s="29">
        <f t="shared" ref="IV45" si="508">IF(AND($AQ45&gt;=100%,$AQ44&lt;100%),0,IU44*(1+$AB44) - KC44*(1+$AB44)^0.5)</f>
        <v>4.3579003945039323E-2</v>
      </c>
      <c r="IW45" s="29">
        <f t="shared" ref="IW45" si="509">IF(AND($AQ45&gt;=100%,$AQ44&lt;100%),0,IV44*(1+$AB44) - KD44*(1+$AB44)^0.5)</f>
        <v>3.2069133430657724E-2</v>
      </c>
      <c r="IX45" s="29">
        <f t="shared" ref="IX45" si="510">IF(AND($AQ45&gt;=100%,$AQ44&lt;100%),0,IW44*(1+$AB44) - KE44*(1+$AB44)^0.5)</f>
        <v>2.3555337121886566E-2</v>
      </c>
      <c r="IY45" s="29">
        <f t="shared" ref="IY45" si="511">IF(AND($AQ45&gt;=100%,$AQ44&lt;100%),0,IX44*(1+$AB44) - KF44*(1+$AB44)^0.5)</f>
        <v>-0.13919140749346076</v>
      </c>
      <c r="IZ45" s="29">
        <f t="shared" ref="IZ45" si="512">IF(AND($AQ45&gt;=100%,$AQ44&lt;100%),0,IY44*(1+$AB44) - KG44*(1+$AB44)^0.5)</f>
        <v>0</v>
      </c>
      <c r="JA45" s="29">
        <f t="shared" ref="JA45" si="513">IF(AND($AQ45&gt;=100%,$AQ44&lt;100%),0,IZ44*(1+$AB44) - KH44*(1+$AB44)^0.5)</f>
        <v>0</v>
      </c>
      <c r="JB45" s="29">
        <f t="shared" ref="JB45" si="514">IF(AND($AQ45&gt;=100%,$AQ44&lt;100%),0,JA44*(1+$AB44) - KI44*(1+$AB44)^0.5)</f>
        <v>0</v>
      </c>
      <c r="JC45" s="29">
        <f t="shared" ref="JC45" si="515">IF(AND($AQ45&gt;=100%,$AQ44&lt;100%),0,JB44*(1+$AB44) - KJ44*(1+$AB44)^0.5)</f>
        <v>0</v>
      </c>
      <c r="JD45" s="29">
        <f t="shared" ref="JD45" si="516">IF(AND($AQ45&gt;=100%,$AQ44&lt;100%),0,JC44*(1+$AB44) - KK44*(1+$AB44)^0.5)</f>
        <v>0</v>
      </c>
      <c r="JE45" s="29">
        <f t="shared" ref="JE45" si="517">IF(AND($AQ45&gt;=100%,$AQ44&lt;100%),0,JD44*(1+$AB44) - KL44*(1+$AB44)^0.5)</f>
        <v>0</v>
      </c>
      <c r="JF45" s="29">
        <f t="shared" ref="JF45" si="518">IF(AND($AQ45&gt;=100%,$AQ44&lt;100%),0,JE44*(1+$AB44) - KM44*(1+$AB44)^0.5)</f>
        <v>0</v>
      </c>
      <c r="JG45" s="29">
        <f t="shared" ref="JG45" si="519">IF(AND($AQ45&gt;=100%,$AQ44&lt;100%),0,JF44*(1+$AB44) - KN44*(1+$AB44)^0.5)</f>
        <v>0</v>
      </c>
      <c r="JH45" s="29">
        <f t="shared" ref="JH45" si="520">IF(AND($AQ45&gt;=100%,$AQ44&lt;100%),0,JG44*(1+$AB44) - KO44*(1+$AB44)^0.5)</f>
        <v>0</v>
      </c>
      <c r="JI45" s="29">
        <f t="shared" ref="JI45" si="521">IF(AND($AQ45&gt;=100%,$AQ44&lt;100%),0,JH44*(1+$AB44) - KP44*(1+$AB44)^0.5)</f>
        <v>0</v>
      </c>
      <c r="JJ45" s="29">
        <f t="shared" ref="JJ45" si="522">IF(AND($AQ45&gt;=100%,$AQ44&lt;100%),0,JI44*(1+$AB44) - KQ44*(1+$AB44)^0.5)</f>
        <v>0</v>
      </c>
      <c r="JK45" s="29">
        <f t="shared" ref="JK45" si="523">IF(AND($AQ45&gt;=100%,$AQ44&lt;100%),0,JJ44*(1+$AB44) - KR44*(1+$AB44)^0.5)</f>
        <v>0</v>
      </c>
      <c r="JL45" s="29">
        <f t="shared" ref="JL45" si="524">IF(AND($AQ45&gt;=100%,$AQ44&lt;100%),0,JK44*(1+$AB44) - KS44*(1+$AB44)^0.5)</f>
        <v>0</v>
      </c>
      <c r="JM45" s="29">
        <f t="shared" ref="JM45" si="525">IF(AND($AQ45&gt;=100%,$AQ44&lt;100%),0,JL44*(1+$AB44) - KT44*(1+$AB44)^0.5)</f>
        <v>0</v>
      </c>
      <c r="JN45" s="29">
        <f t="shared" ref="JN45" si="526">IF(AND($AQ45&gt;=100%,$AQ44&lt;100%),0,JM44*(1+$AB44) - KU44*(1+$AB44)^0.5)</f>
        <v>0</v>
      </c>
      <c r="JO45" s="29">
        <f t="shared" ref="JO45" si="527">IF(AND($AQ45&gt;=100%,$AQ44&lt;100%),0,JN44*(1+$AB44) - KV44*(1+$AB44)^0.5)</f>
        <v>0</v>
      </c>
      <c r="JP45" s="29">
        <f t="shared" ref="JP45" si="528">IF(AND($AQ45&gt;=100%,$AQ44&lt;100%),0,JO44*(1+$AB44) - KW44*(1+$AB44)^0.5)</f>
        <v>0</v>
      </c>
      <c r="JQ45" s="29">
        <f t="shared" ref="JQ45" si="529">IF(AND($AQ45&gt;=100%,$AQ44&lt;100%),0,JP44*(1+$AB44) - KX44*(1+$AB44)^0.5)</f>
        <v>0</v>
      </c>
      <c r="JR45" s="29">
        <f t="shared" ref="JR45" si="530">IF(AND($AQ45&gt;=100%,$AQ44&lt;100%),0,JQ44*(1+$AB44) - KY44*(1+$AB44)^0.5)</f>
        <v>0</v>
      </c>
      <c r="JS45" s="29">
        <f t="shared" ref="JS45" si="531">IF(AND($AQ45&gt;=100%,$AQ44&lt;100%),0,JR44*(1+$AB44) - KZ44*(1+$AB44)^0.5)</f>
        <v>0</v>
      </c>
      <c r="JT45" s="29">
        <f t="shared" ref="JT45" si="532">IF(AND($AQ45&gt;=100%,$AQ44&lt;100%),0,JS44*(1+$AB44) - LA44*(1+$AB44)^0.5)</f>
        <v>0</v>
      </c>
      <c r="JU45" s="8"/>
      <c r="JV45" s="394">
        <f t="shared" si="213"/>
        <v>20</v>
      </c>
      <c r="JW45" s="29">
        <f t="shared" si="214"/>
        <v>0</v>
      </c>
      <c r="JX45" s="29">
        <f t="shared" si="215"/>
        <v>5.7643826322279126E-3</v>
      </c>
      <c r="JY45" s="29">
        <f t="shared" si="216"/>
        <v>5.6949954480674282E-3</v>
      </c>
      <c r="JZ45" s="29">
        <f t="shared" si="217"/>
        <v>5.5132692391127334E-3</v>
      </c>
      <c r="KA45" s="29">
        <f t="shared" si="218"/>
        <v>5.3094257768427962E-3</v>
      </c>
      <c r="KB45" s="29">
        <f t="shared" si="219"/>
        <v>4.9806269968512293E-3</v>
      </c>
      <c r="KC45" s="29">
        <f t="shared" si="220"/>
        <v>4.3987799003290754E-3</v>
      </c>
      <c r="KD45" s="29">
        <f t="shared" si="221"/>
        <v>4.1467480445840331E-3</v>
      </c>
      <c r="KE45" s="29">
        <f t="shared" si="222"/>
        <v>3.2256213815477853E-3</v>
      </c>
      <c r="KF45" s="29">
        <f t="shared" si="223"/>
        <v>2.5190030717462315E-3</v>
      </c>
      <c r="KG45" s="29">
        <f t="shared" si="224"/>
        <v>-1.5934238249544087E-2</v>
      </c>
      <c r="KH45" s="29">
        <f t="shared" si="225"/>
        <v>0</v>
      </c>
      <c r="KI45" s="29">
        <f t="shared" si="226"/>
        <v>0</v>
      </c>
      <c r="KJ45" s="29">
        <f t="shared" si="227"/>
        <v>0</v>
      </c>
      <c r="KK45" s="29">
        <f t="shared" si="228"/>
        <v>0</v>
      </c>
      <c r="KL45" s="29">
        <f t="shared" si="229"/>
        <v>0</v>
      </c>
      <c r="KM45" s="29">
        <f t="shared" si="230"/>
        <v>0</v>
      </c>
      <c r="KN45" s="29">
        <f t="shared" si="231"/>
        <v>0</v>
      </c>
      <c r="KO45" s="29">
        <f t="shared" si="232"/>
        <v>0</v>
      </c>
      <c r="KP45" s="29">
        <f t="shared" si="233"/>
        <v>0</v>
      </c>
      <c r="KQ45" s="29">
        <f t="shared" si="234"/>
        <v>0</v>
      </c>
      <c r="KR45" s="29">
        <f t="shared" si="235"/>
        <v>0</v>
      </c>
      <c r="KS45" s="29">
        <f t="shared" si="236"/>
        <v>0</v>
      </c>
      <c r="KT45" s="29">
        <f t="shared" si="237"/>
        <v>0</v>
      </c>
      <c r="KU45" s="29">
        <f t="shared" si="238"/>
        <v>0</v>
      </c>
      <c r="KV45" s="29">
        <f t="shared" si="239"/>
        <v>0</v>
      </c>
      <c r="KW45" s="29">
        <f t="shared" si="240"/>
        <v>0</v>
      </c>
      <c r="KX45" s="29">
        <f t="shared" si="241"/>
        <v>0</v>
      </c>
      <c r="KY45" s="29">
        <f t="shared" si="242"/>
        <v>0</v>
      </c>
      <c r="KZ45" s="29">
        <f t="shared" si="243"/>
        <v>0</v>
      </c>
      <c r="LA45" s="29">
        <f t="shared" si="244"/>
        <v>0</v>
      </c>
      <c r="LB45" s="29">
        <f t="shared" si="245"/>
        <v>0</v>
      </c>
      <c r="LP45" s="39"/>
      <c r="LQ45" s="39"/>
      <c r="LR45" s="39"/>
      <c r="LT45" s="39"/>
      <c r="LU45" s="39"/>
      <c r="LY45" s="39"/>
      <c r="LZ45" s="39"/>
      <c r="MA45" s="39"/>
      <c r="MB45" s="39"/>
      <c r="MC45" s="374">
        <f t="shared" si="300"/>
        <v>7.5000000000000025E-2</v>
      </c>
      <c r="MD45" s="387">
        <f t="shared" si="187"/>
        <v>-1810.838677642945</v>
      </c>
      <c r="ME45" s="152">
        <f t="shared" si="188"/>
        <v>-4480.7959887105599</v>
      </c>
      <c r="MF45" s="39"/>
      <c r="MG45" s="374">
        <f t="shared" si="301"/>
        <v>7.5000000000000025E-2</v>
      </c>
      <c r="MH45" s="387">
        <f t="shared" si="189"/>
        <v>-70.497915277409049</v>
      </c>
      <c r="MI45" s="152">
        <f t="shared" si="155"/>
        <v>-174.44225147578655</v>
      </c>
      <c r="MJ45" s="39"/>
      <c r="MK45" s="39"/>
      <c r="ML45" s="39"/>
      <c r="MM45" s="39"/>
      <c r="MN45" s="39"/>
      <c r="MO45" s="39"/>
      <c r="MP45" s="39"/>
      <c r="MQ45" s="39"/>
      <c r="MR45" s="39"/>
      <c r="MS45" s="39"/>
      <c r="MT45" s="39"/>
      <c r="MU45" s="39"/>
      <c r="MV45" s="39"/>
      <c r="MW45" s="39"/>
    </row>
    <row r="46" spans="1:361" ht="12.75" customHeight="1" x14ac:dyDescent="0.3">
      <c r="A46" s="127"/>
      <c r="B46"/>
      <c r="C46" s="3"/>
      <c r="D46" s="88"/>
      <c r="E46" s="88"/>
      <c r="F46" s="88"/>
      <c r="G46" s="27"/>
      <c r="H46" s="27"/>
      <c r="I46" s="165"/>
      <c r="J46" s="56"/>
      <c r="K46" s="56"/>
      <c r="L46" s="386"/>
      <c r="M46" s="290"/>
      <c r="O46" s="56"/>
      <c r="P46" s="290"/>
      <c r="S46" s="251">
        <v>0.96276882982719758</v>
      </c>
      <c r="T46" s="42"/>
      <c r="U46" s="284"/>
      <c r="X46" s="27"/>
      <c r="Z46" s="266"/>
      <c r="AA46" s="111"/>
      <c r="AB46" s="111"/>
      <c r="AC46" s="86"/>
      <c r="AD46" s="27"/>
      <c r="AE46" s="27"/>
      <c r="AF46" s="126"/>
      <c r="AG46" s="4"/>
      <c r="AI46" s="27"/>
      <c r="AJ46" s="27"/>
      <c r="AQ46" s="23"/>
      <c r="AR46" s="23"/>
      <c r="AS46" s="23"/>
      <c r="BI46" s="28"/>
      <c r="BJ46" s="100"/>
      <c r="BY46" s="6"/>
      <c r="BZ46" s="6"/>
      <c r="CA46" s="23" t="s">
        <v>207</v>
      </c>
      <c r="CC46" s="386">
        <f>SUM(CB14:CC44)</f>
        <v>43735.699741317541</v>
      </c>
      <c r="CD46" s="54"/>
      <c r="CE46" s="178"/>
      <c r="CF46" s="4"/>
      <c r="CG46" s="4"/>
      <c r="CH46" s="4">
        <f>SUM(CF14:CH44)</f>
        <v>0</v>
      </c>
      <c r="CI46" s="4"/>
      <c r="CJ46" s="4">
        <f>SUM(CH46,CC46)</f>
        <v>43735.699741317541</v>
      </c>
      <c r="CK46" s="4"/>
      <c r="CL46" s="4"/>
      <c r="CM46" s="4"/>
      <c r="CN46" s="4"/>
      <c r="CO46" s="169"/>
      <c r="DP46" s="41"/>
      <c r="DQ46" s="8"/>
      <c r="DR46" s="53" t="s">
        <v>40</v>
      </c>
      <c r="DS46" s="34"/>
      <c r="DT46" s="34"/>
      <c r="DU46" s="263">
        <v>0.05</v>
      </c>
      <c r="DV46" s="8"/>
      <c r="EJ46" s="340"/>
      <c r="ET46" s="8"/>
      <c r="EU46" s="8"/>
      <c r="FL46" s="8"/>
      <c r="FM46" s="8"/>
      <c r="FN46" s="8"/>
      <c r="FO46" s="8"/>
      <c r="FP46" s="8"/>
      <c r="FQ46" s="8"/>
      <c r="FR46" s="8"/>
      <c r="FS46" s="8"/>
      <c r="FT46" s="8"/>
      <c r="GC46" s="48"/>
      <c r="GD46" s="48"/>
      <c r="GE46" s="48"/>
      <c r="GF46" s="48"/>
      <c r="GG46" s="48"/>
      <c r="GH46" s="48"/>
      <c r="GI46" s="48"/>
      <c r="GJ46" s="48"/>
      <c r="GK46" s="48"/>
      <c r="GL46" s="48"/>
      <c r="GM46" s="48"/>
      <c r="GN46" s="48"/>
      <c r="GO46" s="48"/>
      <c r="GP46" s="48"/>
      <c r="GQ46" s="48"/>
      <c r="GR46" s="48"/>
      <c r="GS46" s="48"/>
      <c r="GT46" s="48"/>
      <c r="GU46" s="48"/>
      <c r="GV46" s="48"/>
      <c r="GW46" s="48"/>
      <c r="GX46" s="48"/>
      <c r="GY46" s="48"/>
      <c r="GZ46" s="48"/>
      <c r="HA46" s="48"/>
      <c r="HB46" s="48"/>
      <c r="HC46" s="48"/>
      <c r="HD46" s="386"/>
      <c r="HG46" s="386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LP46" s="39"/>
      <c r="LQ46" s="39"/>
      <c r="LR46" s="39"/>
      <c r="LT46" s="39"/>
      <c r="LU46" s="39"/>
      <c r="LY46" s="39"/>
      <c r="LZ46" s="39"/>
      <c r="MA46" s="39"/>
      <c r="MB46" s="39"/>
      <c r="MC46" s="374">
        <f t="shared" si="300"/>
        <v>7.7500000000000027E-2</v>
      </c>
      <c r="MD46" s="387">
        <f t="shared" si="187"/>
        <v>0</v>
      </c>
      <c r="ME46" s="152">
        <f t="shared" si="188"/>
        <v>-4620.6416315182169</v>
      </c>
      <c r="MF46" s="39"/>
      <c r="MG46" s="374">
        <f t="shared" si="301"/>
        <v>7.7500000000000027E-2</v>
      </c>
      <c r="MH46" s="387">
        <f t="shared" si="189"/>
        <v>0</v>
      </c>
      <c r="MI46" s="152">
        <f t="shared" si="155"/>
        <v>-179.88659414434588</v>
      </c>
      <c r="MJ46" s="39"/>
      <c r="MK46" s="39"/>
      <c r="ML46" s="39"/>
      <c r="MM46" s="39"/>
      <c r="MN46" s="39"/>
      <c r="MO46" s="39"/>
      <c r="MP46" s="39"/>
      <c r="MQ46" s="39"/>
      <c r="MR46" s="39"/>
      <c r="MS46" s="39"/>
      <c r="MT46" s="39"/>
      <c r="MU46" s="39"/>
      <c r="MV46" s="39"/>
      <c r="MW46" s="39"/>
    </row>
    <row r="47" spans="1:361" ht="12.75" customHeight="1" x14ac:dyDescent="0.3">
      <c r="A47" s="2"/>
      <c r="B47"/>
      <c r="C47" s="3"/>
      <c r="D47" s="88"/>
      <c r="E47" s="88"/>
      <c r="F47" s="88"/>
      <c r="G47" s="27"/>
      <c r="H47" s="27"/>
      <c r="I47" s="165"/>
      <c r="J47" s="56"/>
      <c r="L47" s="386"/>
      <c r="M47" s="290"/>
      <c r="P47" s="290"/>
      <c r="S47" s="251">
        <v>0.98464993959599745</v>
      </c>
      <c r="T47" s="42"/>
      <c r="U47" s="284"/>
      <c r="X47" s="27"/>
      <c r="Z47" s="270"/>
      <c r="AA47" s="111"/>
      <c r="AB47" s="111"/>
      <c r="AC47" s="87"/>
      <c r="AD47" s="27"/>
      <c r="AE47" s="27"/>
      <c r="AF47" s="126"/>
      <c r="AG47" s="4"/>
      <c r="AI47" s="27"/>
      <c r="AJ47" s="27"/>
      <c r="AQ47" s="42"/>
      <c r="AR47" s="23"/>
      <c r="AS47" s="23"/>
      <c r="AT47" s="23" t="s">
        <v>106</v>
      </c>
      <c r="AU47" s="23"/>
      <c r="AV47" s="23" t="s">
        <v>106</v>
      </c>
      <c r="AW47" s="23"/>
      <c r="BI47" s="28"/>
      <c r="BJ47" s="100"/>
      <c r="BY47" s="6"/>
      <c r="BZ47" s="6"/>
      <c r="CA47" s="23" t="s">
        <v>209</v>
      </c>
      <c r="CC47" s="415">
        <v>40627.700684137213</v>
      </c>
      <c r="CD47" s="54"/>
      <c r="CE47" s="54"/>
      <c r="CF47" s="4"/>
      <c r="CG47" s="4"/>
      <c r="CH47" s="416">
        <v>7863.9730969622979</v>
      </c>
      <c r="CI47" s="416"/>
      <c r="CJ47" s="4">
        <f>SUM(CH47,CC47)</f>
        <v>48491.673781099511</v>
      </c>
      <c r="CK47" s="4"/>
      <c r="CL47" s="4"/>
      <c r="CM47" s="4"/>
      <c r="CN47" s="4"/>
      <c r="CO47" s="169"/>
      <c r="DP47" s="41"/>
      <c r="DQ47" s="8"/>
      <c r="DR47" s="53" t="s">
        <v>174</v>
      </c>
      <c r="DS47" s="34"/>
      <c r="DT47" s="34"/>
      <c r="DU47" s="281" t="s">
        <v>37</v>
      </c>
      <c r="DV47" s="8"/>
      <c r="EJ47" s="340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9"/>
      <c r="FQ47" s="8"/>
      <c r="FR47" s="8"/>
      <c r="FS47" s="8"/>
      <c r="FT47" s="8"/>
      <c r="FU47" s="112"/>
      <c r="GC47" s="48"/>
      <c r="GD47" s="48"/>
      <c r="GE47" s="48"/>
      <c r="GF47" s="48"/>
      <c r="GG47" s="48"/>
      <c r="GH47" s="48"/>
      <c r="GI47" s="48"/>
      <c r="GJ47" s="48"/>
      <c r="GK47" s="48"/>
      <c r="GL47" s="48"/>
      <c r="GM47" s="48"/>
      <c r="GN47" s="48"/>
      <c r="GO47" s="48"/>
      <c r="GP47" s="48"/>
      <c r="GQ47" s="48"/>
      <c r="GR47" s="48"/>
      <c r="GS47" s="48"/>
      <c r="GT47" s="48"/>
      <c r="GU47" s="48"/>
      <c r="GV47" s="48"/>
      <c r="GW47" s="48"/>
      <c r="GX47" s="48"/>
      <c r="GY47" s="48"/>
      <c r="GZ47" s="48"/>
      <c r="HA47" s="48"/>
      <c r="HB47" s="48"/>
      <c r="HC47" s="48"/>
      <c r="HD47" s="48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LP47" s="39"/>
      <c r="LQ47" s="39"/>
      <c r="LR47" s="39"/>
      <c r="LT47" s="39"/>
      <c r="LU47" s="39"/>
      <c r="LY47" s="39"/>
      <c r="LZ47" s="39"/>
      <c r="MA47" s="39"/>
      <c r="MB47" s="39"/>
      <c r="MC47" s="374">
        <f t="shared" si="300"/>
        <v>8.0000000000000029E-2</v>
      </c>
      <c r="MD47" s="39"/>
      <c r="ME47" s="39"/>
      <c r="MF47" s="39"/>
      <c r="MG47" s="374">
        <f t="shared" si="301"/>
        <v>8.0000000000000029E-2</v>
      </c>
      <c r="MH47" s="387" t="e">
        <f t="shared" si="189"/>
        <v>#DIV/0!</v>
      </c>
      <c r="MI47" s="152">
        <f t="shared" si="155"/>
        <v>-185.50085474759095</v>
      </c>
      <c r="MJ47" s="39"/>
      <c r="MK47" s="39"/>
      <c r="ML47" s="39"/>
      <c r="MM47" s="39"/>
      <c r="MN47" s="39"/>
      <c r="MO47" s="39"/>
      <c r="MP47" s="39"/>
      <c r="MQ47" s="39"/>
      <c r="MR47" s="39"/>
      <c r="MS47" s="39"/>
      <c r="MT47" s="39"/>
      <c r="MU47" s="39"/>
      <c r="MV47" s="39"/>
      <c r="MW47" s="39"/>
    </row>
    <row r="48" spans="1:361" ht="12.75" customHeight="1" x14ac:dyDescent="0.3">
      <c r="A48" s="2"/>
      <c r="B48"/>
      <c r="C48" s="9"/>
      <c r="D48" s="88"/>
      <c r="E48" s="88"/>
      <c r="F48" s="88"/>
      <c r="G48" s="27"/>
      <c r="H48" s="27"/>
      <c r="I48" s="165"/>
      <c r="K48" s="372"/>
      <c r="L48" s="386"/>
      <c r="M48" s="290"/>
      <c r="P48" s="290"/>
      <c r="S48" s="251">
        <v>1</v>
      </c>
      <c r="U48" s="284"/>
      <c r="X48" s="27"/>
      <c r="AA48" s="111"/>
      <c r="AB48" s="111"/>
      <c r="AC48" s="42"/>
      <c r="AD48" s="27"/>
      <c r="AE48" s="27"/>
      <c r="AF48" s="126"/>
      <c r="AG48" s="26"/>
      <c r="AH48" s="40"/>
      <c r="AI48" s="27"/>
      <c r="AJ48" s="27"/>
      <c r="AK48" s="40"/>
      <c r="AL48" s="40"/>
      <c r="AQ48" s="23"/>
      <c r="AR48" s="225" t="s">
        <v>178</v>
      </c>
      <c r="AS48" s="23"/>
      <c r="AT48" s="23" t="s">
        <v>213</v>
      </c>
      <c r="AU48" s="23"/>
      <c r="AV48" s="23" t="s">
        <v>213</v>
      </c>
      <c r="AW48" s="23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28"/>
      <c r="BJ48" s="100"/>
      <c r="BK48" s="67"/>
      <c r="BL48" s="67"/>
      <c r="BM48" s="67"/>
      <c r="BN48" s="67"/>
      <c r="BO48" s="67"/>
      <c r="BP48" s="63"/>
      <c r="BQ48" s="63"/>
      <c r="BR48" s="63"/>
      <c r="BS48" s="63"/>
      <c r="BT48" s="63"/>
      <c r="BU48" s="63"/>
      <c r="BV48" s="63"/>
      <c r="BW48" s="63"/>
      <c r="BX48" s="63"/>
      <c r="BY48" s="6"/>
      <c r="BZ48" s="6"/>
      <c r="CA48" s="23"/>
      <c r="CB48" s="23"/>
      <c r="CC48" s="23"/>
      <c r="CD48" s="54"/>
      <c r="CE48" s="23"/>
      <c r="CF48" s="4"/>
      <c r="CG48" s="4"/>
      <c r="CH48" s="4"/>
      <c r="CI48" s="4"/>
      <c r="CJ48" s="4"/>
      <c r="CK48" s="4"/>
      <c r="CL48" s="4"/>
      <c r="CM48" s="4"/>
      <c r="CN48" s="37"/>
      <c r="CO48" s="169"/>
      <c r="DP48" s="41"/>
      <c r="DQ48" s="8"/>
      <c r="DR48" s="53" t="s">
        <v>41</v>
      </c>
      <c r="DS48" s="34"/>
      <c r="DT48" s="34"/>
      <c r="DU48" s="278">
        <v>1</v>
      </c>
      <c r="DV48" s="8"/>
      <c r="EJ48" s="340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GC48" s="48"/>
      <c r="GD48" s="48"/>
      <c r="GE48" s="48"/>
      <c r="GF48" s="48"/>
      <c r="GG48" s="48"/>
      <c r="GH48" s="48"/>
      <c r="GI48" s="48"/>
      <c r="GJ48" s="48"/>
      <c r="GK48" s="48"/>
      <c r="GL48" s="48"/>
      <c r="GM48" s="48"/>
      <c r="GN48" s="48"/>
      <c r="GO48" s="48"/>
      <c r="GP48" s="48"/>
      <c r="GQ48" s="48"/>
      <c r="GR48" s="48"/>
      <c r="GS48" s="48"/>
      <c r="GT48" s="48"/>
      <c r="GU48" s="48"/>
      <c r="GV48" s="48"/>
      <c r="GW48" s="48"/>
      <c r="GX48" s="48"/>
      <c r="GY48" s="48"/>
      <c r="GZ48" s="48"/>
      <c r="HA48" s="48"/>
      <c r="HB48" s="48"/>
      <c r="HC48" s="48"/>
      <c r="HD48" s="48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LP48" s="39"/>
      <c r="LQ48" s="39"/>
      <c r="LR48" s="39"/>
      <c r="LT48" s="39"/>
      <c r="LU48" s="39"/>
      <c r="LV48" s="56"/>
      <c r="LW48" s="56"/>
      <c r="LX48" s="56"/>
      <c r="LY48" s="39"/>
      <c r="LZ48" s="39"/>
      <c r="MA48" s="39"/>
      <c r="MB48" s="39"/>
      <c r="MC48" s="374">
        <f t="shared" si="300"/>
        <v>8.2500000000000032E-2</v>
      </c>
      <c r="MD48" s="39"/>
      <c r="ME48" s="39"/>
      <c r="MF48" s="39"/>
      <c r="MG48" s="374">
        <f t="shared" si="301"/>
        <v>8.2500000000000032E-2</v>
      </c>
      <c r="MH48" s="39"/>
      <c r="MI48" s="39"/>
      <c r="MJ48" s="39"/>
      <c r="MK48" s="39"/>
      <c r="ML48" s="39"/>
      <c r="MM48" s="39"/>
      <c r="MN48" s="39"/>
      <c r="MO48" s="39"/>
      <c r="MP48" s="39"/>
      <c r="MQ48" s="39"/>
      <c r="MR48" s="39"/>
      <c r="MS48" s="39"/>
      <c r="MT48" s="39"/>
      <c r="MU48" s="39"/>
      <c r="MV48" s="39"/>
      <c r="MW48" s="39"/>
    </row>
    <row r="49" spans="1:361" x14ac:dyDescent="0.3">
      <c r="A49" s="11"/>
      <c r="B49"/>
      <c r="C49" s="9"/>
      <c r="D49" s="88"/>
      <c r="E49" s="88"/>
      <c r="F49" s="88"/>
      <c r="G49" s="111"/>
      <c r="H49" s="27"/>
      <c r="I49" s="165"/>
      <c r="J49" s="56"/>
      <c r="K49" s="372"/>
      <c r="L49" s="386"/>
      <c r="M49" s="290"/>
      <c r="O49" s="56"/>
      <c r="P49" s="290"/>
      <c r="Q49" s="56"/>
      <c r="R49" s="56"/>
      <c r="S49" s="56"/>
      <c r="T49" s="56"/>
      <c r="U49" s="284"/>
      <c r="V49" s="56"/>
      <c r="W49" s="56"/>
      <c r="X49" s="27"/>
      <c r="AA49" s="111"/>
      <c r="AB49" s="111"/>
      <c r="AC49" s="42"/>
      <c r="AD49" s="27"/>
      <c r="AE49" s="27"/>
      <c r="AF49" s="126"/>
      <c r="AG49" s="26"/>
      <c r="AH49" s="40"/>
      <c r="AI49" s="27"/>
      <c r="AJ49" s="27"/>
      <c r="AK49" s="40"/>
      <c r="AL49" s="40"/>
      <c r="AQ49" s="42"/>
      <c r="AR49" s="228" t="s">
        <v>179</v>
      </c>
      <c r="AS49" s="23"/>
      <c r="AT49" s="23"/>
      <c r="AU49" s="23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28"/>
      <c r="BJ49" s="100"/>
      <c r="BK49" s="12"/>
      <c r="BL49" s="12"/>
      <c r="BM49" s="12"/>
      <c r="BN49" s="12"/>
      <c r="BO49" s="12"/>
      <c r="BW49" s="6"/>
      <c r="BX49" s="6"/>
      <c r="BY49" s="6"/>
      <c r="BZ49" s="6"/>
      <c r="CA49" s="56"/>
      <c r="CB49" s="56"/>
      <c r="CC49" s="56"/>
      <c r="CD49" s="42"/>
      <c r="CE49" s="42"/>
      <c r="CF49" s="4"/>
      <c r="CG49" s="4"/>
      <c r="CH49" s="4"/>
      <c r="CI49" s="4"/>
      <c r="CJ49" s="4"/>
      <c r="CK49" s="4"/>
      <c r="CL49" s="4"/>
      <c r="CM49" s="4"/>
      <c r="CN49" s="37"/>
      <c r="CO49" s="169"/>
      <c r="DA49" s="10"/>
      <c r="DG49" t="str">
        <f>'Outputs - Cash Infusion'!A3</f>
        <v>Year</v>
      </c>
      <c r="DH49" s="39" t="str">
        <f>'Outputs - Cash Infusion'!B3</f>
        <v>ER Contribution Rates</v>
      </c>
      <c r="DI49" s="39">
        <v>0</v>
      </c>
      <c r="DJ49" s="39">
        <v>100</v>
      </c>
      <c r="DK49" s="39">
        <v>500</v>
      </c>
      <c r="DL49" s="39">
        <v>1000</v>
      </c>
      <c r="DR49" s="51" t="s">
        <v>56</v>
      </c>
      <c r="DS49" s="52"/>
      <c r="DT49" s="52"/>
      <c r="DU49" s="279" t="s">
        <v>52</v>
      </c>
      <c r="DV49" s="345" t="s">
        <v>226</v>
      </c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V49" s="12"/>
      <c r="GC49" s="48"/>
      <c r="GD49" s="48"/>
      <c r="GE49" s="48"/>
      <c r="GF49" s="48"/>
      <c r="GG49" s="48"/>
      <c r="GH49" s="48"/>
      <c r="GI49" s="48"/>
      <c r="GJ49" s="48"/>
      <c r="GK49" s="48"/>
      <c r="GL49" s="48"/>
      <c r="GM49" s="48"/>
      <c r="GN49" s="48"/>
      <c r="GO49" s="48"/>
      <c r="GP49" s="48"/>
      <c r="GQ49" s="48"/>
      <c r="GR49" s="48"/>
      <c r="GS49" s="48"/>
      <c r="GT49" s="48"/>
      <c r="GU49" s="48"/>
      <c r="GV49" s="48"/>
      <c r="GW49" s="48"/>
      <c r="GX49" s="48"/>
      <c r="GY49" s="48"/>
      <c r="GZ49" s="48"/>
      <c r="HA49" s="48"/>
      <c r="HB49" s="48"/>
      <c r="HC49" s="48"/>
      <c r="HD49" s="48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LP49" s="39"/>
      <c r="LQ49" s="39"/>
      <c r="LR49" s="39"/>
      <c r="LT49" s="39"/>
      <c r="LU49" s="39"/>
      <c r="LV49" s="56"/>
      <c r="LW49" s="56"/>
      <c r="LX49" s="56"/>
      <c r="LY49" s="39"/>
      <c r="LZ49" s="39"/>
      <c r="MA49" s="39"/>
      <c r="MB49" s="39"/>
      <c r="MC49" s="39"/>
      <c r="MD49" s="39"/>
      <c r="ME49" s="39"/>
      <c r="MF49" s="39"/>
      <c r="MG49" s="39"/>
      <c r="MH49" s="39"/>
      <c r="MI49" s="39"/>
      <c r="MJ49" s="39"/>
      <c r="MK49" s="39"/>
      <c r="ML49" s="39"/>
      <c r="MM49" s="39"/>
      <c r="MN49" s="39"/>
      <c r="MO49" s="39"/>
      <c r="MP49" s="39"/>
      <c r="MQ49" s="39"/>
      <c r="MR49" s="39"/>
      <c r="MS49" s="39"/>
      <c r="MT49" s="39"/>
      <c r="MU49" s="39"/>
      <c r="MV49" s="39"/>
      <c r="MW49" s="39"/>
    </row>
    <row r="50" spans="1:361" x14ac:dyDescent="0.3">
      <c r="A50" s="20"/>
      <c r="B50"/>
      <c r="C50" s="20"/>
      <c r="D50" s="20"/>
      <c r="E50" s="20"/>
      <c r="F50" s="385"/>
      <c r="G50" s="111"/>
      <c r="H50" s="27"/>
      <c r="I50" s="165"/>
      <c r="J50" s="6"/>
      <c r="K50" s="372"/>
      <c r="L50" s="386"/>
      <c r="M50" s="290"/>
      <c r="O50" s="56"/>
      <c r="P50" s="290"/>
      <c r="Q50" s="6"/>
      <c r="R50" s="6"/>
      <c r="S50" s="6"/>
      <c r="T50" s="6"/>
      <c r="U50" s="284"/>
      <c r="V50" s="6"/>
      <c r="W50" s="6"/>
      <c r="X50" s="27"/>
      <c r="Y50" s="6"/>
      <c r="Z50" s="6"/>
      <c r="AA50" s="111"/>
      <c r="AB50" s="111"/>
      <c r="AD50" s="27"/>
      <c r="AE50" s="27"/>
      <c r="AI50" s="27"/>
      <c r="AJ50" s="27"/>
      <c r="AQ50" s="4"/>
      <c r="AR50" s="227" t="s">
        <v>180</v>
      </c>
      <c r="AS50" s="23"/>
      <c r="AT50" s="23"/>
      <c r="AU50" s="23"/>
      <c r="AV50" s="67"/>
      <c r="AW50" s="67"/>
      <c r="AX50" s="12"/>
      <c r="AY50" s="12"/>
      <c r="AZ50" s="12"/>
      <c r="BA50" s="12"/>
      <c r="BB50" s="12"/>
      <c r="BC50" s="23"/>
      <c r="BD50" s="23"/>
      <c r="BE50" s="23"/>
      <c r="BF50" s="23"/>
      <c r="BG50" s="23"/>
      <c r="BH50" s="12"/>
      <c r="BI50" s="28"/>
      <c r="BJ50" s="100"/>
      <c r="BK50" s="23"/>
      <c r="BL50" s="12"/>
      <c r="BM50" s="12"/>
      <c r="BN50" s="12"/>
      <c r="BO50" s="12"/>
      <c r="BP50" s="4"/>
      <c r="BQ50" s="4"/>
      <c r="BR50" s="4"/>
      <c r="BV50" s="206"/>
      <c r="BW50" s="6"/>
      <c r="BX50" s="6"/>
      <c r="BY50" s="37"/>
      <c r="BZ50" s="37"/>
      <c r="CA50" s="37"/>
      <c r="CB50" s="37" t="s">
        <v>312</v>
      </c>
      <c r="CC50" s="37"/>
      <c r="CD50" s="37"/>
      <c r="CE50" s="37"/>
      <c r="CF50" s="37"/>
      <c r="CG50" s="37"/>
      <c r="CH50" s="37"/>
      <c r="CI50" s="37"/>
      <c r="CJ50" s="37"/>
      <c r="CK50" s="37"/>
      <c r="CL50" s="37"/>
      <c r="CM50" s="37"/>
      <c r="CN50" s="37"/>
      <c r="CO50" s="169"/>
      <c r="DA50" s="42"/>
      <c r="DG50">
        <f>'Outputs - Cash Infusion'!A4</f>
        <v>2021</v>
      </c>
      <c r="DH50" s="424">
        <f>'Outputs - Cash Infusion'!B4</f>
        <v>0.15858867863501119</v>
      </c>
      <c r="DI50" s="426">
        <f t="dataTable" ref="DI50:DL249" dt2D="0" dtr="1" r1="DU64" ca="1"/>
        <v>0.15858867863501119</v>
      </c>
      <c r="DJ50" s="426">
        <v>0.15858867863501119</v>
      </c>
      <c r="DK50" s="426">
        <v>0.15858867863501119</v>
      </c>
      <c r="DL50" s="426">
        <v>0.15858867863501119</v>
      </c>
      <c r="DP50" s="37"/>
      <c r="DV50" s="98"/>
      <c r="EJ50" s="341"/>
      <c r="ET50" s="98"/>
      <c r="EU50" s="9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V50" s="12"/>
      <c r="GC50" s="48"/>
      <c r="GD50" s="48"/>
      <c r="GE50" s="48"/>
      <c r="GF50" s="48"/>
      <c r="GG50" s="48"/>
      <c r="GH50" s="48"/>
      <c r="GI50" s="48"/>
      <c r="GJ50" s="48"/>
      <c r="GK50" s="48"/>
      <c r="GL50" s="48"/>
      <c r="GM50" s="48"/>
      <c r="GN50" s="48"/>
      <c r="GO50" s="48"/>
      <c r="GP50" s="48"/>
      <c r="GQ50" s="48"/>
      <c r="GR50" s="48"/>
      <c r="GS50" s="48"/>
      <c r="GT50" s="48"/>
      <c r="GU50" s="48"/>
      <c r="GV50" s="48"/>
      <c r="GW50" s="48"/>
      <c r="GX50" s="48"/>
      <c r="GY50" s="48"/>
      <c r="GZ50" s="48"/>
      <c r="HA50" s="48"/>
      <c r="HB50" s="48"/>
      <c r="HC50" s="48"/>
      <c r="HD50" s="48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LP50" s="39"/>
      <c r="LQ50" s="39"/>
      <c r="LR50" s="39"/>
      <c r="LT50" s="39"/>
      <c r="LU50" s="39"/>
      <c r="LV50" s="6"/>
      <c r="LW50" s="6"/>
      <c r="LX50" s="6"/>
      <c r="LY50" s="39"/>
      <c r="LZ50" s="39"/>
      <c r="MA50" s="39"/>
      <c r="MB50" s="39"/>
      <c r="MC50" s="39"/>
      <c r="MD50" s="39"/>
      <c r="ME50" s="39"/>
      <c r="MF50" s="39"/>
      <c r="MG50" s="39"/>
      <c r="MH50" s="39"/>
      <c r="MI50" s="39"/>
      <c r="MJ50" s="39"/>
      <c r="MK50" s="39"/>
      <c r="ML50" s="39"/>
      <c r="MM50" s="39"/>
      <c r="MN50" s="39"/>
      <c r="MO50" s="39"/>
      <c r="MP50" s="39"/>
      <c r="MQ50" s="39"/>
      <c r="MR50" s="39"/>
      <c r="MS50" s="39"/>
      <c r="MT50" s="39"/>
      <c r="MU50" s="39"/>
      <c r="MV50" s="39"/>
      <c r="MW50" s="39"/>
    </row>
    <row r="51" spans="1:361" x14ac:dyDescent="0.3">
      <c r="A51" s="20"/>
      <c r="B51"/>
      <c r="C51" s="20"/>
      <c r="D51" s="20"/>
      <c r="E51" s="20"/>
      <c r="F51" s="20"/>
      <c r="G51" s="111"/>
      <c r="H51" s="27"/>
      <c r="I51" s="165"/>
      <c r="J51" s="56"/>
      <c r="K51" s="372"/>
      <c r="L51" s="386"/>
      <c r="M51" s="290"/>
      <c r="O51" s="56"/>
      <c r="P51" s="290"/>
      <c r="Q51" s="4"/>
      <c r="R51" s="4"/>
      <c r="S51" s="6"/>
      <c r="T51" s="6"/>
      <c r="U51" s="284"/>
      <c r="V51" s="6"/>
      <c r="W51" s="6"/>
      <c r="X51" s="27"/>
      <c r="Y51" s="6"/>
      <c r="Z51" s="6"/>
      <c r="AA51" s="111"/>
      <c r="AB51" s="111"/>
      <c r="AD51" s="27"/>
      <c r="AE51" s="27"/>
      <c r="AI51" s="27"/>
      <c r="AJ51" s="27"/>
      <c r="AQ51" s="4"/>
      <c r="AR51" s="226" t="s">
        <v>181</v>
      </c>
      <c r="AS51" s="23"/>
      <c r="AT51" s="23"/>
      <c r="AU51" s="23"/>
      <c r="AV51" s="23"/>
      <c r="AW51" s="23"/>
      <c r="AX51" s="12"/>
      <c r="AY51" s="12"/>
      <c r="AZ51" s="12"/>
      <c r="BA51" s="12"/>
      <c r="BB51" s="12"/>
      <c r="BC51" s="23"/>
      <c r="BD51" s="23"/>
      <c r="BE51" s="23"/>
      <c r="BF51" s="23"/>
      <c r="BG51" s="23"/>
      <c r="BH51" s="12"/>
      <c r="BI51" s="28"/>
      <c r="BJ51" s="100"/>
      <c r="BK51" s="23"/>
      <c r="BL51" s="12"/>
      <c r="BM51" s="12"/>
      <c r="BN51" s="12"/>
      <c r="BO51" s="12"/>
      <c r="BP51" s="4"/>
      <c r="BQ51" s="4"/>
      <c r="BR51" s="4"/>
      <c r="BV51" s="6"/>
      <c r="BW51" s="6"/>
      <c r="BX51" s="6"/>
      <c r="BY51" s="37"/>
      <c r="BZ51" s="37"/>
      <c r="CA51" s="37" t="s">
        <v>314</v>
      </c>
      <c r="CB51" s="37" t="s">
        <v>313</v>
      </c>
      <c r="CC51" s="37"/>
      <c r="CD51" s="37"/>
      <c r="CE51" s="37"/>
      <c r="CF51" s="37"/>
      <c r="CG51" s="37"/>
      <c r="CH51" s="37"/>
      <c r="CI51" s="37"/>
      <c r="CJ51" s="37"/>
      <c r="CK51" s="37"/>
      <c r="CL51" s="37"/>
      <c r="CM51" s="37"/>
      <c r="CN51" s="37"/>
      <c r="CO51" s="169"/>
      <c r="DA51" s="43"/>
      <c r="DG51">
        <f>'Outputs - Cash Infusion'!A5</f>
        <v>2022</v>
      </c>
      <c r="DH51" s="424">
        <f>'Outputs - Cash Infusion'!B5</f>
        <v>2.0563622522784729E-2</v>
      </c>
      <c r="DI51" s="426">
        <v>0.16560000000000002</v>
      </c>
      <c r="DJ51" s="426">
        <v>0.17394943408840768</v>
      </c>
      <c r="DK51" s="426">
        <v>0.20734717044203829</v>
      </c>
      <c r="DL51" s="426">
        <v>0.24909434088407656</v>
      </c>
      <c r="DO51" s="39" t="s">
        <v>294</v>
      </c>
      <c r="DP51" s="386">
        <f>SUM(DB14:DB43)</f>
        <v>43098.044893129547</v>
      </c>
      <c r="DR51" s="75" t="s">
        <v>30</v>
      </c>
      <c r="DS51" s="76"/>
      <c r="DT51" s="76"/>
      <c r="DU51" s="231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V51" s="12"/>
      <c r="GC51" s="48"/>
      <c r="GD51" s="48"/>
      <c r="GE51" s="48"/>
      <c r="GF51" s="48"/>
      <c r="GG51" s="48"/>
      <c r="GH51" s="48"/>
      <c r="GI51" s="48"/>
      <c r="GJ51" s="48"/>
      <c r="GK51" s="48"/>
      <c r="GL51" s="48"/>
      <c r="GM51" s="48"/>
      <c r="GN51" s="48"/>
      <c r="GO51" s="48"/>
      <c r="GP51" s="48"/>
      <c r="GQ51" s="48"/>
      <c r="GR51" s="48"/>
      <c r="GS51" s="48"/>
      <c r="GT51" s="48"/>
      <c r="GU51" s="48"/>
      <c r="GV51" s="48"/>
      <c r="GW51" s="48"/>
      <c r="GX51" s="48"/>
      <c r="GY51" s="48"/>
      <c r="GZ51" s="48"/>
      <c r="HA51" s="48"/>
      <c r="HB51" s="48"/>
      <c r="HC51" s="48"/>
      <c r="HD51" s="48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LP51" s="39"/>
      <c r="LQ51" s="39"/>
      <c r="LR51" s="39"/>
      <c r="LT51" s="39"/>
      <c r="LU51" s="39"/>
      <c r="LV51" s="6"/>
      <c r="LW51" s="6"/>
      <c r="LX51" s="6"/>
      <c r="LY51" s="39"/>
      <c r="LZ51" s="39"/>
      <c r="MA51" s="39"/>
      <c r="MB51" s="39"/>
      <c r="MC51" s="39"/>
      <c r="MD51" s="39"/>
      <c r="ME51" s="39"/>
      <c r="MF51" s="39"/>
      <c r="MG51" s="39"/>
      <c r="MH51" s="39"/>
      <c r="MI51" s="39"/>
      <c r="MJ51" s="39"/>
      <c r="MK51" s="39"/>
      <c r="ML51" s="39"/>
      <c r="MM51" s="39"/>
      <c r="MN51" s="39"/>
      <c r="MO51" s="39"/>
      <c r="MP51" s="39"/>
      <c r="MQ51" s="39"/>
      <c r="MR51" s="39"/>
      <c r="MS51" s="39"/>
      <c r="MT51" s="39"/>
      <c r="MU51" s="39"/>
      <c r="MV51" s="39"/>
      <c r="MW51" s="39"/>
    </row>
    <row r="52" spans="1:361" x14ac:dyDescent="0.3">
      <c r="A52" s="20"/>
      <c r="B52" s="20"/>
      <c r="C52" s="9"/>
      <c r="D52" s="9"/>
      <c r="E52" s="9"/>
      <c r="F52" s="9"/>
      <c r="G52" s="9"/>
      <c r="H52" s="9"/>
      <c r="I52" s="165"/>
      <c r="J52" s="56"/>
      <c r="L52" s="386"/>
      <c r="M52" s="290"/>
      <c r="O52" s="56"/>
      <c r="P52" s="56"/>
      <c r="Q52" s="4"/>
      <c r="R52" s="4"/>
      <c r="S52" s="40"/>
      <c r="T52" s="40"/>
      <c r="U52" s="40"/>
      <c r="V52" s="40"/>
      <c r="W52" s="40"/>
      <c r="X52" s="40"/>
      <c r="Y52" s="40"/>
      <c r="Z52" s="40"/>
      <c r="AA52" s="40"/>
      <c r="AB52" s="40"/>
      <c r="AQ52" s="4"/>
      <c r="AR52" s="4"/>
      <c r="AS52" s="4"/>
      <c r="AT52" s="23"/>
      <c r="AU52" s="23"/>
      <c r="AV52" s="23"/>
      <c r="AW52" s="23"/>
      <c r="AX52" s="12"/>
      <c r="AY52" s="12"/>
      <c r="AZ52" s="12"/>
      <c r="BA52" s="12"/>
      <c r="BB52" s="12"/>
      <c r="BC52" s="23"/>
      <c r="BD52" s="23"/>
      <c r="BE52" s="23"/>
      <c r="BF52" s="23"/>
      <c r="BG52" s="23"/>
      <c r="BH52" s="12"/>
      <c r="BK52" s="23"/>
      <c r="BL52" s="12"/>
      <c r="BM52" s="12"/>
      <c r="BN52" s="12"/>
      <c r="BO52" s="12"/>
      <c r="BP52" s="4"/>
      <c r="BQ52" s="4"/>
      <c r="BR52" s="4"/>
      <c r="BV52" s="37"/>
      <c r="BW52" s="37"/>
      <c r="BX52" s="37"/>
      <c r="BY52" s="37"/>
      <c r="BZ52" s="37"/>
      <c r="CA52" s="37"/>
      <c r="CB52" s="37" t="s">
        <v>311</v>
      </c>
      <c r="CC52" s="37"/>
      <c r="CD52" s="37"/>
      <c r="CE52" s="37"/>
      <c r="CF52" s="37"/>
      <c r="CG52" s="37"/>
      <c r="CH52" s="37"/>
      <c r="CI52" s="37"/>
      <c r="CJ52" s="37"/>
      <c r="CK52" s="37"/>
      <c r="CL52" s="37"/>
      <c r="CM52" s="37"/>
      <c r="CN52" s="37"/>
      <c r="CO52" s="169"/>
      <c r="CZ52" s="4"/>
      <c r="DA52" s="43"/>
      <c r="DG52">
        <f>'Outputs - Cash Infusion'!A6</f>
        <v>2023</v>
      </c>
      <c r="DH52" s="424">
        <f>'Outputs - Cash Infusion'!B6</f>
        <v>0.18282002795512084</v>
      </c>
      <c r="DI52" s="426">
        <v>0.17560000000000006</v>
      </c>
      <c r="DJ52" s="426">
        <v>0.17560000000000006</v>
      </c>
      <c r="DK52" s="426">
        <v>0.17560000000000006</v>
      </c>
      <c r="DL52" s="426">
        <v>0.17560000000000006</v>
      </c>
      <c r="DO52" s="39" t="s">
        <v>295</v>
      </c>
      <c r="DP52" s="386">
        <f>AP43/(1+DU27)^(B43-B14)</f>
        <v>-1380.7156408580465</v>
      </c>
      <c r="DR52" s="50" t="s">
        <v>286</v>
      </c>
      <c r="DS52" s="34"/>
      <c r="DT52" s="34"/>
      <c r="DU52" s="244" t="s">
        <v>281</v>
      </c>
      <c r="EP52" s="38">
        <v>0.13919473544364294</v>
      </c>
      <c r="EQ52" s="38">
        <v>0.14644827505296137</v>
      </c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GC52" s="48"/>
      <c r="GD52" s="48"/>
      <c r="GE52" s="48"/>
      <c r="GF52" s="48"/>
      <c r="GG52" s="48"/>
      <c r="GH52" s="48"/>
      <c r="GI52" s="48"/>
      <c r="GJ52" s="48"/>
      <c r="GK52" s="48"/>
      <c r="GL52" s="48"/>
      <c r="GM52" s="48"/>
      <c r="GN52" s="48"/>
      <c r="GO52" s="48"/>
      <c r="GP52" s="48"/>
      <c r="GQ52" s="48"/>
      <c r="GR52" s="48"/>
      <c r="GS52" s="48"/>
      <c r="GT52" s="48"/>
      <c r="GU52" s="48"/>
      <c r="GV52" s="48"/>
      <c r="GW52" s="48"/>
      <c r="GX52" s="48"/>
      <c r="GY52" s="48"/>
      <c r="GZ52" s="48"/>
      <c r="HA52" s="48"/>
      <c r="HB52" s="48"/>
      <c r="HC52" s="48"/>
      <c r="HD52" s="48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LP52" s="39"/>
      <c r="LQ52" s="39"/>
      <c r="LR52" s="39"/>
      <c r="LT52" s="39"/>
      <c r="LU52" s="39"/>
      <c r="LV52" s="40"/>
      <c r="LW52" s="40"/>
      <c r="LX52" s="40"/>
      <c r="LY52" s="39"/>
      <c r="LZ52" s="39"/>
      <c r="MA52" s="39"/>
      <c r="MB52" s="39"/>
      <c r="MC52" s="39"/>
      <c r="MD52" s="39"/>
      <c r="ME52" s="39"/>
      <c r="MF52" s="39"/>
      <c r="MG52" s="39"/>
      <c r="MH52" s="39"/>
      <c r="MI52" s="39"/>
      <c r="MJ52" s="39"/>
      <c r="MK52" s="39"/>
      <c r="ML52" s="39"/>
      <c r="MM52" s="39"/>
      <c r="MN52" s="39"/>
      <c r="MO52" s="39"/>
      <c r="MP52" s="39"/>
      <c r="MQ52" s="39"/>
      <c r="MR52" s="39"/>
      <c r="MS52" s="39"/>
      <c r="MT52" s="39"/>
      <c r="MU52" s="39"/>
      <c r="MV52" s="39"/>
      <c r="MW52" s="39"/>
    </row>
    <row r="53" spans="1:361" x14ac:dyDescent="0.3">
      <c r="A53" s="20"/>
      <c r="B53" s="20"/>
      <c r="C53" s="19"/>
      <c r="D53" s="19"/>
      <c r="E53" s="19"/>
      <c r="F53" s="19"/>
      <c r="G53" s="19"/>
      <c r="H53" s="19"/>
      <c r="I53" s="165"/>
      <c r="J53" s="42"/>
      <c r="L53" s="386"/>
      <c r="O53" s="56"/>
      <c r="P53" s="56"/>
      <c r="Q53" s="4"/>
      <c r="R53" s="4"/>
      <c r="S53" s="56"/>
      <c r="T53" s="56"/>
      <c r="U53" s="56"/>
      <c r="V53" s="56"/>
      <c r="W53" s="56"/>
      <c r="X53" s="56"/>
      <c r="Y53" s="56"/>
      <c r="Z53" s="56"/>
      <c r="AA53" s="56"/>
      <c r="AB53" s="56"/>
      <c r="AQ53" s="4"/>
      <c r="AR53" s="4"/>
      <c r="AS53" s="4"/>
      <c r="AT53" s="23"/>
      <c r="AU53" s="23"/>
      <c r="AV53" s="23"/>
      <c r="AW53" s="23"/>
      <c r="AX53" s="12"/>
      <c r="AY53" s="12"/>
      <c r="AZ53" s="12"/>
      <c r="BA53" s="12"/>
      <c r="BB53" s="12"/>
      <c r="BC53" s="23"/>
      <c r="BD53" s="23"/>
      <c r="BE53" s="23"/>
      <c r="BF53" s="23"/>
      <c r="BG53" s="23"/>
      <c r="BH53" s="12"/>
      <c r="BK53" s="23"/>
      <c r="BL53" s="12"/>
      <c r="BM53" s="12"/>
      <c r="BN53" s="12"/>
      <c r="BO53" s="12"/>
      <c r="BP53" s="4"/>
      <c r="BQ53" s="4"/>
      <c r="BR53" s="4"/>
      <c r="BV53" s="37"/>
      <c r="BW53" s="37"/>
      <c r="BX53" s="37"/>
      <c r="BY53" s="37"/>
      <c r="BZ53" s="37"/>
      <c r="CA53" s="37"/>
      <c r="CB53" s="37"/>
      <c r="CC53" s="37"/>
      <c r="CD53" s="37"/>
      <c r="CE53" s="37"/>
      <c r="CF53" s="37"/>
      <c r="CG53" s="37"/>
      <c r="CH53" s="37"/>
      <c r="CI53" s="37"/>
      <c r="CJ53" s="37"/>
      <c r="CK53" s="37"/>
      <c r="CL53" s="37"/>
      <c r="CM53" s="37"/>
      <c r="CN53" s="37"/>
      <c r="CO53" s="169"/>
      <c r="CZ53" s="4"/>
      <c r="DA53" s="40"/>
      <c r="DG53">
        <f>'Outputs - Cash Infusion'!A7</f>
        <v>2024</v>
      </c>
      <c r="DH53" s="424">
        <f>'Outputs - Cash Infusion'!B7</f>
        <v>0.17648913917760664</v>
      </c>
      <c r="DI53" s="426">
        <v>0.18560000000000001</v>
      </c>
      <c r="DJ53" s="426">
        <v>0.18560000000000001</v>
      </c>
      <c r="DK53" s="426">
        <v>0.18560000000000001</v>
      </c>
      <c r="DL53" s="426">
        <v>0.18560000000000001</v>
      </c>
      <c r="DO53" s="39" t="s">
        <v>296</v>
      </c>
      <c r="DP53" s="386">
        <f>SUM(DP51:DP52)</f>
        <v>41717.329252271498</v>
      </c>
      <c r="DR53" s="50" t="s">
        <v>336</v>
      </c>
      <c r="DS53" s="42"/>
      <c r="DT53" s="42"/>
      <c r="DU53" s="423">
        <v>0.29599999999999999</v>
      </c>
      <c r="EP53" s="38">
        <v>0.14441113135963379</v>
      </c>
      <c r="EQ53" s="38">
        <v>0.14561794598676497</v>
      </c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GC53" s="48"/>
      <c r="GD53" s="48"/>
      <c r="GE53" s="48"/>
      <c r="GF53" s="48"/>
      <c r="GG53" s="48"/>
      <c r="GH53" s="48"/>
      <c r="GI53" s="48"/>
      <c r="GJ53" s="48"/>
      <c r="GK53" s="48"/>
      <c r="GL53" s="48"/>
      <c r="GM53" s="48"/>
      <c r="GN53" s="48"/>
      <c r="GO53" s="48"/>
      <c r="GP53" s="48"/>
      <c r="GQ53" s="48"/>
      <c r="GR53" s="48"/>
      <c r="GS53" s="48"/>
      <c r="GT53" s="48"/>
      <c r="GU53" s="48"/>
      <c r="GV53" s="48"/>
      <c r="GW53" s="48"/>
      <c r="GX53" s="48"/>
      <c r="GY53" s="48"/>
      <c r="GZ53" s="48"/>
      <c r="HA53" s="48"/>
      <c r="HB53" s="48"/>
      <c r="HC53" s="48"/>
      <c r="HD53" s="48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LP53" s="39"/>
      <c r="LQ53" s="39"/>
      <c r="LR53" s="39"/>
      <c r="LT53" s="39"/>
      <c r="LU53" s="39"/>
      <c r="LV53" s="56"/>
      <c r="LW53" s="56"/>
      <c r="LX53" s="56"/>
      <c r="LY53" s="39"/>
      <c r="LZ53" s="39"/>
      <c r="MA53" s="39"/>
      <c r="MB53" s="39"/>
      <c r="MC53" s="39"/>
      <c r="MD53" s="39"/>
      <c r="ME53" s="39"/>
      <c r="MF53" s="39"/>
      <c r="MG53" s="39"/>
      <c r="MH53" s="39"/>
      <c r="MI53" s="39"/>
      <c r="MJ53" s="39"/>
      <c r="MK53" s="39"/>
      <c r="ML53" s="39"/>
      <c r="MM53" s="39"/>
      <c r="MN53" s="39"/>
      <c r="MO53" s="39"/>
      <c r="MP53" s="39"/>
      <c r="MQ53" s="39"/>
      <c r="MR53" s="39"/>
      <c r="MS53" s="39"/>
      <c r="MT53" s="39"/>
      <c r="MU53" s="39"/>
      <c r="MV53" s="39"/>
      <c r="MW53" s="39"/>
    </row>
    <row r="54" spans="1:361" x14ac:dyDescent="0.3">
      <c r="A54" s="20"/>
      <c r="B54" s="20"/>
      <c r="C54" s="19"/>
      <c r="D54" s="19"/>
      <c r="E54" s="19"/>
      <c r="F54" s="19"/>
      <c r="G54" s="19"/>
      <c r="H54" s="19"/>
      <c r="I54" s="165"/>
      <c r="J54" s="42"/>
      <c r="K54" s="42"/>
      <c r="L54" s="386"/>
      <c r="M54" s="4"/>
      <c r="N54" s="4"/>
      <c r="O54" s="56"/>
      <c r="P54" s="56"/>
      <c r="Q54" s="4"/>
      <c r="R54" s="4"/>
      <c r="S54" s="56"/>
      <c r="T54" s="56"/>
      <c r="U54" s="56"/>
      <c r="V54" s="56"/>
      <c r="W54" s="56"/>
      <c r="X54" s="56"/>
      <c r="Y54" s="56"/>
      <c r="Z54" s="56"/>
      <c r="AA54" s="56"/>
      <c r="AB54" s="56"/>
      <c r="AQ54" s="4"/>
      <c r="AR54" s="4"/>
      <c r="AS54" s="4"/>
      <c r="AT54" s="23"/>
      <c r="AU54" s="23"/>
      <c r="AV54" s="23"/>
      <c r="AW54" s="23"/>
      <c r="AX54" s="12"/>
      <c r="AY54" s="12"/>
      <c r="AZ54" s="12"/>
      <c r="BA54" s="12"/>
      <c r="BB54" s="12"/>
      <c r="BC54" s="23"/>
      <c r="BD54" s="23"/>
      <c r="BE54" s="23"/>
      <c r="BF54" s="23"/>
      <c r="BG54" s="23"/>
      <c r="BH54" s="12"/>
      <c r="BK54" s="23"/>
      <c r="BL54" s="12"/>
      <c r="BM54" s="12"/>
      <c r="BN54" s="12"/>
      <c r="BO54" s="12"/>
      <c r="BP54" s="4"/>
      <c r="BQ54" s="4"/>
      <c r="BR54" s="4"/>
      <c r="BV54" s="37"/>
      <c r="BW54" s="37"/>
      <c r="BX54" s="37"/>
      <c r="BY54" s="37"/>
      <c r="BZ54" s="37"/>
      <c r="CA54" s="37"/>
      <c r="CB54" s="37"/>
      <c r="CC54" s="37"/>
      <c r="CD54" s="37"/>
      <c r="CE54" s="37"/>
      <c r="CF54" s="37"/>
      <c r="CG54" s="37"/>
      <c r="CH54" s="37"/>
      <c r="CI54" s="37"/>
      <c r="CJ54" s="37"/>
      <c r="CK54" s="37"/>
      <c r="CL54" s="37"/>
      <c r="CM54" s="37"/>
      <c r="CN54" s="37"/>
      <c r="CO54" s="169"/>
      <c r="CZ54" s="4"/>
      <c r="DA54" s="40"/>
      <c r="DG54">
        <f>'Outputs - Cash Infusion'!A8</f>
        <v>2025</v>
      </c>
      <c r="DH54" s="424">
        <f>'Outputs - Cash Infusion'!B8</f>
        <v>0.17149827176461482</v>
      </c>
      <c r="DI54" s="426">
        <v>0.18560000000000004</v>
      </c>
      <c r="DJ54" s="426">
        <v>0.18560000000000004</v>
      </c>
      <c r="DK54" s="426">
        <v>0.18560000000000004</v>
      </c>
      <c r="DL54" s="426">
        <v>0.18560000000000004</v>
      </c>
      <c r="DP54" s="37"/>
      <c r="DR54" s="50" t="s">
        <v>285</v>
      </c>
      <c r="DS54" s="34"/>
      <c r="DT54" s="34"/>
      <c r="DU54" s="285">
        <v>7.0000000000000007E-2</v>
      </c>
      <c r="EP54" s="38">
        <v>0.14644827505296137</v>
      </c>
      <c r="EQ54" s="38">
        <v>0.15208585280461628</v>
      </c>
      <c r="GC54" s="48"/>
      <c r="GD54" s="48"/>
      <c r="GE54" s="48"/>
      <c r="GF54" s="48"/>
      <c r="GG54" s="48"/>
      <c r="GH54" s="48"/>
      <c r="GI54" s="48"/>
      <c r="GJ54" s="48"/>
      <c r="GK54" s="48"/>
      <c r="GL54" s="48"/>
      <c r="GM54" s="48"/>
      <c r="GN54" s="48"/>
      <c r="GO54" s="48"/>
      <c r="GP54" s="48"/>
      <c r="GQ54" s="48"/>
      <c r="GR54" s="48"/>
      <c r="GS54" s="48"/>
      <c r="GT54" s="48"/>
      <c r="GU54" s="48"/>
      <c r="GV54" s="48"/>
      <c r="GW54" s="48"/>
      <c r="GX54" s="48"/>
      <c r="GY54" s="48"/>
      <c r="GZ54" s="48"/>
      <c r="HA54" s="48"/>
      <c r="HB54" s="48"/>
      <c r="HC54" s="48"/>
      <c r="HD54" s="48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LP54" s="39"/>
      <c r="LQ54" s="39"/>
      <c r="LR54" s="39"/>
      <c r="LT54" s="39"/>
      <c r="LU54" s="39"/>
      <c r="LV54" s="56"/>
      <c r="LW54" s="56"/>
      <c r="LX54" s="56"/>
      <c r="LY54" s="39"/>
      <c r="LZ54" s="39"/>
      <c r="MA54" s="39"/>
      <c r="MB54" s="39"/>
      <c r="MC54" s="39"/>
      <c r="MD54" s="39"/>
      <c r="ME54" s="39"/>
      <c r="MF54" s="39"/>
      <c r="MG54" s="39"/>
      <c r="MH54" s="39"/>
      <c r="MI54" s="39"/>
      <c r="MJ54" s="39"/>
      <c r="MK54" s="39"/>
      <c r="ML54" s="39"/>
      <c r="MM54" s="39"/>
      <c r="MN54" s="39"/>
      <c r="MO54" s="39"/>
      <c r="MP54" s="39"/>
      <c r="MQ54" s="39"/>
      <c r="MR54" s="39"/>
      <c r="MS54" s="39"/>
      <c r="MT54" s="39"/>
      <c r="MU54" s="39"/>
      <c r="MV54" s="39"/>
      <c r="MW54" s="39"/>
    </row>
    <row r="55" spans="1:361" x14ac:dyDescent="0.3">
      <c r="A55" s="20"/>
      <c r="B55" s="20"/>
      <c r="C55" s="19"/>
      <c r="D55" s="19"/>
      <c r="E55" s="19"/>
      <c r="F55" s="19"/>
      <c r="G55" s="19"/>
      <c r="H55" s="19"/>
      <c r="I55" s="165"/>
      <c r="J55" s="42"/>
      <c r="K55" s="42"/>
      <c r="L55" s="4"/>
      <c r="M55" s="4"/>
      <c r="N55" s="4"/>
      <c r="O55" s="56"/>
      <c r="P55" s="56"/>
      <c r="Q55" s="4"/>
      <c r="R55" s="4"/>
      <c r="S55" s="56"/>
      <c r="T55" s="56"/>
      <c r="U55" s="56"/>
      <c r="V55" s="56"/>
      <c r="W55" s="56"/>
      <c r="X55" s="56"/>
      <c r="Y55" s="56"/>
      <c r="Z55" s="56"/>
      <c r="AA55" s="56"/>
      <c r="AB55" s="56"/>
      <c r="AQ55" s="4"/>
      <c r="AR55" s="4"/>
      <c r="AS55" s="4"/>
      <c r="AT55" s="23"/>
      <c r="AU55" s="23"/>
      <c r="AV55" s="23"/>
      <c r="AW55" s="23"/>
      <c r="AX55" s="12"/>
      <c r="AY55" s="12"/>
      <c r="AZ55" s="12"/>
      <c r="BA55" s="12"/>
      <c r="BB55" s="12"/>
      <c r="BC55" s="23"/>
      <c r="BD55" s="23"/>
      <c r="BE55" s="23"/>
      <c r="BF55" s="23"/>
      <c r="BG55" s="23"/>
      <c r="BH55" s="12"/>
      <c r="BK55" s="23"/>
      <c r="BL55" s="12"/>
      <c r="BM55" s="12"/>
      <c r="BN55" s="12"/>
      <c r="BO55" s="12"/>
      <c r="BP55" s="4"/>
      <c r="BQ55" s="4"/>
      <c r="BR55" s="4"/>
      <c r="BV55" s="37"/>
      <c r="BW55" s="37"/>
      <c r="BX55" s="37"/>
      <c r="BY55" s="37"/>
      <c r="BZ55" s="37"/>
      <c r="CA55" s="37"/>
      <c r="CB55" s="37"/>
      <c r="CC55" s="37"/>
      <c r="CD55" s="37"/>
      <c r="CE55" s="37"/>
      <c r="CF55" s="37"/>
      <c r="CG55" s="37"/>
      <c r="CH55" s="37"/>
      <c r="CI55" s="37"/>
      <c r="CJ55" s="37"/>
      <c r="CK55" s="37"/>
      <c r="CL55" s="37"/>
      <c r="CM55" s="37"/>
      <c r="CN55" s="37"/>
      <c r="CO55" s="169"/>
      <c r="CZ55" s="4"/>
      <c r="DA55" s="40"/>
      <c r="DG55">
        <f>'Outputs - Cash Infusion'!A9</f>
        <v>2026</v>
      </c>
      <c r="DH55" s="424">
        <f>'Outputs - Cash Infusion'!B9</f>
        <v>0.16641665727369651</v>
      </c>
      <c r="DI55" s="426">
        <v>0.18560000000000004</v>
      </c>
      <c r="DJ55" s="426">
        <v>0.18560000000000004</v>
      </c>
      <c r="DK55" s="426">
        <v>0.18560000000000004</v>
      </c>
      <c r="DL55" s="426">
        <v>0.18560000000000004</v>
      </c>
      <c r="DP55" s="37"/>
      <c r="DR55" s="287" t="s">
        <v>210</v>
      </c>
      <c r="DS55" s="42"/>
      <c r="DT55" s="42"/>
      <c r="DU55" s="245">
        <v>2.7E-2</v>
      </c>
      <c r="EP55" s="38">
        <v>0.14561794598676497</v>
      </c>
      <c r="EQ55" s="38">
        <v>0.15111503711983915</v>
      </c>
      <c r="GC55" s="48"/>
      <c r="GD55" s="48"/>
      <c r="GE55" s="48"/>
      <c r="GF55" s="48"/>
      <c r="GG55" s="48"/>
      <c r="GH55" s="48"/>
      <c r="GI55" s="48"/>
      <c r="GJ55" s="48"/>
      <c r="GK55" s="48"/>
      <c r="GL55" s="48"/>
      <c r="GM55" s="48"/>
      <c r="GN55" s="48"/>
      <c r="GO55" s="48"/>
      <c r="GP55" s="48"/>
      <c r="GQ55" s="48"/>
      <c r="GR55" s="48"/>
      <c r="GS55" s="48"/>
      <c r="GT55" s="48"/>
      <c r="GU55" s="48"/>
      <c r="GV55" s="48"/>
      <c r="GW55" s="48"/>
      <c r="GX55" s="48"/>
      <c r="GY55" s="48"/>
      <c r="GZ55" s="48"/>
      <c r="HA55" s="48"/>
      <c r="HB55" s="48"/>
      <c r="HC55" s="48"/>
      <c r="HD55" s="48"/>
      <c r="LP55" s="39"/>
      <c r="LQ55" s="39"/>
      <c r="LR55" s="39"/>
      <c r="LT55" s="39"/>
      <c r="LU55" s="39"/>
      <c r="LV55" s="56"/>
      <c r="LW55" s="56"/>
      <c r="LX55" s="56"/>
      <c r="LY55" s="39"/>
      <c r="LZ55" s="39"/>
      <c r="MA55" s="39"/>
      <c r="MB55" s="39"/>
      <c r="MC55" s="39"/>
      <c r="MD55" s="39"/>
      <c r="ME55" s="39"/>
      <c r="MF55" s="39"/>
      <c r="MG55" s="39"/>
      <c r="MH55" s="39"/>
      <c r="MI55" s="39"/>
      <c r="MJ55" s="39"/>
      <c r="MK55" s="39"/>
      <c r="ML55" s="39"/>
      <c r="MM55" s="39"/>
      <c r="MN55" s="39"/>
      <c r="MO55" s="39"/>
      <c r="MP55" s="39"/>
      <c r="MQ55" s="39"/>
      <c r="MR55" s="39"/>
      <c r="MS55" s="39"/>
      <c r="MT55" s="39"/>
      <c r="MU55" s="39"/>
      <c r="MV55" s="39"/>
      <c r="MW55" s="39"/>
    </row>
    <row r="56" spans="1:361" x14ac:dyDescent="0.3">
      <c r="A56" s="20"/>
      <c r="B56" s="20"/>
      <c r="C56" s="19"/>
      <c r="D56" s="19"/>
      <c r="E56" s="19"/>
      <c r="F56" s="19"/>
      <c r="G56" s="19"/>
      <c r="H56" s="19"/>
      <c r="I56" s="165"/>
      <c r="J56" s="42"/>
      <c r="K56" s="42"/>
      <c r="L56" s="4"/>
      <c r="M56" s="4"/>
      <c r="N56" s="4"/>
      <c r="O56" s="4"/>
      <c r="P56" s="4"/>
      <c r="Q56" s="4"/>
      <c r="R56" s="4"/>
      <c r="S56" s="56"/>
      <c r="T56" s="56"/>
      <c r="U56" s="56"/>
      <c r="V56" s="56"/>
      <c r="W56" s="56"/>
      <c r="X56" s="56"/>
      <c r="Y56" s="56"/>
      <c r="Z56" s="56"/>
      <c r="AA56" s="56"/>
      <c r="AB56" s="56"/>
      <c r="AQ56" s="4"/>
      <c r="AR56" s="4"/>
      <c r="AS56" s="4"/>
      <c r="AT56" s="23"/>
      <c r="AU56" s="23"/>
      <c r="AV56" s="23"/>
      <c r="AW56" s="23"/>
      <c r="AX56" s="12"/>
      <c r="AY56" s="12"/>
      <c r="AZ56" s="12"/>
      <c r="BA56" s="12"/>
      <c r="BB56" s="12"/>
      <c r="BC56" s="23"/>
      <c r="BD56" s="23"/>
      <c r="BE56" s="23"/>
      <c r="BF56" s="23"/>
      <c r="BG56" s="23"/>
      <c r="BH56" s="12"/>
      <c r="BK56" s="23"/>
      <c r="BL56" s="12"/>
      <c r="BM56" s="12"/>
      <c r="BN56" s="12"/>
      <c r="BO56" s="12"/>
      <c r="BP56" s="6"/>
      <c r="BQ56" s="6"/>
      <c r="BR56" s="6"/>
      <c r="BV56" s="37"/>
      <c r="BW56" s="37"/>
      <c r="BX56" s="37"/>
      <c r="BY56" s="37"/>
      <c r="BZ56" s="37"/>
      <c r="CA56" s="37"/>
      <c r="CB56" s="37"/>
      <c r="CC56" s="37"/>
      <c r="CD56" s="37"/>
      <c r="CE56" s="37"/>
      <c r="CF56" s="37"/>
      <c r="CG56" s="37"/>
      <c r="CH56" s="37"/>
      <c r="CI56" s="37"/>
      <c r="CJ56" s="37"/>
      <c r="CK56" s="37"/>
      <c r="CL56" s="37"/>
      <c r="CM56" s="37"/>
      <c r="CN56" s="37"/>
      <c r="CO56" s="169"/>
      <c r="CZ56" s="4"/>
      <c r="DA56" s="40"/>
      <c r="DG56">
        <f>'Outputs - Cash Infusion'!A10</f>
        <v>2027</v>
      </c>
      <c r="DH56" s="424">
        <f>'Outputs - Cash Infusion'!B10</f>
        <v>0.15895298789482601</v>
      </c>
      <c r="DI56" s="426">
        <v>0.18560000000000001</v>
      </c>
      <c r="DJ56" s="426">
        <v>0.18560000000000001</v>
      </c>
      <c r="DK56" s="426">
        <v>0.18560000000000001</v>
      </c>
      <c r="DL56" s="426">
        <v>0.18560000000000001</v>
      </c>
      <c r="DP56" s="37"/>
      <c r="DR56" s="287" t="s">
        <v>211</v>
      </c>
      <c r="DS56" s="288"/>
      <c r="DT56" s="288"/>
      <c r="DU56" s="245">
        <v>2.7E-2</v>
      </c>
      <c r="EK56" s="38" t="s">
        <v>226</v>
      </c>
      <c r="EP56" s="38">
        <v>0.15208585280461628</v>
      </c>
      <c r="EQ56" s="38">
        <v>0.15087244101547864</v>
      </c>
      <c r="GC56" s="48"/>
      <c r="GD56" s="48"/>
      <c r="GE56" s="48"/>
      <c r="GF56" s="48"/>
      <c r="GG56" s="48"/>
      <c r="GH56" s="48"/>
      <c r="GI56" s="48"/>
      <c r="GJ56" s="48"/>
      <c r="GK56" s="48"/>
      <c r="GL56" s="48"/>
      <c r="GM56" s="48"/>
      <c r="GN56" s="48"/>
      <c r="GO56" s="48"/>
      <c r="GP56" s="48"/>
      <c r="GQ56" s="48"/>
      <c r="GR56" s="48"/>
      <c r="GS56" s="48"/>
      <c r="GT56" s="48"/>
      <c r="GU56" s="48"/>
      <c r="GV56" s="48"/>
      <c r="GW56" s="48"/>
      <c r="GX56" s="48"/>
      <c r="GY56" s="48"/>
      <c r="GZ56" s="48"/>
      <c r="HA56" s="48"/>
      <c r="HB56" s="48"/>
      <c r="HC56" s="48"/>
      <c r="HD56" s="48"/>
      <c r="LP56" s="39"/>
      <c r="LQ56" s="39"/>
      <c r="LR56" s="39"/>
      <c r="LT56" s="39"/>
      <c r="LU56" s="39"/>
      <c r="LV56" s="56"/>
      <c r="LW56" s="56"/>
      <c r="LX56" s="56"/>
      <c r="LY56" s="39"/>
      <c r="LZ56" s="39"/>
      <c r="MA56" s="39"/>
      <c r="MB56" s="39"/>
      <c r="MC56" s="39"/>
      <c r="MD56" s="39"/>
      <c r="ME56" s="39"/>
      <c r="MF56" s="39"/>
      <c r="MG56" s="39"/>
      <c r="MH56" s="39"/>
      <c r="MI56" s="39"/>
      <c r="MJ56" s="39"/>
      <c r="MK56" s="39"/>
      <c r="ML56" s="39"/>
      <c r="MM56" s="39"/>
      <c r="MN56" s="39"/>
      <c r="MO56" s="39"/>
      <c r="MP56" s="39"/>
      <c r="MQ56" s="39"/>
      <c r="MR56" s="39"/>
      <c r="MS56" s="39"/>
      <c r="MT56" s="39"/>
      <c r="MU56" s="39"/>
      <c r="MV56" s="39"/>
      <c r="MW56" s="39"/>
    </row>
    <row r="57" spans="1:361" x14ac:dyDescent="0.3">
      <c r="A57" s="20"/>
      <c r="B57" s="20"/>
      <c r="C57" s="19"/>
      <c r="D57" s="19"/>
      <c r="E57" s="19"/>
      <c r="F57" s="19"/>
      <c r="G57" s="19"/>
      <c r="H57" s="19"/>
      <c r="I57" s="165"/>
      <c r="J57" s="42"/>
      <c r="K57" s="42"/>
      <c r="L57" s="4"/>
      <c r="M57" s="4"/>
      <c r="N57" s="4"/>
      <c r="O57" s="4"/>
      <c r="P57" s="4"/>
      <c r="Q57" s="4"/>
      <c r="R57" s="4"/>
      <c r="S57" s="56"/>
      <c r="T57" s="56"/>
      <c r="U57" s="56"/>
      <c r="V57" s="56"/>
      <c r="W57" s="56"/>
      <c r="X57" s="56"/>
      <c r="Y57" s="56"/>
      <c r="Z57" s="56"/>
      <c r="AA57" s="56"/>
      <c r="AB57" s="56"/>
      <c r="AF57" s="126"/>
      <c r="AQ57" s="4"/>
      <c r="AR57" s="4"/>
      <c r="AS57" s="4"/>
      <c r="AT57" s="23"/>
      <c r="AU57" s="23"/>
      <c r="AV57" s="23"/>
      <c r="AW57" s="23"/>
      <c r="AX57" s="12"/>
      <c r="AY57" s="12"/>
      <c r="AZ57" s="12"/>
      <c r="BA57" s="12"/>
      <c r="BB57" s="12"/>
      <c r="BC57" s="23"/>
      <c r="BD57" s="23"/>
      <c r="BE57" s="23"/>
      <c r="BF57" s="23"/>
      <c r="BG57" s="23"/>
      <c r="BH57" s="12"/>
      <c r="BK57" s="23"/>
      <c r="BL57" s="12"/>
      <c r="BM57" s="12"/>
      <c r="BN57" s="12"/>
      <c r="BO57" s="12"/>
      <c r="BP57" s="6"/>
      <c r="BQ57" s="6"/>
      <c r="BR57" s="6"/>
      <c r="BV57" s="37"/>
      <c r="BW57" s="37"/>
      <c r="BX57" s="37"/>
      <c r="BY57" s="37"/>
      <c r="BZ57" s="37"/>
      <c r="CA57" s="37"/>
      <c r="CB57" s="37"/>
      <c r="CC57" s="37"/>
      <c r="CD57" s="37"/>
      <c r="CE57" s="37"/>
      <c r="CF57" s="37"/>
      <c r="CG57" s="37"/>
      <c r="CH57" s="37"/>
      <c r="CI57" s="37"/>
      <c r="CJ57" s="37"/>
      <c r="CK57" s="37"/>
      <c r="CL57" s="37"/>
      <c r="CM57" s="37"/>
      <c r="CN57" s="37"/>
      <c r="CO57" s="169"/>
      <c r="CZ57" s="4"/>
      <c r="DA57" s="40"/>
      <c r="DG57">
        <f>'Outputs - Cash Infusion'!A11</f>
        <v>2028</v>
      </c>
      <c r="DH57" s="424">
        <f>'Outputs - Cash Infusion'!B11</f>
        <v>0.15878990813951055</v>
      </c>
      <c r="DI57" s="426">
        <v>0.18560000000000001</v>
      </c>
      <c r="DJ57" s="426">
        <v>0.18560000000000001</v>
      </c>
      <c r="DK57" s="426">
        <v>0.18560000000000001</v>
      </c>
      <c r="DL57" s="426">
        <v>0.18560000000000001</v>
      </c>
      <c r="DP57" s="37"/>
      <c r="DR57" s="53" t="s">
        <v>84</v>
      </c>
      <c r="DS57" s="42"/>
      <c r="DT57" s="42"/>
      <c r="DU57" s="247">
        <f>MN35</f>
        <v>11.704903145611345</v>
      </c>
      <c r="EK57" s="38" t="s">
        <v>227</v>
      </c>
      <c r="EP57" s="38">
        <v>0.15111503711983915</v>
      </c>
      <c r="EQ57" s="38">
        <v>0.15036851340602203</v>
      </c>
      <c r="GC57" s="48"/>
      <c r="GD57" s="48"/>
      <c r="GE57" s="48"/>
      <c r="GF57" s="48"/>
      <c r="GG57" s="48"/>
      <c r="GH57" s="48"/>
      <c r="GI57" s="48"/>
      <c r="GJ57" s="48"/>
      <c r="GK57" s="48"/>
      <c r="GL57" s="48"/>
      <c r="GM57" s="48"/>
      <c r="GN57" s="48"/>
      <c r="GO57" s="48"/>
      <c r="GP57" s="48"/>
      <c r="GQ57" s="48"/>
      <c r="GR57" s="48"/>
      <c r="GS57" s="48"/>
      <c r="GT57" s="48"/>
      <c r="GU57" s="48"/>
      <c r="GV57" s="48"/>
      <c r="GW57" s="48"/>
      <c r="GX57" s="48"/>
      <c r="GY57" s="48"/>
      <c r="GZ57" s="48"/>
      <c r="HA57" s="48"/>
      <c r="HB57" s="48"/>
      <c r="HC57" s="48"/>
      <c r="HD57" s="48"/>
      <c r="LP57" s="39"/>
      <c r="LQ57" s="39"/>
      <c r="LR57" s="39"/>
      <c r="LT57" s="39"/>
      <c r="LU57" s="39"/>
      <c r="LV57" s="56"/>
      <c r="LW57" s="56"/>
      <c r="LX57" s="56"/>
      <c r="LY57" s="39"/>
      <c r="LZ57" s="39"/>
      <c r="MA57" s="39"/>
      <c r="MB57" s="39"/>
      <c r="MC57" s="39"/>
      <c r="MD57" s="39"/>
      <c r="ME57" s="39"/>
      <c r="MF57" s="39"/>
      <c r="MG57" s="39"/>
      <c r="MH57" s="39"/>
      <c r="MI57" s="39"/>
      <c r="MJ57" s="39"/>
      <c r="MK57" s="39"/>
      <c r="ML57" s="39"/>
      <c r="MM57" s="39"/>
      <c r="MN57" s="39"/>
      <c r="MO57" s="39"/>
      <c r="MP57" s="39"/>
      <c r="MQ57" s="39"/>
      <c r="MR57" s="39"/>
      <c r="MS57" s="39"/>
      <c r="MT57" s="39"/>
      <c r="MU57" s="39"/>
      <c r="MV57" s="39"/>
      <c r="MW57" s="39"/>
    </row>
    <row r="58" spans="1:361" x14ac:dyDescent="0.3">
      <c r="A58" s="20"/>
      <c r="B58" s="20"/>
      <c r="C58" s="19"/>
      <c r="D58" s="19"/>
      <c r="E58" s="19"/>
      <c r="F58" s="19"/>
      <c r="G58" s="19"/>
      <c r="H58" s="19"/>
      <c r="I58" s="165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Q58" s="4"/>
      <c r="AR58" s="4"/>
      <c r="AS58" s="4"/>
      <c r="AT58" s="23"/>
      <c r="AU58" s="23"/>
      <c r="AV58" s="23"/>
      <c r="AW58" s="23"/>
      <c r="AX58" s="12"/>
      <c r="AY58" s="12"/>
      <c r="AZ58" s="12"/>
      <c r="BA58" s="12"/>
      <c r="BB58" s="12"/>
      <c r="BC58" s="23"/>
      <c r="BD58" s="23"/>
      <c r="BE58" s="23"/>
      <c r="BF58" s="23"/>
      <c r="BG58" s="23"/>
      <c r="BH58" s="12"/>
      <c r="BK58" s="23"/>
      <c r="BL58" s="12"/>
      <c r="BM58" s="12"/>
      <c r="BN58" s="12"/>
      <c r="BO58" s="12"/>
      <c r="BP58" s="6"/>
      <c r="BQ58" s="6"/>
      <c r="BR58" s="6"/>
      <c r="BV58" s="37"/>
      <c r="BW58" s="37"/>
      <c r="BX58" s="37"/>
      <c r="BY58" s="37"/>
      <c r="BZ58" s="37"/>
      <c r="CA58" s="37"/>
      <c r="CB58" s="37"/>
      <c r="CC58" s="37"/>
      <c r="CD58" s="37"/>
      <c r="CE58" s="37"/>
      <c r="CF58" s="37"/>
      <c r="CG58" s="37"/>
      <c r="CH58" s="37"/>
      <c r="CI58" s="37"/>
      <c r="CJ58" s="37"/>
      <c r="CK58" s="37"/>
      <c r="CL58" s="37"/>
      <c r="CM58" s="37"/>
      <c r="CN58" s="37"/>
      <c r="CO58" s="169"/>
      <c r="CZ58" s="4"/>
      <c r="DA58" s="40"/>
      <c r="DG58">
        <f>'Outputs - Cash Infusion'!A12</f>
        <v>2029</v>
      </c>
      <c r="DH58" s="424">
        <f>'Outputs - Cash Infusion'!B12</f>
        <v>0.15853044248512896</v>
      </c>
      <c r="DI58" s="426">
        <v>0.18560000000000001</v>
      </c>
      <c r="DJ58" s="426">
        <v>0.18560000000000001</v>
      </c>
      <c r="DK58" s="426">
        <v>0.18560000000000001</v>
      </c>
      <c r="DL58" s="426">
        <v>0.18560000000000001</v>
      </c>
      <c r="DP58" s="37"/>
      <c r="DR58" s="53" t="s">
        <v>85</v>
      </c>
      <c r="DS58" s="42"/>
      <c r="DT58" s="42"/>
      <c r="DU58" s="248">
        <f>DU57*2</f>
        <v>23.40980629122269</v>
      </c>
      <c r="EK58" s="38" t="s">
        <v>228</v>
      </c>
      <c r="EP58" s="38">
        <v>0.15087244101547864</v>
      </c>
      <c r="EQ58" s="38">
        <v>0.15001201000079967</v>
      </c>
      <c r="GC58" s="48"/>
      <c r="GD58" s="48"/>
      <c r="GE58" s="48"/>
      <c r="GF58" s="48"/>
      <c r="GG58" s="48"/>
      <c r="GH58" s="48"/>
      <c r="GI58" s="48"/>
      <c r="GJ58" s="48"/>
      <c r="GK58" s="48"/>
      <c r="GL58" s="48"/>
      <c r="GM58" s="48"/>
      <c r="GN58" s="48"/>
      <c r="GO58" s="48"/>
      <c r="GP58" s="48"/>
      <c r="GQ58" s="48"/>
      <c r="GR58" s="48"/>
      <c r="GS58" s="48"/>
      <c r="GT58" s="48"/>
      <c r="GU58" s="48"/>
      <c r="GV58" s="48"/>
      <c r="GW58" s="48"/>
      <c r="GX58" s="48"/>
      <c r="GY58" s="48"/>
      <c r="GZ58" s="48"/>
      <c r="HA58" s="48"/>
      <c r="HB58" s="48"/>
      <c r="HC58" s="48"/>
      <c r="HD58" s="48"/>
      <c r="LP58" s="39"/>
      <c r="LQ58" s="39"/>
      <c r="LR58" s="39"/>
      <c r="LT58" s="39"/>
      <c r="LU58" s="39"/>
      <c r="LV58" s="42"/>
      <c r="LW58" s="42"/>
      <c r="LX58" s="42"/>
      <c r="LY58" s="39"/>
      <c r="LZ58" s="39"/>
      <c r="MA58" s="39"/>
      <c r="MB58" s="39"/>
      <c r="MC58" s="39"/>
      <c r="MD58" s="39"/>
      <c r="ME58" s="39"/>
      <c r="MF58" s="39"/>
      <c r="MG58" s="39"/>
      <c r="MH58" s="39"/>
      <c r="MI58" s="39"/>
      <c r="MJ58" s="39"/>
      <c r="MK58" s="39"/>
      <c r="ML58" s="39"/>
      <c r="MM58" s="39"/>
      <c r="MN58" s="39"/>
      <c r="MO58" s="39"/>
      <c r="MP58" s="39"/>
      <c r="MQ58" s="39"/>
      <c r="MR58" s="39"/>
      <c r="MS58" s="39"/>
      <c r="MT58" s="39"/>
      <c r="MU58" s="39"/>
      <c r="MV58" s="39"/>
      <c r="MW58" s="39"/>
    </row>
    <row r="59" spans="1:361" x14ac:dyDescent="0.3">
      <c r="A59" s="20"/>
      <c r="B59" s="20"/>
      <c r="C59" s="19"/>
      <c r="D59" s="19"/>
      <c r="E59" s="19"/>
      <c r="F59" s="19"/>
      <c r="G59" s="19"/>
      <c r="H59" s="19"/>
      <c r="I59" s="165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26"/>
      <c r="AG59" s="26"/>
      <c r="AH59" s="40"/>
      <c r="AI59" s="40"/>
      <c r="AJ59" s="40"/>
      <c r="AK59" s="40"/>
      <c r="AL59" s="40"/>
      <c r="AQ59" s="4"/>
      <c r="AR59" s="4"/>
      <c r="AS59" s="4"/>
      <c r="AT59" s="23"/>
      <c r="AU59" s="23"/>
      <c r="AV59" s="23"/>
      <c r="AW59" s="23"/>
      <c r="AX59" s="12"/>
      <c r="AY59" s="12"/>
      <c r="AZ59" s="12"/>
      <c r="BA59" s="12"/>
      <c r="BB59" s="12"/>
      <c r="BC59" s="23"/>
      <c r="BD59" s="23"/>
      <c r="BE59" s="23"/>
      <c r="BF59" s="23"/>
      <c r="BG59" s="23"/>
      <c r="BH59" s="12"/>
      <c r="BK59" s="23"/>
      <c r="BL59" s="12"/>
      <c r="BM59" s="12"/>
      <c r="BN59" s="12"/>
      <c r="BO59" s="12"/>
      <c r="BP59" s="37"/>
      <c r="BQ59" s="37"/>
      <c r="BR59" s="37"/>
      <c r="BV59" s="37"/>
      <c r="BW59" s="37"/>
      <c r="BX59" s="37"/>
      <c r="BY59" s="37"/>
      <c r="BZ59" s="37"/>
      <c r="CA59" s="37"/>
      <c r="CB59" s="37"/>
      <c r="CC59" s="37"/>
      <c r="CD59" s="37"/>
      <c r="CE59" s="37"/>
      <c r="CF59" s="37"/>
      <c r="CG59" s="37"/>
      <c r="CH59" s="37"/>
      <c r="CI59" s="37"/>
      <c r="CJ59" s="37"/>
      <c r="CK59" s="37"/>
      <c r="CL59" s="37"/>
      <c r="CM59" s="37"/>
      <c r="CN59" s="37"/>
      <c r="CO59" s="169"/>
      <c r="CZ59" s="4"/>
      <c r="DA59" s="40"/>
      <c r="DG59">
        <f>'Outputs - Cash Infusion'!A13</f>
        <v>2030</v>
      </c>
      <c r="DH59" s="424">
        <f>'Outputs - Cash Infusion'!B13</f>
        <v>0.15827074107387581</v>
      </c>
      <c r="DI59" s="426">
        <v>0.18559999999999999</v>
      </c>
      <c r="DJ59" s="426">
        <v>0.18559999999999999</v>
      </c>
      <c r="DK59" s="426">
        <v>0.18559999999999999</v>
      </c>
      <c r="DL59" s="426">
        <v>0.18559999999999999</v>
      </c>
      <c r="DP59" s="37"/>
      <c r="DR59" s="53" t="s">
        <v>86</v>
      </c>
      <c r="DS59" s="42"/>
      <c r="DT59" s="42"/>
      <c r="DU59" s="248">
        <f>DU57*2</f>
        <v>23.40980629122269</v>
      </c>
      <c r="EP59" s="38">
        <v>0.15036851340602203</v>
      </c>
      <c r="EQ59" s="38">
        <v>0.14961702432319526</v>
      </c>
      <c r="GC59" s="48"/>
      <c r="GD59" s="48"/>
      <c r="GE59" s="48"/>
      <c r="GF59" s="48"/>
      <c r="GG59" s="48"/>
      <c r="GH59" s="48"/>
      <c r="GI59" s="48"/>
      <c r="GJ59" s="48"/>
      <c r="GK59" s="48"/>
      <c r="GL59" s="48"/>
      <c r="GM59" s="48"/>
      <c r="GN59" s="48"/>
      <c r="GO59" s="48"/>
      <c r="GP59" s="48"/>
      <c r="GQ59" s="48"/>
      <c r="GR59" s="48"/>
      <c r="GS59" s="48"/>
      <c r="GT59" s="48"/>
      <c r="GU59" s="48"/>
      <c r="GV59" s="48"/>
      <c r="GW59" s="48"/>
      <c r="GX59" s="48"/>
      <c r="GY59" s="48"/>
      <c r="GZ59" s="48"/>
      <c r="HA59" s="48"/>
      <c r="HB59" s="48"/>
      <c r="HC59" s="48"/>
      <c r="HD59" s="48"/>
      <c r="LP59" s="39"/>
      <c r="LQ59" s="39"/>
      <c r="LR59" s="39"/>
      <c r="LT59" s="39"/>
      <c r="LU59" s="39"/>
      <c r="LV59" s="42"/>
      <c r="LW59" s="42"/>
      <c r="LX59" s="42"/>
      <c r="LY59" s="39"/>
      <c r="LZ59" s="39"/>
      <c r="MA59" s="39"/>
      <c r="MB59" s="39"/>
      <c r="MC59" s="39"/>
      <c r="MD59" s="39"/>
      <c r="ME59" s="39"/>
      <c r="MF59" s="39"/>
      <c r="MG59" s="39"/>
      <c r="MH59" s="39"/>
      <c r="MI59" s="39"/>
      <c r="MJ59" s="39"/>
      <c r="MK59" s="39"/>
      <c r="ML59" s="39"/>
      <c r="MM59" s="39"/>
      <c r="MN59" s="39"/>
      <c r="MO59" s="39"/>
      <c r="MP59" s="39"/>
      <c r="MQ59" s="39"/>
      <c r="MR59" s="39"/>
      <c r="MS59" s="39"/>
      <c r="MT59" s="39"/>
      <c r="MU59" s="39"/>
      <c r="MV59" s="39"/>
      <c r="MW59" s="39"/>
    </row>
    <row r="60" spans="1:361" x14ac:dyDescent="0.3">
      <c r="A60" s="20"/>
      <c r="B60" s="20"/>
      <c r="C60" s="14"/>
      <c r="D60" s="14"/>
      <c r="E60" s="14"/>
      <c r="F60" s="14"/>
      <c r="G60" s="14"/>
      <c r="H60" s="14"/>
      <c r="I60" s="165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26"/>
      <c r="AG60" s="26"/>
      <c r="AH60" s="40"/>
      <c r="AI60" s="40"/>
      <c r="AJ60" s="40"/>
      <c r="AK60" s="40"/>
      <c r="AL60" s="40"/>
      <c r="AQ60" s="4"/>
      <c r="AR60" s="4"/>
      <c r="AS60" s="4"/>
      <c r="AT60" s="23"/>
      <c r="AU60" s="23"/>
      <c r="AV60" s="23"/>
      <c r="AW60" s="23"/>
      <c r="AX60" s="12"/>
      <c r="AY60" s="12"/>
      <c r="AZ60" s="12"/>
      <c r="BA60" s="12"/>
      <c r="BB60" s="12"/>
      <c r="BC60" s="23"/>
      <c r="BD60" s="23"/>
      <c r="BE60" s="23"/>
      <c r="BF60" s="23"/>
      <c r="BG60" s="23"/>
      <c r="BH60" s="12"/>
      <c r="BK60" s="23"/>
      <c r="BL60" s="12"/>
      <c r="BM60" s="12"/>
      <c r="BN60" s="12"/>
      <c r="BO60" s="12"/>
      <c r="BP60" s="37"/>
      <c r="BQ60" s="37"/>
      <c r="BR60" s="37"/>
      <c r="BV60" s="37"/>
      <c r="BW60" s="37"/>
      <c r="BX60" s="37"/>
      <c r="BY60" s="37"/>
      <c r="BZ60" s="37"/>
      <c r="CA60" s="37"/>
      <c r="CB60" s="37"/>
      <c r="CC60" s="37"/>
      <c r="CD60" s="37"/>
      <c r="CE60" s="37"/>
      <c r="CF60" s="37"/>
      <c r="CG60" s="37"/>
      <c r="CH60" s="37"/>
      <c r="CI60" s="37"/>
      <c r="CJ60" s="37"/>
      <c r="CK60" s="37"/>
      <c r="CL60" s="37"/>
      <c r="CM60" s="37"/>
      <c r="CN60" s="37"/>
      <c r="CO60" s="169"/>
      <c r="CZ60" s="4"/>
      <c r="DA60" s="40"/>
      <c r="DG60">
        <f>'Outputs - Cash Infusion'!A14</f>
        <v>2031</v>
      </c>
      <c r="DH60" s="424">
        <f>'Outputs - Cash Infusion'!B14</f>
        <v>0.15801087481287909</v>
      </c>
      <c r="DI60" s="426">
        <v>0.18560000000000004</v>
      </c>
      <c r="DJ60" s="426">
        <v>0.18560000000000004</v>
      </c>
      <c r="DK60" s="426">
        <v>0.18560000000000004</v>
      </c>
      <c r="DL60" s="426">
        <v>0.18560000000000004</v>
      </c>
      <c r="DR60" s="53" t="s">
        <v>149</v>
      </c>
      <c r="DU60" s="249">
        <f>MN36</f>
        <v>0.82332702644751787</v>
      </c>
      <c r="EP60" s="38">
        <v>0.15001201000079967</v>
      </c>
      <c r="EQ60" s="38">
        <v>0.14913082589908561</v>
      </c>
      <c r="GC60" s="48"/>
      <c r="GD60" s="48"/>
      <c r="GE60" s="48"/>
      <c r="GF60" s="48"/>
      <c r="GG60" s="48"/>
      <c r="GH60" s="48"/>
      <c r="GI60" s="48"/>
      <c r="GJ60" s="48"/>
      <c r="GK60" s="48"/>
      <c r="GL60" s="48"/>
      <c r="GM60" s="48"/>
      <c r="GN60" s="48"/>
      <c r="GO60" s="48"/>
      <c r="GP60" s="48"/>
      <c r="GQ60" s="48"/>
      <c r="GR60" s="48"/>
      <c r="GS60" s="48"/>
      <c r="GT60" s="48"/>
      <c r="GU60" s="48"/>
      <c r="GV60" s="48"/>
      <c r="GW60" s="48"/>
      <c r="GX60" s="48"/>
      <c r="GY60" s="48"/>
      <c r="GZ60" s="48"/>
      <c r="HA60" s="48"/>
      <c r="HB60" s="48"/>
      <c r="HC60" s="48"/>
      <c r="HD60" s="48"/>
      <c r="LP60" s="39"/>
      <c r="LQ60" s="39"/>
      <c r="LR60" s="39"/>
      <c r="LT60" s="39"/>
      <c r="LU60" s="39"/>
      <c r="LV60" s="19"/>
      <c r="LW60" s="19"/>
      <c r="LX60" s="19"/>
      <c r="LY60" s="39"/>
      <c r="LZ60" s="39"/>
      <c r="MA60" s="39"/>
      <c r="MB60" s="39"/>
      <c r="MC60" s="39"/>
      <c r="MD60" s="39"/>
      <c r="ME60" s="39"/>
      <c r="MF60" s="39"/>
      <c r="MG60" s="39"/>
      <c r="MH60" s="39"/>
      <c r="MI60" s="39"/>
      <c r="MJ60" s="39"/>
      <c r="MK60" s="39"/>
      <c r="ML60" s="39"/>
      <c r="MM60" s="39"/>
      <c r="MN60" s="39"/>
      <c r="MO60" s="39"/>
      <c r="MP60" s="39"/>
      <c r="MQ60" s="39"/>
      <c r="MR60" s="39"/>
      <c r="MS60" s="39"/>
      <c r="MT60" s="39"/>
      <c r="MU60" s="39"/>
      <c r="MV60" s="39"/>
      <c r="MW60" s="39"/>
    </row>
    <row r="61" spans="1:361" x14ac:dyDescent="0.3">
      <c r="A61" s="15"/>
      <c r="B61" s="15"/>
      <c r="C61" s="14"/>
      <c r="D61" s="14"/>
      <c r="E61" s="14"/>
      <c r="F61" s="14"/>
      <c r="G61" s="14"/>
      <c r="H61" s="14"/>
      <c r="I61" s="165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26"/>
      <c r="AG61" s="26"/>
      <c r="AH61" s="40"/>
      <c r="AI61" s="40"/>
      <c r="AJ61" s="40"/>
      <c r="AK61" s="40"/>
      <c r="AL61" s="40"/>
      <c r="AQ61" s="4"/>
      <c r="AR61" s="4"/>
      <c r="AS61" s="4"/>
      <c r="AT61" s="23"/>
      <c r="AU61" s="23"/>
      <c r="AV61" s="23"/>
      <c r="AW61" s="23"/>
      <c r="AX61" s="12"/>
      <c r="AY61" s="12"/>
      <c r="AZ61" s="12"/>
      <c r="BA61" s="12"/>
      <c r="BB61" s="12"/>
      <c r="BC61" s="23"/>
      <c r="BD61" s="23"/>
      <c r="BE61" s="23"/>
      <c r="BF61" s="23"/>
      <c r="BG61" s="23"/>
      <c r="BH61" s="12"/>
      <c r="BK61" s="23"/>
      <c r="BL61" s="12"/>
      <c r="BM61" s="12"/>
      <c r="BN61" s="12"/>
      <c r="BO61" s="12"/>
      <c r="BP61" s="37"/>
      <c r="BQ61" s="37"/>
      <c r="BR61" s="37"/>
      <c r="BV61" s="37"/>
      <c r="BW61" s="37"/>
      <c r="BX61" s="37"/>
      <c r="BY61" s="37"/>
      <c r="BZ61" s="37"/>
      <c r="CA61" s="37"/>
      <c r="CB61" s="37"/>
      <c r="CC61" s="37"/>
      <c r="CD61" s="37"/>
      <c r="CE61" s="37"/>
      <c r="CF61" s="37"/>
      <c r="CG61" s="37"/>
      <c r="CH61" s="37"/>
      <c r="CI61" s="37"/>
      <c r="CJ61" s="37"/>
      <c r="CK61" s="37"/>
      <c r="CL61" s="37"/>
      <c r="CM61" s="37"/>
      <c r="CN61" s="37"/>
      <c r="CO61" s="169"/>
      <c r="CZ61" s="4"/>
      <c r="DA61" s="40"/>
      <c r="DG61">
        <f>'Outputs - Cash Infusion'!A15</f>
        <v>2032</v>
      </c>
      <c r="DH61" s="424">
        <f>'Outputs - Cash Infusion'!B15</f>
        <v>0.15775089427353214</v>
      </c>
      <c r="DI61" s="426">
        <v>0.18560000000000004</v>
      </c>
      <c r="DJ61" s="426">
        <v>0.18560000000000004</v>
      </c>
      <c r="DK61" s="426">
        <v>0.18560000000000004</v>
      </c>
      <c r="DL61" s="426">
        <v>0.18560000000000004</v>
      </c>
      <c r="DP61" s="37"/>
      <c r="DR61" s="160" t="s">
        <v>97</v>
      </c>
      <c r="DS61" s="104"/>
      <c r="DT61" s="104"/>
      <c r="DU61" s="250">
        <v>1.1386456406995427E-2</v>
      </c>
      <c r="EP61" s="38">
        <v>0.14961702432319526</v>
      </c>
      <c r="EQ61" s="38">
        <v>0.14878371111218719</v>
      </c>
      <c r="GC61" s="48"/>
      <c r="GD61" s="48"/>
      <c r="GE61" s="48"/>
      <c r="GF61" s="48"/>
      <c r="GG61" s="48"/>
      <c r="GH61" s="48"/>
      <c r="GI61" s="48"/>
      <c r="GJ61" s="48"/>
      <c r="GK61" s="48"/>
      <c r="GL61" s="48"/>
      <c r="GM61" s="48"/>
      <c r="GN61" s="48"/>
      <c r="GO61" s="48"/>
      <c r="GP61" s="48"/>
      <c r="GQ61" s="48"/>
      <c r="GR61" s="48"/>
      <c r="GS61" s="48"/>
      <c r="GT61" s="48"/>
      <c r="GU61" s="48"/>
      <c r="GV61" s="48"/>
      <c r="GW61" s="48"/>
      <c r="GX61" s="48"/>
      <c r="GY61" s="48"/>
      <c r="GZ61" s="48"/>
      <c r="HA61" s="48"/>
      <c r="HB61" s="48"/>
      <c r="HC61" s="48"/>
      <c r="HD61" s="48"/>
      <c r="LP61" s="39"/>
      <c r="LQ61" s="39"/>
      <c r="LR61" s="39"/>
      <c r="LT61" s="39"/>
      <c r="LU61" s="39"/>
      <c r="LV61" s="42"/>
      <c r="LW61" s="42"/>
      <c r="LX61" s="42"/>
      <c r="LY61" s="39"/>
      <c r="LZ61" s="39"/>
      <c r="MA61" s="39"/>
      <c r="MB61" s="39"/>
      <c r="MC61" s="39"/>
      <c r="MD61" s="39"/>
      <c r="ME61" s="39"/>
      <c r="MF61" s="39"/>
      <c r="MG61" s="39"/>
      <c r="MH61" s="39"/>
      <c r="MI61" s="39"/>
      <c r="MJ61" s="39"/>
      <c r="MK61" s="39"/>
      <c r="ML61" s="39"/>
      <c r="MM61" s="39"/>
      <c r="MN61" s="39"/>
      <c r="MO61" s="39"/>
      <c r="MP61" s="39"/>
      <c r="MQ61" s="39"/>
      <c r="MR61" s="39"/>
      <c r="MS61" s="39"/>
      <c r="MT61" s="39"/>
      <c r="MU61" s="39"/>
      <c r="MV61" s="39"/>
      <c r="MW61" s="39"/>
    </row>
    <row r="62" spans="1:361" x14ac:dyDescent="0.3">
      <c r="A62" s="20"/>
      <c r="B62" s="20"/>
      <c r="C62" s="19"/>
      <c r="D62" s="19"/>
      <c r="E62" s="19"/>
      <c r="F62" s="19"/>
      <c r="G62" s="19"/>
      <c r="H62" s="19"/>
      <c r="I62" s="165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26"/>
      <c r="AG62" s="26"/>
      <c r="AH62" s="40"/>
      <c r="AI62" s="40"/>
      <c r="AJ62" s="40"/>
      <c r="AK62" s="40"/>
      <c r="AL62" s="40"/>
      <c r="AQ62" s="4"/>
      <c r="AR62" s="4"/>
      <c r="AS62" s="4"/>
      <c r="AT62" s="23"/>
      <c r="AU62" s="23"/>
      <c r="AV62" s="23"/>
      <c r="AW62" s="23"/>
      <c r="AX62" s="12"/>
      <c r="AY62" s="12"/>
      <c r="AZ62" s="12"/>
      <c r="BA62" s="12"/>
      <c r="BB62" s="12"/>
      <c r="BC62" s="23"/>
      <c r="BD62" s="23"/>
      <c r="BE62" s="23"/>
      <c r="BF62" s="23"/>
      <c r="BG62" s="23"/>
      <c r="BH62" s="12"/>
      <c r="BK62" s="23"/>
      <c r="BL62" s="12"/>
      <c r="BM62" s="12"/>
      <c r="BN62" s="12"/>
      <c r="BO62" s="12"/>
      <c r="BP62" s="37"/>
      <c r="BQ62" s="37"/>
      <c r="BR62" s="37"/>
      <c r="BV62" s="37"/>
      <c r="BW62" s="37"/>
      <c r="BX62" s="37"/>
      <c r="BY62" s="37"/>
      <c r="BZ62" s="37"/>
      <c r="CA62" s="37"/>
      <c r="CB62" s="37"/>
      <c r="CC62" s="37"/>
      <c r="CD62" s="37"/>
      <c r="CE62" s="37"/>
      <c r="CF62" s="37"/>
      <c r="CG62" s="37"/>
      <c r="CH62" s="37"/>
      <c r="CI62" s="37"/>
      <c r="CJ62" s="37"/>
      <c r="CK62" s="37"/>
      <c r="CL62" s="37"/>
      <c r="CM62" s="37"/>
      <c r="CN62" s="37"/>
      <c r="CO62" s="169"/>
      <c r="CZ62" s="4"/>
      <c r="DA62" s="40"/>
      <c r="DG62">
        <f>'Outputs - Cash Infusion'!A16</f>
        <v>2033</v>
      </c>
      <c r="DH62" s="424">
        <f>'Outputs - Cash Infusion'!B16</f>
        <v>0.15749084543351638</v>
      </c>
      <c r="DI62" s="426">
        <v>0.18559999999999999</v>
      </c>
      <c r="DJ62" s="426">
        <v>0.18559999999999999</v>
      </c>
      <c r="DK62" s="426">
        <v>0.18559999999999999</v>
      </c>
      <c r="DL62" s="426">
        <v>0.18559999999999999</v>
      </c>
      <c r="DP62" s="37">
        <v>0</v>
      </c>
      <c r="EP62" s="38">
        <v>0.14913082589908561</v>
      </c>
      <c r="EQ62" s="38">
        <v>0.14836793068126636</v>
      </c>
      <c r="GC62" s="48"/>
      <c r="GD62" s="48"/>
      <c r="GE62" s="48"/>
      <c r="GF62" s="48"/>
      <c r="GG62" s="48"/>
      <c r="GH62" s="48"/>
      <c r="GI62" s="48"/>
      <c r="GJ62" s="48"/>
      <c r="GK62" s="48"/>
      <c r="GL62" s="48"/>
      <c r="GM62" s="48"/>
      <c r="GN62" s="48"/>
      <c r="GO62" s="48"/>
      <c r="GP62" s="48"/>
      <c r="GQ62" s="48"/>
      <c r="GR62" s="48"/>
      <c r="GS62" s="48"/>
      <c r="GT62" s="48"/>
      <c r="GU62" s="48"/>
      <c r="GV62" s="48"/>
      <c r="GW62" s="48"/>
      <c r="GX62" s="48"/>
      <c r="GY62" s="48"/>
      <c r="GZ62" s="48"/>
      <c r="HA62" s="48"/>
      <c r="HB62" s="48"/>
      <c r="HC62" s="48"/>
      <c r="HD62" s="48"/>
      <c r="LP62" s="39"/>
      <c r="LQ62" s="39"/>
      <c r="LR62" s="39"/>
      <c r="LT62" s="39"/>
      <c r="LU62" s="39"/>
      <c r="LV62" s="42"/>
      <c r="LW62" s="42"/>
      <c r="LX62" s="42"/>
      <c r="LY62" s="39"/>
      <c r="LZ62" s="39"/>
      <c r="MA62" s="39"/>
      <c r="MB62" s="39"/>
      <c r="MC62" s="39"/>
      <c r="MD62" s="39"/>
      <c r="ME62" s="39"/>
      <c r="MF62" s="39"/>
      <c r="MG62" s="39"/>
      <c r="MH62" s="39"/>
      <c r="MI62" s="39"/>
      <c r="MJ62" s="39"/>
      <c r="MK62" s="39"/>
      <c r="ML62" s="39"/>
      <c r="MM62" s="39"/>
      <c r="MN62" s="39"/>
      <c r="MO62" s="39"/>
      <c r="MP62" s="39"/>
      <c r="MQ62" s="39"/>
      <c r="MR62" s="39"/>
      <c r="MS62" s="39"/>
      <c r="MT62" s="39"/>
      <c r="MU62" s="39"/>
      <c r="MV62" s="39"/>
      <c r="MW62" s="39"/>
    </row>
    <row r="63" spans="1:361" x14ac:dyDescent="0.3">
      <c r="A63" s="20"/>
      <c r="B63" s="20"/>
      <c r="C63" s="7"/>
      <c r="D63" s="7"/>
      <c r="E63" s="7"/>
      <c r="F63" s="7"/>
      <c r="G63" s="7"/>
      <c r="H63" s="7"/>
      <c r="I63" s="165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26"/>
      <c r="AG63" s="26"/>
      <c r="AH63" s="18"/>
      <c r="AI63" s="18"/>
      <c r="AJ63" s="18"/>
      <c r="AK63" s="18"/>
      <c r="AL63" s="18"/>
      <c r="AQ63" s="16"/>
      <c r="AR63" s="16"/>
      <c r="AS63" s="16"/>
      <c r="AT63" s="271"/>
      <c r="AU63" s="271"/>
      <c r="AV63" s="271"/>
      <c r="AW63" s="271"/>
      <c r="AX63" s="12"/>
      <c r="AY63" s="12"/>
      <c r="AZ63" s="12"/>
      <c r="BA63" s="12"/>
      <c r="BB63" s="12"/>
      <c r="BC63" s="271"/>
      <c r="BD63" s="271"/>
      <c r="BE63" s="271"/>
      <c r="BF63" s="271"/>
      <c r="BG63" s="271"/>
      <c r="BH63" s="12"/>
      <c r="BK63" s="271"/>
      <c r="BL63" s="12"/>
      <c r="BM63" s="12"/>
      <c r="BN63" s="12"/>
      <c r="BO63" s="12"/>
      <c r="BP63" s="37"/>
      <c r="BQ63" s="37"/>
      <c r="BR63" s="37"/>
      <c r="BV63" s="37"/>
      <c r="BW63" s="37"/>
      <c r="BX63" s="37"/>
      <c r="BY63" s="37"/>
      <c r="BZ63" s="37"/>
      <c r="CA63" s="37"/>
      <c r="CB63" s="37"/>
      <c r="CC63" s="37"/>
      <c r="CD63" s="37"/>
      <c r="CE63" s="37"/>
      <c r="CF63" s="37"/>
      <c r="CG63" s="37"/>
      <c r="CH63" s="37"/>
      <c r="CI63" s="37"/>
      <c r="CJ63" s="37"/>
      <c r="CK63" s="37"/>
      <c r="CL63" s="37"/>
      <c r="CM63" s="37"/>
      <c r="CN63" s="37"/>
      <c r="CO63" s="169"/>
      <c r="CZ63" s="4"/>
      <c r="DA63" s="40"/>
      <c r="DG63">
        <f>'Outputs - Cash Infusion'!A17</f>
        <v>2034</v>
      </c>
      <c r="DH63" s="424">
        <f>'Outputs - Cash Infusion'!B17</f>
        <v>0.15723079153731584</v>
      </c>
      <c r="DI63" s="426">
        <v>0.18560000000000004</v>
      </c>
      <c r="DJ63" s="426">
        <v>0.18560000000000004</v>
      </c>
      <c r="DK63" s="426">
        <v>0.17560000000000001</v>
      </c>
      <c r="DL63" s="426">
        <v>0.17560000000000001</v>
      </c>
      <c r="DP63" s="39">
        <v>100</v>
      </c>
      <c r="DR63" s="77" t="s">
        <v>29</v>
      </c>
      <c r="DS63" s="65"/>
      <c r="DT63" s="65"/>
      <c r="DU63" s="265"/>
      <c r="EP63" s="38">
        <v>0.14878371111218719</v>
      </c>
      <c r="EQ63" s="38">
        <v>0.14797773225750099</v>
      </c>
      <c r="GC63" s="48"/>
      <c r="GD63" s="48"/>
      <c r="GE63" s="48"/>
      <c r="GF63" s="48"/>
      <c r="GG63" s="48"/>
      <c r="GH63" s="48"/>
      <c r="GI63" s="48"/>
      <c r="GJ63" s="48"/>
      <c r="GK63" s="48"/>
      <c r="GL63" s="48"/>
      <c r="GM63" s="48"/>
      <c r="GN63" s="48"/>
      <c r="GO63" s="48"/>
      <c r="GP63" s="48"/>
      <c r="GQ63" s="48"/>
      <c r="GR63" s="48"/>
      <c r="GS63" s="48"/>
      <c r="GT63" s="48"/>
      <c r="GU63" s="48"/>
      <c r="GV63" s="48"/>
      <c r="GW63" s="48"/>
      <c r="GX63" s="48"/>
      <c r="GY63" s="48"/>
      <c r="GZ63" s="48"/>
      <c r="HA63" s="48"/>
      <c r="HB63" s="48"/>
      <c r="HC63" s="48"/>
      <c r="HD63" s="48"/>
      <c r="LP63" s="39"/>
      <c r="LQ63" s="39"/>
      <c r="LR63" s="39"/>
      <c r="LT63" s="39"/>
      <c r="LU63" s="39"/>
      <c r="LV63" s="18"/>
      <c r="LW63" s="18"/>
      <c r="LX63" s="18"/>
      <c r="LY63" s="39"/>
      <c r="LZ63" s="39"/>
      <c r="MA63" s="39"/>
      <c r="MB63" s="39"/>
      <c r="MC63" s="39"/>
      <c r="MD63" s="39"/>
      <c r="ME63" s="39"/>
      <c r="MF63" s="39"/>
      <c r="MG63" s="39"/>
      <c r="MH63" s="39"/>
      <c r="MI63" s="39"/>
      <c r="MJ63" s="39"/>
      <c r="MK63" s="39"/>
      <c r="ML63" s="39"/>
      <c r="MM63" s="39"/>
      <c r="MN63" s="39"/>
      <c r="MO63" s="39"/>
      <c r="MP63" s="39"/>
      <c r="MQ63" s="39"/>
      <c r="MR63" s="39"/>
      <c r="MS63" s="39"/>
      <c r="MT63" s="39"/>
      <c r="MU63" s="39"/>
      <c r="MV63" s="39"/>
      <c r="MW63" s="39"/>
    </row>
    <row r="64" spans="1:361" x14ac:dyDescent="0.3">
      <c r="A64" s="20"/>
      <c r="B64" s="20"/>
      <c r="C64" s="14"/>
      <c r="D64" s="14"/>
      <c r="E64" s="14"/>
      <c r="F64" s="14"/>
      <c r="G64" s="14"/>
      <c r="H64" s="14"/>
      <c r="I64" s="165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Q64" s="42"/>
      <c r="AR64" s="42"/>
      <c r="AS64" s="42"/>
      <c r="AT64" s="272"/>
      <c r="AU64" s="272"/>
      <c r="AV64" s="272"/>
      <c r="AW64" s="272"/>
      <c r="AX64" s="12"/>
      <c r="AY64" s="12"/>
      <c r="AZ64" s="12"/>
      <c r="BA64" s="12"/>
      <c r="BB64" s="12"/>
      <c r="BC64" s="272"/>
      <c r="BD64" s="272"/>
      <c r="BE64" s="272"/>
      <c r="BF64" s="272"/>
      <c r="BG64" s="272"/>
      <c r="BH64" s="12"/>
      <c r="BK64" s="272"/>
      <c r="BL64" s="12"/>
      <c r="BM64" s="12"/>
      <c r="BN64" s="12"/>
      <c r="BO64" s="12"/>
      <c r="BP64" s="37"/>
      <c r="BQ64" s="37"/>
      <c r="BR64" s="37"/>
      <c r="BV64" s="37"/>
      <c r="BW64" s="37"/>
      <c r="BX64" s="37"/>
      <c r="BY64" s="37"/>
      <c r="BZ64" s="37"/>
      <c r="CA64" s="37"/>
      <c r="CB64" s="37"/>
      <c r="CC64" s="37"/>
      <c r="CD64" s="37"/>
      <c r="CE64" s="37"/>
      <c r="CF64" s="37"/>
      <c r="CG64" s="37"/>
      <c r="CH64" s="37"/>
      <c r="CI64" s="37"/>
      <c r="CJ64" s="37"/>
      <c r="CK64" s="37"/>
      <c r="CL64" s="37"/>
      <c r="CM64" s="37"/>
      <c r="CN64" s="37"/>
      <c r="CO64" s="169"/>
      <c r="CZ64" s="16"/>
      <c r="DA64" s="16"/>
      <c r="DG64">
        <f>'Outputs - Cash Infusion'!A18</f>
        <v>2035</v>
      </c>
      <c r="DH64" s="424">
        <f>'Outputs - Cash Infusion'!B18</f>
        <v>0.15697073036066361</v>
      </c>
      <c r="DI64" s="426">
        <v>0.17560000000000003</v>
      </c>
      <c r="DJ64" s="426">
        <v>0.17560000000000003</v>
      </c>
      <c r="DK64" s="426">
        <v>0.1656</v>
      </c>
      <c r="DL64" s="426">
        <v>0.1656</v>
      </c>
      <c r="DP64" s="39">
        <v>500</v>
      </c>
      <c r="DR64" s="53" t="s">
        <v>333</v>
      </c>
      <c r="DS64" s="42"/>
      <c r="DT64" s="42"/>
      <c r="DU64" s="422">
        <v>0</v>
      </c>
      <c r="EP64" s="38">
        <v>0.14836793068126636</v>
      </c>
      <c r="EQ64" s="38">
        <v>0.14767126975694481</v>
      </c>
      <c r="GC64" s="48"/>
      <c r="GD64" s="48"/>
      <c r="GE64" s="48"/>
      <c r="GF64" s="48"/>
      <c r="GG64" s="48"/>
      <c r="GH64" s="48"/>
      <c r="GI64" s="48"/>
      <c r="GJ64" s="48"/>
      <c r="GK64" s="48"/>
      <c r="GL64" s="48"/>
      <c r="GM64" s="48"/>
      <c r="GN64" s="48"/>
      <c r="GO64" s="48"/>
      <c r="GP64" s="48"/>
      <c r="GQ64" s="48"/>
      <c r="GR64" s="48"/>
      <c r="GS64" s="48"/>
      <c r="GT64" s="48"/>
      <c r="GU64" s="48"/>
      <c r="GV64" s="48"/>
      <c r="GW64" s="48"/>
      <c r="GX64" s="48"/>
      <c r="GY64" s="48"/>
      <c r="GZ64" s="48"/>
      <c r="HA64" s="48"/>
      <c r="HB64" s="48"/>
      <c r="HC64" s="48"/>
      <c r="HD64" s="48"/>
      <c r="LP64" s="39"/>
      <c r="LQ64" s="39"/>
      <c r="LR64" s="39"/>
      <c r="LT64" s="39"/>
      <c r="LU64" s="39"/>
      <c r="LV64" s="42"/>
      <c r="LW64" s="42"/>
      <c r="LX64" s="42"/>
      <c r="LY64" s="39"/>
      <c r="LZ64" s="39"/>
      <c r="MA64" s="39"/>
      <c r="MB64" s="39"/>
      <c r="MC64" s="39"/>
      <c r="MD64" s="39"/>
      <c r="ME64" s="39"/>
      <c r="MF64" s="39"/>
      <c r="MG64" s="39"/>
      <c r="MH64" s="39"/>
      <c r="MI64" s="39"/>
      <c r="MJ64" s="39"/>
      <c r="MK64" s="39"/>
      <c r="ML64" s="39"/>
      <c r="MM64" s="39"/>
      <c r="MN64" s="39"/>
      <c r="MO64" s="39"/>
      <c r="MP64" s="39"/>
      <c r="MQ64" s="39"/>
      <c r="MR64" s="39"/>
      <c r="MS64" s="39"/>
      <c r="MT64" s="39"/>
      <c r="MU64" s="39"/>
      <c r="MV64" s="39"/>
      <c r="MW64" s="39"/>
    </row>
    <row r="65" spans="1:361" x14ac:dyDescent="0.3">
      <c r="A65" s="20"/>
      <c r="B65" s="20"/>
      <c r="C65" s="14"/>
      <c r="D65" s="14"/>
      <c r="E65" s="14"/>
      <c r="F65" s="14"/>
      <c r="G65" s="14"/>
      <c r="H65" s="14"/>
      <c r="I65" s="165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Q65" s="42"/>
      <c r="AR65" s="42"/>
      <c r="AS65" s="42"/>
      <c r="AT65" s="272"/>
      <c r="AU65" s="272"/>
      <c r="AV65" s="272"/>
      <c r="AW65" s="272"/>
      <c r="AX65" s="12"/>
      <c r="AY65" s="12"/>
      <c r="AZ65" s="12"/>
      <c r="BA65" s="12"/>
      <c r="BB65" s="12"/>
      <c r="BC65" s="272"/>
      <c r="BD65" s="272"/>
      <c r="BE65" s="272"/>
      <c r="BF65" s="272"/>
      <c r="BG65" s="272"/>
      <c r="BH65" s="12"/>
      <c r="BK65" s="272"/>
      <c r="BL65" s="12"/>
      <c r="BM65" s="12"/>
      <c r="BN65" s="12"/>
      <c r="BO65" s="12"/>
      <c r="BP65" s="37"/>
      <c r="BQ65" s="37"/>
      <c r="BR65" s="37"/>
      <c r="BV65" s="37"/>
      <c r="BW65" s="37"/>
      <c r="BX65" s="37"/>
      <c r="BY65" s="37"/>
      <c r="BZ65" s="37"/>
      <c r="CA65" s="37"/>
      <c r="CB65" s="37"/>
      <c r="CC65" s="37"/>
      <c r="CD65" s="37"/>
      <c r="CE65" s="37"/>
      <c r="CF65" s="37"/>
      <c r="CG65" s="37"/>
      <c r="CH65" s="37"/>
      <c r="CI65" s="37"/>
      <c r="CJ65" s="37"/>
      <c r="CK65" s="37"/>
      <c r="CL65" s="37"/>
      <c r="CM65" s="37"/>
      <c r="CN65" s="37"/>
      <c r="CO65" s="169"/>
      <c r="CZ65" s="42"/>
      <c r="DA65" s="42"/>
      <c r="DG65">
        <f>'Outputs - Cash Infusion'!A19</f>
        <v>2036</v>
      </c>
      <c r="DH65" s="424">
        <f>'Outputs - Cash Infusion'!B19</f>
        <v>0.15671066216513804</v>
      </c>
      <c r="DI65" s="426">
        <v>0.16560000000000005</v>
      </c>
      <c r="DJ65" s="426">
        <v>0.16560000000000005</v>
      </c>
      <c r="DK65" s="426">
        <v>0.15560000000000002</v>
      </c>
      <c r="DL65" s="426">
        <v>0.15560000000000002</v>
      </c>
      <c r="DP65" s="39">
        <v>1000</v>
      </c>
      <c r="DR65" s="276" t="s">
        <v>273</v>
      </c>
      <c r="DS65" s="14"/>
      <c r="DT65" s="14"/>
      <c r="DU65" s="400" t="s">
        <v>53</v>
      </c>
      <c r="EL65" s="38" t="s">
        <v>229</v>
      </c>
      <c r="EP65" s="38">
        <v>0.14797773225750099</v>
      </c>
      <c r="EQ65" s="38">
        <v>0.14721796552821831</v>
      </c>
      <c r="GZ65" s="48"/>
      <c r="HA65" s="48"/>
      <c r="HB65" s="48"/>
      <c r="HC65" s="48"/>
      <c r="HD65" s="48"/>
      <c r="LP65" s="39"/>
      <c r="LQ65" s="39"/>
      <c r="LR65" s="39"/>
      <c r="LT65" s="39"/>
      <c r="LU65" s="39"/>
      <c r="LV65" s="42"/>
      <c r="LW65" s="42"/>
      <c r="LX65" s="42"/>
      <c r="LY65" s="39"/>
      <c r="LZ65" s="39"/>
      <c r="MA65" s="39"/>
      <c r="MB65" s="39"/>
      <c r="MC65" s="39"/>
      <c r="MD65" s="39"/>
      <c r="ME65" s="39"/>
      <c r="MF65" s="39"/>
      <c r="MG65" s="39"/>
      <c r="MH65" s="39"/>
      <c r="MI65" s="39"/>
      <c r="MJ65" s="39"/>
      <c r="MK65" s="39"/>
      <c r="ML65" s="39"/>
      <c r="MM65" s="39"/>
      <c r="MN65" s="39"/>
      <c r="MO65" s="39"/>
      <c r="MP65" s="39"/>
      <c r="MQ65" s="39"/>
      <c r="MR65" s="39"/>
      <c r="MS65" s="39"/>
      <c r="MT65" s="39"/>
      <c r="MU65" s="39"/>
      <c r="MV65" s="39"/>
      <c r="MW65" s="39"/>
    </row>
    <row r="66" spans="1:361" x14ac:dyDescent="0.3"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K66" s="12"/>
      <c r="BL66" s="12"/>
      <c r="BM66" s="12"/>
      <c r="BN66" s="12"/>
      <c r="BO66" s="12"/>
      <c r="BP66" s="37"/>
      <c r="BQ66" s="37"/>
      <c r="BR66" s="37"/>
      <c r="BV66" s="37"/>
      <c r="BW66" s="37"/>
      <c r="BX66" s="37"/>
      <c r="BY66" s="37"/>
      <c r="BZ66" s="37"/>
      <c r="CA66" s="37"/>
      <c r="CB66" s="37"/>
      <c r="CC66" s="37"/>
      <c r="CD66" s="37"/>
      <c r="CE66" s="37"/>
      <c r="CF66" s="37"/>
      <c r="CG66" s="37"/>
      <c r="CH66" s="37"/>
      <c r="CI66" s="37"/>
      <c r="CJ66" s="37"/>
      <c r="CK66" s="37"/>
      <c r="CL66" s="37"/>
      <c r="CM66" s="37"/>
      <c r="CN66" s="37"/>
      <c r="CO66" s="169"/>
      <c r="CZ66" s="42"/>
      <c r="DA66" s="42"/>
      <c r="DG66">
        <f>'Outputs - Cash Infusion'!A20</f>
        <v>2037</v>
      </c>
      <c r="DH66" s="424">
        <f>'Outputs - Cash Infusion'!B20</f>
        <v>0.15645058899978082</v>
      </c>
      <c r="DI66" s="426">
        <v>0.15559999999999999</v>
      </c>
      <c r="DJ66" s="426">
        <v>0.15559999999999999</v>
      </c>
      <c r="DK66" s="426">
        <v>2.3182824267667622E-2</v>
      </c>
      <c r="DL66" s="426">
        <v>2.3182824267667622E-2</v>
      </c>
      <c r="DR66" s="276" t="s">
        <v>274</v>
      </c>
      <c r="DS66" s="14"/>
      <c r="DT66" s="14"/>
      <c r="DU66" s="400" t="s">
        <v>53</v>
      </c>
      <c r="EL66" s="38" t="s">
        <v>230</v>
      </c>
      <c r="EP66" s="38">
        <v>0.14767126975694481</v>
      </c>
      <c r="EQ66" s="38">
        <v>0.14692704999100956</v>
      </c>
      <c r="HA66" s="48"/>
      <c r="HB66" s="48"/>
      <c r="HC66" s="48"/>
      <c r="HD66" s="48"/>
      <c r="LP66" s="39"/>
      <c r="LQ66" s="39"/>
      <c r="LR66" s="39"/>
      <c r="LT66" s="39"/>
      <c r="LU66" s="39"/>
      <c r="LY66" s="39"/>
      <c r="LZ66" s="39"/>
      <c r="MA66" s="39"/>
      <c r="MB66" s="39"/>
      <c r="MC66" s="39"/>
      <c r="MD66" s="39"/>
      <c r="ME66" s="39"/>
      <c r="MF66" s="39"/>
      <c r="MG66" s="39"/>
      <c r="MH66" s="39"/>
      <c r="MI66" s="39"/>
      <c r="MJ66" s="39"/>
      <c r="MK66" s="39"/>
      <c r="ML66" s="39"/>
      <c r="MM66" s="39"/>
      <c r="MN66" s="39"/>
      <c r="MO66" s="39"/>
      <c r="MP66" s="39"/>
      <c r="MQ66" s="39"/>
      <c r="MR66" s="39"/>
      <c r="MS66" s="39"/>
      <c r="MT66" s="39"/>
      <c r="MU66" s="39"/>
      <c r="MV66" s="39"/>
      <c r="MW66" s="39"/>
    </row>
    <row r="67" spans="1:361" x14ac:dyDescent="0.3"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K67" s="12"/>
      <c r="BL67" s="12"/>
      <c r="BM67" s="12"/>
      <c r="BN67" s="12"/>
      <c r="BO67" s="12"/>
      <c r="BP67" s="37"/>
      <c r="BQ67" s="37"/>
      <c r="BR67" s="37"/>
      <c r="BV67" s="37"/>
      <c r="BW67" s="37"/>
      <c r="BX67" s="37"/>
      <c r="BY67" s="37"/>
      <c r="BZ67" s="37"/>
      <c r="CA67" s="37"/>
      <c r="CB67" s="37"/>
      <c r="CC67" s="37"/>
      <c r="CD67" s="37"/>
      <c r="CE67" s="37"/>
      <c r="CF67" s="37"/>
      <c r="CG67" s="37"/>
      <c r="CH67" s="37"/>
      <c r="CI67" s="37"/>
      <c r="CJ67" s="37"/>
      <c r="CK67" s="37"/>
      <c r="CL67" s="37"/>
      <c r="CM67" s="37"/>
      <c r="CN67" s="37"/>
      <c r="CO67" s="169"/>
      <c r="DG67">
        <f>'Outputs - Cash Infusion'!A21</f>
        <v>2038</v>
      </c>
      <c r="DH67" s="424">
        <f>'Outputs - Cash Infusion'!B21</f>
        <v>0.15619050880279034</v>
      </c>
      <c r="DI67" s="426">
        <v>2.3182824267667625E-2</v>
      </c>
      <c r="DJ67" s="426">
        <v>2.3182824267667625E-2</v>
      </c>
      <c r="DK67" s="426">
        <v>2.110486591018651E-2</v>
      </c>
      <c r="DL67" s="426">
        <v>1.5327130190360638E-2</v>
      </c>
      <c r="DR67" s="50" t="s">
        <v>268</v>
      </c>
      <c r="DS67" s="34"/>
      <c r="DT67" s="34"/>
      <c r="DU67" s="262">
        <v>20</v>
      </c>
      <c r="EL67" s="38" t="s">
        <v>49</v>
      </c>
      <c r="EP67" s="38">
        <v>0.14721796552821831</v>
      </c>
      <c r="EQ67" s="38">
        <v>0.14655477058478084</v>
      </c>
      <c r="ET67" s="4"/>
      <c r="HC67" s="48"/>
      <c r="HD67" s="48"/>
      <c r="LP67" s="39"/>
      <c r="LQ67" s="39"/>
      <c r="LR67" s="39"/>
      <c r="LT67" s="39"/>
      <c r="LU67" s="39"/>
      <c r="LY67" s="39"/>
      <c r="LZ67" s="39"/>
      <c r="MA67" s="39"/>
      <c r="MB67" s="39"/>
      <c r="MC67" s="39"/>
      <c r="MD67" s="39"/>
      <c r="ME67" s="39"/>
      <c r="MF67" s="39"/>
      <c r="MG67" s="39"/>
      <c r="MH67" s="39"/>
      <c r="MI67" s="39"/>
      <c r="MJ67" s="39"/>
      <c r="MK67" s="39"/>
      <c r="ML67" s="39"/>
      <c r="MM67" s="39"/>
      <c r="MN67" s="39"/>
      <c r="MO67" s="39"/>
      <c r="MP67" s="39"/>
      <c r="MQ67" s="39"/>
      <c r="MR67" s="39"/>
      <c r="MS67" s="39"/>
      <c r="MT67" s="39"/>
      <c r="MU67" s="39"/>
      <c r="MV67" s="39"/>
      <c r="MW67" s="39"/>
    </row>
    <row r="68" spans="1:361" x14ac:dyDescent="0.3"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K68" s="12"/>
      <c r="BL68" s="12"/>
      <c r="BM68" s="12"/>
      <c r="BN68" s="12"/>
      <c r="BO68" s="12"/>
      <c r="BP68" s="37"/>
      <c r="BQ68" s="37"/>
      <c r="BR68" s="37"/>
      <c r="BV68" s="37"/>
      <c r="BW68" s="37"/>
      <c r="BX68" s="37"/>
      <c r="BY68" s="37"/>
      <c r="BZ68" s="37"/>
      <c r="CA68" s="37"/>
      <c r="CB68" s="37"/>
      <c r="CC68" s="37"/>
      <c r="CD68" s="37"/>
      <c r="CE68" s="37"/>
      <c r="CF68" s="37"/>
      <c r="CG68" s="37"/>
      <c r="CH68" s="37"/>
      <c r="CI68" s="37"/>
      <c r="CJ68" s="37"/>
      <c r="CK68" s="37"/>
      <c r="CL68" s="37"/>
      <c r="CM68" s="37"/>
      <c r="CN68" s="37"/>
      <c r="CO68" s="169"/>
      <c r="DG68">
        <f>'Outputs - Cash Infusion'!A22</f>
        <v>2039</v>
      </c>
      <c r="DH68" s="424">
        <f>'Outputs - Cash Infusion'!B22</f>
        <v>0.15593042195774071</v>
      </c>
      <c r="DI68" s="426">
        <v>1.3917801831875619E-2</v>
      </c>
      <c r="DJ68" s="426">
        <v>1.2713872480324706E-2</v>
      </c>
      <c r="DK68" s="426">
        <v>2.085002371182796E-2</v>
      </c>
      <c r="DL68" s="426">
        <v>1.5072287992002139E-2</v>
      </c>
      <c r="DR68" s="50" t="s">
        <v>269</v>
      </c>
      <c r="DU68" s="262">
        <v>20</v>
      </c>
      <c r="EP68" s="38">
        <v>0.14692704999100956</v>
      </c>
      <c r="EQ68" s="38">
        <v>0.14621120021188189</v>
      </c>
      <c r="LP68" s="39"/>
      <c r="LQ68" s="39"/>
      <c r="LR68" s="39"/>
      <c r="LT68" s="39"/>
      <c r="LU68" s="39"/>
      <c r="LY68" s="39"/>
      <c r="LZ68" s="39"/>
      <c r="MA68" s="39"/>
      <c r="MB68" s="39"/>
      <c r="MC68" s="39"/>
      <c r="MD68" s="39"/>
      <c r="ME68" s="39"/>
      <c r="MF68" s="39"/>
      <c r="MG68" s="39"/>
      <c r="MH68" s="39"/>
      <c r="MI68" s="39"/>
      <c r="MJ68" s="39"/>
      <c r="MK68" s="39"/>
      <c r="ML68" s="39"/>
      <c r="MM68" s="39"/>
      <c r="MN68" s="39"/>
      <c r="MO68" s="39"/>
      <c r="MP68" s="39"/>
      <c r="MQ68" s="39"/>
      <c r="MR68" s="39"/>
      <c r="MS68" s="39"/>
      <c r="MT68" s="39"/>
      <c r="MU68" s="39"/>
      <c r="MV68" s="39"/>
      <c r="MW68" s="39"/>
    </row>
    <row r="69" spans="1:361" x14ac:dyDescent="0.3"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K69" s="12"/>
      <c r="BL69" s="12"/>
      <c r="BM69" s="12"/>
      <c r="BN69" s="12"/>
      <c r="BO69" s="12"/>
      <c r="BP69" s="37"/>
      <c r="BQ69" s="37"/>
      <c r="BR69" s="37"/>
      <c r="BS69" s="37"/>
      <c r="BT69" s="37"/>
      <c r="BU69" s="37"/>
      <c r="BV69" s="37"/>
      <c r="BW69" s="37"/>
      <c r="BX69" s="37"/>
      <c r="BY69" s="37"/>
      <c r="BZ69" s="37"/>
      <c r="CA69" s="37"/>
      <c r="CB69" s="37"/>
      <c r="CC69" s="37"/>
      <c r="CD69" s="37"/>
      <c r="CE69" s="37"/>
      <c r="CF69" s="37"/>
      <c r="CG69" s="37"/>
      <c r="CH69" s="37"/>
      <c r="CI69" s="37"/>
      <c r="CJ69" s="37"/>
      <c r="CK69" s="37"/>
      <c r="CL69" s="37"/>
      <c r="CM69" s="37"/>
      <c r="CN69" s="37"/>
      <c r="CO69" s="169"/>
      <c r="DG69">
        <f>'Outputs - Cash Infusion'!A23</f>
        <v>2040</v>
      </c>
      <c r="DH69" s="424">
        <f>'Outputs - Cash Infusion'!B23</f>
        <v>0.15567032856049465</v>
      </c>
      <c r="DI69" s="426">
        <v>1.3662954026865947E-2</v>
      </c>
      <c r="DJ69" s="426">
        <v>1.2459024675315015E-2</v>
      </c>
      <c r="DK69" s="426">
        <v>2.0593495877791083E-2</v>
      </c>
      <c r="DL69" s="426">
        <v>1.4815966310973979E-2</v>
      </c>
      <c r="DR69" s="50" t="s">
        <v>319</v>
      </c>
      <c r="DS69" s="34"/>
      <c r="DT69" s="34"/>
      <c r="DU69" s="244">
        <f>DU55</f>
        <v>2.7E-2</v>
      </c>
      <c r="EP69" s="38">
        <v>0.14655477058478084</v>
      </c>
      <c r="EQ69" s="38">
        <v>0.14584694197056447</v>
      </c>
      <c r="LP69" s="39"/>
      <c r="LQ69" s="39"/>
      <c r="LR69" s="39"/>
      <c r="LT69" s="39"/>
      <c r="LU69" s="39"/>
      <c r="LY69" s="39"/>
      <c r="LZ69" s="39"/>
      <c r="MA69" s="39"/>
      <c r="MB69" s="39"/>
      <c r="MC69" s="39"/>
      <c r="MD69" s="39"/>
      <c r="ME69" s="39"/>
      <c r="MF69" s="39"/>
      <c r="MG69" s="39"/>
      <c r="MH69" s="39"/>
      <c r="MI69" s="39"/>
      <c r="MJ69" s="39"/>
      <c r="MK69" s="39"/>
      <c r="ML69" s="39"/>
      <c r="MM69" s="39"/>
      <c r="MN69" s="39"/>
      <c r="MO69" s="39"/>
      <c r="MP69" s="39"/>
      <c r="MQ69" s="39"/>
      <c r="MR69" s="39"/>
      <c r="MS69" s="39"/>
      <c r="MT69" s="39"/>
      <c r="MU69" s="39"/>
      <c r="MV69" s="39"/>
      <c r="MW69" s="39"/>
    </row>
    <row r="70" spans="1:361" x14ac:dyDescent="0.3"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K70" s="12"/>
      <c r="BL70" s="12"/>
      <c r="BM70" s="12"/>
      <c r="BN70" s="12"/>
      <c r="BO70" s="12"/>
      <c r="BP70" s="37"/>
      <c r="BQ70" s="37"/>
      <c r="BR70" s="37"/>
      <c r="BS70" s="37"/>
      <c r="BT70" s="37"/>
      <c r="BU70" s="37"/>
      <c r="BV70" s="37"/>
      <c r="BW70" s="37"/>
      <c r="BX70" s="37"/>
      <c r="BY70" s="37"/>
      <c r="BZ70" s="37"/>
      <c r="CA70" s="37"/>
      <c r="CB70" s="37"/>
      <c r="CC70" s="37"/>
      <c r="CD70" s="37"/>
      <c r="CE70" s="37"/>
      <c r="CF70" s="37"/>
      <c r="CG70" s="37"/>
      <c r="CH70" s="37"/>
      <c r="CI70" s="37"/>
      <c r="CJ70" s="37"/>
      <c r="CK70" s="37"/>
      <c r="CL70" s="37"/>
      <c r="CM70" s="37"/>
      <c r="CN70" s="37"/>
      <c r="CO70" s="169"/>
      <c r="DG70">
        <f>'Outputs - Cash Infusion'!A24</f>
        <v>2041</v>
      </c>
      <c r="DH70" s="424">
        <f>'Outputs - Cash Infusion'!B24</f>
        <v>0.1554102287081652</v>
      </c>
      <c r="DI70" s="426">
        <v>1.3406677121984411E-2</v>
      </c>
      <c r="DJ70" s="426">
        <v>1.2202790727340934E-2</v>
      </c>
      <c r="DK70" s="426">
        <v>2.0335413782322218E-2</v>
      </c>
      <c r="DL70" s="426">
        <v>1.4558026133885986E-2</v>
      </c>
      <c r="DR70" s="50" t="s">
        <v>320</v>
      </c>
      <c r="DU70" s="244">
        <f>DU55</f>
        <v>2.7E-2</v>
      </c>
      <c r="EP70" s="38">
        <v>0.14621120021188189</v>
      </c>
      <c r="EQ70" s="38">
        <v>0.14558454355797928</v>
      </c>
      <c r="LP70" s="39"/>
      <c r="LQ70" s="39"/>
      <c r="LR70" s="39"/>
      <c r="LT70" s="39"/>
      <c r="LU70" s="39"/>
      <c r="LY70" s="39"/>
      <c r="LZ70" s="39"/>
      <c r="MA70" s="39"/>
      <c r="MB70" s="39"/>
      <c r="MC70" s="39"/>
      <c r="MD70" s="39"/>
      <c r="ME70" s="39"/>
      <c r="MF70" s="39"/>
      <c r="MG70" s="39"/>
      <c r="MH70" s="39"/>
      <c r="MI70" s="39"/>
      <c r="MJ70" s="39"/>
      <c r="MK70" s="39"/>
      <c r="ML70" s="39"/>
      <c r="MM70" s="39"/>
      <c r="MN70" s="39"/>
      <c r="MO70" s="39"/>
      <c r="MP70" s="39"/>
      <c r="MQ70" s="39"/>
      <c r="MR70" s="39"/>
      <c r="MS70" s="39"/>
      <c r="MT70" s="39"/>
      <c r="MU70" s="39"/>
      <c r="MV70" s="39"/>
      <c r="MW70" s="39"/>
    </row>
    <row r="71" spans="1:361" x14ac:dyDescent="0.3"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K71" s="12"/>
      <c r="BL71" s="12"/>
      <c r="BM71" s="12"/>
      <c r="BN71" s="12"/>
      <c r="BO71" s="12"/>
      <c r="BP71" s="37"/>
      <c r="BQ71" s="37"/>
      <c r="BR71" s="37"/>
      <c r="BS71" s="37"/>
      <c r="BT71" s="37"/>
      <c r="BU71" s="37"/>
      <c r="BV71" s="37"/>
      <c r="BW71" s="37"/>
      <c r="BX71" s="37"/>
      <c r="BY71" s="37"/>
      <c r="BZ71" s="37"/>
      <c r="CA71" s="37"/>
      <c r="CB71" s="37"/>
      <c r="CC71" s="37"/>
      <c r="CD71" s="37"/>
      <c r="CE71" s="37"/>
      <c r="CF71" s="37"/>
      <c r="CG71" s="37"/>
      <c r="CH71" s="37"/>
      <c r="CI71" s="37"/>
      <c r="CJ71" s="37"/>
      <c r="CK71" s="37"/>
      <c r="CL71" s="37"/>
      <c r="CM71" s="37"/>
      <c r="CN71" s="37"/>
      <c r="CO71" s="169"/>
      <c r="DG71">
        <f>'Outputs - Cash Infusion'!A25</f>
        <v>2042</v>
      </c>
      <c r="DH71" s="424">
        <f>'Outputs - Cash Infusion'!B25</f>
        <v>0.15515012287986191</v>
      </c>
      <c r="DI71" s="426">
        <v>1.3148766532004799E-2</v>
      </c>
      <c r="DJ71" s="426">
        <v>1.1944909709448531E-2</v>
      </c>
      <c r="DK71" s="426">
        <v>2.0075982803659513E-2</v>
      </c>
      <c r="DL71" s="426">
        <v>1.4298677940838018E-2</v>
      </c>
      <c r="DR71" s="50" t="s">
        <v>326</v>
      </c>
      <c r="DU71" s="263" t="s">
        <v>73</v>
      </c>
      <c r="EP71" s="38">
        <v>0.14584694197056447</v>
      </c>
      <c r="EQ71" s="38">
        <v>0.14516797470638748</v>
      </c>
      <c r="LP71" s="39"/>
      <c r="LQ71" s="39"/>
      <c r="LR71" s="39"/>
      <c r="LT71" s="39"/>
      <c r="LU71" s="39"/>
      <c r="LY71" s="39"/>
      <c r="LZ71" s="39"/>
      <c r="MA71" s="39"/>
      <c r="MB71" s="39"/>
      <c r="MC71" s="39"/>
      <c r="MD71" s="39"/>
      <c r="ME71" s="39"/>
      <c r="MF71" s="39"/>
      <c r="MG71" s="39"/>
      <c r="MH71" s="39"/>
      <c r="MI71" s="39"/>
      <c r="MJ71" s="39"/>
      <c r="MK71" s="39"/>
      <c r="ML71" s="39"/>
      <c r="MM71" s="39"/>
      <c r="MN71" s="39"/>
      <c r="MO71" s="39"/>
      <c r="MP71" s="39"/>
      <c r="MQ71" s="39"/>
      <c r="MR71" s="39"/>
      <c r="MS71" s="39"/>
      <c r="MT71" s="39"/>
      <c r="MU71" s="39"/>
      <c r="MV71" s="39"/>
      <c r="MW71" s="39"/>
    </row>
    <row r="72" spans="1:361" x14ac:dyDescent="0.3"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K72" s="12"/>
      <c r="BL72" s="12"/>
      <c r="BM72" s="12"/>
      <c r="BN72" s="12"/>
      <c r="BO72" s="12"/>
      <c r="BP72" s="37"/>
      <c r="BQ72" s="37"/>
      <c r="BR72" s="37"/>
      <c r="BS72" s="37"/>
      <c r="BT72" s="37"/>
      <c r="BU72" s="37"/>
      <c r="BV72" s="37"/>
      <c r="BW72" s="37"/>
      <c r="BX72" s="37"/>
      <c r="BY72" s="37"/>
      <c r="BZ72" s="37"/>
      <c r="CA72" s="37"/>
      <c r="CB72" s="37"/>
      <c r="CC72" s="37"/>
      <c r="CD72" s="37"/>
      <c r="CE72" s="37"/>
      <c r="CF72" s="37"/>
      <c r="CG72" s="37"/>
      <c r="CH72" s="37"/>
      <c r="CI72" s="37"/>
      <c r="CJ72" s="37"/>
      <c r="CK72" s="37"/>
      <c r="CL72" s="37"/>
      <c r="CM72" s="37"/>
      <c r="CN72" s="37"/>
      <c r="CO72" s="169"/>
      <c r="DG72">
        <f>'Outputs - Cash Infusion'!A26</f>
        <v>2043</v>
      </c>
      <c r="DH72" s="424">
        <f>'Outputs - Cash Infusion'!B26</f>
        <v>2.3182824267667615E-2</v>
      </c>
      <c r="DI72" s="426">
        <v>1.288935448495135E-2</v>
      </c>
      <c r="DJ72" s="426">
        <v>1.1685514912756843E-2</v>
      </c>
      <c r="DK72" s="426">
        <v>1.9815315913737769E-2</v>
      </c>
      <c r="DL72" s="426">
        <v>1.4038039593318759E-2</v>
      </c>
      <c r="DR72" s="50" t="s">
        <v>325</v>
      </c>
      <c r="DS72" s="34"/>
      <c r="DT72" s="34"/>
      <c r="DU72" s="263" t="s">
        <v>73</v>
      </c>
      <c r="EP72" s="38">
        <v>0.14558454355797928</v>
      </c>
      <c r="EQ72" s="38">
        <v>0.14492199990237131</v>
      </c>
      <c r="LP72" s="39"/>
      <c r="LQ72" s="39"/>
      <c r="LR72" s="39"/>
      <c r="LT72" s="39"/>
      <c r="LU72" s="39"/>
      <c r="LY72" s="39"/>
      <c r="LZ72" s="39"/>
      <c r="MA72" s="39"/>
      <c r="MB72" s="39"/>
      <c r="MC72" s="39"/>
      <c r="MD72" s="39"/>
      <c r="ME72" s="39"/>
      <c r="MF72" s="39"/>
      <c r="MG72" s="39"/>
      <c r="MH72" s="39"/>
      <c r="MI72" s="39"/>
      <c r="MJ72" s="39"/>
      <c r="MK72" s="39"/>
      <c r="ML72" s="39"/>
      <c r="MM72" s="39"/>
      <c r="MN72" s="39"/>
      <c r="MO72" s="39"/>
      <c r="MP72" s="39"/>
      <c r="MQ72" s="39"/>
      <c r="MR72" s="39"/>
      <c r="MS72" s="39"/>
      <c r="MT72" s="39"/>
      <c r="MU72" s="39"/>
      <c r="MV72" s="39"/>
      <c r="MW72" s="39"/>
    </row>
    <row r="73" spans="1:361" x14ac:dyDescent="0.3"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K73" s="12"/>
      <c r="BL73" s="12"/>
      <c r="BM73" s="12"/>
      <c r="BN73" s="12"/>
      <c r="BO73" s="12"/>
      <c r="BP73" s="37"/>
      <c r="BQ73" s="37"/>
      <c r="BR73" s="37"/>
      <c r="BS73" s="37"/>
      <c r="BT73" s="37"/>
      <c r="BU73" s="37"/>
      <c r="BV73" s="37"/>
      <c r="BW73" s="37"/>
      <c r="BX73" s="37"/>
      <c r="BY73" s="37"/>
      <c r="BZ73" s="37"/>
      <c r="CA73" s="37"/>
      <c r="CB73" s="37"/>
      <c r="CC73" s="37"/>
      <c r="CD73" s="37"/>
      <c r="CE73" s="37"/>
      <c r="CF73" s="37"/>
      <c r="CG73" s="37"/>
      <c r="CH73" s="37"/>
      <c r="CI73" s="37"/>
      <c r="CJ73" s="37"/>
      <c r="CK73" s="37"/>
      <c r="CL73" s="37"/>
      <c r="CM73" s="37"/>
      <c r="CN73" s="37"/>
      <c r="CO73" s="169"/>
      <c r="DG73">
        <f>'Outputs - Cash Infusion'!A27</f>
        <v>2044</v>
      </c>
      <c r="DH73" s="424">
        <f>'Outputs - Cash Infusion'!B27</f>
        <v>1.5530042541245953E-2</v>
      </c>
      <c r="DI73" s="426">
        <v>1.2628587555871066E-2</v>
      </c>
      <c r="DJ73" s="426">
        <v>1.1424753931168426E-2</v>
      </c>
      <c r="DK73" s="426">
        <v>1.9554497021190297E-2</v>
      </c>
      <c r="DL73" s="426">
        <v>1.3777199672449779E-2</v>
      </c>
      <c r="DR73" s="50" t="s">
        <v>310</v>
      </c>
      <c r="DU73" s="401" t="s">
        <v>52</v>
      </c>
      <c r="EP73" s="38">
        <v>0.14516797470638748</v>
      </c>
      <c r="EQ73" s="38">
        <v>0.14460009562723541</v>
      </c>
    </row>
    <row r="74" spans="1:361" x14ac:dyDescent="0.3"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K74" s="12"/>
      <c r="BL74" s="12"/>
      <c r="BM74" s="12"/>
      <c r="BN74" s="12"/>
      <c r="BO74" s="12"/>
      <c r="BP74" s="37"/>
      <c r="BQ74" s="37"/>
      <c r="BR74" s="37"/>
      <c r="BS74" s="37"/>
      <c r="BT74" s="37"/>
      <c r="BU74" s="37"/>
      <c r="BV74" s="37"/>
      <c r="BW74" s="37"/>
      <c r="BX74" s="37"/>
      <c r="BY74" s="37"/>
      <c r="BZ74" s="37"/>
      <c r="CA74" s="37"/>
      <c r="CB74" s="37"/>
      <c r="CC74" s="37"/>
      <c r="CD74" s="37"/>
      <c r="CE74" s="37"/>
      <c r="CF74" s="37"/>
      <c r="CG74" s="37"/>
      <c r="CH74" s="37"/>
      <c r="CI74" s="37"/>
      <c r="CJ74" s="37"/>
      <c r="CK74" s="37"/>
      <c r="CL74" s="37"/>
      <c r="CM74" s="37"/>
      <c r="CN74" s="37"/>
      <c r="CO74" s="169"/>
      <c r="DG74">
        <f>'Outputs - Cash Infusion'!A28</f>
        <v>2045</v>
      </c>
      <c r="DH74" s="424">
        <f>'Outputs - Cash Infusion'!B28</f>
        <v>1.5274245144441739E-2</v>
      </c>
      <c r="DI74" s="426">
        <v>1.2367573979343103E-2</v>
      </c>
      <c r="DJ74" s="426">
        <v>1.1163735972887091E-2</v>
      </c>
      <c r="DK74" s="426">
        <v>1.9293508779804701E-2</v>
      </c>
      <c r="DL74" s="426">
        <v>1.3516190406032231E-2</v>
      </c>
      <c r="DR74" s="50" t="s">
        <v>356</v>
      </c>
      <c r="DU74" s="401" t="s">
        <v>53</v>
      </c>
      <c r="EP74" s="38">
        <v>0.14492199990237131</v>
      </c>
      <c r="EQ74" s="38">
        <v>0.14421816042371446</v>
      </c>
    </row>
    <row r="75" spans="1:361" x14ac:dyDescent="0.3"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K75" s="12"/>
      <c r="BL75" s="12"/>
      <c r="BM75" s="12"/>
      <c r="BN75" s="12"/>
      <c r="BO75" s="12"/>
      <c r="DG75">
        <f>'Outputs - Cash Infusion'!A29</f>
        <v>2046</v>
      </c>
      <c r="DH75" s="424">
        <f>'Outputs - Cash Infusion'!B29</f>
        <v>1.5017074924379004E-2</v>
      </c>
      <c r="DI75" s="426">
        <v>1.2106388208748922E-2</v>
      </c>
      <c r="DJ75" s="426">
        <v>1.090254582122493E-2</v>
      </c>
      <c r="DK75" s="426">
        <v>1.9032348285336519E-2</v>
      </c>
      <c r="DL75" s="426">
        <v>1.3255008891547928E-2</v>
      </c>
      <c r="DR75" s="50" t="s">
        <v>79</v>
      </c>
      <c r="DS75" s="34"/>
      <c r="DT75" s="34"/>
      <c r="DU75" s="260">
        <v>99.99</v>
      </c>
      <c r="EP75" s="38">
        <v>0.14460009562723541</v>
      </c>
      <c r="EQ75" s="38">
        <v>0.1439788008272706</v>
      </c>
    </row>
    <row r="76" spans="1:361" x14ac:dyDescent="0.3"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K76" s="12"/>
      <c r="BL76" s="12"/>
      <c r="BM76" s="12"/>
      <c r="BN76" s="12"/>
      <c r="BO76" s="12"/>
      <c r="DG76">
        <f>'Outputs - Cash Infusion'!A30</f>
        <v>2047</v>
      </c>
      <c r="DH76" s="424">
        <f>'Outputs - Cash Infusion'!B30</f>
        <v>1.4758321357923543E-2</v>
      </c>
      <c r="DI76" s="426">
        <v>1.1845049321612591E-2</v>
      </c>
      <c r="DJ76" s="426">
        <v>1.0641202554065785E-2</v>
      </c>
      <c r="DK76" s="426">
        <v>1.8771034630242007E-2</v>
      </c>
      <c r="DL76" s="426">
        <v>1.2993674219240596E-2</v>
      </c>
      <c r="DR76" s="51" t="s">
        <v>205</v>
      </c>
      <c r="DS76" s="104"/>
      <c r="DT76" s="104"/>
      <c r="DU76" s="261">
        <v>9.99</v>
      </c>
      <c r="EP76" s="38">
        <v>0.14421816042371446</v>
      </c>
      <c r="EQ76" s="38">
        <v>0.14369079844627314</v>
      </c>
    </row>
    <row r="77" spans="1:361" x14ac:dyDescent="0.3"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K77" s="12"/>
      <c r="BL77" s="12"/>
      <c r="BM77" s="12"/>
      <c r="BN77" s="12"/>
      <c r="BO77" s="12"/>
      <c r="DG77">
        <f>'Outputs - Cash Infusion'!A31</f>
        <v>2048</v>
      </c>
      <c r="DH77" s="424">
        <f>'Outputs - Cash Infusion'!B31</f>
        <v>1.4498117968061237E-2</v>
      </c>
      <c r="DI77" s="426">
        <v>1.1583572812184703E-2</v>
      </c>
      <c r="DJ77" s="426">
        <v>1.0379721665199224E-2</v>
      </c>
      <c r="DK77" s="426">
        <v>1.85095833268792E-2</v>
      </c>
      <c r="DL77" s="426">
        <v>1.2732201899944265E-2</v>
      </c>
      <c r="EP77" s="38">
        <v>0.1439788008272706</v>
      </c>
      <c r="EQ77" s="38">
        <v>0.14344509077636353</v>
      </c>
    </row>
    <row r="78" spans="1:361" x14ac:dyDescent="0.3">
      <c r="DG78">
        <f>'Outputs - Cash Infusion'!A32</f>
        <v>2049</v>
      </c>
      <c r="DH78" s="424">
        <f>'Outputs - Cash Infusion'!B32</f>
        <v>1.423660375128896E-2</v>
      </c>
      <c r="DI78" s="426">
        <v>1.1321984884234504E-2</v>
      </c>
      <c r="DJ78" s="426">
        <v>1.0118129358076934E-2</v>
      </c>
      <c r="DK78" s="426">
        <v>1.8248020593380033E-2</v>
      </c>
      <c r="DL78" s="426">
        <v>1.2470618150860098E-2</v>
      </c>
      <c r="DR78" s="77" t="s">
        <v>203</v>
      </c>
      <c r="DS78" s="273" t="s">
        <v>37</v>
      </c>
      <c r="DT78" s="273" t="s">
        <v>62</v>
      </c>
      <c r="DU78" s="274" t="s">
        <v>206</v>
      </c>
      <c r="EP78" s="38">
        <v>0.14369079844627314</v>
      </c>
      <c r="EQ78" s="38">
        <v>0.14330498767576727</v>
      </c>
    </row>
    <row r="79" spans="1:361" x14ac:dyDescent="0.3">
      <c r="DG79">
        <f>'Outputs - Cash Infusion'!A33</f>
        <v>2050</v>
      </c>
      <c r="DH79" s="424">
        <f>'Outputs - Cash Infusion'!B33</f>
        <v>1.3974938408564695E-2</v>
      </c>
      <c r="DI79" s="426">
        <v>1.1060309178503213E-2</v>
      </c>
      <c r="DJ79" s="426">
        <v>9.8564492732461338E-3</v>
      </c>
      <c r="DK79" s="426">
        <v>1.7986370081531516E-2</v>
      </c>
      <c r="DL79" s="426">
        <v>1.2208946623349915E-2</v>
      </c>
      <c r="DR79" s="50" t="s">
        <v>185</v>
      </c>
      <c r="DS79" s="207">
        <v>0.01</v>
      </c>
      <c r="DT79" s="380">
        <v>0.01</v>
      </c>
      <c r="DU79" s="376">
        <f t="shared" ref="DU79:DU84" si="533">DS79</f>
        <v>0.01</v>
      </c>
      <c r="EP79" s="38">
        <v>0.14344509077636353</v>
      </c>
      <c r="EQ79" s="38">
        <v>0.14304146722243882</v>
      </c>
    </row>
    <row r="80" spans="1:361" x14ac:dyDescent="0.3">
      <c r="DI80" s="424">
        <v>0</v>
      </c>
      <c r="DJ80" s="424">
        <v>0</v>
      </c>
      <c r="DK80" s="424">
        <v>0</v>
      </c>
      <c r="DL80" s="424">
        <v>0</v>
      </c>
      <c r="DR80" s="50" t="s">
        <v>186</v>
      </c>
      <c r="DS80" s="286">
        <v>0.03</v>
      </c>
      <c r="DT80" s="380">
        <v>0.03</v>
      </c>
      <c r="DU80" s="376">
        <f t="shared" si="533"/>
        <v>0.03</v>
      </c>
      <c r="EP80" s="38">
        <v>0.14330498767576727</v>
      </c>
      <c r="EQ80" s="38">
        <v>2.4647249465779036E-2</v>
      </c>
    </row>
    <row r="81" spans="111:147" x14ac:dyDescent="0.3">
      <c r="DI81" s="39">
        <v>0</v>
      </c>
      <c r="DJ81" s="39">
        <v>0</v>
      </c>
      <c r="DK81" s="39">
        <v>0</v>
      </c>
      <c r="DL81" s="39">
        <v>0</v>
      </c>
      <c r="DR81" s="50" t="s">
        <v>187</v>
      </c>
      <c r="DS81" s="207">
        <v>8.9999999999999993E-3</v>
      </c>
      <c r="DT81" s="380">
        <v>0.01</v>
      </c>
      <c r="DU81" s="376">
        <f t="shared" si="533"/>
        <v>8.9999999999999993E-3</v>
      </c>
      <c r="EP81" s="38">
        <v>0.14304146722243882</v>
      </c>
      <c r="EQ81" s="38">
        <v>-9.3746968290881194E-2</v>
      </c>
    </row>
    <row r="82" spans="111:147" x14ac:dyDescent="0.3">
      <c r="DH82" s="39" t="str">
        <f>'Outputs - Cash Infusion'!B36</f>
        <v>ER Contribution $ (inf adj)</v>
      </c>
      <c r="DI82" s="39" t="str">
        <v>ER Contribution $ (inf adj)</v>
      </c>
      <c r="DJ82" s="39" t="str">
        <v>ER Contribution $ (inf adj)</v>
      </c>
      <c r="DK82" s="39" t="str">
        <v>ER Contribution $ (inf adj)</v>
      </c>
      <c r="DL82" s="39" t="str">
        <v>ER Contribution $ (inf adj)</v>
      </c>
      <c r="DR82" s="50" t="s">
        <v>188</v>
      </c>
      <c r="DS82" s="269">
        <v>0</v>
      </c>
      <c r="DT82" s="381">
        <v>0</v>
      </c>
      <c r="DU82" s="377">
        <f t="shared" si="533"/>
        <v>0</v>
      </c>
      <c r="EP82" s="38">
        <v>2.4647249465779036E-2</v>
      </c>
      <c r="EQ82" s="38">
        <v>-0.21214118604754001</v>
      </c>
    </row>
    <row r="83" spans="111:147" x14ac:dyDescent="0.3">
      <c r="DG83">
        <f>'Outputs - Cash Infusion'!A37</f>
        <v>2021</v>
      </c>
      <c r="DH83" s="37">
        <f>'Outputs - Cash Infusion'!B37</f>
        <v>1849.4589499999997</v>
      </c>
      <c r="DI83" s="37">
        <v>1849.4589499999997</v>
      </c>
      <c r="DJ83" s="37">
        <v>1849.4589499999997</v>
      </c>
      <c r="DK83" s="37">
        <v>1849.4589499999997</v>
      </c>
      <c r="DL83" s="37">
        <v>1849.4589499999997</v>
      </c>
      <c r="DR83" s="50" t="s">
        <v>189</v>
      </c>
      <c r="DS83" s="268">
        <v>7.4999999999999997E-3</v>
      </c>
      <c r="DT83" s="382">
        <v>7.4999999999999997E-3</v>
      </c>
      <c r="DU83" s="378">
        <f t="shared" si="533"/>
        <v>7.4999999999999997E-3</v>
      </c>
    </row>
    <row r="84" spans="111:147" x14ac:dyDescent="0.3">
      <c r="DG84">
        <f>'Outputs - Cash Infusion'!A38</f>
        <v>2022</v>
      </c>
      <c r="DH84" s="37">
        <f>'Outputs - Cash Infusion'!B38</f>
        <v>240.86808828869457</v>
      </c>
      <c r="DI84" s="37">
        <v>1939.7241598075309</v>
      </c>
      <c r="DJ84" s="37">
        <v>2037.523670809976</v>
      </c>
      <c r="DK84" s="37">
        <v>2428.721714819756</v>
      </c>
      <c r="DL84" s="37">
        <v>2917.7192698319809</v>
      </c>
      <c r="DR84" s="51" t="s">
        <v>190</v>
      </c>
      <c r="DS84" s="275">
        <v>20</v>
      </c>
      <c r="DT84" s="383">
        <v>20</v>
      </c>
      <c r="DU84" s="379">
        <f t="shared" si="533"/>
        <v>20</v>
      </c>
    </row>
    <row r="85" spans="111:147" x14ac:dyDescent="0.3">
      <c r="DG85">
        <f>'Outputs - Cash Infusion'!A39</f>
        <v>2023</v>
      </c>
      <c r="DH85" s="37">
        <f>'Outputs - Cash Infusion'!B39</f>
        <v>2150.8520640628694</v>
      </c>
      <c r="DI85" s="37">
        <v>2065.9094447910061</v>
      </c>
      <c r="DJ85" s="37">
        <v>2065.9094447910061</v>
      </c>
      <c r="DK85" s="37">
        <v>2065.9094447910061</v>
      </c>
      <c r="DL85" s="37">
        <v>2065.9094447910061</v>
      </c>
    </row>
    <row r="86" spans="111:147" x14ac:dyDescent="0.3">
      <c r="DG86">
        <f>'Outputs - Cash Infusion'!A40</f>
        <v>2024</v>
      </c>
      <c r="DH86" s="37">
        <f>'Outputs - Cash Infusion'!B40</f>
        <v>2085.508101750273</v>
      </c>
      <c r="DI86" s="37">
        <v>2193.1678373439713</v>
      </c>
      <c r="DJ86" s="37">
        <v>2193.1678373439713</v>
      </c>
      <c r="DK86" s="37">
        <v>2193.1678373439713</v>
      </c>
      <c r="DL86" s="37">
        <v>2193.1678373439713</v>
      </c>
      <c r="DR86" s="73" t="s">
        <v>170</v>
      </c>
      <c r="DS86" s="78"/>
      <c r="DT86" s="78"/>
      <c r="DU86" s="79"/>
    </row>
    <row r="87" spans="111:147" x14ac:dyDescent="0.3">
      <c r="DG87">
        <f>'Outputs - Cash Infusion'!A41</f>
        <v>2025</v>
      </c>
      <c r="DH87" s="37">
        <f>'Outputs - Cash Infusion'!B41</f>
        <v>2035.451559347194</v>
      </c>
      <c r="DI87" s="37">
        <v>2202.8199207357052</v>
      </c>
      <c r="DJ87" s="37">
        <v>2202.8199207357052</v>
      </c>
      <c r="DK87" s="37">
        <v>2202.8199207357052</v>
      </c>
      <c r="DL87" s="37">
        <v>2202.8199207357052</v>
      </c>
      <c r="DR87" s="80" t="s">
        <v>19</v>
      </c>
      <c r="DS87" s="42"/>
      <c r="DT87" s="81">
        <f>$DU$24</f>
        <v>7.0000000000000007E-2</v>
      </c>
      <c r="DU87" s="82">
        <f>$DU$27</f>
        <v>2.2499999999999999E-2</v>
      </c>
    </row>
    <row r="88" spans="111:147" x14ac:dyDescent="0.3">
      <c r="DG88">
        <f>'Outputs - Cash Infusion'!A42</f>
        <v>2026</v>
      </c>
      <c r="DH88" s="37">
        <f>'Outputs - Cash Infusion'!B42</f>
        <v>1983.8322434603597</v>
      </c>
      <c r="DI88" s="37">
        <v>2212.5144827340528</v>
      </c>
      <c r="DJ88" s="37">
        <v>2212.5144827340528</v>
      </c>
      <c r="DK88" s="37">
        <v>2212.5144827340528</v>
      </c>
      <c r="DL88" s="37">
        <v>2212.5144827340528</v>
      </c>
      <c r="DR88" s="83" t="s">
        <v>20</v>
      </c>
      <c r="DS88" s="42"/>
      <c r="DT88" s="154">
        <f>SUMPRODUCT($BZ$10:$BZ$39,LP$6:LP$35)+SUMPRODUCT($CA$10:$CA$39,LP$6:LP$35)</f>
        <v>2359.2333818226439</v>
      </c>
      <c r="DU88" s="155">
        <f>SUMPRODUCT($BZ$10:$BZ$39,LQ$6:LQ$35)+SUMPRODUCT($CA$10:$CA$39,LQ$6:LQ$35)</f>
        <v>4742.8506622279365</v>
      </c>
    </row>
    <row r="89" spans="111:147" x14ac:dyDescent="0.3">
      <c r="DG89">
        <f>'Outputs - Cash Infusion'!A43</f>
        <v>2027</v>
      </c>
      <c r="DH89" s="37">
        <f>'Outputs - Cash Infusion'!B43</f>
        <v>1903.1980021789595</v>
      </c>
      <c r="DI89" s="37">
        <v>2222.2517102864276</v>
      </c>
      <c r="DJ89" s="37">
        <v>2222.2517102864276</v>
      </c>
      <c r="DK89" s="37">
        <v>2222.2517102864276</v>
      </c>
      <c r="DL89" s="37">
        <v>2222.2517102864276</v>
      </c>
      <c r="DR89" s="83" t="s">
        <v>10</v>
      </c>
      <c r="DS89" s="42"/>
      <c r="DT89" s="154">
        <f>SUMPRODUCT($CB$10:$CB$39,LP$6:LP$35)+SUMPRODUCT($CD$10:$CD$39,LP$6:LP$35)</f>
        <v>21029.045820629803</v>
      </c>
      <c r="DU89" s="155">
        <f>SUMPRODUCT($CB$10:$CB$39,LQ$6:LQ$35)+SUMPRODUCT($CD$10:$CD$39,LQ$6:LQ$35)</f>
        <v>36699.004801168972</v>
      </c>
    </row>
    <row r="90" spans="111:147" x14ac:dyDescent="0.3">
      <c r="DG90">
        <f>'Outputs - Cash Infusion'!A44</f>
        <v>2028</v>
      </c>
      <c r="DH90" s="37">
        <f>'Outputs - Cash Infusion'!B44</f>
        <v>1909.6127321295205</v>
      </c>
      <c r="DI90" s="37">
        <v>2232.0317911629936</v>
      </c>
      <c r="DJ90" s="37">
        <v>2232.0317911629936</v>
      </c>
      <c r="DK90" s="37">
        <v>2232.0317911629936</v>
      </c>
      <c r="DL90" s="37">
        <v>2232.0317911629936</v>
      </c>
      <c r="DR90" s="83" t="s">
        <v>168</v>
      </c>
      <c r="DS90" s="42"/>
      <c r="DT90" s="154">
        <f>SUMPRODUCT($CH$10:$CH$39,LP$6:LP$35)+SUMPRODUCT($CF$10:$CF$39,LP$6:LP$35)+SUMPRODUCT($CE$10:$CE$39,LP$6:LP$35)</f>
        <v>0</v>
      </c>
      <c r="DU90" s="155">
        <f>SUMPRODUCT($CH$10:$CH$39,LQ$6:LQ$35)+SUMPRODUCT($CF$10:$CF$39,LQ$6:LQ$35)+SUMPRODUCT($CE$10:$CE$39,LQ$6:LQ$35)</f>
        <v>0</v>
      </c>
    </row>
    <row r="91" spans="111:147" x14ac:dyDescent="0.3">
      <c r="DG91">
        <f>'Outputs - Cash Infusion'!A45</f>
        <v>2029</v>
      </c>
      <c r="DH91" s="37">
        <f>'Outputs - Cash Infusion'!B45</f>
        <v>1914.8828205688858</v>
      </c>
      <c r="DI91" s="37">
        <v>2241.8549139602883</v>
      </c>
      <c r="DJ91" s="37">
        <v>2241.8549139602883</v>
      </c>
      <c r="DK91" s="37">
        <v>2241.8549139602883</v>
      </c>
      <c r="DL91" s="37">
        <v>2241.8549139602883</v>
      </c>
      <c r="DR91" s="83" t="s">
        <v>80</v>
      </c>
      <c r="DS91" s="42"/>
      <c r="DT91" s="154">
        <f>SUMPRODUCT($CK$10:$CK$39,LP$6:LP$35)</f>
        <v>0</v>
      </c>
      <c r="DU91" s="155">
        <f>SUMPRODUCT($CK$10:$CK$39,LQ$6:LQ$35)</f>
        <v>0</v>
      </c>
    </row>
    <row r="92" spans="111:147" x14ac:dyDescent="0.3">
      <c r="DG92">
        <f>'Outputs - Cash Infusion'!A46</f>
        <v>2030</v>
      </c>
      <c r="DH92" s="37">
        <f>'Outputs - Cash Infusion'!B46</f>
        <v>1920.1594493252321</v>
      </c>
      <c r="DI92" s="37">
        <v>2251.7212681048568</v>
      </c>
      <c r="DJ92" s="37">
        <v>2251.7212681048568</v>
      </c>
      <c r="DK92" s="37">
        <v>2251.7212681048568</v>
      </c>
      <c r="DL92" s="37">
        <v>2251.7212681048568</v>
      </c>
      <c r="DR92" s="83" t="s">
        <v>114</v>
      </c>
      <c r="DS92" s="42"/>
      <c r="DT92" s="156">
        <f>($AC$39-$AK$39)*LP$36</f>
        <v>-324.75866692850786</v>
      </c>
      <c r="DU92" s="157">
        <f>($AC$39-$AK$39)*LQ$36</f>
        <v>-1268.1615463495148</v>
      </c>
    </row>
    <row r="93" spans="111:147" x14ac:dyDescent="0.3">
      <c r="DG93">
        <f>'Outputs - Cash Infusion'!A47</f>
        <v>2031</v>
      </c>
      <c r="DH93" s="37">
        <f>'Outputs - Cash Infusion'!B47</f>
        <v>1925.4434253437219</v>
      </c>
      <c r="DI93" s="37">
        <v>2261.6310438569076</v>
      </c>
      <c r="DJ93" s="37">
        <v>2261.6310438569076</v>
      </c>
      <c r="DK93" s="37">
        <v>2261.6310438569076</v>
      </c>
      <c r="DL93" s="37">
        <v>2261.6310438569076</v>
      </c>
      <c r="DR93" s="83" t="s">
        <v>21</v>
      </c>
      <c r="DS93" s="42"/>
      <c r="DT93" s="154">
        <f>SUM(DT88:DT92)</f>
        <v>23063.520535523938</v>
      </c>
      <c r="DU93" s="155">
        <f>SUM(DU88:DU92)</f>
        <v>40173.693917047392</v>
      </c>
    </row>
    <row r="94" spans="111:147" x14ac:dyDescent="0.3">
      <c r="DG94">
        <f>'Outputs - Cash Infusion'!A48</f>
        <v>2032</v>
      </c>
      <c r="DH94" s="37">
        <f>'Outputs - Cash Infusion'!B48</f>
        <v>1930.73532120347</v>
      </c>
      <c r="DI94" s="37">
        <v>2271.5844323139795</v>
      </c>
      <c r="DJ94" s="37">
        <v>2271.5844323139795</v>
      </c>
      <c r="DK94" s="37">
        <v>2271.5844323139795</v>
      </c>
      <c r="DL94" s="37">
        <v>2271.5844323139795</v>
      </c>
      <c r="DR94" s="83" t="s">
        <v>44</v>
      </c>
      <c r="DS94" s="42"/>
      <c r="DT94" s="154">
        <f>SUMPRODUCT($DH$10:$DH$39,LP$6:LP$35)</f>
        <v>1280.9698646356528</v>
      </c>
      <c r="DU94" s="155">
        <f>SUMPRODUCT($DH$10:$DH$39,LQ$6:LQ$35)</f>
        <v>2387.4965106748105</v>
      </c>
    </row>
    <row r="95" spans="111:147" x14ac:dyDescent="0.3">
      <c r="DG95">
        <f>'Outputs - Cash Infusion'!A49</f>
        <v>2033</v>
      </c>
      <c r="DH95" s="37">
        <f>'Outputs - Cash Infusion'!B49</f>
        <v>1936.035663319645</v>
      </c>
      <c r="DI95" s="37">
        <v>2281.5816254146271</v>
      </c>
      <c r="DJ95" s="37">
        <v>2281.5816254146271</v>
      </c>
      <c r="DK95" s="37">
        <v>2281.5816254146271</v>
      </c>
      <c r="DL95" s="37">
        <v>2281.5816254146271</v>
      </c>
      <c r="DR95" s="83" t="s">
        <v>45</v>
      </c>
      <c r="DS95" s="42"/>
      <c r="DT95" s="154">
        <f>DT93+DT94</f>
        <v>24344.49040015959</v>
      </c>
      <c r="DU95" s="155">
        <f>DU93+DU94</f>
        <v>42561.190427722206</v>
      </c>
    </row>
    <row r="96" spans="111:147" x14ac:dyDescent="0.3">
      <c r="DG96">
        <f>'Outputs - Cash Infusion'!A50</f>
        <v>2034</v>
      </c>
      <c r="DH96" s="37">
        <f>'Outputs - Cash Infusion'!B50</f>
        <v>1941.3452007303495</v>
      </c>
      <c r="DI96" s="37">
        <v>2291.6228159421248</v>
      </c>
      <c r="DJ96" s="37">
        <v>2291.6228159421248</v>
      </c>
      <c r="DK96" s="37">
        <v>2168.151759048691</v>
      </c>
      <c r="DL96" s="37">
        <v>2168.151759048691</v>
      </c>
      <c r="DR96" s="83" t="s">
        <v>22</v>
      </c>
      <c r="DS96" s="42"/>
      <c r="DT96" s="154">
        <f>SUMPRODUCT($BV$10:$BV$39,LP$6:LP$35)+SUMPRODUCT($BW10:$BW39,LP$6:LP$35)</f>
        <v>13448.152223464027</v>
      </c>
      <c r="DU96" s="155">
        <f>SUMPRODUCT($BV$10:$BV$39,LQ$6:LQ$35)+SUMPRODUCT($BW10:$BW39,LQ$6:LQ$35)</f>
        <v>24769.774339503245</v>
      </c>
    </row>
    <row r="97" spans="111:125" x14ac:dyDescent="0.3">
      <c r="DG97">
        <f>'Outputs - Cash Infusion'!A51</f>
        <v>2035</v>
      </c>
      <c r="DH97" s="37">
        <f>'Outputs - Cash Infusion'!B51</f>
        <v>1946.6638838530419</v>
      </c>
      <c r="DI97" s="37">
        <v>2177.6937472303234</v>
      </c>
      <c r="DJ97" s="37">
        <v>2177.6937472303234</v>
      </c>
      <c r="DK97" s="37">
        <v>2053.6792969324683</v>
      </c>
      <c r="DL97" s="37">
        <v>2053.6792969324683</v>
      </c>
      <c r="DR97" s="83" t="s">
        <v>55</v>
      </c>
      <c r="DS97" s="42"/>
      <c r="DT97" s="154">
        <f>SUMPRODUCT($CO$10:$CO$39,LP$6:LP$35)</f>
        <v>0</v>
      </c>
      <c r="DU97" s="155">
        <f>SUMPRODUCT($CO$10:$CO$39,LQ$6:LQ$35)</f>
        <v>0</v>
      </c>
    </row>
    <row r="98" spans="111:125" x14ac:dyDescent="0.3">
      <c r="DG98">
        <f>'Outputs - Cash Infusion'!A52</f>
        <v>2036</v>
      </c>
      <c r="DH98" s="37">
        <f>'Outputs - Cash Infusion'!B52</f>
        <v>1951.9916932104024</v>
      </c>
      <c r="DI98" s="37">
        <v>2062.7174943272821</v>
      </c>
      <c r="DJ98" s="37">
        <v>2062.7174943272821</v>
      </c>
      <c r="DK98" s="37">
        <v>1938.1572591625907</v>
      </c>
      <c r="DL98" s="37">
        <v>1938.1572591625907</v>
      </c>
      <c r="DR98" s="84" t="s">
        <v>8</v>
      </c>
      <c r="DS98" s="104"/>
      <c r="DT98" s="148">
        <f>DT95+DT96+DT97</f>
        <v>37792.642623623615</v>
      </c>
      <c r="DU98" s="147">
        <f>DU95+DU96+DU97</f>
        <v>67330.96476722545</v>
      </c>
    </row>
    <row r="99" spans="111:125" x14ac:dyDescent="0.3">
      <c r="DG99">
        <f>'Outputs - Cash Infusion'!A53</f>
        <v>2037</v>
      </c>
      <c r="DH99" s="37">
        <f>'Outputs - Cash Infusion'!B53</f>
        <v>1957.3286313661338</v>
      </c>
      <c r="DI99" s="37">
        <v>1946.6870466112284</v>
      </c>
      <c r="DJ99" s="37">
        <v>1946.6870466112284</v>
      </c>
      <c r="DK99" s="37">
        <v>290.03665620651026</v>
      </c>
      <c r="DL99" s="37">
        <v>290.03665620651026</v>
      </c>
      <c r="DR99" s="85" t="s">
        <v>169</v>
      </c>
      <c r="DS99" s="91"/>
      <c r="DT99" s="158">
        <f>AO11</f>
        <v>22073.825999999997</v>
      </c>
      <c r="DU99" s="159"/>
    </row>
    <row r="100" spans="111:125" x14ac:dyDescent="0.3">
      <c r="DG100">
        <f>'Outputs - Cash Infusion'!A54</f>
        <v>2038</v>
      </c>
      <c r="DH100" s="37">
        <f>'Outputs - Cash Infusion'!B54</f>
        <v>1962.6746492972338</v>
      </c>
      <c r="DI100" s="37">
        <v>291.31310114825038</v>
      </c>
      <c r="DJ100" s="37">
        <v>291.31310114825038</v>
      </c>
      <c r="DK100" s="37">
        <v>265.20167977070099</v>
      </c>
      <c r="DL100" s="37">
        <v>192.59921810666191</v>
      </c>
    </row>
    <row r="101" spans="111:125" x14ac:dyDescent="0.3">
      <c r="DG101">
        <f>'Outputs - Cash Infusion'!A55</f>
        <v>2039</v>
      </c>
      <c r="DH101" s="37">
        <f>'Outputs - Cash Infusion'!B55</f>
        <v>1968.0297280067291</v>
      </c>
      <c r="DI101" s="37">
        <v>175.65942174555886</v>
      </c>
      <c r="DJ101" s="37">
        <v>160.46438331416036</v>
      </c>
      <c r="DK101" s="37">
        <v>263.1524110519195</v>
      </c>
      <c r="DL101" s="37">
        <v>190.23042755170675</v>
      </c>
    </row>
    <row r="102" spans="111:125" x14ac:dyDescent="0.3">
      <c r="DG102">
        <f>'Outputs - Cash Infusion'!A56</f>
        <v>2040</v>
      </c>
      <c r="DH102" s="37">
        <f>'Outputs - Cash Infusion'!B56</f>
        <v>1973.3938445482256</v>
      </c>
      <c r="DI102" s="37">
        <v>173.20185307172952</v>
      </c>
      <c r="DJ102" s="37">
        <v>157.93994161055932</v>
      </c>
      <c r="DK102" s="37">
        <v>261.05859979070794</v>
      </c>
      <c r="DL102" s="37">
        <v>187.81830159591354</v>
      </c>
    </row>
    <row r="103" spans="111:125" x14ac:dyDescent="0.3">
      <c r="DG103">
        <f>'Outputs - Cash Infusion'!A57</f>
        <v>2041</v>
      </c>
      <c r="DH103" s="37">
        <f>'Outputs - Cash Infusion'!B57</f>
        <v>1978.7669756228563</v>
      </c>
      <c r="DI103" s="37">
        <v>170.70105463674298</v>
      </c>
      <c r="DJ103" s="37">
        <v>155.37252278961742</v>
      </c>
      <c r="DK103" s="37">
        <v>258.92147230313509</v>
      </c>
      <c r="DL103" s="37">
        <v>185.36065214911153</v>
      </c>
    </row>
    <row r="104" spans="111:125" x14ac:dyDescent="0.3">
      <c r="DG104">
        <f>'Outputs - Cash Infusion'!A58</f>
        <v>2042</v>
      </c>
      <c r="DH104" s="37">
        <f>'Outputs - Cash Infusion'!B58</f>
        <v>1984.1491024460911</v>
      </c>
      <c r="DI104" s="37">
        <v>168.15399709964925</v>
      </c>
      <c r="DJ104" s="37">
        <v>152.75838290604514</v>
      </c>
      <c r="DK104" s="37">
        <v>256.74322727703424</v>
      </c>
      <c r="DL104" s="37">
        <v>182.8597262823175</v>
      </c>
    </row>
    <row r="105" spans="111:125" x14ac:dyDescent="0.3">
      <c r="DG105">
        <f>'Outputs - Cash Infusion'!A59</f>
        <v>2043</v>
      </c>
      <c r="DH105" s="37">
        <f>'Outputs - Cash Infusion'!B59</f>
        <v>297.78008604262942</v>
      </c>
      <c r="DI105" s="37">
        <v>165.5619282295892</v>
      </c>
      <c r="DJ105" s="37">
        <v>150.09877985514532</v>
      </c>
      <c r="DK105" s="37">
        <v>254.52491938111763</v>
      </c>
      <c r="DL105" s="37">
        <v>180.31662534742867</v>
      </c>
    </row>
    <row r="106" spans="111:125" x14ac:dyDescent="0.3">
      <c r="DG106">
        <f>'Outputs - Cash Infusion'!A60</f>
        <v>2044</v>
      </c>
      <c r="DH106" s="37">
        <f>'Outputs - Cash Infusion'!B60</f>
        <v>200.35910370115488</v>
      </c>
      <c r="DI106" s="37">
        <v>162.92630731601889</v>
      </c>
      <c r="DJ106" s="37">
        <v>147.39518269674389</v>
      </c>
      <c r="DK106" s="37">
        <v>252.28015223313494</v>
      </c>
      <c r="DL106" s="37">
        <v>177.74499783581535</v>
      </c>
    </row>
    <row r="107" spans="111:125" x14ac:dyDescent="0.3">
      <c r="DG107">
        <f>'Outputs - Cash Infusion'!A61</f>
        <v>2045</v>
      </c>
      <c r="DH107" s="37">
        <f>'Outputs - Cash Infusion'!B61</f>
        <v>197.92621440503527</v>
      </c>
      <c r="DI107" s="37">
        <v>160.26108498044968</v>
      </c>
      <c r="DJ107" s="37">
        <v>144.66155144399539</v>
      </c>
      <c r="DK107" s="37">
        <v>250.00850249982196</v>
      </c>
      <c r="DL107" s="37">
        <v>175.14504808226926</v>
      </c>
    </row>
    <row r="108" spans="111:125" x14ac:dyDescent="0.3">
      <c r="DG108">
        <f>'Outputs - Cash Infusion'!A62</f>
        <v>2046</v>
      </c>
      <c r="DH108" s="37">
        <f>'Outputs - Cash Infusion'!B62</f>
        <v>195.45016268480543</v>
      </c>
      <c r="DI108" s="37">
        <v>157.5670066801132</v>
      </c>
      <c r="DJ108" s="37">
        <v>141.89876291937571</v>
      </c>
      <c r="DK108" s="37">
        <v>247.70972958282201</v>
      </c>
      <c r="DL108" s="37">
        <v>172.51652917012512</v>
      </c>
    </row>
    <row r="109" spans="111:125" x14ac:dyDescent="0.3">
      <c r="DG109">
        <f>'Outputs - Cash Infusion'!A63</f>
        <v>2047</v>
      </c>
      <c r="DH109" s="37">
        <f>'Outputs - Cash Infusion'!B63</f>
        <v>192.92778505525339</v>
      </c>
      <c r="DI109" s="37">
        <v>154.84410957497107</v>
      </c>
      <c r="DJ109" s="37">
        <v>139.1068529604824</v>
      </c>
      <c r="DK109" s="37">
        <v>245.38387846282652</v>
      </c>
      <c r="DL109" s="37">
        <v>169.85947968274513</v>
      </c>
    </row>
    <row r="110" spans="111:125" x14ac:dyDescent="0.3">
      <c r="DG110">
        <f>'Outputs - Cash Infusion'!A64</f>
        <v>2048</v>
      </c>
      <c r="DH110" s="37">
        <f>'Outputs - Cash Infusion'!B64</f>
        <v>190.36038378054707</v>
      </c>
      <c r="DI110" s="37">
        <v>152.09238681427715</v>
      </c>
      <c r="DJ110" s="37">
        <v>136.28581337766624</v>
      </c>
      <c r="DK110" s="37">
        <v>243.03095018848984</v>
      </c>
      <c r="DL110" s="37">
        <v>167.17389425193866</v>
      </c>
    </row>
    <row r="111" spans="111:125" x14ac:dyDescent="0.3">
      <c r="DG111">
        <f>'Outputs - Cash Infusion'!A65</f>
        <v>2049</v>
      </c>
      <c r="DH111" s="37">
        <f>'Outputs - Cash Infusion'!B65</f>
        <v>187.74936069843596</v>
      </c>
      <c r="DI111" s="37">
        <v>149.31197503196128</v>
      </c>
      <c r="DJ111" s="37">
        <v>133.43577946186971</v>
      </c>
      <c r="DK111" s="37">
        <v>240.6510892816558</v>
      </c>
      <c r="DL111" s="37">
        <v>164.45991096200262</v>
      </c>
    </row>
    <row r="112" spans="111:125" x14ac:dyDescent="0.3">
      <c r="DG112">
        <f>'Outputs - Cash Infusion'!A66</f>
        <v>2050</v>
      </c>
      <c r="DH112" s="37">
        <f>'Outputs - Cash Infusion'!B66</f>
        <v>185.10966670178703</v>
      </c>
      <c r="DI112" s="37">
        <v>146.50298168016914</v>
      </c>
      <c r="DJ112" s="37">
        <v>130.55685731791726</v>
      </c>
      <c r="DK112" s="37">
        <v>238.24441107567256</v>
      </c>
      <c r="DL112" s="37">
        <v>161.71763868691892</v>
      </c>
    </row>
    <row r="113" spans="111:116" x14ac:dyDescent="0.3">
      <c r="DH113" s="37"/>
      <c r="DI113" s="37">
        <v>0</v>
      </c>
      <c r="DJ113" s="37">
        <v>0</v>
      </c>
      <c r="DK113" s="37">
        <v>0</v>
      </c>
      <c r="DL113" s="37">
        <v>0</v>
      </c>
    </row>
    <row r="114" spans="111:116" x14ac:dyDescent="0.3">
      <c r="DI114" s="39">
        <v>0</v>
      </c>
      <c r="DJ114" s="39">
        <v>0</v>
      </c>
      <c r="DK114" s="39">
        <v>0</v>
      </c>
      <c r="DL114" s="39">
        <v>0</v>
      </c>
    </row>
    <row r="115" spans="111:116" x14ac:dyDescent="0.3">
      <c r="DH115" s="39" t="str">
        <f>'Outputs - Cash Infusion'!B69</f>
        <v>Funded Ratio (MVA)</v>
      </c>
      <c r="DI115" s="39" t="str">
        <v>Funded Ratio (MVA)</v>
      </c>
      <c r="DJ115" s="39" t="str">
        <v>Funded Ratio (MVA)</v>
      </c>
      <c r="DK115" s="39" t="str">
        <v>Funded Ratio (MVA)</v>
      </c>
      <c r="DL115" s="39" t="str">
        <v>Funded Ratio (MVA)</v>
      </c>
    </row>
    <row r="116" spans="111:116" x14ac:dyDescent="0.3">
      <c r="DG116">
        <f>'Outputs - Cash Infusion'!A70</f>
        <v>2021</v>
      </c>
      <c r="DH116" s="424">
        <f>'Outputs - Cash Infusion'!B70</f>
        <v>0.60893685306164336</v>
      </c>
      <c r="DI116" s="424">
        <v>0.60893685306164336</v>
      </c>
      <c r="DJ116" s="424">
        <v>0.60893685306164336</v>
      </c>
      <c r="DK116" s="424">
        <v>0.60893685306164336</v>
      </c>
      <c r="DL116" s="424">
        <v>0.60893685306164336</v>
      </c>
    </row>
    <row r="117" spans="111:116" x14ac:dyDescent="0.3">
      <c r="DG117">
        <f>'Outputs - Cash Infusion'!A71</f>
        <v>2022</v>
      </c>
      <c r="DH117" s="424">
        <f>'Outputs - Cash Infusion'!B71</f>
        <v>0.59270078979895946</v>
      </c>
      <c r="DI117" s="424">
        <v>0.62451456987311627</v>
      </c>
      <c r="DJ117" s="424">
        <v>0.62634602115763272</v>
      </c>
      <c r="DK117" s="424">
        <v>0.63367182629569885</v>
      </c>
      <c r="DL117" s="424">
        <v>0.64282908271828143</v>
      </c>
    </row>
    <row r="118" spans="111:116" x14ac:dyDescent="0.3">
      <c r="DG118">
        <f>'Outputs - Cash Infusion'!A72</f>
        <v>2023</v>
      </c>
      <c r="DH118" s="424">
        <f>'Outputs - Cash Infusion'!B72</f>
        <v>0.6112793957278444</v>
      </c>
      <c r="DI118" s="424">
        <v>0.64285091195982946</v>
      </c>
      <c r="DJ118" s="424">
        <v>0.64475961497894763</v>
      </c>
      <c r="DK118" s="424">
        <v>0.65239442705542072</v>
      </c>
      <c r="DL118" s="424">
        <v>0.66193794215101198</v>
      </c>
    </row>
    <row r="119" spans="111:116" x14ac:dyDescent="0.3">
      <c r="DG119">
        <f>'Outputs - Cash Infusion'!A73</f>
        <v>2024</v>
      </c>
      <c r="DH119" s="424">
        <f>'Outputs - Cash Infusion'!B73</f>
        <v>0.62916795606567844</v>
      </c>
      <c r="DI119" s="424">
        <v>0.66407977352903369</v>
      </c>
      <c r="DJ119" s="424">
        <v>0.66606949582586628</v>
      </c>
      <c r="DK119" s="424">
        <v>0.67402838501319662</v>
      </c>
      <c r="DL119" s="424">
        <v>0.68397699649735966</v>
      </c>
    </row>
    <row r="120" spans="111:116" x14ac:dyDescent="0.3">
      <c r="DG120">
        <f>'Outputs - Cash Infusion'!A74</f>
        <v>2025</v>
      </c>
      <c r="DH120" s="424">
        <f>'Outputs - Cash Infusion'!B74</f>
        <v>0.64664537421067292</v>
      </c>
      <c r="DI120" s="424">
        <v>0.68614710284743541</v>
      </c>
      <c r="DJ120" s="424">
        <v>0.68822183095028011</v>
      </c>
      <c r="DK120" s="424">
        <v>0.69652074336165848</v>
      </c>
      <c r="DL120" s="424">
        <v>0.70689438387588155</v>
      </c>
    </row>
    <row r="121" spans="111:116" x14ac:dyDescent="0.3">
      <c r="DG121">
        <f>'Outputs - Cash Infusion'!A75</f>
        <v>2026</v>
      </c>
      <c r="DH121" s="424">
        <f>'Outputs - Cash Infusion'!B75</f>
        <v>0.66368795100015987</v>
      </c>
      <c r="DI121" s="424">
        <v>0.70910799100975308</v>
      </c>
      <c r="DJ121" s="424">
        <v>0.71127194444776942</v>
      </c>
      <c r="DK121" s="424">
        <v>0.71992775819983446</v>
      </c>
      <c r="DL121" s="424">
        <v>0.73074752538991605</v>
      </c>
    </row>
    <row r="122" spans="111:116" x14ac:dyDescent="0.3">
      <c r="DG122">
        <f>'Outputs - Cash Infusion'!A76</f>
        <v>2027</v>
      </c>
      <c r="DH122" s="424">
        <f>'Outputs - Cash Infusion'!B76</f>
        <v>0.67976547396803677</v>
      </c>
      <c r="DI122" s="424">
        <v>0.7330213366689865</v>
      </c>
      <c r="DJ122" s="424">
        <v>0.73527898480435638</v>
      </c>
      <c r="DK122" s="424">
        <v>0.74430957734583514</v>
      </c>
      <c r="DL122" s="424">
        <v>0.755597818022684</v>
      </c>
    </row>
    <row r="123" spans="111:116" x14ac:dyDescent="0.3">
      <c r="DG123">
        <f>'Outputs - Cash Infusion'!A77</f>
        <v>2028</v>
      </c>
      <c r="DH123" s="424">
        <f>'Outputs - Cash Infusion'!B77</f>
        <v>0.6964574528681392</v>
      </c>
      <c r="DI123" s="424">
        <v>0.75795019634997096</v>
      </c>
      <c r="DJ123" s="424">
        <v>0.76030627672876916</v>
      </c>
      <c r="DK123" s="424">
        <v>0.76973059824396106</v>
      </c>
      <c r="DL123" s="424">
        <v>0.78151100013795149</v>
      </c>
    </row>
    <row r="124" spans="111:116" x14ac:dyDescent="0.3">
      <c r="DG124">
        <f>'Outputs - Cash Infusion'!A78</f>
        <v>2029</v>
      </c>
      <c r="DH124" s="424">
        <f>'Outputs - Cash Infusion'!B78</f>
        <v>0.71378531674408696</v>
      </c>
      <c r="DI124" s="424">
        <v>0.78396217317558681</v>
      </c>
      <c r="DJ124" s="424">
        <v>0.78642171156542706</v>
      </c>
      <c r="DK124" s="424">
        <v>0.79625986512478775</v>
      </c>
      <c r="DL124" s="424">
        <v>0.80855755707398902</v>
      </c>
    </row>
    <row r="125" spans="111:116" x14ac:dyDescent="0.3">
      <c r="DG125">
        <f>'Outputs - Cash Infusion'!A79</f>
        <v>2030</v>
      </c>
      <c r="DH125" s="424">
        <f>'Outputs - Cash Infusion'!B79</f>
        <v>0.73179381001242871</v>
      </c>
      <c r="DI125" s="424">
        <v>0.81112984909365382</v>
      </c>
      <c r="DJ125" s="424">
        <v>0.81369818139834893</v>
      </c>
      <c r="DK125" s="424">
        <v>0.82397151061712903</v>
      </c>
      <c r="DL125" s="424">
        <v>0.83681317214060469</v>
      </c>
    </row>
    <row r="126" spans="111:116" x14ac:dyDescent="0.3">
      <c r="DG126">
        <f>'Outputs - Cash Infusion'!A80</f>
        <v>2031</v>
      </c>
      <c r="DH126" s="424">
        <f>'Outputs - Cash Infusion'!B80</f>
        <v>0.75053287454360462</v>
      </c>
      <c r="DI126" s="424">
        <v>0.83953247000775622</v>
      </c>
      <c r="DJ126" s="424">
        <v>0.84221524615353427</v>
      </c>
      <c r="DK126" s="424">
        <v>0.85294635073664549</v>
      </c>
      <c r="DL126" s="424">
        <v>0.86636023146553498</v>
      </c>
    </row>
    <row r="127" spans="111:116" x14ac:dyDescent="0.3">
      <c r="DG127">
        <f>'Outputs - Cash Infusion'!A81</f>
        <v>2032</v>
      </c>
      <c r="DH127" s="424">
        <f>'Outputs - Cash Infusion'!B81</f>
        <v>0.77005234322867333</v>
      </c>
      <c r="DI127" s="424">
        <v>0.86925258330417354</v>
      </c>
      <c r="DJ127" s="424">
        <v>0.8720558286722665</v>
      </c>
      <c r="DK127" s="424">
        <v>0.88326881014463732</v>
      </c>
      <c r="DL127" s="424">
        <v>0.8972850369851012</v>
      </c>
    </row>
    <row r="128" spans="111:116" x14ac:dyDescent="0.3">
      <c r="DG128">
        <f>'Outputs - Cash Infusion'!A82</f>
        <v>2033</v>
      </c>
      <c r="DH128" s="424">
        <f>'Outputs - Cash Infusion'!B82</f>
        <v>0.79040981207348815</v>
      </c>
      <c r="DI128" s="424">
        <v>0.90038161181724541</v>
      </c>
      <c r="DJ128" s="424">
        <v>0.90331171341934569</v>
      </c>
      <c r="DK128" s="424">
        <v>0.91503211982774613</v>
      </c>
      <c r="DL128" s="424">
        <v>0.92968262783824684</v>
      </c>
    </row>
    <row r="129" spans="111:116" x14ac:dyDescent="0.3">
      <c r="DG129">
        <f>'Outputs - Cash Infusion'!A83</f>
        <v>2034</v>
      </c>
      <c r="DH129" s="424">
        <f>'Outputs - Cash Infusion'!B83</f>
        <v>0.8116651868244884</v>
      </c>
      <c r="DI129" s="424">
        <v>0.93301655470675726</v>
      </c>
      <c r="DJ129" s="424">
        <v>0.93608030964804034</v>
      </c>
      <c r="DK129" s="424">
        <v>0.9460922896375088</v>
      </c>
      <c r="DL129" s="424">
        <v>0.96141106434392276</v>
      </c>
    </row>
    <row r="130" spans="111:116" x14ac:dyDescent="0.3">
      <c r="DG130">
        <f>'Outputs - Cash Infusion'!A84</f>
        <v>2035</v>
      </c>
      <c r="DH130" s="424">
        <f>'Outputs - Cash Infusion'!B84</f>
        <v>0.83388119569780361</v>
      </c>
      <c r="DI130" s="424">
        <v>0.96500974825958241</v>
      </c>
      <c r="DJ130" s="424">
        <v>0.96821443192990575</v>
      </c>
      <c r="DK130" s="424">
        <v>0.97643502046722952</v>
      </c>
      <c r="DL130" s="424">
        <v>0.99245843881884466</v>
      </c>
    </row>
    <row r="131" spans="111:116" x14ac:dyDescent="0.3">
      <c r="DG131">
        <f>'Outputs - Cash Infusion'!A85</f>
        <v>2036</v>
      </c>
      <c r="DH131" s="424">
        <f>'Outputs - Cash Infusion'!B85</f>
        <v>0.85712964980211137</v>
      </c>
      <c r="DI131" s="424">
        <v>0.99635138570783233</v>
      </c>
      <c r="DJ131" s="424">
        <v>0.99970472569601776</v>
      </c>
      <c r="DK131" s="424">
        <v>1.0060449502324074</v>
      </c>
      <c r="DL131" s="424">
        <v>1.0228116501733333</v>
      </c>
    </row>
    <row r="132" spans="111:116" x14ac:dyDescent="0.3">
      <c r="DG132">
        <f>'Outputs - Cash Infusion'!A86</f>
        <v>2037</v>
      </c>
      <c r="DH132" s="424">
        <f>'Outputs - Cash Infusion'!B86</f>
        <v>0.88148601475352573</v>
      </c>
      <c r="DI132" s="424">
        <v>1.0270287271183467</v>
      </c>
      <c r="DJ132" s="424">
        <v>1.0305389717464575</v>
      </c>
      <c r="DK132" s="424">
        <v>1.0070856881613077</v>
      </c>
      <c r="DL132" s="424">
        <v>1.0246369113018607</v>
      </c>
    </row>
    <row r="133" spans="111:116" x14ac:dyDescent="0.3">
      <c r="DG133">
        <f>'Outputs - Cash Infusion'!A87</f>
        <v>2038</v>
      </c>
      <c r="DH133" s="424">
        <f>'Outputs - Cash Infusion'!B87</f>
        <v>0.90703203996345916</v>
      </c>
      <c r="DI133" s="424">
        <v>1.0290665258169907</v>
      </c>
      <c r="DJ133" s="424">
        <v>1.0327424886254819</v>
      </c>
      <c r="DK133" s="424">
        <v>1.0077073679114887</v>
      </c>
      <c r="DL133" s="424">
        <v>1.0247675330678223</v>
      </c>
    </row>
    <row r="134" spans="111:116" x14ac:dyDescent="0.3">
      <c r="DG134">
        <f>'Outputs - Cash Infusion'!A88</f>
        <v>2039</v>
      </c>
      <c r="DH134" s="424">
        <f>'Outputs - Cash Infusion'!B88</f>
        <v>0.9338564435670057</v>
      </c>
      <c r="DI134" s="424">
        <v>1.029089552644773</v>
      </c>
      <c r="DJ134" s="424">
        <v>1.0326641566083135</v>
      </c>
      <c r="DK134" s="424">
        <v>1.008304824170998</v>
      </c>
      <c r="DL134" s="424">
        <v>1.0248508780748278</v>
      </c>
    </row>
    <row r="135" spans="111:116" x14ac:dyDescent="0.3">
      <c r="DG135">
        <f>'Outputs - Cash Infusion'!A89</f>
        <v>2040</v>
      </c>
      <c r="DH135" s="424">
        <f>'Outputs - Cash Infusion'!B89</f>
        <v>0.96205568721825685</v>
      </c>
      <c r="DI135" s="424">
        <v>1.0290598852062822</v>
      </c>
      <c r="DJ135" s="424">
        <v>1.0325282734477808</v>
      </c>
      <c r="DK135" s="424">
        <v>1.0088766338223454</v>
      </c>
      <c r="DL135" s="424">
        <v>1.0248837196639153</v>
      </c>
    </row>
    <row r="136" spans="111:116" x14ac:dyDescent="0.3">
      <c r="DG136">
        <f>'Outputs - Cash Infusion'!A90</f>
        <v>2041</v>
      </c>
      <c r="DH136" s="424">
        <f>'Outputs - Cash Infusion'!B90</f>
        <v>0.99173911474886778</v>
      </c>
      <c r="DI136" s="424">
        <v>1.0289588714400393</v>
      </c>
      <c r="DJ136" s="424">
        <v>1.032314071648528</v>
      </c>
      <c r="DK136" s="424">
        <v>1.00941640678587</v>
      </c>
      <c r="DL136" s="424">
        <v>1.0248496849773663</v>
      </c>
    </row>
    <row r="137" spans="111:116" x14ac:dyDescent="0.3">
      <c r="DG137">
        <f>'Outputs - Cash Infusion'!A91</f>
        <v>2042</v>
      </c>
      <c r="DH137" s="424">
        <f>'Outputs - Cash Infusion'!B91</f>
        <v>1.0229609141850744</v>
      </c>
      <c r="DI137" s="424">
        <v>1.0287673594132494</v>
      </c>
      <c r="DJ137" s="424">
        <v>1.032000432104597</v>
      </c>
      <c r="DK137" s="424">
        <v>1.0099164435948644</v>
      </c>
      <c r="DL137" s="424">
        <v>1.0247319303187026</v>
      </c>
    </row>
    <row r="138" spans="111:116" x14ac:dyDescent="0.3">
      <c r="DG138">
        <f>'Outputs - Cash Infusion'!A92</f>
        <v>2043</v>
      </c>
      <c r="DH138" s="424">
        <f>'Outputs - Cash Infusion'!B92</f>
        <v>1.0248053047392507</v>
      </c>
      <c r="DI138" s="424">
        <v>1.0284650834985583</v>
      </c>
      <c r="DJ138" s="424">
        <v>1.0315652101461836</v>
      </c>
      <c r="DK138" s="424">
        <v>1.0103674603596202</v>
      </c>
      <c r="DL138" s="424">
        <v>1.0245125541865348</v>
      </c>
    </row>
    <row r="139" spans="111:116" x14ac:dyDescent="0.3">
      <c r="DG139">
        <f>'Outputs - Cash Infusion'!A93</f>
        <v>2044</v>
      </c>
      <c r="DH139" s="424">
        <f>'Outputs - Cash Infusion'!B93</f>
        <v>1.0248935225090898</v>
      </c>
      <c r="DI139" s="424">
        <v>1.0280336628666509</v>
      </c>
      <c r="DJ139" s="424">
        <v>1.0309885703335586</v>
      </c>
      <c r="DK139" s="424">
        <v>1.0107598603556085</v>
      </c>
      <c r="DL139" s="424">
        <v>1.0241754321234064</v>
      </c>
    </row>
    <row r="140" spans="111:116" x14ac:dyDescent="0.3">
      <c r="DG140">
        <f>'Outputs - Cash Infusion'!A94</f>
        <v>2045</v>
      </c>
      <c r="DH140" s="424">
        <f>'Outputs - Cash Infusion'!B94</f>
        <v>1.0248683335018713</v>
      </c>
      <c r="DI140" s="424">
        <v>1.0274570915406005</v>
      </c>
      <c r="DJ140" s="424">
        <v>1.0302534795077201</v>
      </c>
      <c r="DK140" s="424">
        <v>1.011083734856953</v>
      </c>
      <c r="DL140" s="424">
        <v>1.0237062506662691</v>
      </c>
    </row>
    <row r="141" spans="111:116" x14ac:dyDescent="0.3">
      <c r="DG141">
        <f>'Outputs - Cash Infusion'!A95</f>
        <v>2046</v>
      </c>
      <c r="DH141" s="424">
        <f>'Outputs - Cash Infusion'!B95</f>
        <v>1.024714145873614</v>
      </c>
      <c r="DI141" s="424">
        <v>1.0267216245842068</v>
      </c>
      <c r="DJ141" s="424">
        <v>1.0293455871349195</v>
      </c>
      <c r="DK141" s="424">
        <v>1.0113290337960616</v>
      </c>
      <c r="DL141" s="424">
        <v>1.0230926429246561</v>
      </c>
    </row>
    <row r="142" spans="111:116" x14ac:dyDescent="0.3">
      <c r="DG142">
        <f>'Outputs - Cash Infusion'!A96</f>
        <v>2047</v>
      </c>
      <c r="DH142" s="424">
        <f>'Outputs - Cash Infusion'!B96</f>
        <v>1.0244192740182188</v>
      </c>
      <c r="DI142" s="424">
        <v>1.0258191907930856</v>
      </c>
      <c r="DJ142" s="424">
        <v>1.0282569470480329</v>
      </c>
      <c r="DK142" s="424">
        <v>1.011487172227109</v>
      </c>
      <c r="DL142" s="424">
        <v>1.0223271991941283</v>
      </c>
    </row>
    <row r="143" spans="111:116" x14ac:dyDescent="0.3">
      <c r="DG143">
        <f>'Outputs - Cash Infusion'!A97</f>
        <v>2048</v>
      </c>
      <c r="DH143" s="424">
        <f>'Outputs - Cash Infusion'!B97</f>
        <v>1.0239755905326773</v>
      </c>
      <c r="DI143" s="424">
        <v>1.0247467184124572</v>
      </c>
      <c r="DJ143" s="424">
        <v>1.02698521387666</v>
      </c>
      <c r="DK143" s="424">
        <v>1.0115511046773975</v>
      </c>
      <c r="DL143" s="424">
        <v>1.0214069343122505</v>
      </c>
    </row>
    <row r="144" spans="111:116" x14ac:dyDescent="0.3">
      <c r="DG144">
        <f>'Outputs - Cash Infusion'!A98</f>
        <v>2049</v>
      </c>
      <c r="DH144" s="424">
        <f>'Outputs - Cash Infusion'!B98</f>
        <v>1.023379839944186</v>
      </c>
      <c r="DI144" s="424">
        <v>1.0235072887766068</v>
      </c>
      <c r="DJ144" s="424">
        <v>1.0255348442853935</v>
      </c>
      <c r="DK144" s="424">
        <v>1.0115161866159545</v>
      </c>
      <c r="DL144" s="424">
        <v>1.0203343263024975</v>
      </c>
    </row>
    <row r="145" spans="111:116" x14ac:dyDescent="0.3">
      <c r="DG145">
        <f>'Outputs - Cash Infusion'!A99</f>
        <v>2050</v>
      </c>
      <c r="DH145" s="424">
        <f>'Outputs - Cash Infusion'!B99</f>
        <v>1.0226343112091227</v>
      </c>
      <c r="DI145" s="424">
        <v>1.0221102240894511</v>
      </c>
      <c r="DJ145" s="424">
        <v>1.0239171164515313</v>
      </c>
      <c r="DK145" s="424">
        <v>1.0113806428785423</v>
      </c>
      <c r="DL145" s="424">
        <v>1.0191174225594999</v>
      </c>
    </row>
    <row r="146" spans="111:116" x14ac:dyDescent="0.3">
      <c r="DI146" s="424">
        <v>0</v>
      </c>
      <c r="DJ146" s="424">
        <v>0</v>
      </c>
      <c r="DK146" s="424">
        <v>0</v>
      </c>
      <c r="DL146" s="424">
        <v>0</v>
      </c>
    </row>
    <row r="147" spans="111:116" x14ac:dyDescent="0.3">
      <c r="DI147" s="39">
        <v>0</v>
      </c>
      <c r="DJ147" s="39">
        <v>0</v>
      </c>
      <c r="DK147" s="39">
        <v>0</v>
      </c>
      <c r="DL147" s="39">
        <v>0</v>
      </c>
    </row>
    <row r="148" spans="111:116" x14ac:dyDescent="0.3">
      <c r="DH148" s="39" t="str">
        <f>'Outputs - Cash Infusion'!B102</f>
        <v>Unfunded Liability (MVA) - inf adj</v>
      </c>
      <c r="DI148" s="39" t="str">
        <v>Unfunded Liability (MVA) - inf adj</v>
      </c>
      <c r="DJ148" s="39" t="str">
        <v>Unfunded Liability (MVA) - inf adj</v>
      </c>
      <c r="DK148" s="39" t="str">
        <v>Unfunded Liability (MVA) - inf adj</v>
      </c>
      <c r="DL148" s="39" t="str">
        <v>Unfunded Liability (MVA) - inf adj</v>
      </c>
    </row>
    <row r="149" spans="111:116" x14ac:dyDescent="0.3">
      <c r="DG149">
        <f>'Outputs - Cash Infusion'!A103</f>
        <v>2021</v>
      </c>
      <c r="DH149" s="37">
        <f>'Outputs - Cash Infusion'!B103</f>
        <v>21507.689000000006</v>
      </c>
      <c r="DI149" s="37">
        <v>21507.689000000006</v>
      </c>
      <c r="DJ149" s="37">
        <v>21507.689000000006</v>
      </c>
      <c r="DK149" s="37">
        <v>21507.689000000006</v>
      </c>
      <c r="DL149" s="37">
        <v>21507.689000000006</v>
      </c>
    </row>
    <row r="150" spans="111:116" x14ac:dyDescent="0.3">
      <c r="DG150">
        <f>'Outputs - Cash Infusion'!A104</f>
        <v>2022</v>
      </c>
      <c r="DH150" s="37">
        <f>'Outputs - Cash Infusion'!B104</f>
        <v>22498.147976105778</v>
      </c>
      <c r="DI150" s="37">
        <v>20740.837591353564</v>
      </c>
      <c r="DJ150" s="37">
        <v>20639.672990543902</v>
      </c>
      <c r="DK150" s="37">
        <v>20235.014587305221</v>
      </c>
      <c r="DL150" s="37">
        <v>19729.191583256877</v>
      </c>
    </row>
    <row r="151" spans="111:116" x14ac:dyDescent="0.3">
      <c r="DG151">
        <f>'Outputs - Cash Infusion'!A105</f>
        <v>2023</v>
      </c>
      <c r="DH151" s="37">
        <f>'Outputs - Cash Infusion'!B105</f>
        <v>21559.974054738312</v>
      </c>
      <c r="DI151" s="37">
        <v>19808.893552831647</v>
      </c>
      <c r="DJ151" s="37">
        <v>19703.029373989259</v>
      </c>
      <c r="DK151" s="37">
        <v>19279.572658619691</v>
      </c>
      <c r="DL151" s="37">
        <v>18750.251764407727</v>
      </c>
    </row>
    <row r="152" spans="111:116" x14ac:dyDescent="0.3">
      <c r="DG152">
        <f>'Outputs - Cash Infusion'!A106</f>
        <v>2024</v>
      </c>
      <c r="DH152" s="37">
        <f>'Outputs - Cash Infusion'!B106</f>
        <v>20646.872807652777</v>
      </c>
      <c r="DI152" s="37">
        <v>18703.082171324837</v>
      </c>
      <c r="DJ152" s="37">
        <v>18592.300096643798</v>
      </c>
      <c r="DK152" s="37">
        <v>18149.171797919658</v>
      </c>
      <c r="DL152" s="37">
        <v>17595.261424514476</v>
      </c>
    </row>
    <row r="153" spans="111:116" x14ac:dyDescent="0.3">
      <c r="DG153">
        <f>'Outputs - Cash Infusion'!A107</f>
        <v>2025</v>
      </c>
      <c r="DH153" s="37">
        <f>'Outputs - Cash Infusion'!B107</f>
        <v>19744.200228258473</v>
      </c>
      <c r="DI153" s="37">
        <v>17536.984070200953</v>
      </c>
      <c r="DJ153" s="37">
        <v>17421.055639972383</v>
      </c>
      <c r="DK153" s="37">
        <v>16957.341919058126</v>
      </c>
      <c r="DL153" s="37">
        <v>16377.699767915296</v>
      </c>
    </row>
    <row r="154" spans="111:116" x14ac:dyDescent="0.3">
      <c r="DG154">
        <f>'Outputs - Cash Infusion'!A108</f>
        <v>2026</v>
      </c>
      <c r="DH154" s="37">
        <f>'Outputs - Cash Infusion'!B108</f>
        <v>18854.062022205711</v>
      </c>
      <c r="DI154" s="37">
        <v>16307.759402544467</v>
      </c>
      <c r="DJ154" s="37">
        <v>16186.445544016773</v>
      </c>
      <c r="DK154" s="37">
        <v>15701.190109906011</v>
      </c>
      <c r="DL154" s="37">
        <v>15094.620817267549</v>
      </c>
    </row>
    <row r="155" spans="111:116" x14ac:dyDescent="0.3">
      <c r="DG155">
        <f>'Outputs - Cash Infusion'!A109</f>
        <v>2027</v>
      </c>
      <c r="DH155" s="37">
        <f>'Outputs - Cash Infusion'!B109</f>
        <v>18007.058462633082</v>
      </c>
      <c r="DI155" s="37">
        <v>15012.436224310646</v>
      </c>
      <c r="DJ155" s="37">
        <v>14885.486758663083</v>
      </c>
      <c r="DK155" s="37">
        <v>14377.68889607285</v>
      </c>
      <c r="DL155" s="37">
        <v>13742.941567835041</v>
      </c>
    </row>
    <row r="156" spans="111:116" x14ac:dyDescent="0.3">
      <c r="DG156">
        <f>'Outputs - Cash Infusion'!A110</f>
        <v>2028</v>
      </c>
      <c r="DH156" s="37">
        <f>'Outputs - Cash Infusion'!B110</f>
        <v>17115.153943825982</v>
      </c>
      <c r="DI156" s="37">
        <v>13647.904357024043</v>
      </c>
      <c r="DJ156" s="37">
        <v>13515.05748343686</v>
      </c>
      <c r="DK156" s="37">
        <v>12983.669989088163</v>
      </c>
      <c r="DL156" s="37">
        <v>12319.435621152263</v>
      </c>
    </row>
    <row r="157" spans="111:116" x14ac:dyDescent="0.3">
      <c r="DG157">
        <f>'Outputs - Cash Infusion'!A111</f>
        <v>2029</v>
      </c>
      <c r="DH157" s="37">
        <f>'Outputs - Cash Infusion'!B111</f>
        <v>16177.451389704018</v>
      </c>
      <c r="DI157" s="37">
        <v>12210.908965366769</v>
      </c>
      <c r="DJ157" s="37">
        <v>12071.890721123948</v>
      </c>
      <c r="DK157" s="37">
        <v>11515.817744152693</v>
      </c>
      <c r="DL157" s="37">
        <v>10820.726522938599</v>
      </c>
    </row>
    <row r="158" spans="111:116" x14ac:dyDescent="0.3">
      <c r="DG158">
        <f>'Outputs - Cash Infusion'!A112</f>
        <v>2030</v>
      </c>
      <c r="DH158" s="37">
        <f>'Outputs - Cash Infusion'!B112</f>
        <v>15191.821279937272</v>
      </c>
      <c r="DI158" s="37">
        <v>10698.043836411667</v>
      </c>
      <c r="DJ158" s="37">
        <v>10552.567531922849</v>
      </c>
      <c r="DK158" s="37">
        <v>9970.6623139675976</v>
      </c>
      <c r="DL158" s="37">
        <v>9243.2807915235098</v>
      </c>
    </row>
    <row r="159" spans="111:116" x14ac:dyDescent="0.3">
      <c r="DG159">
        <f>'Outputs - Cash Infusion'!A113</f>
        <v>2031</v>
      </c>
      <c r="DH159" s="37">
        <f>'Outputs - Cash Infusion'!B113</f>
        <v>14156.03435415901</v>
      </c>
      <c r="DI159" s="37">
        <v>9105.7443466405603</v>
      </c>
      <c r="DJ159" s="37">
        <v>8953.5099742170478</v>
      </c>
      <c r="DK159" s="37">
        <v>8344.5724845230452</v>
      </c>
      <c r="DL159" s="37">
        <v>7583.4006224055183</v>
      </c>
    </row>
    <row r="160" spans="111:116" x14ac:dyDescent="0.3">
      <c r="DG160">
        <f>'Outputs - Cash Infusion'!A114</f>
        <v>2032</v>
      </c>
      <c r="DH160" s="37">
        <f>'Outputs - Cash Infusion'!B114</f>
        <v>13067.757221088108</v>
      </c>
      <c r="DI160" s="37">
        <v>7430.280102243476</v>
      </c>
      <c r="DJ160" s="37">
        <v>7270.9737174090924</v>
      </c>
      <c r="DK160" s="37">
        <v>6633.7481780715989</v>
      </c>
      <c r="DL160" s="37">
        <v>5837.2162538997154</v>
      </c>
    </row>
    <row r="161" spans="111:116" x14ac:dyDescent="0.3">
      <c r="DG161">
        <f>'Outputs - Cash Infusion'!A115</f>
        <v>2033</v>
      </c>
      <c r="DH161" s="37">
        <f>'Outputs - Cash Infusion'!B115</f>
        <v>11924.547568997063</v>
      </c>
      <c r="DI161" s="37">
        <v>5667.7472375213656</v>
      </c>
      <c r="DJ161" s="37">
        <v>5501.0403115822128</v>
      </c>
      <c r="DK161" s="37">
        <v>4834.2126078256133</v>
      </c>
      <c r="DL161" s="37">
        <v>4000.677978129861</v>
      </c>
    </row>
    <row r="162" spans="111:116" x14ac:dyDescent="0.3">
      <c r="DG162">
        <f>'Outputs - Cash Infusion'!A116</f>
        <v>2034</v>
      </c>
      <c r="DH162" s="37">
        <f>'Outputs - Cash Infusion'!B116</f>
        <v>10723.848875648404</v>
      </c>
      <c r="DI162" s="37">
        <v>3814.0603555094458</v>
      </c>
      <c r="DJ162" s="37">
        <v>3639.6090980474401</v>
      </c>
      <c r="DK162" s="37">
        <v>3069.5235225621532</v>
      </c>
      <c r="DL162" s="37">
        <v>2197.2672352521804</v>
      </c>
    </row>
    <row r="163" spans="111:116" x14ac:dyDescent="0.3">
      <c r="DG163">
        <f>'Outputs - Cash Infusion'!A117</f>
        <v>2035</v>
      </c>
      <c r="DH163" s="37">
        <f>'Outputs - Cash Infusion'!B117</f>
        <v>9462.9859288654316</v>
      </c>
      <c r="DI163" s="37">
        <v>1993.2256390714506</v>
      </c>
      <c r="DJ163" s="37">
        <v>1810.6702889645067</v>
      </c>
      <c r="DK163" s="37">
        <v>1342.3830653569214</v>
      </c>
      <c r="DL163" s="37">
        <v>429.60631482228666</v>
      </c>
    </row>
    <row r="164" spans="111:116" x14ac:dyDescent="0.3">
      <c r="DG164">
        <f>'Outputs - Cash Infusion'!A118</f>
        <v>2036</v>
      </c>
      <c r="DH164" s="37">
        <f>'Outputs - Cash Infusion'!B118</f>
        <v>8139.159281771922</v>
      </c>
      <c r="DI164" s="37">
        <v>207.85735347165988</v>
      </c>
      <c r="DJ164" s="37">
        <v>16.821436978331583</v>
      </c>
      <c r="DK164" s="37">
        <v>-344.37385170401359</v>
      </c>
      <c r="DL164" s="37">
        <v>-1299.5534341705822</v>
      </c>
    </row>
    <row r="165" spans="111:116" x14ac:dyDescent="0.3">
      <c r="DG165">
        <f>'Outputs - Cash Infusion'!A119</f>
        <v>2037</v>
      </c>
      <c r="DH165" s="37">
        <f>'Outputs - Cash Infusion'!B119</f>
        <v>6749.4394587931702</v>
      </c>
      <c r="DI165" s="37">
        <v>-1539.301517488628</v>
      </c>
      <c r="DJ165" s="37">
        <v>-1739.2119631099933</v>
      </c>
      <c r="DK165" s="37">
        <v>-403.53400629615982</v>
      </c>
      <c r="DL165" s="37">
        <v>-1403.0862344029874</v>
      </c>
    </row>
    <row r="166" spans="111:116" x14ac:dyDescent="0.3">
      <c r="DG166">
        <f>'Outputs - Cash Infusion'!A120</f>
        <v>2038</v>
      </c>
      <c r="DH166" s="37">
        <f>'Outputs - Cash Infusion'!B120</f>
        <v>5290.7609686599317</v>
      </c>
      <c r="DI166" s="37">
        <v>-1654.1617157850487</v>
      </c>
      <c r="DJ166" s="37">
        <v>-1863.3589547237814</v>
      </c>
      <c r="DK166" s="37">
        <v>-438.62252437483471</v>
      </c>
      <c r="DL166" s="37">
        <v>-1409.5081487614016</v>
      </c>
    </row>
    <row r="167" spans="111:116" x14ac:dyDescent="0.3">
      <c r="DG167">
        <f>'Outputs - Cash Infusion'!A121</f>
        <v>2039</v>
      </c>
      <c r="DH167" s="37">
        <f>'Outputs - Cash Infusion'!B121</f>
        <v>3759.9159548671369</v>
      </c>
      <c r="DI167" s="37">
        <v>-1653.5892384291365</v>
      </c>
      <c r="DJ167" s="37">
        <v>-1856.7868165403529</v>
      </c>
      <c r="DK167" s="37">
        <v>-472.08590808893587</v>
      </c>
      <c r="DL167" s="37">
        <v>-1412.6427123805781</v>
      </c>
    </row>
    <row r="168" spans="111:116" x14ac:dyDescent="0.3">
      <c r="DG168">
        <f>'Outputs - Cash Infusion'!A122</f>
        <v>2040</v>
      </c>
      <c r="DH168" s="37">
        <f>'Outputs - Cash Infusion'!B122</f>
        <v>2153.5475863112874</v>
      </c>
      <c r="DI168" s="37">
        <v>-1649.3076578944697</v>
      </c>
      <c r="DJ168" s="37">
        <v>-1846.1576883281141</v>
      </c>
      <c r="DK168" s="37">
        <v>-503.79759023804451</v>
      </c>
      <c r="DL168" s="37">
        <v>-1412.2873888614829</v>
      </c>
    </row>
    <row r="169" spans="111:116" x14ac:dyDescent="0.3">
      <c r="DG169">
        <f>'Outputs - Cash Infusion'!A123</f>
        <v>2041</v>
      </c>
      <c r="DH169" s="37">
        <f>'Outputs - Cash Infusion'!B123</f>
        <v>468.14313717096235</v>
      </c>
      <c r="DI169" s="37">
        <v>-1641.0949326541549</v>
      </c>
      <c r="DJ169" s="37">
        <v>-1831.2336288941494</v>
      </c>
      <c r="DK169" s="37">
        <v>-533.62637049230852</v>
      </c>
      <c r="DL169" s="37">
        <v>-1408.2279476548667</v>
      </c>
    </row>
    <row r="170" spans="111:116" x14ac:dyDescent="0.3">
      <c r="DG170">
        <f>'Outputs - Cash Infusion'!A124</f>
        <v>2042</v>
      </c>
      <c r="DH170" s="37">
        <f>'Outputs - Cash Infusion'!B124</f>
        <v>-1299.9732597188683</v>
      </c>
      <c r="DI170" s="37">
        <v>-1628.7155506314969</v>
      </c>
      <c r="DJ170" s="37">
        <v>-1811.7617486879831</v>
      </c>
      <c r="DK170" s="37">
        <v>-561.43720589374755</v>
      </c>
      <c r="DL170" s="37">
        <v>-1400.2425084817905</v>
      </c>
    </row>
    <row r="171" spans="111:116" x14ac:dyDescent="0.3">
      <c r="DG171">
        <f>'Outputs - Cash Infusion'!A125</f>
        <v>2043</v>
      </c>
      <c r="DH171" s="37">
        <f>'Outputs - Cash Infusion'!B125</f>
        <v>-1404.6779158392319</v>
      </c>
      <c r="DI171" s="37">
        <v>-1611.9243276086586</v>
      </c>
      <c r="DJ171" s="37">
        <v>-1787.4786892260579</v>
      </c>
      <c r="DK171" s="37">
        <v>-587.08984886824237</v>
      </c>
      <c r="DL171" s="37">
        <v>-1388.1000007290363</v>
      </c>
    </row>
    <row r="172" spans="111:116" x14ac:dyDescent="0.3">
      <c r="DG172">
        <f>'Outputs - Cash Infusion'!A126</f>
        <v>2044</v>
      </c>
      <c r="DH172" s="37">
        <f>'Outputs - Cash Infusion'!B126</f>
        <v>-1412.3129665831977</v>
      </c>
      <c r="DI172" s="37">
        <v>-1590.4661766102377</v>
      </c>
      <c r="DJ172" s="37">
        <v>-1758.1103550925559</v>
      </c>
      <c r="DK172" s="37">
        <v>-610.45158608234067</v>
      </c>
      <c r="DL172" s="37">
        <v>-1371.572715278515</v>
      </c>
    </row>
    <row r="173" spans="111:116" x14ac:dyDescent="0.3">
      <c r="DG173">
        <f>'Outputs - Cash Infusion'!A127</f>
        <v>2045</v>
      </c>
      <c r="DH173" s="37">
        <f>'Outputs - Cash Infusion'!B127</f>
        <v>-1416.6204057186878</v>
      </c>
      <c r="DI173" s="37">
        <v>-1564.0885689092795</v>
      </c>
      <c r="DJ173" s="37">
        <v>-1723.3843358021325</v>
      </c>
      <c r="DK173" s="37">
        <v>-631.38307875571013</v>
      </c>
      <c r="DL173" s="37">
        <v>-1350.4225538230023</v>
      </c>
    </row>
    <row r="174" spans="111:116" x14ac:dyDescent="0.3">
      <c r="DG174">
        <f>'Outputs - Cash Infusion'!A128</f>
        <v>2046</v>
      </c>
      <c r="DH174" s="37">
        <f>'Outputs - Cash Infusion'!B128</f>
        <v>-1417.3958720608969</v>
      </c>
      <c r="DI174" s="37">
        <v>-1532.5279932434587</v>
      </c>
      <c r="DJ174" s="37">
        <v>-1683.0164506169172</v>
      </c>
      <c r="DK174" s="37">
        <v>-649.73824380150938</v>
      </c>
      <c r="DL174" s="37">
        <v>-1324.4000793622172</v>
      </c>
    </row>
    <row r="175" spans="111:116" x14ac:dyDescent="0.3">
      <c r="DG175">
        <f>'Outputs - Cash Infusion'!A129</f>
        <v>2047</v>
      </c>
      <c r="DH175" s="37">
        <f>'Outputs - Cash Infusion'!B129</f>
        <v>-1414.4222159610995</v>
      </c>
      <c r="DI175" s="37">
        <v>-1495.5087128565879</v>
      </c>
      <c r="DJ175" s="37">
        <v>-1636.7093317416236</v>
      </c>
      <c r="DK175" s="37">
        <v>-665.36423582749285</v>
      </c>
      <c r="DL175" s="37">
        <v>-1293.2442846909601</v>
      </c>
    </row>
    <row r="176" spans="111:116" x14ac:dyDescent="0.3">
      <c r="DG176">
        <f>'Outputs - Cash Infusion'!A130</f>
        <v>2048</v>
      </c>
      <c r="DH176" s="37">
        <f>'Outputs - Cash Infusion'!B130</f>
        <v>-1407.4735245293812</v>
      </c>
      <c r="DI176" s="37">
        <v>-1452.742151941804</v>
      </c>
      <c r="DJ176" s="37">
        <v>-1584.1517660804245</v>
      </c>
      <c r="DK176" s="37">
        <v>-678.1010874516727</v>
      </c>
      <c r="DL176" s="37">
        <v>-1256.6820093447584</v>
      </c>
    </row>
    <row r="177" spans="111:116" x14ac:dyDescent="0.3">
      <c r="DG177">
        <f>'Outputs - Cash Infusion'!A131</f>
        <v>2049</v>
      </c>
      <c r="DH177" s="37">
        <f>'Outputs - Cash Infusion'!B131</f>
        <v>-1396.3148174401956</v>
      </c>
      <c r="DI177" s="37">
        <v>-1403.9264475283262</v>
      </c>
      <c r="DJ177" s="37">
        <v>-1525.0182003743703</v>
      </c>
      <c r="DK177" s="37">
        <v>-687.78152676201751</v>
      </c>
      <c r="DL177" s="37">
        <v>-1214.4275233116834</v>
      </c>
    </row>
    <row r="178" spans="111:116" x14ac:dyDescent="0.3">
      <c r="DG178">
        <f>'Outputs - Cash Infusion'!A132</f>
        <v>2050</v>
      </c>
      <c r="DH178" s="37">
        <f>'Outputs - Cash Infusion'!B132</f>
        <v>-1380.7156408580465</v>
      </c>
      <c r="DI178" s="37">
        <v>-1348.7458019432518</v>
      </c>
      <c r="DJ178" s="37">
        <v>-1458.9680447418568</v>
      </c>
      <c r="DK178" s="37">
        <v>-694.23060769306574</v>
      </c>
      <c r="DL178" s="37">
        <v>-1166.181912801266</v>
      </c>
    </row>
    <row r="179" spans="111:116" x14ac:dyDescent="0.3">
      <c r="DI179" s="37">
        <v>0</v>
      </c>
      <c r="DJ179" s="37">
        <v>0</v>
      </c>
      <c r="DK179" s="37">
        <v>0</v>
      </c>
      <c r="DL179" s="37">
        <v>0</v>
      </c>
    </row>
    <row r="180" spans="111:116" x14ac:dyDescent="0.3">
      <c r="DI180" s="39">
        <v>0</v>
      </c>
      <c r="DJ180" s="39">
        <v>0</v>
      </c>
      <c r="DK180" s="39">
        <v>0</v>
      </c>
      <c r="DL180" s="39">
        <v>0</v>
      </c>
    </row>
    <row r="181" spans="111:116" x14ac:dyDescent="0.3">
      <c r="DH181" s="39" t="str">
        <f>'Outputs - Cash Infusion'!B135</f>
        <v>AAL (inf adj)</v>
      </c>
      <c r="DI181" s="39" t="str">
        <v>AAL (inf adj)</v>
      </c>
      <c r="DJ181" s="39" t="str">
        <v>AAL (inf adj)</v>
      </c>
      <c r="DK181" s="39" t="str">
        <v>AAL (inf adj)</v>
      </c>
      <c r="DL181" s="39" t="str">
        <v>AAL (inf adj)</v>
      </c>
    </row>
    <row r="182" spans="111:116" x14ac:dyDescent="0.3">
      <c r="DG182">
        <f>'Outputs - Cash Infusion'!A136</f>
        <v>2021</v>
      </c>
      <c r="DH182" s="37">
        <f>'Outputs - Cash Infusion'!B136</f>
        <v>54997.995000000003</v>
      </c>
      <c r="DI182" s="37">
        <v>54997.995000000003</v>
      </c>
      <c r="DJ182" s="37">
        <v>54997.995000000003</v>
      </c>
      <c r="DK182" s="37">
        <v>54997.995000000003</v>
      </c>
      <c r="DL182" s="37">
        <v>54997.995000000003</v>
      </c>
    </row>
    <row r="183" spans="111:116" x14ac:dyDescent="0.3">
      <c r="DG183">
        <f>'Outputs - Cash Infusion'!A137</f>
        <v>2022</v>
      </c>
      <c r="DH183" s="37">
        <f>'Outputs - Cash Infusion'!B137</f>
        <v>55237.39651987252</v>
      </c>
      <c r="DI183" s="37">
        <v>55237.39651987252</v>
      </c>
      <c r="DJ183" s="37">
        <v>55237.39651987252</v>
      </c>
      <c r="DK183" s="37">
        <v>55237.39651987252</v>
      </c>
      <c r="DL183" s="37">
        <v>55237.39651987252</v>
      </c>
    </row>
    <row r="184" spans="111:116" x14ac:dyDescent="0.3">
      <c r="DG184">
        <f>'Outputs - Cash Infusion'!A138</f>
        <v>2023</v>
      </c>
      <c r="DH184" s="37">
        <f>'Outputs - Cash Infusion'!B138</f>
        <v>55463.934295706873</v>
      </c>
      <c r="DI184" s="37">
        <v>55463.934295706873</v>
      </c>
      <c r="DJ184" s="37">
        <v>55463.934295706873</v>
      </c>
      <c r="DK184" s="37">
        <v>55463.934295706873</v>
      </c>
      <c r="DL184" s="37">
        <v>55463.934295706873</v>
      </c>
    </row>
    <row r="185" spans="111:116" x14ac:dyDescent="0.3">
      <c r="DG185">
        <f>'Outputs - Cash Infusion'!A139</f>
        <v>2024</v>
      </c>
      <c r="DH185" s="37">
        <f>'Outputs - Cash Infusion'!B139</f>
        <v>55677.153971380016</v>
      </c>
      <c r="DI185" s="37">
        <v>55677.153971380016</v>
      </c>
      <c r="DJ185" s="37">
        <v>55677.153971380016</v>
      </c>
      <c r="DK185" s="37">
        <v>55677.153971380016</v>
      </c>
      <c r="DL185" s="37">
        <v>55677.153971380016</v>
      </c>
    </row>
    <row r="186" spans="111:116" x14ac:dyDescent="0.3">
      <c r="DG186">
        <f>'Outputs - Cash Infusion'!A140</f>
        <v>2025</v>
      </c>
      <c r="DH186" s="37">
        <f>'Outputs - Cash Infusion'!B140</f>
        <v>55876.44475901137</v>
      </c>
      <c r="DI186" s="37">
        <v>55876.44475901137</v>
      </c>
      <c r="DJ186" s="37">
        <v>55876.44475901137</v>
      </c>
      <c r="DK186" s="37">
        <v>55876.44475901137</v>
      </c>
      <c r="DL186" s="37">
        <v>55876.44475901137</v>
      </c>
    </row>
    <row r="187" spans="111:116" x14ac:dyDescent="0.3">
      <c r="DG187">
        <f>'Outputs - Cash Infusion'!A141</f>
        <v>2026</v>
      </c>
      <c r="DH187" s="37">
        <f>'Outputs - Cash Infusion'!B141</f>
        <v>56061.21481010237</v>
      </c>
      <c r="DI187" s="37">
        <v>56061.21481010237</v>
      </c>
      <c r="DJ187" s="37">
        <v>56061.21481010237</v>
      </c>
      <c r="DK187" s="37">
        <v>56061.21481010237</v>
      </c>
      <c r="DL187" s="37">
        <v>56061.21481010237</v>
      </c>
    </row>
    <row r="188" spans="111:116" x14ac:dyDescent="0.3">
      <c r="DG188">
        <f>'Outputs - Cash Infusion'!A142</f>
        <v>2027</v>
      </c>
      <c r="DH188" s="37">
        <f>'Outputs - Cash Infusion'!B142</f>
        <v>56230.846454188279</v>
      </c>
      <c r="DI188" s="37">
        <v>56230.846454188279</v>
      </c>
      <c r="DJ188" s="37">
        <v>56230.846454188279</v>
      </c>
      <c r="DK188" s="37">
        <v>56230.846454188279</v>
      </c>
      <c r="DL188" s="37">
        <v>56230.846454188279</v>
      </c>
    </row>
    <row r="189" spans="111:116" x14ac:dyDescent="0.3">
      <c r="DG189">
        <f>'Outputs - Cash Infusion'!A143</f>
        <v>2028</v>
      </c>
      <c r="DH189" s="37">
        <f>'Outputs - Cash Infusion'!B143</f>
        <v>56384.695014076737</v>
      </c>
      <c r="DI189" s="37">
        <v>56384.695014076737</v>
      </c>
      <c r="DJ189" s="37">
        <v>56384.695014076737</v>
      </c>
      <c r="DK189" s="37">
        <v>56384.695014076737</v>
      </c>
      <c r="DL189" s="37">
        <v>56384.695014076737</v>
      </c>
    </row>
    <row r="190" spans="111:116" x14ac:dyDescent="0.3">
      <c r="DG190">
        <f>'Outputs - Cash Infusion'!A144</f>
        <v>2029</v>
      </c>
      <c r="DH190" s="37">
        <f>'Outputs - Cash Infusion'!B144</f>
        <v>56522.087566133974</v>
      </c>
      <c r="DI190" s="37">
        <v>56522.087566133974</v>
      </c>
      <c r="DJ190" s="37">
        <v>56522.087566133974</v>
      </c>
      <c r="DK190" s="37">
        <v>56522.087566133974</v>
      </c>
      <c r="DL190" s="37">
        <v>56522.087566133974</v>
      </c>
    </row>
    <row r="191" spans="111:116" x14ac:dyDescent="0.3">
      <c r="DG191">
        <f>'Outputs - Cash Infusion'!A145</f>
        <v>2030</v>
      </c>
      <c r="DH191" s="37">
        <f>'Outputs - Cash Infusion'!B145</f>
        <v>56642.321643065967</v>
      </c>
      <c r="DI191" s="37">
        <v>56642.321643065967</v>
      </c>
      <c r="DJ191" s="37">
        <v>56642.321643065967</v>
      </c>
      <c r="DK191" s="37">
        <v>56642.321643065967</v>
      </c>
      <c r="DL191" s="37">
        <v>56642.321643065967</v>
      </c>
    </row>
    <row r="192" spans="111:116" x14ac:dyDescent="0.3">
      <c r="DG192">
        <f>'Outputs - Cash Infusion'!A146</f>
        <v>2031</v>
      </c>
      <c r="DH192" s="37">
        <f>'Outputs - Cash Infusion'!B146</f>
        <v>56745.089471251224</v>
      </c>
      <c r="DI192" s="37">
        <v>56745.089471251224</v>
      </c>
      <c r="DJ192" s="37">
        <v>56745.089471251224</v>
      </c>
      <c r="DK192" s="37">
        <v>56745.089471251224</v>
      </c>
      <c r="DL192" s="37">
        <v>56745.089471251224</v>
      </c>
    </row>
    <row r="193" spans="111:116" x14ac:dyDescent="0.3">
      <c r="DG193">
        <f>'Outputs - Cash Infusion'!A147</f>
        <v>2032</v>
      </c>
      <c r="DH193" s="37">
        <f>'Outputs - Cash Infusion'!B147</f>
        <v>56829.268906547033</v>
      </c>
      <c r="DI193" s="37">
        <v>56829.268906547033</v>
      </c>
      <c r="DJ193" s="37">
        <v>56829.268906547033</v>
      </c>
      <c r="DK193" s="37">
        <v>56829.268906547033</v>
      </c>
      <c r="DL193" s="37">
        <v>56829.268906547033</v>
      </c>
    </row>
    <row r="194" spans="111:116" x14ac:dyDescent="0.3">
      <c r="DG194">
        <f>'Outputs - Cash Infusion'!A148</f>
        <v>2033</v>
      </c>
      <c r="DH194" s="37">
        <f>'Outputs - Cash Infusion'!B148</f>
        <v>56894.58884963709</v>
      </c>
      <c r="DI194" s="37">
        <v>56894.58884963709</v>
      </c>
      <c r="DJ194" s="37">
        <v>56894.58884963709</v>
      </c>
      <c r="DK194" s="37">
        <v>56894.58884963709</v>
      </c>
      <c r="DL194" s="37">
        <v>56894.58884963709</v>
      </c>
    </row>
    <row r="195" spans="111:116" x14ac:dyDescent="0.3">
      <c r="DG195">
        <f>'Outputs - Cash Infusion'!A149</f>
        <v>2034</v>
      </c>
      <c r="DH195" s="37">
        <f>'Outputs - Cash Infusion'!B149</f>
        <v>56940.343077488869</v>
      </c>
      <c r="DI195" s="37">
        <v>56940.343077488869</v>
      </c>
      <c r="DJ195" s="37">
        <v>56940.343077488869</v>
      </c>
      <c r="DK195" s="37">
        <v>56940.343077488869</v>
      </c>
      <c r="DL195" s="37">
        <v>56940.343077488869</v>
      </c>
    </row>
    <row r="196" spans="111:116" x14ac:dyDescent="0.3">
      <c r="DG196">
        <f>'Outputs - Cash Infusion'!A150</f>
        <v>2035</v>
      </c>
      <c r="DH196" s="37">
        <f>'Outputs - Cash Infusion'!B150</f>
        <v>56965.170009596055</v>
      </c>
      <c r="DI196" s="37">
        <v>56965.170009596055</v>
      </c>
      <c r="DJ196" s="37">
        <v>56965.170009596055</v>
      </c>
      <c r="DK196" s="37">
        <v>56965.170009596055</v>
      </c>
      <c r="DL196" s="37">
        <v>56965.170009596055</v>
      </c>
    </row>
    <row r="197" spans="111:116" x14ac:dyDescent="0.3">
      <c r="DG197">
        <f>'Outputs - Cash Infusion'!A151</f>
        <v>2036</v>
      </c>
      <c r="DH197" s="37">
        <f>'Outputs - Cash Infusion'!B151</f>
        <v>56968.848123480042</v>
      </c>
      <c r="DI197" s="37">
        <v>56968.848123480042</v>
      </c>
      <c r="DJ197" s="37">
        <v>56968.848123480042</v>
      </c>
      <c r="DK197" s="37">
        <v>56968.848123480042</v>
      </c>
      <c r="DL197" s="37">
        <v>56968.848123480042</v>
      </c>
    </row>
    <row r="198" spans="111:116" x14ac:dyDescent="0.3">
      <c r="DG198">
        <f>'Outputs - Cash Infusion'!A152</f>
        <v>2037</v>
      </c>
      <c r="DH198" s="37">
        <f>'Outputs - Cash Infusion'!B152</f>
        <v>56950.573763563152</v>
      </c>
      <c r="DI198" s="37">
        <v>56950.573763563152</v>
      </c>
      <c r="DJ198" s="37">
        <v>56950.573763563152</v>
      </c>
      <c r="DK198" s="37">
        <v>56950.573763563152</v>
      </c>
      <c r="DL198" s="37">
        <v>56950.573763563152</v>
      </c>
    </row>
    <row r="199" spans="111:116" x14ac:dyDescent="0.3">
      <c r="DG199">
        <f>'Outputs - Cash Infusion'!A153</f>
        <v>2038</v>
      </c>
      <c r="DH199" s="37">
        <f>'Outputs - Cash Infusion'!B153</f>
        <v>56909.509110239829</v>
      </c>
      <c r="DI199" s="37">
        <v>56909.509110239829</v>
      </c>
      <c r="DJ199" s="37">
        <v>56909.509110239829</v>
      </c>
      <c r="DK199" s="37">
        <v>56909.509110239829</v>
      </c>
      <c r="DL199" s="37">
        <v>56909.509110239829</v>
      </c>
    </row>
    <row r="200" spans="111:116" x14ac:dyDescent="0.3">
      <c r="DG200">
        <f>'Outputs - Cash Infusion'!A154</f>
        <v>2039</v>
      </c>
      <c r="DH200" s="37">
        <f>'Outputs - Cash Infusion'!B154</f>
        <v>56844.780620105652</v>
      </c>
      <c r="DI200" s="37">
        <v>56844.780620105652</v>
      </c>
      <c r="DJ200" s="37">
        <v>56844.780620105652</v>
      </c>
      <c r="DK200" s="37">
        <v>56844.780620105652</v>
      </c>
      <c r="DL200" s="37">
        <v>56844.780620105652</v>
      </c>
    </row>
    <row r="201" spans="111:116" x14ac:dyDescent="0.3">
      <c r="DG201">
        <f>'Outputs - Cash Infusion'!A155</f>
        <v>2040</v>
      </c>
      <c r="DH201" s="37">
        <f>'Outputs - Cash Infusion'!B155</f>
        <v>56755.477393899797</v>
      </c>
      <c r="DI201" s="37">
        <v>56755.477393899797</v>
      </c>
      <c r="DJ201" s="37">
        <v>56755.477393899797</v>
      </c>
      <c r="DK201" s="37">
        <v>56755.477393899797</v>
      </c>
      <c r="DL201" s="37">
        <v>56755.477393899797</v>
      </c>
    </row>
    <row r="202" spans="111:116" x14ac:dyDescent="0.3">
      <c r="DG202">
        <f>'Outputs - Cash Infusion'!A156</f>
        <v>2041</v>
      </c>
      <c r="DH202" s="37">
        <f>'Outputs - Cash Infusion'!B156</f>
        <v>56669.851104250221</v>
      </c>
      <c r="DI202" s="37">
        <v>56669.851104250221</v>
      </c>
      <c r="DJ202" s="37">
        <v>56669.851104250221</v>
      </c>
      <c r="DK202" s="37">
        <v>56669.851104250221</v>
      </c>
      <c r="DL202" s="37">
        <v>56669.851104250221</v>
      </c>
    </row>
    <row r="203" spans="111:116" x14ac:dyDescent="0.3">
      <c r="DG203">
        <f>'Outputs - Cash Infusion'!A157</f>
        <v>2042</v>
      </c>
      <c r="DH203" s="37">
        <f>'Outputs - Cash Infusion'!B157</f>
        <v>56616.790134771887</v>
      </c>
      <c r="DI203" s="37">
        <v>56616.790134771887</v>
      </c>
      <c r="DJ203" s="37">
        <v>56616.790134771887</v>
      </c>
      <c r="DK203" s="37">
        <v>56616.790134771887</v>
      </c>
      <c r="DL203" s="37">
        <v>56616.790134771887</v>
      </c>
    </row>
    <row r="204" spans="111:116" x14ac:dyDescent="0.3">
      <c r="DG204">
        <f>'Outputs - Cash Infusion'!A158</f>
        <v>2043</v>
      </c>
      <c r="DH204" s="37">
        <f>'Outputs - Cash Infusion'!B158</f>
        <v>56628.12574185164</v>
      </c>
      <c r="DI204" s="37">
        <v>56628.12574185164</v>
      </c>
      <c r="DJ204" s="37">
        <v>56628.12574185164</v>
      </c>
      <c r="DK204" s="37">
        <v>56628.12574185164</v>
      </c>
      <c r="DL204" s="37">
        <v>56628.12574185164</v>
      </c>
    </row>
    <row r="205" spans="111:116" x14ac:dyDescent="0.3">
      <c r="DG205">
        <f>'Outputs - Cash Infusion'!A159</f>
        <v>2044</v>
      </c>
      <c r="DH205" s="37">
        <f>'Outputs - Cash Infusion'!B159</f>
        <v>56734.15508261232</v>
      </c>
      <c r="DI205" s="37">
        <v>56734.15508261232</v>
      </c>
      <c r="DJ205" s="37">
        <v>56734.15508261232</v>
      </c>
      <c r="DK205" s="37">
        <v>56734.15508261232</v>
      </c>
      <c r="DL205" s="37">
        <v>56734.15508261232</v>
      </c>
    </row>
    <row r="206" spans="111:116" x14ac:dyDescent="0.3">
      <c r="DG206">
        <f>'Outputs - Cash Infusion'!A160</f>
        <v>2045</v>
      </c>
      <c r="DH206" s="37">
        <f>'Outputs - Cash Infusion'!B160</f>
        <v>56964.83061931323</v>
      </c>
      <c r="DI206" s="37">
        <v>56964.83061931323</v>
      </c>
      <c r="DJ206" s="37">
        <v>56964.83061931323</v>
      </c>
      <c r="DK206" s="37">
        <v>56964.83061931323</v>
      </c>
      <c r="DL206" s="37">
        <v>56964.83061931323</v>
      </c>
    </row>
    <row r="207" spans="111:116" x14ac:dyDescent="0.3">
      <c r="DG207">
        <f>'Outputs - Cash Infusion'!A161</f>
        <v>2046</v>
      </c>
      <c r="DH207" s="37">
        <f>'Outputs - Cash Infusion'!B161</f>
        <v>57351.6025724434</v>
      </c>
      <c r="DI207" s="37">
        <v>57351.6025724434</v>
      </c>
      <c r="DJ207" s="37">
        <v>57351.6025724434</v>
      </c>
      <c r="DK207" s="37">
        <v>57351.6025724434</v>
      </c>
      <c r="DL207" s="37">
        <v>57351.6025724434</v>
      </c>
    </row>
    <row r="208" spans="111:116" x14ac:dyDescent="0.3">
      <c r="DG208">
        <f>'Outputs - Cash Infusion'!A162</f>
        <v>2047</v>
      </c>
      <c r="DH208" s="37">
        <f>'Outputs - Cash Infusion'!B162</f>
        <v>57922.369637435972</v>
      </c>
      <c r="DI208" s="37">
        <v>57922.369637435972</v>
      </c>
      <c r="DJ208" s="37">
        <v>57922.369637435972</v>
      </c>
      <c r="DK208" s="37">
        <v>57922.369637435972</v>
      </c>
      <c r="DL208" s="37">
        <v>57922.369637435972</v>
      </c>
    </row>
    <row r="209" spans="111:116" x14ac:dyDescent="0.3">
      <c r="DG209">
        <f>'Outputs - Cash Infusion'!A163</f>
        <v>2048</v>
      </c>
      <c r="DH209" s="37">
        <f>'Outputs - Cash Infusion'!B163</f>
        <v>58704.436189426779</v>
      </c>
      <c r="DI209" s="37">
        <v>58704.436189426779</v>
      </c>
      <c r="DJ209" s="37">
        <v>58704.436189426779</v>
      </c>
      <c r="DK209" s="37">
        <v>58704.436189426779</v>
      </c>
      <c r="DL209" s="37">
        <v>58704.436189426779</v>
      </c>
    </row>
    <row r="210" spans="111:116" x14ac:dyDescent="0.3">
      <c r="DG210">
        <f>'Outputs - Cash Infusion'!A164</f>
        <v>2049</v>
      </c>
      <c r="DH210" s="37">
        <f>'Outputs - Cash Infusion'!B164</f>
        <v>59723.027222324061</v>
      </c>
      <c r="DI210" s="37">
        <v>59723.027222324061</v>
      </c>
      <c r="DJ210" s="37">
        <v>59723.027222324061</v>
      </c>
      <c r="DK210" s="37">
        <v>59723.027222324061</v>
      </c>
      <c r="DL210" s="37">
        <v>59723.027222324061</v>
      </c>
    </row>
    <row r="211" spans="111:116" x14ac:dyDescent="0.3">
      <c r="DG211">
        <f>'Outputs - Cash Infusion'!A165</f>
        <v>2050</v>
      </c>
      <c r="DH211" s="37">
        <f>'Outputs - Cash Infusion'!B165</f>
        <v>61001.001006893828</v>
      </c>
      <c r="DI211" s="37">
        <v>61001.001006893828</v>
      </c>
      <c r="DJ211" s="37">
        <v>61001.001006893828</v>
      </c>
      <c r="DK211" s="37">
        <v>61001.001006893828</v>
      </c>
      <c r="DL211" s="37">
        <v>61001.001006893828</v>
      </c>
    </row>
    <row r="212" spans="111:116" x14ac:dyDescent="0.3">
      <c r="DI212" s="37">
        <v>0</v>
      </c>
      <c r="DJ212" s="37">
        <v>0</v>
      </c>
      <c r="DK212" s="37">
        <v>0</v>
      </c>
      <c r="DL212" s="37">
        <v>0</v>
      </c>
    </row>
    <row r="213" spans="111:116" x14ac:dyDescent="0.3">
      <c r="DI213" s="39">
        <v>0</v>
      </c>
      <c r="DJ213" s="39">
        <v>0</v>
      </c>
      <c r="DK213" s="39">
        <v>0</v>
      </c>
      <c r="DL213" s="39">
        <v>0</v>
      </c>
    </row>
    <row r="214" spans="111:116" x14ac:dyDescent="0.3">
      <c r="DH214" s="39" t="str">
        <f>'Outputs - Cash Infusion'!B168</f>
        <v>MVA (adj)</v>
      </c>
      <c r="DI214" s="39" t="str">
        <v>MVA (adj)</v>
      </c>
      <c r="DJ214" s="39" t="str">
        <v>MVA (adj)</v>
      </c>
      <c r="DK214" s="39" t="str">
        <v>MVA (adj)</v>
      </c>
      <c r="DL214" s="39" t="str">
        <v>MVA (adj)</v>
      </c>
    </row>
    <row r="215" spans="111:116" x14ac:dyDescent="0.3">
      <c r="DG215">
        <f>'Outputs - Cash Infusion'!A169</f>
        <v>2021</v>
      </c>
      <c r="DH215" s="37">
        <f>'Outputs - Cash Infusion'!B169</f>
        <v>33490.305999999997</v>
      </c>
      <c r="DI215" s="37">
        <v>33490.305999999997</v>
      </c>
      <c r="DJ215" s="37">
        <v>33490.305999999997</v>
      </c>
      <c r="DK215" s="37">
        <v>33490.305999999997</v>
      </c>
      <c r="DL215" s="37">
        <v>33490.305999999997</v>
      </c>
    </row>
    <row r="216" spans="111:116" x14ac:dyDescent="0.3">
      <c r="DG216">
        <f>'Outputs - Cash Infusion'!A170</f>
        <v>2022</v>
      </c>
      <c r="DH216" s="37">
        <f>'Outputs - Cash Infusion'!B170</f>
        <v>32739.248543766738</v>
      </c>
      <c r="DI216" s="37">
        <v>34496.558928518956</v>
      </c>
      <c r="DJ216" s="37">
        <v>34597.723529328621</v>
      </c>
      <c r="DK216" s="37">
        <v>35002.381932567296</v>
      </c>
      <c r="DL216" s="37">
        <v>35508.204936615643</v>
      </c>
    </row>
    <row r="217" spans="111:116" x14ac:dyDescent="0.3">
      <c r="DG217">
        <f>'Outputs - Cash Infusion'!A171</f>
        <v>2023</v>
      </c>
      <c r="DH217" s="37">
        <f>'Outputs - Cash Infusion'!B171</f>
        <v>33903.960240968561</v>
      </c>
      <c r="DI217" s="37">
        <v>35655.04074287523</v>
      </c>
      <c r="DJ217" s="37">
        <v>35760.904921717614</v>
      </c>
      <c r="DK217" s="37">
        <v>36184.361637087182</v>
      </c>
      <c r="DL217" s="37">
        <v>36713.68253129915</v>
      </c>
    </row>
    <row r="218" spans="111:116" x14ac:dyDescent="0.3">
      <c r="DG218">
        <f>'Outputs - Cash Infusion'!A172</f>
        <v>2024</v>
      </c>
      <c r="DH218" s="37">
        <f>'Outputs - Cash Infusion'!B172</f>
        <v>35030.281163727239</v>
      </c>
      <c r="DI218" s="37">
        <v>36974.071800055179</v>
      </c>
      <c r="DJ218" s="37">
        <v>37084.853874736218</v>
      </c>
      <c r="DK218" s="37">
        <v>37527.982173460354</v>
      </c>
      <c r="DL218" s="37">
        <v>38081.892546865536</v>
      </c>
    </row>
    <row r="219" spans="111:116" x14ac:dyDescent="0.3">
      <c r="DG219">
        <f>'Outputs - Cash Infusion'!A173</f>
        <v>2025</v>
      </c>
      <c r="DH219" s="37">
        <f>'Outputs - Cash Infusion'!B173</f>
        <v>36132.244530752898</v>
      </c>
      <c r="DI219" s="37">
        <v>38339.460688810417</v>
      </c>
      <c r="DJ219" s="37">
        <v>38455.389119038991</v>
      </c>
      <c r="DK219" s="37">
        <v>38919.102839953244</v>
      </c>
      <c r="DL219" s="37">
        <v>39498.744991096079</v>
      </c>
    </row>
    <row r="220" spans="111:116" x14ac:dyDescent="0.3">
      <c r="DG220">
        <f>'Outputs - Cash Infusion'!A174</f>
        <v>2026</v>
      </c>
      <c r="DH220" s="37">
        <f>'Outputs - Cash Infusion'!B174</f>
        <v>37207.152787896666</v>
      </c>
      <c r="DI220" s="37">
        <v>39753.455407557907</v>
      </c>
      <c r="DJ220" s="37">
        <v>39874.769266085605</v>
      </c>
      <c r="DK220" s="37">
        <v>40360.024700196365</v>
      </c>
      <c r="DL220" s="37">
        <v>40966.593992834823</v>
      </c>
    </row>
    <row r="221" spans="111:116" x14ac:dyDescent="0.3">
      <c r="DG221">
        <f>'Outputs - Cash Infusion'!A175</f>
        <v>2027</v>
      </c>
      <c r="DH221" s="37">
        <f>'Outputs - Cash Infusion'!B175</f>
        <v>38223.787991555197</v>
      </c>
      <c r="DI221" s="37">
        <v>41218.410229877634</v>
      </c>
      <c r="DJ221" s="37">
        <v>41345.3596955252</v>
      </c>
      <c r="DK221" s="37">
        <v>41853.157558115432</v>
      </c>
      <c r="DL221" s="37">
        <v>42487.904886353244</v>
      </c>
    </row>
    <row r="222" spans="111:116" x14ac:dyDescent="0.3">
      <c r="DG222">
        <f>'Outputs - Cash Infusion'!A176</f>
        <v>2028</v>
      </c>
      <c r="DH222" s="37">
        <f>'Outputs - Cash Infusion'!B176</f>
        <v>39269.541070250758</v>
      </c>
      <c r="DI222" s="37">
        <v>42736.790657052697</v>
      </c>
      <c r="DJ222" s="37">
        <v>42869.637530639877</v>
      </c>
      <c r="DK222" s="37">
        <v>43401.025024988579</v>
      </c>
      <c r="DL222" s="37">
        <v>44065.259392924476</v>
      </c>
    </row>
    <row r="223" spans="111:116" x14ac:dyDescent="0.3">
      <c r="DG223">
        <f>'Outputs - Cash Infusion'!A177</f>
        <v>2029</v>
      </c>
      <c r="DH223" s="37">
        <f>'Outputs - Cash Infusion'!B177</f>
        <v>40344.636176429958</v>
      </c>
      <c r="DI223" s="37">
        <v>44311.178600767205</v>
      </c>
      <c r="DJ223" s="37">
        <v>44450.196845010025</v>
      </c>
      <c r="DK223" s="37">
        <v>45006.269821981281</v>
      </c>
      <c r="DL223" s="37">
        <v>45701.361043195371</v>
      </c>
    </row>
    <row r="224" spans="111:116" x14ac:dyDescent="0.3">
      <c r="DG224">
        <f>'Outputs - Cash Infusion'!A178</f>
        <v>2030</v>
      </c>
      <c r="DH224" s="37">
        <f>'Outputs - Cash Infusion'!B178</f>
        <v>41450.500363128696</v>
      </c>
      <c r="DI224" s="37">
        <v>45944.277806654303</v>
      </c>
      <c r="DJ224" s="37">
        <v>46089.75411114312</v>
      </c>
      <c r="DK224" s="37">
        <v>46671.659329098373</v>
      </c>
      <c r="DL224" s="37">
        <v>47399.040851542457</v>
      </c>
    </row>
    <row r="225" spans="111:116" x14ac:dyDescent="0.3">
      <c r="DG225">
        <f>'Outputs - Cash Infusion'!A179</f>
        <v>2031</v>
      </c>
      <c r="DH225" s="37">
        <f>'Outputs - Cash Infusion'!B179</f>
        <v>42589.055117092212</v>
      </c>
      <c r="DI225" s="37">
        <v>47639.345124610656</v>
      </c>
      <c r="DJ225" s="37">
        <v>47791.579497034174</v>
      </c>
      <c r="DK225" s="37">
        <v>48400.516986728173</v>
      </c>
      <c r="DL225" s="37">
        <v>49161.688848845704</v>
      </c>
    </row>
    <row r="226" spans="111:116" x14ac:dyDescent="0.3">
      <c r="DG226">
        <f>'Outputs - Cash Infusion'!A180</f>
        <v>2032</v>
      </c>
      <c r="DH226" s="37">
        <f>'Outputs - Cash Infusion'!B180</f>
        <v>43761.511685458929</v>
      </c>
      <c r="DI226" s="37">
        <v>49398.988804303561</v>
      </c>
      <c r="DJ226" s="37">
        <v>49558.295189137942</v>
      </c>
      <c r="DK226" s="37">
        <v>50195.520728475436</v>
      </c>
      <c r="DL226" s="37">
        <v>50992.052652647319</v>
      </c>
    </row>
    <row r="227" spans="111:116" x14ac:dyDescent="0.3">
      <c r="DG227">
        <f>'Outputs - Cash Infusion'!A181</f>
        <v>2033</v>
      </c>
      <c r="DH227" s="37">
        <f>'Outputs - Cash Infusion'!B181</f>
        <v>44970.041280640027</v>
      </c>
      <c r="DI227" s="37">
        <v>51226.841612115721</v>
      </c>
      <c r="DJ227" s="37">
        <v>51393.548538054878</v>
      </c>
      <c r="DK227" s="37">
        <v>52060.376241811471</v>
      </c>
      <c r="DL227" s="37">
        <v>52893.910871507229</v>
      </c>
    </row>
    <row r="228" spans="111:116" x14ac:dyDescent="0.3">
      <c r="DG228">
        <f>'Outputs - Cash Infusion'!A182</f>
        <v>2034</v>
      </c>
      <c r="DH228" s="37">
        <f>'Outputs - Cash Infusion'!B182</f>
        <v>46216.494201840469</v>
      </c>
      <c r="DI228" s="37">
        <v>53126.282721979427</v>
      </c>
      <c r="DJ228" s="37">
        <v>53300.733979441429</v>
      </c>
      <c r="DK228" s="37">
        <v>53870.819554926718</v>
      </c>
      <c r="DL228" s="37">
        <v>54743.075842236693</v>
      </c>
    </row>
    <row r="229" spans="111:116" x14ac:dyDescent="0.3">
      <c r="DG229">
        <f>'Outputs - Cash Infusion'!A183</f>
        <v>2035</v>
      </c>
      <c r="DH229" s="37">
        <f>'Outputs - Cash Infusion'!B183</f>
        <v>47502.184080730629</v>
      </c>
      <c r="DI229" s="37">
        <v>54971.944370524609</v>
      </c>
      <c r="DJ229" s="37">
        <v>55154.499720631553</v>
      </c>
      <c r="DK229" s="37">
        <v>55622.786944239138</v>
      </c>
      <c r="DL229" s="37">
        <v>56535.563694773773</v>
      </c>
    </row>
    <row r="230" spans="111:116" x14ac:dyDescent="0.3">
      <c r="DG230">
        <f>'Outputs - Cash Infusion'!A184</f>
        <v>2036</v>
      </c>
      <c r="DH230" s="37">
        <f>'Outputs - Cash Infusion'!B184</f>
        <v>48829.688841708121</v>
      </c>
      <c r="DI230" s="37">
        <v>56760.990770008386</v>
      </c>
      <c r="DJ230" s="37">
        <v>56952.026686501711</v>
      </c>
      <c r="DK230" s="37">
        <v>57313.22197518406</v>
      </c>
      <c r="DL230" s="37">
        <v>58268.401557650628</v>
      </c>
    </row>
    <row r="231" spans="111:116" x14ac:dyDescent="0.3">
      <c r="DG231">
        <f>'Outputs - Cash Infusion'!A185</f>
        <v>2037</v>
      </c>
      <c r="DH231" s="37">
        <f>'Outputs - Cash Infusion'!B185</f>
        <v>50201.134304769977</v>
      </c>
      <c r="DI231" s="37">
        <v>58489.875281051776</v>
      </c>
      <c r="DJ231" s="37">
        <v>58689.785726673144</v>
      </c>
      <c r="DK231" s="37">
        <v>57354.107769859307</v>
      </c>
      <c r="DL231" s="37">
        <v>58353.659997966133</v>
      </c>
    </row>
    <row r="232" spans="111:116" x14ac:dyDescent="0.3">
      <c r="DG232">
        <f>'Outputs - Cash Infusion'!A186</f>
        <v>2038</v>
      </c>
      <c r="DH232" s="37">
        <f>'Outputs - Cash Infusion'!B186</f>
        <v>51618.748141579897</v>
      </c>
      <c r="DI232" s="37">
        <v>58563.670826024878</v>
      </c>
      <c r="DJ232" s="37">
        <v>58772.868064963615</v>
      </c>
      <c r="DK232" s="37">
        <v>57348.131634614663</v>
      </c>
      <c r="DL232" s="37">
        <v>58319.01725900123</v>
      </c>
    </row>
    <row r="233" spans="111:116" x14ac:dyDescent="0.3">
      <c r="DG233">
        <f>'Outputs - Cash Infusion'!A187</f>
        <v>2039</v>
      </c>
      <c r="DH233" s="37">
        <f>'Outputs - Cash Infusion'!B187</f>
        <v>53084.864665238514</v>
      </c>
      <c r="DI233" s="37">
        <v>58498.369858534788</v>
      </c>
      <c r="DJ233" s="37">
        <v>58701.567436646001</v>
      </c>
      <c r="DK233" s="37">
        <v>57316.866528194587</v>
      </c>
      <c r="DL233" s="37">
        <v>58257.423332486229</v>
      </c>
    </row>
    <row r="234" spans="111:116" x14ac:dyDescent="0.3">
      <c r="DG234">
        <f>'Outputs - Cash Infusion'!A188</f>
        <v>2040</v>
      </c>
      <c r="DH234" s="37">
        <f>'Outputs - Cash Infusion'!B188</f>
        <v>54601.929807588509</v>
      </c>
      <c r="DI234" s="37">
        <v>58404.785051794272</v>
      </c>
      <c r="DJ234" s="37">
        <v>58601.635082227913</v>
      </c>
      <c r="DK234" s="37">
        <v>57259.274984137846</v>
      </c>
      <c r="DL234" s="37">
        <v>58167.764782761282</v>
      </c>
    </row>
    <row r="235" spans="111:116" x14ac:dyDescent="0.3">
      <c r="DG235">
        <f>'Outputs - Cash Infusion'!A189</f>
        <v>2041</v>
      </c>
      <c r="DH235" s="37">
        <f>'Outputs - Cash Infusion'!B189</f>
        <v>56201.707967079259</v>
      </c>
      <c r="DI235" s="37">
        <v>58310.946036904374</v>
      </c>
      <c r="DJ235" s="37">
        <v>58501.084733144373</v>
      </c>
      <c r="DK235" s="37">
        <v>57203.477474742533</v>
      </c>
      <c r="DL235" s="37">
        <v>58078.079051905086</v>
      </c>
    </row>
    <row r="236" spans="111:116" x14ac:dyDescent="0.3">
      <c r="DG236">
        <f>'Outputs - Cash Infusion'!A190</f>
        <v>2042</v>
      </c>
      <c r="DH236" s="37">
        <f>'Outputs - Cash Infusion'!B190</f>
        <v>57916.76339449075</v>
      </c>
      <c r="DI236" s="37">
        <v>58245.505685403383</v>
      </c>
      <c r="DJ236" s="37">
        <v>58428.55188345987</v>
      </c>
      <c r="DK236" s="37">
        <v>57178.227340665631</v>
      </c>
      <c r="DL236" s="37">
        <v>58017.032643253675</v>
      </c>
    </row>
    <row r="237" spans="111:116" x14ac:dyDescent="0.3">
      <c r="DG237">
        <f>'Outputs - Cash Infusion'!A191</f>
        <v>2043</v>
      </c>
      <c r="DH237" s="37">
        <f>'Outputs - Cash Infusion'!B191</f>
        <v>58032.803657690878</v>
      </c>
      <c r="DI237" s="37">
        <v>58240.050069460303</v>
      </c>
      <c r="DJ237" s="37">
        <v>58415.6044310777</v>
      </c>
      <c r="DK237" s="37">
        <v>57215.215590719883</v>
      </c>
      <c r="DL237" s="37">
        <v>58016.225742580682</v>
      </c>
    </row>
    <row r="238" spans="111:116" x14ac:dyDescent="0.3">
      <c r="DG238">
        <f>'Outputs - Cash Infusion'!A192</f>
        <v>2044</v>
      </c>
      <c r="DH238" s="37">
        <f>'Outputs - Cash Infusion'!B192</f>
        <v>58146.468049195515</v>
      </c>
      <c r="DI238" s="37">
        <v>58324.621259222557</v>
      </c>
      <c r="DJ238" s="37">
        <v>58492.265437704875</v>
      </c>
      <c r="DK238" s="37">
        <v>57344.606668694658</v>
      </c>
      <c r="DL238" s="37">
        <v>58105.727797890831</v>
      </c>
    </row>
    <row r="239" spans="111:116" x14ac:dyDescent="0.3">
      <c r="DG239">
        <f>'Outputs - Cash Infusion'!A193</f>
        <v>2045</v>
      </c>
      <c r="DH239" s="37">
        <f>'Outputs - Cash Infusion'!B193</f>
        <v>58381.451025031922</v>
      </c>
      <c r="DI239" s="37">
        <v>58528.919188222513</v>
      </c>
      <c r="DJ239" s="37">
        <v>58688.214955115363</v>
      </c>
      <c r="DK239" s="37">
        <v>57596.213698068939</v>
      </c>
      <c r="DL239" s="37">
        <v>58315.253173136232</v>
      </c>
    </row>
    <row r="240" spans="111:116" x14ac:dyDescent="0.3">
      <c r="DG240">
        <f>'Outputs - Cash Infusion'!A194</f>
        <v>2046</v>
      </c>
      <c r="DH240" s="37">
        <f>'Outputs - Cash Infusion'!B194</f>
        <v>58768.998444504294</v>
      </c>
      <c r="DI240" s="37">
        <v>58884.130565686857</v>
      </c>
      <c r="DJ240" s="37">
        <v>59034.619023060317</v>
      </c>
      <c r="DK240" s="37">
        <v>58001.340816244905</v>
      </c>
      <c r="DL240" s="37">
        <v>58676.002651805611</v>
      </c>
    </row>
    <row r="241" spans="111:116" x14ac:dyDescent="0.3">
      <c r="DG241">
        <f>'Outputs - Cash Infusion'!A195</f>
        <v>2047</v>
      </c>
      <c r="DH241" s="37">
        <f>'Outputs - Cash Infusion'!B195</f>
        <v>59336.791853397073</v>
      </c>
      <c r="DI241" s="37">
        <v>59417.878350292558</v>
      </c>
      <c r="DJ241" s="37">
        <v>59559.078969177594</v>
      </c>
      <c r="DK241" s="37">
        <v>58587.73387326346</v>
      </c>
      <c r="DL241" s="37">
        <v>59215.613922126933</v>
      </c>
    </row>
    <row r="242" spans="111:116" x14ac:dyDescent="0.3">
      <c r="DG242">
        <f>'Outputs - Cash Infusion'!A196</f>
        <v>2048</v>
      </c>
      <c r="DH242" s="37">
        <f>'Outputs - Cash Infusion'!B196</f>
        <v>60111.909713956156</v>
      </c>
      <c r="DI242" s="37">
        <v>60157.178341368584</v>
      </c>
      <c r="DJ242" s="37">
        <v>60288.587955507202</v>
      </c>
      <c r="DK242" s="37">
        <v>59382.537276878451</v>
      </c>
      <c r="DL242" s="37">
        <v>59961.118198771539</v>
      </c>
    </row>
    <row r="243" spans="111:116" x14ac:dyDescent="0.3">
      <c r="DG243">
        <f>'Outputs - Cash Infusion'!A197</f>
        <v>2049</v>
      </c>
      <c r="DH243" s="37">
        <f>'Outputs - Cash Infusion'!B197</f>
        <v>61119.342039764262</v>
      </c>
      <c r="DI243" s="37">
        <v>61126.953669852388</v>
      </c>
      <c r="DJ243" s="37">
        <v>61248.045422698437</v>
      </c>
      <c r="DK243" s="37">
        <v>60410.808749086078</v>
      </c>
      <c r="DL243" s="37">
        <v>60937.454745635747</v>
      </c>
    </row>
    <row r="244" spans="111:116" x14ac:dyDescent="0.3">
      <c r="DG244">
        <f>'Outputs - Cash Infusion'!A198</f>
        <v>2050</v>
      </c>
      <c r="DH244" s="37">
        <f>'Outputs - Cash Infusion'!B198</f>
        <v>62381.716647751869</v>
      </c>
      <c r="DI244" s="37">
        <v>62349.746808837081</v>
      </c>
      <c r="DJ244" s="37">
        <v>62459.969051635686</v>
      </c>
      <c r="DK244" s="37">
        <v>61695.23161458689</v>
      </c>
      <c r="DL244" s="37">
        <v>62167.182919695093</v>
      </c>
    </row>
    <row r="245" spans="111:116" x14ac:dyDescent="0.3">
      <c r="DI245" s="37">
        <v>0</v>
      </c>
      <c r="DJ245" s="37">
        <v>0</v>
      </c>
      <c r="DK245" s="37">
        <v>0</v>
      </c>
      <c r="DL245" s="37">
        <v>0</v>
      </c>
    </row>
    <row r="246" spans="111:116" x14ac:dyDescent="0.3">
      <c r="DI246" s="39">
        <v>0</v>
      </c>
      <c r="DJ246" s="39">
        <v>0</v>
      </c>
      <c r="DK246" s="39">
        <v>0</v>
      </c>
      <c r="DL246" s="39">
        <v>0</v>
      </c>
    </row>
    <row r="247" spans="111:116" x14ac:dyDescent="0.3">
      <c r="DG247" t="str">
        <f>'Outputs - Cash Infusion'!A201</f>
        <v>Total ER Cont (2021-2050)</v>
      </c>
      <c r="DH247" s="37">
        <f>'Outputs - Cash Infusion'!B201</f>
        <v>43098.044893129547</v>
      </c>
      <c r="DI247" s="37">
        <v>38933.06989263279</v>
      </c>
      <c r="DJ247" s="37">
        <v>38844.060107427576</v>
      </c>
      <c r="DK247" s="37">
        <v>38442.185129773861</v>
      </c>
      <c r="DL247" s="37">
        <v>37962.074111592003</v>
      </c>
    </row>
    <row r="248" spans="111:116" x14ac:dyDescent="0.3">
      <c r="DG248" t="str">
        <f>'Outputs - Cash Infusion'!A202</f>
        <v>Ending UAL (MVA - 2050)</v>
      </c>
      <c r="DH248" s="37">
        <f>'Outputs - Cash Infusion'!B202</f>
        <v>-1380.7156408580465</v>
      </c>
      <c r="DI248" s="37">
        <v>-1348.7458019432518</v>
      </c>
      <c r="DJ248" s="37">
        <v>-1458.9680447418568</v>
      </c>
      <c r="DK248" s="37">
        <v>-694.23060769306574</v>
      </c>
      <c r="DL248" s="37">
        <v>-1166.181912801266</v>
      </c>
    </row>
    <row r="249" spans="111:116" x14ac:dyDescent="0.3">
      <c r="DG249" t="str">
        <f>'Outputs - Cash Infusion'!A203</f>
        <v>All-in ER Cost (2021-2050)</v>
      </c>
      <c r="DH249" s="37">
        <f>'Outputs - Cash Infusion'!B203</f>
        <v>41717.329252271498</v>
      </c>
      <c r="DI249" s="37">
        <v>37584.324090689537</v>
      </c>
      <c r="DJ249" s="37">
        <v>37385.092062685719</v>
      </c>
      <c r="DK249" s="37">
        <v>37747.954522080792</v>
      </c>
      <c r="DL249" s="37">
        <v>36795.892198790738</v>
      </c>
    </row>
  </sheetData>
  <mergeCells count="7">
    <mergeCell ref="A1:S1"/>
    <mergeCell ref="DR1:DU3"/>
    <mergeCell ref="DN1:DP1"/>
    <mergeCell ref="AC1:AR1"/>
    <mergeCell ref="BP1:CP1"/>
    <mergeCell ref="V3:Z3"/>
    <mergeCell ref="G2:Q2"/>
  </mergeCells>
  <dataValidations count="9">
    <dataValidation type="list" allowBlank="1" showInputMessage="1" showErrorMessage="1" sqref="DU49 DU43 DU73:DU74 DU65:DU66" xr:uid="{00000000-0002-0000-0000-000000000000}">
      <formula1>$LT$25:$LT$26</formula1>
    </dataValidation>
    <dataValidation type="list" allowBlank="1" showInputMessage="1" showErrorMessage="1" sqref="DU71:DU72" xr:uid="{00000000-0002-0000-0000-000001000000}">
      <formula1>$LT$9:$LT$11</formula1>
    </dataValidation>
    <dataValidation type="list" allowBlank="1" showInputMessage="1" showErrorMessage="1" sqref="DU30" xr:uid="{00000000-0002-0000-0000-000002000000}">
      <formula1>$LT$16:$LT$17</formula1>
    </dataValidation>
    <dataValidation type="list" allowBlank="1" showInputMessage="1" showErrorMessage="1" sqref="DU33" xr:uid="{00000000-0002-0000-0000-000003000000}">
      <formula1>$MK$17</formula1>
    </dataValidation>
    <dataValidation type="list" allowBlank="1" showInputMessage="1" showErrorMessage="1" sqref="DU34" xr:uid="{00000000-0002-0000-0000-000004000000}">
      <formula1>$MN$6</formula1>
    </dataValidation>
    <dataValidation type="list" allowBlank="1" showInputMessage="1" showErrorMessage="1" sqref="DU47" xr:uid="{05800033-D89B-40C1-A832-1B351530F67E}">
      <formula1>$LT$20:$LT$21</formula1>
    </dataValidation>
    <dataValidation type="list" allowBlank="1" showInputMessage="1" showErrorMessage="1" sqref="DV49" xr:uid="{08EABE37-389E-FC47-B859-6067B5992F7C}">
      <formula1>$EK$56:$EK$58</formula1>
    </dataValidation>
    <dataValidation type="list" allowBlank="1" showInputMessage="1" showErrorMessage="1" sqref="DU52" xr:uid="{D7C42CAF-1659-2740-8D64-B8D2AC0ADB72}">
      <formula1>$LT$29:$LT$32</formula1>
    </dataValidation>
    <dataValidation type="list" allowBlank="1" showInputMessage="1" showErrorMessage="1" sqref="DU64" xr:uid="{2E42F534-E666-C448-B44A-036ADB8AECE7}">
      <formula1>$DP$62:$DP$65</formula1>
    </dataValidation>
  </dataValidations>
  <pageMargins left="0.5" right="0.5" top="0.75" bottom="0.75" header="0.3" footer="0.3"/>
  <pageSetup paperSize="3" scale="71" fitToWidth="5" orientation="landscape" r:id="rId1"/>
  <colBreaks count="4" manualBreakCount="4">
    <brk id="67" max="75" man="1"/>
    <brk id="104" max="75" man="1"/>
    <brk id="172" max="75" man="1"/>
    <brk id="333" max="75" man="1"/>
  </colBreaks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11F6A-7464-5D45-85A0-FE1490FC0A51}">
  <dimension ref="A1:AV243"/>
  <sheetViews>
    <sheetView zoomScale="40" zoomScaleNormal="40" workbookViewId="0">
      <pane xSplit="3" ySplit="2" topLeftCell="AA172" activePane="bottomRight" state="frozen"/>
      <selection pane="topRight" activeCell="D1" sqref="D1"/>
      <selection pane="bottomLeft" activeCell="A3" sqref="A3"/>
      <selection pane="bottomRight" activeCell="AF173" sqref="AF173"/>
    </sheetView>
  </sheetViews>
  <sheetFormatPr defaultColWidth="11.44140625" defaultRowHeight="14.4" x14ac:dyDescent="0.3"/>
  <cols>
    <col min="1" max="1" width="21.109375" bestFit="1" customWidth="1"/>
    <col min="2" max="2" width="26.109375" bestFit="1" customWidth="1"/>
    <col min="3" max="3" width="35.109375" bestFit="1" customWidth="1"/>
    <col min="4" max="4" width="27.109375" customWidth="1"/>
    <col min="5" max="5" width="35.6640625" style="38" customWidth="1"/>
    <col min="6" max="6" width="44.77734375" bestFit="1" customWidth="1"/>
    <col min="7" max="7" width="44.44140625" bestFit="1" customWidth="1"/>
    <col min="8" max="8" width="41.6640625" bestFit="1" customWidth="1"/>
    <col min="10" max="10" width="26.33203125" bestFit="1" customWidth="1"/>
    <col min="11" max="11" width="32.77734375" style="38" customWidth="1"/>
    <col min="12" max="13" width="44.44140625" bestFit="1" customWidth="1"/>
    <col min="14" max="14" width="41.6640625" bestFit="1" customWidth="1"/>
    <col min="16" max="16" width="9.44140625" hidden="1" customWidth="1"/>
    <col min="17" max="18" width="27.44140625" hidden="1" customWidth="1"/>
    <col min="19" max="19" width="24.6640625" hidden="1" customWidth="1"/>
    <col min="20" max="20" width="0" hidden="1" customWidth="1"/>
    <col min="21" max="21" width="26.109375" hidden="1" customWidth="1"/>
    <col min="22" max="23" width="24" hidden="1" customWidth="1"/>
    <col min="24" max="24" width="21.109375" hidden="1" customWidth="1"/>
    <col min="26" max="26" width="24.109375" bestFit="1" customWidth="1"/>
    <col min="27" max="27" width="31.6640625" style="38" customWidth="1"/>
    <col min="28" max="29" width="42.33203125" bestFit="1" customWidth="1"/>
    <col min="30" max="30" width="39.44140625" bestFit="1" customWidth="1"/>
    <col min="32" max="32" width="26.109375" bestFit="1" customWidth="1"/>
    <col min="33" max="33" width="30.6640625" style="38" bestFit="1" customWidth="1"/>
    <col min="34" max="35" width="42.33203125" bestFit="1" customWidth="1"/>
    <col min="36" max="36" width="39.44140625" bestFit="1" customWidth="1"/>
    <col min="38" max="38" width="25.33203125" bestFit="1" customWidth="1"/>
    <col min="39" max="39" width="42.33203125" bestFit="1" customWidth="1"/>
    <col min="40" max="40" width="40.109375" bestFit="1" customWidth="1"/>
    <col min="41" max="41" width="39.44140625" bestFit="1" customWidth="1"/>
    <col min="43" max="43" width="26.109375" bestFit="1" customWidth="1"/>
    <col min="44" max="45" width="42.33203125" bestFit="1" customWidth="1"/>
    <col min="46" max="46" width="39.44140625" bestFit="1" customWidth="1"/>
  </cols>
  <sheetData>
    <row r="1" spans="1:46" x14ac:dyDescent="0.3">
      <c r="D1" s="445" t="s">
        <v>337</v>
      </c>
      <c r="E1" s="445"/>
      <c r="F1" s="445"/>
      <c r="G1" s="445"/>
      <c r="H1" s="445"/>
      <c r="J1" s="445" t="s">
        <v>338</v>
      </c>
      <c r="K1" s="445"/>
      <c r="L1" s="445"/>
      <c r="M1" s="445"/>
      <c r="N1" s="445"/>
      <c r="P1" s="445" t="s">
        <v>337</v>
      </c>
      <c r="Q1" s="445"/>
      <c r="R1" s="445"/>
      <c r="S1" s="445"/>
      <c r="U1" s="445" t="s">
        <v>338</v>
      </c>
      <c r="V1" s="445"/>
      <c r="W1" s="445"/>
      <c r="X1" s="445"/>
      <c r="Z1" s="445" t="s">
        <v>337</v>
      </c>
      <c r="AA1" s="445"/>
      <c r="AB1" s="445"/>
      <c r="AC1" s="445"/>
      <c r="AD1" s="445"/>
      <c r="AF1" s="445" t="s">
        <v>338</v>
      </c>
      <c r="AG1" s="445"/>
      <c r="AH1" s="445"/>
      <c r="AI1" s="445"/>
      <c r="AJ1" s="445"/>
      <c r="AL1" s="445" t="s">
        <v>337</v>
      </c>
      <c r="AM1" s="445"/>
      <c r="AN1" s="445"/>
      <c r="AO1" s="445"/>
      <c r="AP1" s="38"/>
      <c r="AQ1" s="445" t="s">
        <v>338</v>
      </c>
      <c r="AR1" s="445"/>
      <c r="AS1" s="445"/>
      <c r="AT1" s="445"/>
    </row>
    <row r="2" spans="1:46" x14ac:dyDescent="0.3">
      <c r="A2" s="38"/>
      <c r="B2" s="38" t="s">
        <v>297</v>
      </c>
      <c r="D2" s="414" t="s">
        <v>346</v>
      </c>
      <c r="E2" s="414" t="s">
        <v>359</v>
      </c>
      <c r="F2" s="414" t="s">
        <v>347</v>
      </c>
      <c r="G2" s="414" t="s">
        <v>348</v>
      </c>
      <c r="H2" s="414" t="s">
        <v>349</v>
      </c>
      <c r="J2" s="414" t="s">
        <v>346</v>
      </c>
      <c r="K2" s="414" t="s">
        <v>359</v>
      </c>
      <c r="L2" s="414" t="s">
        <v>350</v>
      </c>
      <c r="M2" s="414" t="s">
        <v>348</v>
      </c>
      <c r="N2" s="414" t="s">
        <v>349</v>
      </c>
      <c r="P2" s="414" t="s">
        <v>335</v>
      </c>
      <c r="Q2" s="414" t="s">
        <v>339</v>
      </c>
      <c r="R2" s="414" t="s">
        <v>340</v>
      </c>
      <c r="S2" s="414" t="s">
        <v>341</v>
      </c>
      <c r="U2" s="414" t="s">
        <v>335</v>
      </c>
      <c r="V2" s="414" t="s">
        <v>339</v>
      </c>
      <c r="W2" s="414" t="s">
        <v>340</v>
      </c>
      <c r="X2" s="414" t="s">
        <v>341</v>
      </c>
      <c r="Z2" s="414" t="s">
        <v>342</v>
      </c>
      <c r="AA2" s="414" t="s">
        <v>360</v>
      </c>
      <c r="AB2" s="414" t="s">
        <v>343</v>
      </c>
      <c r="AC2" s="414" t="s">
        <v>344</v>
      </c>
      <c r="AD2" s="414" t="s">
        <v>345</v>
      </c>
      <c r="AF2" s="414" t="s">
        <v>342</v>
      </c>
      <c r="AG2" s="414" t="s">
        <v>360</v>
      </c>
      <c r="AH2" s="414" t="s">
        <v>343</v>
      </c>
      <c r="AI2" s="414" t="s">
        <v>344</v>
      </c>
      <c r="AJ2" s="414" t="s">
        <v>345</v>
      </c>
      <c r="AL2" s="414" t="s">
        <v>351</v>
      </c>
      <c r="AM2" s="414" t="s">
        <v>352</v>
      </c>
      <c r="AN2" s="414" t="s">
        <v>353</v>
      </c>
      <c r="AO2" s="414" t="s">
        <v>354</v>
      </c>
      <c r="AP2" s="38"/>
      <c r="AQ2" s="414" t="s">
        <v>351</v>
      </c>
      <c r="AR2" s="414" t="s">
        <v>352</v>
      </c>
      <c r="AS2" s="414" t="s">
        <v>353</v>
      </c>
      <c r="AT2" s="414" t="s">
        <v>354</v>
      </c>
    </row>
    <row r="3" spans="1:46" x14ac:dyDescent="0.3">
      <c r="A3" s="38" t="s">
        <v>155</v>
      </c>
      <c r="B3" s="38" t="s">
        <v>298</v>
      </c>
      <c r="D3" s="38" t="s">
        <v>298</v>
      </c>
      <c r="E3" s="38" t="s">
        <v>298</v>
      </c>
      <c r="F3" s="38" t="s">
        <v>298</v>
      </c>
      <c r="G3" s="38" t="s">
        <v>298</v>
      </c>
      <c r="H3" s="38" t="s">
        <v>298</v>
      </c>
      <c r="J3" s="38" t="s">
        <v>298</v>
      </c>
      <c r="K3" s="38" t="s">
        <v>298</v>
      </c>
      <c r="L3" s="38" t="s">
        <v>298</v>
      </c>
      <c r="M3" s="38" t="s">
        <v>298</v>
      </c>
      <c r="N3" s="38" t="s">
        <v>298</v>
      </c>
      <c r="P3" s="38" t="s">
        <v>298</v>
      </c>
      <c r="Q3" s="38" t="s">
        <v>298</v>
      </c>
      <c r="R3" s="38" t="s">
        <v>298</v>
      </c>
      <c r="S3" s="38" t="s">
        <v>298</v>
      </c>
      <c r="U3" s="38" t="s">
        <v>298</v>
      </c>
      <c r="V3" s="38" t="s">
        <v>298</v>
      </c>
      <c r="W3" s="38" t="s">
        <v>298</v>
      </c>
      <c r="X3" s="38" t="s">
        <v>298</v>
      </c>
      <c r="Z3" s="38" t="s">
        <v>298</v>
      </c>
      <c r="AA3" s="38" t="s">
        <v>298</v>
      </c>
      <c r="AB3" s="38" t="s">
        <v>298</v>
      </c>
      <c r="AC3" s="38" t="s">
        <v>298</v>
      </c>
      <c r="AD3" s="38" t="s">
        <v>298</v>
      </c>
      <c r="AF3" s="38" t="s">
        <v>298</v>
      </c>
      <c r="AG3" s="38" t="s">
        <v>298</v>
      </c>
      <c r="AH3" s="38" t="s">
        <v>298</v>
      </c>
      <c r="AI3" s="38" t="s">
        <v>298</v>
      </c>
      <c r="AJ3" s="38" t="s">
        <v>298</v>
      </c>
    </row>
    <row r="4" spans="1:46" x14ac:dyDescent="0.3">
      <c r="A4" s="38">
        <v>2021</v>
      </c>
      <c r="B4" s="142">
        <f>SCRS!CZ14</f>
        <v>0.15858867863501119</v>
      </c>
      <c r="D4" s="142">
        <v>0.15560000000000004</v>
      </c>
      <c r="E4" s="142">
        <v>0.15560000000000004</v>
      </c>
      <c r="F4" s="142">
        <v>0.15560000000000004</v>
      </c>
      <c r="G4" s="142">
        <v>0.15560000000000004</v>
      </c>
      <c r="H4" s="142">
        <v>0.15560000000000004</v>
      </c>
      <c r="J4" s="142">
        <v>0.15560000000000004</v>
      </c>
      <c r="K4" s="142">
        <v>0.15560000000000004</v>
      </c>
      <c r="L4" s="142">
        <v>0.15560000000000004</v>
      </c>
      <c r="M4" s="142">
        <v>0.15560000000000004</v>
      </c>
      <c r="N4" s="142">
        <v>0.15560000000000004</v>
      </c>
      <c r="P4" s="142">
        <v>0.15560000000000004</v>
      </c>
      <c r="Q4" s="142">
        <v>0.15560000000000004</v>
      </c>
      <c r="R4" s="142">
        <v>0.15560000000000004</v>
      </c>
      <c r="S4" s="142">
        <v>0.15560000000000004</v>
      </c>
      <c r="U4" s="142">
        <v>0.15560000000000004</v>
      </c>
      <c r="V4" s="142">
        <v>0.15560000000000004</v>
      </c>
      <c r="W4" s="142">
        <v>0.15560000000000004</v>
      </c>
      <c r="X4" s="142">
        <v>0.15560000000000004</v>
      </c>
      <c r="Z4" s="142">
        <v>0.15560000000000004</v>
      </c>
      <c r="AA4" s="142">
        <v>0.15560000000000004</v>
      </c>
      <c r="AB4" s="142">
        <v>0.15560000000000004</v>
      </c>
      <c r="AC4" s="142">
        <v>0.15560000000000004</v>
      </c>
      <c r="AD4" s="142">
        <v>0.15560000000000004</v>
      </c>
      <c r="AF4" s="188">
        <v>0.15560000000000004</v>
      </c>
      <c r="AG4" s="142">
        <v>0.15560000000000004</v>
      </c>
      <c r="AH4" s="188">
        <v>0.15560000000000004</v>
      </c>
      <c r="AI4" s="188">
        <v>0.15560000000000004</v>
      </c>
      <c r="AJ4" s="188">
        <v>0.15560000000000004</v>
      </c>
      <c r="AL4" s="407">
        <v>0.15560000000000004</v>
      </c>
      <c r="AM4" s="407">
        <v>0.15560000000000004</v>
      </c>
      <c r="AN4" s="407">
        <v>0.15560000000000004</v>
      </c>
      <c r="AO4" s="407">
        <v>0.15560000000000004</v>
      </c>
      <c r="AQ4" s="407">
        <v>0.15560000000000004</v>
      </c>
      <c r="AR4" s="407">
        <v>0.15560000000000004</v>
      </c>
      <c r="AS4" s="407">
        <v>0.15560000000000004</v>
      </c>
      <c r="AT4" s="407">
        <v>0.15560000000000004</v>
      </c>
    </row>
    <row r="5" spans="1:46" x14ac:dyDescent="0.3">
      <c r="A5" s="38">
        <v>2022</v>
      </c>
      <c r="B5" s="142">
        <f>SCRS!CZ15</f>
        <v>2.0563622522784729E-2</v>
      </c>
      <c r="D5" s="142">
        <v>0.16560000000000005</v>
      </c>
      <c r="E5" s="142">
        <v>0.16560000000000005</v>
      </c>
      <c r="F5" s="142">
        <v>0.17378139824516459</v>
      </c>
      <c r="G5" s="142">
        <v>0.20650699122582261</v>
      </c>
      <c r="H5" s="142">
        <v>0.24741398245164523</v>
      </c>
      <c r="J5" s="142">
        <v>0.16560000000000005</v>
      </c>
      <c r="K5" s="142">
        <v>0.16560000000000005</v>
      </c>
      <c r="L5" s="142">
        <v>0.17378139824516459</v>
      </c>
      <c r="M5" s="142">
        <v>0.20650699122582261</v>
      </c>
      <c r="N5" s="142">
        <v>0.24741398245164523</v>
      </c>
      <c r="P5" s="142">
        <v>0.16560000000000005</v>
      </c>
      <c r="Q5" s="142">
        <v>0.17378139824516459</v>
      </c>
      <c r="R5" s="142">
        <v>0.20650699122582267</v>
      </c>
      <c r="S5" s="142">
        <v>0.24741398245164525</v>
      </c>
      <c r="U5" s="142">
        <v>0.16560000000000005</v>
      </c>
      <c r="V5" s="142">
        <v>0.17378139824516459</v>
      </c>
      <c r="W5" s="142">
        <v>0.20650699122582267</v>
      </c>
      <c r="X5" s="142">
        <v>0.24741398245164525</v>
      </c>
      <c r="Z5" s="142">
        <v>0.17984284064740097</v>
      </c>
      <c r="AA5" s="142">
        <v>0.18813833111140224</v>
      </c>
      <c r="AB5" s="142">
        <v>0.1880242388925655</v>
      </c>
      <c r="AC5" s="142">
        <v>0.22074983187322358</v>
      </c>
      <c r="AD5" s="142">
        <v>0.2616568230990462</v>
      </c>
      <c r="AF5" s="188">
        <v>0.17984284064740097</v>
      </c>
      <c r="AG5" s="142">
        <v>0.18813833111140224</v>
      </c>
      <c r="AH5" s="188">
        <v>0.1880242388925655</v>
      </c>
      <c r="AI5" s="188">
        <v>0.22074983187322358</v>
      </c>
      <c r="AJ5" s="188">
        <v>0.2616568230990462</v>
      </c>
      <c r="AL5" s="407">
        <v>0.17337339794660087</v>
      </c>
      <c r="AM5" s="407">
        <v>0.18155479619176537</v>
      </c>
      <c r="AN5" s="407">
        <v>0.21428038917242345</v>
      </c>
      <c r="AO5" s="407">
        <v>0.25518738039824607</v>
      </c>
      <c r="AQ5" s="407">
        <v>0.17337339794660087</v>
      </c>
      <c r="AR5" s="407">
        <v>0.18155479619176537</v>
      </c>
      <c r="AS5" s="407">
        <v>0.21428038917242345</v>
      </c>
      <c r="AT5" s="407">
        <v>0.25518738039824607</v>
      </c>
    </row>
    <row r="6" spans="1:46" x14ac:dyDescent="0.3">
      <c r="A6" s="38">
        <v>2023</v>
      </c>
      <c r="B6" s="142">
        <f>SCRS!CZ16</f>
        <v>0.18282002795512084</v>
      </c>
      <c r="D6" s="142">
        <v>0.17560000000000006</v>
      </c>
      <c r="E6" s="142">
        <v>0.17560000000000006</v>
      </c>
      <c r="F6" s="142">
        <v>0.17560000000000006</v>
      </c>
      <c r="G6" s="142">
        <v>0.17560000000000006</v>
      </c>
      <c r="H6" s="142">
        <v>0.17560000000000006</v>
      </c>
      <c r="J6" s="142">
        <v>0.17560000000000006</v>
      </c>
      <c r="K6" s="142">
        <v>0.17560000000000006</v>
      </c>
      <c r="L6" s="142">
        <v>0.17560000000000006</v>
      </c>
      <c r="M6" s="142">
        <v>0.17560000000000006</v>
      </c>
      <c r="N6" s="142">
        <v>0.17560000000000006</v>
      </c>
      <c r="P6" s="142">
        <v>0.17560000000000001</v>
      </c>
      <c r="Q6" s="142">
        <v>0.17560000000000001</v>
      </c>
      <c r="R6" s="142">
        <v>0.17560000000000001</v>
      </c>
      <c r="S6" s="142">
        <v>0.17560000000000001</v>
      </c>
      <c r="U6" s="142">
        <v>0.17560000000000001</v>
      </c>
      <c r="V6" s="142">
        <v>0.17560000000000001</v>
      </c>
      <c r="W6" s="142">
        <v>0.17560000000000001</v>
      </c>
      <c r="X6" s="142">
        <v>0.17560000000000001</v>
      </c>
      <c r="Z6" s="142">
        <v>0.17560000000000006</v>
      </c>
      <c r="AA6" s="142">
        <v>0.22043860503680654</v>
      </c>
      <c r="AB6" s="142">
        <v>0.17560000000000006</v>
      </c>
      <c r="AC6" s="142">
        <v>0.17560000000000006</v>
      </c>
      <c r="AD6" s="142">
        <v>0.17560000000000006</v>
      </c>
      <c r="AF6" s="188">
        <v>0.17560000000000006</v>
      </c>
      <c r="AG6" s="142">
        <v>0.22043860503680654</v>
      </c>
      <c r="AH6" s="188">
        <v>0.17560000000000006</v>
      </c>
      <c r="AI6" s="188">
        <v>0.17560000000000006</v>
      </c>
      <c r="AJ6" s="188">
        <v>0.17560000000000006</v>
      </c>
      <c r="AL6" s="407">
        <v>0.17560000000000006</v>
      </c>
      <c r="AM6" s="407">
        <v>0.17560000000000006</v>
      </c>
      <c r="AN6" s="407">
        <v>0.17560000000000006</v>
      </c>
      <c r="AO6" s="407">
        <v>0.17560000000000006</v>
      </c>
      <c r="AQ6" s="407">
        <v>0.17560000000000006</v>
      </c>
      <c r="AR6" s="407">
        <v>0.17560000000000006</v>
      </c>
      <c r="AS6" s="407">
        <v>0.17560000000000006</v>
      </c>
      <c r="AT6" s="407">
        <v>0.17560000000000006</v>
      </c>
    </row>
    <row r="7" spans="1:46" x14ac:dyDescent="0.3">
      <c r="A7" s="38">
        <v>2024</v>
      </c>
      <c r="B7" s="142">
        <f>SCRS!CZ17</f>
        <v>0.17648913917760664</v>
      </c>
      <c r="D7" s="142">
        <v>0.18560000000000007</v>
      </c>
      <c r="E7" s="142">
        <v>0.18560000000000007</v>
      </c>
      <c r="F7" s="142">
        <v>0.18560000000000007</v>
      </c>
      <c r="G7" s="142">
        <v>0.18560000000000007</v>
      </c>
      <c r="H7" s="142">
        <v>0.18560000000000007</v>
      </c>
      <c r="J7" s="142">
        <v>0.18560000000000007</v>
      </c>
      <c r="K7" s="142">
        <v>0.18560000000000007</v>
      </c>
      <c r="L7" s="142">
        <v>0.18560000000000007</v>
      </c>
      <c r="M7" s="142">
        <v>0.18560000000000007</v>
      </c>
      <c r="N7" s="142">
        <v>0.18560000000000007</v>
      </c>
      <c r="P7" s="142">
        <v>0.1856000000000001</v>
      </c>
      <c r="Q7" s="142">
        <v>0.1856000000000001</v>
      </c>
      <c r="R7" s="142">
        <v>0.1856000000000001</v>
      </c>
      <c r="S7" s="142">
        <v>0.1856000000000001</v>
      </c>
      <c r="U7" s="142">
        <v>0.1856000000000001</v>
      </c>
      <c r="V7" s="142">
        <v>0.1856000000000001</v>
      </c>
      <c r="W7" s="142">
        <v>0.1856000000000001</v>
      </c>
      <c r="X7" s="142">
        <v>0.1856000000000001</v>
      </c>
      <c r="Z7" s="142">
        <v>0.18560000000000007</v>
      </c>
      <c r="AA7" s="142">
        <v>0.21674511129689553</v>
      </c>
      <c r="AB7" s="142">
        <v>0.18560000000000007</v>
      </c>
      <c r="AC7" s="142">
        <v>0.18560000000000007</v>
      </c>
      <c r="AD7" s="142">
        <v>0.1856000000000001</v>
      </c>
      <c r="AF7" s="188">
        <v>0.18560000000000007</v>
      </c>
      <c r="AG7" s="142">
        <v>0.22753555416014742</v>
      </c>
      <c r="AH7" s="188">
        <v>0.18560000000000007</v>
      </c>
      <c r="AI7" s="188">
        <v>0.18560000000000007</v>
      </c>
      <c r="AJ7" s="188">
        <v>0.18560000000000007</v>
      </c>
      <c r="AL7" s="407">
        <v>0.18560000000000007</v>
      </c>
      <c r="AM7" s="407">
        <v>0.18560000000000007</v>
      </c>
      <c r="AN7" s="407">
        <v>0.18560000000000007</v>
      </c>
      <c r="AO7" s="407">
        <v>0.18560000000000007</v>
      </c>
      <c r="AQ7" s="407">
        <v>0.18560000000000007</v>
      </c>
      <c r="AR7" s="407">
        <v>0.18560000000000007</v>
      </c>
      <c r="AS7" s="407">
        <v>0.18560000000000007</v>
      </c>
      <c r="AT7" s="407">
        <v>0.18560000000000007</v>
      </c>
    </row>
    <row r="8" spans="1:46" x14ac:dyDescent="0.3">
      <c r="A8" s="38">
        <v>2025</v>
      </c>
      <c r="B8" s="142">
        <f>SCRS!CZ18</f>
        <v>0.17149827176461482</v>
      </c>
      <c r="D8" s="142">
        <v>0.18560000000000004</v>
      </c>
      <c r="E8" s="142">
        <v>0.19560000000000002</v>
      </c>
      <c r="F8" s="142">
        <v>0.18560000000000004</v>
      </c>
      <c r="G8" s="142">
        <v>0.18560000000000004</v>
      </c>
      <c r="H8" s="142">
        <v>0.18560000000000004</v>
      </c>
      <c r="J8" s="142">
        <v>0.18560000000000004</v>
      </c>
      <c r="K8" s="142">
        <v>0.19560000000000002</v>
      </c>
      <c r="L8" s="142">
        <v>0.18560000000000004</v>
      </c>
      <c r="M8" s="142">
        <v>0.18560000000000004</v>
      </c>
      <c r="N8" s="142">
        <v>0.18560000000000004</v>
      </c>
      <c r="P8" s="142">
        <v>0.18558885067673878</v>
      </c>
      <c r="Q8" s="142">
        <v>0.18558885067673878</v>
      </c>
      <c r="R8" s="142">
        <v>0.18558885067673878</v>
      </c>
      <c r="S8" s="142">
        <v>0.18558885067673878</v>
      </c>
      <c r="U8" s="142">
        <v>0.18558847598391695</v>
      </c>
      <c r="V8" s="142">
        <v>0.18558847598391695</v>
      </c>
      <c r="W8" s="142">
        <v>0.18558847598391695</v>
      </c>
      <c r="X8" s="142">
        <v>0.18558847598391695</v>
      </c>
      <c r="Z8" s="142">
        <v>0.18560000000000004</v>
      </c>
      <c r="AA8" s="142">
        <v>0.21331523985567902</v>
      </c>
      <c r="AB8" s="142">
        <v>0.18560000000000004</v>
      </c>
      <c r="AC8" s="142">
        <v>0.18560000000000004</v>
      </c>
      <c r="AD8" s="142">
        <v>0.18560000000000004</v>
      </c>
      <c r="AF8" s="188">
        <v>0.19410909709226515</v>
      </c>
      <c r="AG8" s="142">
        <v>0.23577207564689104</v>
      </c>
      <c r="AH8" s="188">
        <v>0.19352955226747451</v>
      </c>
      <c r="AI8" s="188">
        <v>0.19121137296831195</v>
      </c>
      <c r="AJ8" s="188">
        <v>0.18831364884435872</v>
      </c>
      <c r="AL8" s="407">
        <v>0.18560000000000004</v>
      </c>
      <c r="AM8" s="407">
        <v>0.18560000000000004</v>
      </c>
      <c r="AN8" s="407">
        <v>0.18560000000000004</v>
      </c>
      <c r="AO8" s="407">
        <v>0.18560000000000004</v>
      </c>
      <c r="AQ8" s="407">
        <v>0.18560000000000004</v>
      </c>
      <c r="AR8" s="407">
        <v>0.18560000000000004</v>
      </c>
      <c r="AS8" s="407">
        <v>0.18560000000000004</v>
      </c>
      <c r="AT8" s="407">
        <v>0.18560000000000004</v>
      </c>
    </row>
    <row r="9" spans="1:46" x14ac:dyDescent="0.3">
      <c r="A9" s="38">
        <v>2026</v>
      </c>
      <c r="B9" s="142">
        <f>SCRS!CZ19</f>
        <v>0.16641665727369651</v>
      </c>
      <c r="D9" s="142">
        <v>0.18559999999999999</v>
      </c>
      <c r="E9" s="142">
        <v>0.18559999999999999</v>
      </c>
      <c r="F9" s="142">
        <v>0.18559999999999999</v>
      </c>
      <c r="G9" s="142">
        <v>0.18559999999999999</v>
      </c>
      <c r="H9" s="142">
        <v>0.18559999999999999</v>
      </c>
      <c r="J9" s="142">
        <v>0.18559999999999999</v>
      </c>
      <c r="K9" s="142">
        <v>0.20560000000000003</v>
      </c>
      <c r="L9" s="142">
        <v>0.18559999999999999</v>
      </c>
      <c r="M9" s="142">
        <v>0.18559999999999999</v>
      </c>
      <c r="N9" s="142">
        <v>0.18559999999999999</v>
      </c>
      <c r="P9" s="142">
        <v>0.18556313859358817</v>
      </c>
      <c r="Q9" s="142">
        <v>0.18556313859358817</v>
      </c>
      <c r="R9" s="142">
        <v>0.18556313859358817</v>
      </c>
      <c r="S9" s="142">
        <v>0.18556313859358817</v>
      </c>
      <c r="U9" s="142">
        <v>0.18556066481481218</v>
      </c>
      <c r="V9" s="142">
        <v>0.18556066481481218</v>
      </c>
      <c r="W9" s="142">
        <v>0.18556066481481218</v>
      </c>
      <c r="X9" s="142">
        <v>0.18556066481481218</v>
      </c>
      <c r="Z9" s="142">
        <v>0.18560000000000004</v>
      </c>
      <c r="AA9" s="142">
        <v>0.2098278014596435</v>
      </c>
      <c r="AB9" s="142">
        <v>0.18560000000000004</v>
      </c>
      <c r="AC9" s="142">
        <v>0.18560000000000004</v>
      </c>
      <c r="AD9" s="142">
        <v>0.18560000000000004</v>
      </c>
      <c r="AF9" s="188">
        <v>0.20156619647564764</v>
      </c>
      <c r="AG9" s="142">
        <v>0.24125766207761723</v>
      </c>
      <c r="AH9" s="188">
        <v>0.20095415441123951</v>
      </c>
      <c r="AI9" s="188">
        <v>0.19850598615360698</v>
      </c>
      <c r="AJ9" s="188">
        <v>0.19544577583156628</v>
      </c>
      <c r="AL9" s="407">
        <v>0.18560000000000004</v>
      </c>
      <c r="AM9" s="407">
        <v>0.18560000000000007</v>
      </c>
      <c r="AN9" s="407">
        <v>0.18560000000000007</v>
      </c>
      <c r="AO9" s="407">
        <v>0.18560000000000007</v>
      </c>
      <c r="AQ9" s="407">
        <v>0.18907913688316355</v>
      </c>
      <c r="AR9" s="407">
        <v>0.18846709481875543</v>
      </c>
      <c r="AS9" s="407">
        <v>0.18601892656112287</v>
      </c>
      <c r="AT9" s="407">
        <v>0.18560000000000004</v>
      </c>
    </row>
    <row r="10" spans="1:46" x14ac:dyDescent="0.3">
      <c r="A10" s="38">
        <v>2027</v>
      </c>
      <c r="B10" s="142">
        <f>SCRS!CZ20</f>
        <v>0.15895298789482601</v>
      </c>
      <c r="D10" s="142">
        <v>0.18560000000000007</v>
      </c>
      <c r="E10" s="142">
        <v>0.18560000000000007</v>
      </c>
      <c r="F10" s="142">
        <v>0.18560000000000007</v>
      </c>
      <c r="G10" s="142">
        <v>0.18560000000000007</v>
      </c>
      <c r="H10" s="142">
        <v>0.18560000000000007</v>
      </c>
      <c r="J10" s="142">
        <v>0.18560000000000007</v>
      </c>
      <c r="K10" s="142">
        <v>0.21560000000000004</v>
      </c>
      <c r="L10" s="142">
        <v>0.18560000000000007</v>
      </c>
      <c r="M10" s="142">
        <v>0.18560000000000007</v>
      </c>
      <c r="N10" s="142">
        <v>0.18560000000000007</v>
      </c>
      <c r="P10" s="142">
        <v>0.18552711429486388</v>
      </c>
      <c r="Q10" s="142">
        <v>0.18552711429486388</v>
      </c>
      <c r="R10" s="142">
        <v>0.18552711429486388</v>
      </c>
      <c r="S10" s="142">
        <v>0.18552711429486388</v>
      </c>
      <c r="U10" s="142">
        <v>0.18551840222994889</v>
      </c>
      <c r="V10" s="142">
        <v>0.18551840222994889</v>
      </c>
      <c r="W10" s="142">
        <v>0.18551840222994889</v>
      </c>
      <c r="X10" s="142">
        <v>0.18551840222994889</v>
      </c>
      <c r="Z10" s="142">
        <v>0.18560000000000007</v>
      </c>
      <c r="AA10" s="142">
        <v>0.20430474251676309</v>
      </c>
      <c r="AB10" s="142">
        <v>0.18560000000000001</v>
      </c>
      <c r="AC10" s="142">
        <v>0.18560000000000007</v>
      </c>
      <c r="AD10" s="142">
        <v>0.18560000000000001</v>
      </c>
      <c r="AF10" s="188">
        <v>0.20427905102757629</v>
      </c>
      <c r="AG10" s="142">
        <v>0.24203747422998781</v>
      </c>
      <c r="AH10" s="188">
        <v>0.20367281697414194</v>
      </c>
      <c r="AI10" s="188">
        <v>0.2012478807604047</v>
      </c>
      <c r="AJ10" s="188">
        <v>0.19821671049323303</v>
      </c>
      <c r="AL10" s="407">
        <v>0.18560000000000001</v>
      </c>
      <c r="AM10" s="407">
        <v>0.18560000000000001</v>
      </c>
      <c r="AN10" s="407">
        <v>0.18559999999999999</v>
      </c>
      <c r="AO10" s="407">
        <v>0.18559999999999999</v>
      </c>
      <c r="AQ10" s="407">
        <v>0.19062440488389731</v>
      </c>
      <c r="AR10" s="407">
        <v>0.18997414417144307</v>
      </c>
      <c r="AS10" s="407">
        <v>0.18737310132162582</v>
      </c>
      <c r="AT10" s="407">
        <v>0.18560000000000001</v>
      </c>
    </row>
    <row r="11" spans="1:46" x14ac:dyDescent="0.3">
      <c r="A11" s="38">
        <v>2028</v>
      </c>
      <c r="B11" s="142">
        <f>SCRS!CZ21</f>
        <v>0.15878990813951055</v>
      </c>
      <c r="D11" s="142">
        <v>0.18560000000000007</v>
      </c>
      <c r="E11" s="142">
        <v>0.18560000000000007</v>
      </c>
      <c r="F11" s="142">
        <v>0.18560000000000007</v>
      </c>
      <c r="G11" s="142">
        <v>0.18560000000000007</v>
      </c>
      <c r="H11" s="142">
        <v>0.18560000000000007</v>
      </c>
      <c r="J11" s="142">
        <v>0.18560000000000007</v>
      </c>
      <c r="K11" s="142">
        <v>0.22560000000000011</v>
      </c>
      <c r="L11" s="142">
        <v>0.18560000000000007</v>
      </c>
      <c r="M11" s="142">
        <v>0.18560000000000007</v>
      </c>
      <c r="N11" s="142">
        <v>0.18560000000000007</v>
      </c>
      <c r="P11" s="142">
        <v>0.18548064551752125</v>
      </c>
      <c r="Q11" s="142">
        <v>0.18548064551752125</v>
      </c>
      <c r="R11" s="142">
        <v>0.18548064551752125</v>
      </c>
      <c r="S11" s="142">
        <v>0.18548064551752125</v>
      </c>
      <c r="U11" s="142">
        <v>0.19546694659407357</v>
      </c>
      <c r="V11" s="142">
        <v>0.18546694659407356</v>
      </c>
      <c r="W11" s="142">
        <v>0.18546694659407356</v>
      </c>
      <c r="X11" s="142">
        <v>0.18546694659407356</v>
      </c>
      <c r="Z11" s="142">
        <v>0.18560000000000001</v>
      </c>
      <c r="AA11" s="142">
        <v>0.20470944964774571</v>
      </c>
      <c r="AB11" s="142">
        <v>0.18560000000000007</v>
      </c>
      <c r="AC11" s="142">
        <v>0.18560000000000001</v>
      </c>
      <c r="AD11" s="142">
        <v>0.18560000000000001</v>
      </c>
      <c r="AF11" s="188">
        <v>0.21266961039583204</v>
      </c>
      <c r="AG11" s="142">
        <v>0.24777748489333001</v>
      </c>
      <c r="AH11" s="188">
        <v>0.21206824610993677</v>
      </c>
      <c r="AI11" s="188">
        <v>0.20966278896635598</v>
      </c>
      <c r="AJ11" s="188">
        <v>0.20665596753688001</v>
      </c>
      <c r="AL11" s="407">
        <v>0.18560000000000004</v>
      </c>
      <c r="AM11" s="407">
        <v>0.18560000000000004</v>
      </c>
      <c r="AN11" s="407">
        <v>0.18560000000000004</v>
      </c>
      <c r="AO11" s="407">
        <v>0.18560000000000004</v>
      </c>
      <c r="AQ11" s="407">
        <v>0.19802938844551854</v>
      </c>
      <c r="AR11" s="407">
        <v>0.19738388863066858</v>
      </c>
      <c r="AS11" s="407">
        <v>0.19480188937126894</v>
      </c>
      <c r="AT11" s="407">
        <v>0.19137466549926593</v>
      </c>
    </row>
    <row r="12" spans="1:46" x14ac:dyDescent="0.3">
      <c r="A12" s="38">
        <v>2029</v>
      </c>
      <c r="B12" s="142">
        <f>SCRS!CZ22</f>
        <v>0.15853044248512896</v>
      </c>
      <c r="D12" s="142">
        <v>0.18560000000000001</v>
      </c>
      <c r="E12" s="142">
        <v>0.18560000000000001</v>
      </c>
      <c r="F12" s="142">
        <v>0.18560000000000001</v>
      </c>
      <c r="G12" s="142">
        <v>0.18560000000000001</v>
      </c>
      <c r="H12" s="142">
        <v>0.18560000000000001</v>
      </c>
      <c r="J12" s="142">
        <v>0.18560000000000001</v>
      </c>
      <c r="K12" s="142">
        <v>0.18560000000000001</v>
      </c>
      <c r="L12" s="142">
        <v>0.18560000000000001</v>
      </c>
      <c r="M12" s="142">
        <v>0.18560000000000001</v>
      </c>
      <c r="N12" s="142">
        <v>0.18560000000000001</v>
      </c>
      <c r="P12" s="142">
        <v>0.18542341149614361</v>
      </c>
      <c r="Q12" s="142">
        <v>0.18542341149614361</v>
      </c>
      <c r="R12" s="142">
        <v>0.18542341149614361</v>
      </c>
      <c r="S12" s="142">
        <v>0.18542341149614361</v>
      </c>
      <c r="U12" s="142">
        <v>0.18540833439749702</v>
      </c>
      <c r="V12" s="142">
        <v>0.18540833439749702</v>
      </c>
      <c r="W12" s="142">
        <v>0.18540833439749702</v>
      </c>
      <c r="X12" s="142">
        <v>0.18540833439749702</v>
      </c>
      <c r="Z12" s="142">
        <v>0.18560000000000004</v>
      </c>
      <c r="AA12" s="142">
        <v>0.20516302363849837</v>
      </c>
      <c r="AB12" s="142">
        <v>0.18560000000000004</v>
      </c>
      <c r="AC12" s="142">
        <v>0.18560000000000004</v>
      </c>
      <c r="AD12" s="142">
        <v>0.18560000000000004</v>
      </c>
      <c r="AF12" s="188">
        <v>0.21027179812649624</v>
      </c>
      <c r="AG12" s="142">
        <v>0.24378225066072784</v>
      </c>
      <c r="AH12" s="188">
        <v>0.20965935095025984</v>
      </c>
      <c r="AI12" s="188">
        <v>0.20720956224531442</v>
      </c>
      <c r="AJ12" s="188">
        <v>0.20414732636413269</v>
      </c>
      <c r="AL12" s="407">
        <v>0.18560000000000004</v>
      </c>
      <c r="AM12" s="407">
        <v>0.18560000000000004</v>
      </c>
      <c r="AN12" s="407">
        <v>0.18560000000000004</v>
      </c>
      <c r="AO12" s="407">
        <v>0.18560000000000004</v>
      </c>
      <c r="AQ12" s="407">
        <v>0.19462265514895774</v>
      </c>
      <c r="AR12" s="407">
        <v>0.19396608834235049</v>
      </c>
      <c r="AS12" s="407">
        <v>0.19133982111592168</v>
      </c>
      <c r="AT12" s="407">
        <v>0.18774613293834591</v>
      </c>
    </row>
    <row r="13" spans="1:46" x14ac:dyDescent="0.3">
      <c r="A13" s="38">
        <v>2030</v>
      </c>
      <c r="B13" s="142">
        <f>SCRS!CZ23</f>
        <v>0.15827074107387581</v>
      </c>
      <c r="D13" s="142">
        <v>0.18560000000000007</v>
      </c>
      <c r="E13" s="142">
        <v>0.18560000000000007</v>
      </c>
      <c r="F13" s="142">
        <v>0.18560000000000007</v>
      </c>
      <c r="G13" s="142">
        <v>0.18560000000000007</v>
      </c>
      <c r="H13" s="142">
        <v>0.18560000000000007</v>
      </c>
      <c r="J13" s="142">
        <v>0.18560000000000007</v>
      </c>
      <c r="K13" s="142">
        <v>0.18560000000000007</v>
      </c>
      <c r="L13" s="142">
        <v>0.18560000000000007</v>
      </c>
      <c r="M13" s="142">
        <v>0.18560000000000007</v>
      </c>
      <c r="N13" s="142">
        <v>0.18560000000000007</v>
      </c>
      <c r="P13" s="142">
        <v>0.18535500224844495</v>
      </c>
      <c r="Q13" s="142">
        <v>0.18535500224844495</v>
      </c>
      <c r="R13" s="142">
        <v>0.18535500224844495</v>
      </c>
      <c r="S13" s="142">
        <v>0.18535500224844495</v>
      </c>
      <c r="U13" s="142">
        <v>0.18534346601582014</v>
      </c>
      <c r="V13" s="142">
        <v>0.18534346601582014</v>
      </c>
      <c r="W13" s="142">
        <v>0.18534346601582014</v>
      </c>
      <c r="X13" s="142">
        <v>0.18534346601582014</v>
      </c>
      <c r="Z13" s="142">
        <v>0.18560000000000004</v>
      </c>
      <c r="AA13" s="142">
        <v>0.20566049459010291</v>
      </c>
      <c r="AB13" s="142">
        <v>0.18560000000000004</v>
      </c>
      <c r="AC13" s="142">
        <v>0.18560000000000004</v>
      </c>
      <c r="AD13" s="142">
        <v>0.18560000000000004</v>
      </c>
      <c r="AF13" s="188">
        <v>0.20964174093492197</v>
      </c>
      <c r="AG13" s="142">
        <v>0.24133343214509126</v>
      </c>
      <c r="AH13" s="188">
        <v>0.20902407714191346</v>
      </c>
      <c r="AI13" s="188">
        <v>0.20655342196987961</v>
      </c>
      <c r="AJ13" s="188">
        <v>0.20346510300483725</v>
      </c>
      <c r="AL13" s="407">
        <v>0.18560000000000004</v>
      </c>
      <c r="AM13" s="407">
        <v>0.18560000000000004</v>
      </c>
      <c r="AN13" s="407">
        <v>0.18560000000000004</v>
      </c>
      <c r="AO13" s="407">
        <v>0.18560000000000004</v>
      </c>
      <c r="AQ13" s="407">
        <v>0.19299469689262866</v>
      </c>
      <c r="AR13" s="407">
        <v>0.19233303852071626</v>
      </c>
      <c r="AS13" s="407">
        <v>0.18968640503306691</v>
      </c>
      <c r="AT13" s="407">
        <v>0.18606873094072007</v>
      </c>
    </row>
    <row r="14" spans="1:46" x14ac:dyDescent="0.3">
      <c r="A14" s="38">
        <v>2031</v>
      </c>
      <c r="B14" s="142">
        <f>SCRS!CZ24</f>
        <v>0.15801087481287909</v>
      </c>
      <c r="D14" s="142">
        <v>0.18560000000000001</v>
      </c>
      <c r="E14" s="142">
        <v>0.18559999999999999</v>
      </c>
      <c r="F14" s="142">
        <v>0.18560000000000001</v>
      </c>
      <c r="G14" s="142">
        <v>0.18560000000000001</v>
      </c>
      <c r="H14" s="142">
        <v>0.18560000000000001</v>
      </c>
      <c r="J14" s="142">
        <v>0.18560000000000001</v>
      </c>
      <c r="K14" s="142">
        <v>0.19560000000000002</v>
      </c>
      <c r="L14" s="142">
        <v>0.18560000000000001</v>
      </c>
      <c r="M14" s="142">
        <v>0.18560000000000001</v>
      </c>
      <c r="N14" s="142">
        <v>0.18560000000000001</v>
      </c>
      <c r="P14" s="142">
        <v>0.18527504885926721</v>
      </c>
      <c r="Q14" s="142">
        <v>0.18527504885926721</v>
      </c>
      <c r="R14" s="142">
        <v>0.18527504885926721</v>
      </c>
      <c r="S14" s="142">
        <v>0.18527504885926721</v>
      </c>
      <c r="U14" s="142">
        <v>0.18527413567566622</v>
      </c>
      <c r="V14" s="142">
        <v>0.18527413567566622</v>
      </c>
      <c r="W14" s="142">
        <v>0.18527413567566622</v>
      </c>
      <c r="X14" s="142">
        <v>0.18527413567566622</v>
      </c>
      <c r="Z14" s="142">
        <v>0.18560000000000004</v>
      </c>
      <c r="AA14" s="142">
        <v>0.20648743820270091</v>
      </c>
      <c r="AB14" s="142">
        <v>0.18560000000000001</v>
      </c>
      <c r="AC14" s="142">
        <v>0.18560000000000001</v>
      </c>
      <c r="AD14" s="142">
        <v>0.18560000000000001</v>
      </c>
      <c r="AF14" s="188">
        <v>0.21117287565636922</v>
      </c>
      <c r="AG14" s="142">
        <v>0.2406950920475851</v>
      </c>
      <c r="AH14" s="188">
        <v>0.21055556010482218</v>
      </c>
      <c r="AI14" s="188">
        <v>0.208086297898634</v>
      </c>
      <c r="AJ14" s="188">
        <v>0.20499972014089876</v>
      </c>
      <c r="AL14" s="407">
        <v>0.18560000000000007</v>
      </c>
      <c r="AM14" s="407">
        <v>0.18560000000000007</v>
      </c>
      <c r="AN14" s="407">
        <v>0.18560000000000007</v>
      </c>
      <c r="AO14" s="407">
        <v>0.18560000000000007</v>
      </c>
      <c r="AQ14" s="407">
        <v>0.19321358054236817</v>
      </c>
      <c r="AR14" s="407">
        <v>0.19255249063764529</v>
      </c>
      <c r="AS14" s="407">
        <v>0.18990813101875401</v>
      </c>
      <c r="AT14" s="407">
        <v>0.18629542665480439</v>
      </c>
    </row>
    <row r="15" spans="1:46" x14ac:dyDescent="0.3">
      <c r="A15" s="38">
        <v>2032</v>
      </c>
      <c r="B15" s="142">
        <f>SCRS!CZ25</f>
        <v>0.15775089427353214</v>
      </c>
      <c r="D15" s="142">
        <v>0.18560000000000004</v>
      </c>
      <c r="E15" s="142">
        <v>0.18560000000000004</v>
      </c>
      <c r="F15" s="142">
        <v>0.18560000000000004</v>
      </c>
      <c r="G15" s="142">
        <v>0.18560000000000004</v>
      </c>
      <c r="H15" s="142">
        <v>0.18560000000000004</v>
      </c>
      <c r="J15" s="142">
        <v>0.18560000000000004</v>
      </c>
      <c r="K15" s="142">
        <v>0.18560000000000004</v>
      </c>
      <c r="L15" s="142">
        <v>0.18560000000000004</v>
      </c>
      <c r="M15" s="142">
        <v>0.18560000000000004</v>
      </c>
      <c r="N15" s="142">
        <v>0.18560000000000004</v>
      </c>
      <c r="P15" s="142">
        <v>0.18518322753250682</v>
      </c>
      <c r="Q15" s="142">
        <v>0.18518322753250682</v>
      </c>
      <c r="R15" s="142">
        <v>0.18518322753250682</v>
      </c>
      <c r="S15" s="142">
        <v>0.18518322753250682</v>
      </c>
      <c r="U15" s="142">
        <v>0.1852029631635386</v>
      </c>
      <c r="V15" s="142">
        <v>0.1852029631635386</v>
      </c>
      <c r="W15" s="142">
        <v>0.1852029631635386</v>
      </c>
      <c r="X15" s="142">
        <v>0.1852029631635386</v>
      </c>
      <c r="Z15" s="142">
        <v>0.18560000000000004</v>
      </c>
      <c r="AA15" s="142">
        <v>0.20705964429383503</v>
      </c>
      <c r="AB15" s="142">
        <v>0.18560000000000001</v>
      </c>
      <c r="AC15" s="142">
        <v>0.18560000000000004</v>
      </c>
      <c r="AD15" s="142">
        <v>0.18560000000000001</v>
      </c>
      <c r="AF15" s="188">
        <v>0.21385089435620303</v>
      </c>
      <c r="AG15" s="142">
        <v>0.24126847315618341</v>
      </c>
      <c r="AH15" s="188">
        <v>0.21323907508964801</v>
      </c>
      <c r="AI15" s="188">
        <v>0.21079179802342851</v>
      </c>
      <c r="AJ15" s="188">
        <v>0.20773270169065397</v>
      </c>
      <c r="AL15" s="407">
        <v>0.18560000000000004</v>
      </c>
      <c r="AM15" s="407">
        <v>0.18560000000000004</v>
      </c>
      <c r="AN15" s="407">
        <v>0.18560000000000004</v>
      </c>
      <c r="AO15" s="407">
        <v>0.18560000000000004</v>
      </c>
      <c r="AQ15" s="407">
        <v>0.19492399246873685</v>
      </c>
      <c r="AR15" s="407">
        <v>0.19426883672251311</v>
      </c>
      <c r="AS15" s="407">
        <v>0.19164821373761826</v>
      </c>
      <c r="AT15" s="407">
        <v>0.18806786786183616</v>
      </c>
    </row>
    <row r="16" spans="1:46" x14ac:dyDescent="0.3">
      <c r="A16" s="38">
        <v>2033</v>
      </c>
      <c r="B16" s="142">
        <f>SCRS!CZ26</f>
        <v>0.15749084543351638</v>
      </c>
      <c r="D16" s="142">
        <v>0.18560000000000004</v>
      </c>
      <c r="E16" s="142">
        <v>0.18560000000000004</v>
      </c>
      <c r="F16" s="142">
        <v>0.18560000000000004</v>
      </c>
      <c r="G16" s="142">
        <v>0.18560000000000004</v>
      </c>
      <c r="H16" s="142">
        <v>0.18560000000000004</v>
      </c>
      <c r="J16" s="142">
        <v>0.18560000000000004</v>
      </c>
      <c r="K16" s="142">
        <v>0.18560000000000004</v>
      </c>
      <c r="L16" s="142">
        <v>0.18560000000000004</v>
      </c>
      <c r="M16" s="142">
        <v>0.18560000000000004</v>
      </c>
      <c r="N16" s="142">
        <v>0.18560000000000004</v>
      </c>
      <c r="P16" s="142">
        <v>0.1850745838911097</v>
      </c>
      <c r="Q16" s="142">
        <v>0.1850745838911097</v>
      </c>
      <c r="R16" s="142">
        <v>0.1850745838911097</v>
      </c>
      <c r="S16" s="142">
        <v>0.1850745838911097</v>
      </c>
      <c r="U16" s="142">
        <v>0.18512107446157139</v>
      </c>
      <c r="V16" s="142">
        <v>0.18512107446157139</v>
      </c>
      <c r="W16" s="142">
        <v>0.18512107446157139</v>
      </c>
      <c r="X16" s="142">
        <v>0.18512107446157139</v>
      </c>
      <c r="Z16" s="142">
        <v>0.18560000000000004</v>
      </c>
      <c r="AA16" s="142">
        <v>0.2079578242978912</v>
      </c>
      <c r="AB16" s="142">
        <v>0.18560000000000004</v>
      </c>
      <c r="AC16" s="142">
        <v>0.18560000000000004</v>
      </c>
      <c r="AD16" s="142">
        <v>0.18560000000000004</v>
      </c>
      <c r="AF16" s="188">
        <v>0.21706025743588189</v>
      </c>
      <c r="AG16" s="142">
        <v>0.24216784831994231</v>
      </c>
      <c r="AH16" s="188">
        <v>0.21645362127276593</v>
      </c>
      <c r="AI16" s="188">
        <v>0.21402707662030251</v>
      </c>
      <c r="AJ16" s="188">
        <v>0.21099389580472308</v>
      </c>
      <c r="AL16" s="407">
        <v>0.18560000000000004</v>
      </c>
      <c r="AM16" s="407">
        <v>0.18560000000000004</v>
      </c>
      <c r="AN16" s="407">
        <v>0.18560000000000004</v>
      </c>
      <c r="AO16" s="407">
        <v>0.18560000000000004</v>
      </c>
      <c r="AQ16" s="407">
        <v>0.19683617925118779</v>
      </c>
      <c r="AR16" s="407">
        <v>0.19618662579140786</v>
      </c>
      <c r="AS16" s="407">
        <v>0.19358841195228835</v>
      </c>
      <c r="AT16" s="407">
        <v>0.19003905643203467</v>
      </c>
    </row>
    <row r="17" spans="1:46" x14ac:dyDescent="0.3">
      <c r="A17" s="38">
        <v>2034</v>
      </c>
      <c r="B17" s="142">
        <f>SCRS!CZ27</f>
        <v>0.15723079153731584</v>
      </c>
      <c r="D17" s="142">
        <v>0.1856000000000001</v>
      </c>
      <c r="E17" s="142">
        <v>0.18560000000000004</v>
      </c>
      <c r="F17" s="142">
        <v>0.1856000000000001</v>
      </c>
      <c r="G17" s="142">
        <v>0.17560000000000006</v>
      </c>
      <c r="H17" s="142">
        <v>0.17560000000000006</v>
      </c>
      <c r="J17" s="142">
        <v>0.1856000000000001</v>
      </c>
      <c r="K17" s="142">
        <v>0.18560000000000004</v>
      </c>
      <c r="L17" s="142">
        <v>0.1856000000000001</v>
      </c>
      <c r="M17" s="142">
        <v>0.1856000000000001</v>
      </c>
      <c r="N17" s="142">
        <v>0.1856000000000001</v>
      </c>
      <c r="P17" s="142">
        <v>0.18495367454581341</v>
      </c>
      <c r="Q17" s="142">
        <v>0.18495367454581341</v>
      </c>
      <c r="R17" s="142">
        <v>0.18495367454581341</v>
      </c>
      <c r="S17" s="142">
        <v>0.18495367454581341</v>
      </c>
      <c r="U17" s="142">
        <v>0.18503379575697793</v>
      </c>
      <c r="V17" s="142">
        <v>0.18503379575697793</v>
      </c>
      <c r="W17" s="142">
        <v>0.18503379575697793</v>
      </c>
      <c r="X17" s="142">
        <v>0.18503379575697793</v>
      </c>
      <c r="Z17" s="142">
        <v>0.18560000000000004</v>
      </c>
      <c r="AA17" s="142">
        <v>0.20888333189572406</v>
      </c>
      <c r="AB17" s="142">
        <v>0.18560000000000004</v>
      </c>
      <c r="AC17" s="142">
        <v>0.18560000000000004</v>
      </c>
      <c r="AD17" s="142">
        <v>0.18560000000000004</v>
      </c>
      <c r="AF17" s="188">
        <v>0.22033005459954008</v>
      </c>
      <c r="AG17" s="142">
        <v>0.24309449427896104</v>
      </c>
      <c r="AH17" s="188">
        <v>0.21972827793501695</v>
      </c>
      <c r="AI17" s="188">
        <v>0.21732117127692493</v>
      </c>
      <c r="AJ17" s="188">
        <v>0.21431228795430973</v>
      </c>
      <c r="AL17" s="407">
        <v>0.17560000000000003</v>
      </c>
      <c r="AM17" s="407">
        <v>0.17560000000000003</v>
      </c>
      <c r="AN17" s="407">
        <v>0.17560000000000003</v>
      </c>
      <c r="AO17" s="407">
        <v>0.17560000000000003</v>
      </c>
      <c r="AQ17" s="407">
        <v>0.19880779163846093</v>
      </c>
      <c r="AR17" s="407">
        <v>0.19816349500124222</v>
      </c>
      <c r="AS17" s="407">
        <v>0.19558630845236766</v>
      </c>
      <c r="AT17" s="407">
        <v>0.19206618838450365</v>
      </c>
    </row>
    <row r="18" spans="1:46" x14ac:dyDescent="0.3">
      <c r="A18" s="38">
        <v>2035</v>
      </c>
      <c r="B18" s="142">
        <f>SCRS!CZ28</f>
        <v>0.15697073036066361</v>
      </c>
      <c r="D18" s="142">
        <v>0.17560000000000009</v>
      </c>
      <c r="E18" s="142">
        <v>0.1856000000000001</v>
      </c>
      <c r="F18" s="142">
        <v>0.17560000000000009</v>
      </c>
      <c r="G18" s="142">
        <v>0.16560000000000008</v>
      </c>
      <c r="H18" s="142">
        <v>0.16560000000000008</v>
      </c>
      <c r="J18" s="142">
        <v>0.1856000000000001</v>
      </c>
      <c r="K18" s="142">
        <v>0.1856000000000001</v>
      </c>
      <c r="L18" s="142">
        <v>0.1856000000000001</v>
      </c>
      <c r="M18" s="142">
        <v>0.1856000000000001</v>
      </c>
      <c r="N18" s="142">
        <v>0.1856000000000001</v>
      </c>
      <c r="P18" s="142">
        <v>0.1848235644683292</v>
      </c>
      <c r="Q18" s="142">
        <v>0.1848235644683292</v>
      </c>
      <c r="R18" s="142">
        <v>0.17482356446832917</v>
      </c>
      <c r="S18" s="142">
        <v>0.17482356446832917</v>
      </c>
      <c r="U18" s="142">
        <v>0.18494522022611948</v>
      </c>
      <c r="V18" s="142">
        <v>0.18494522022611948</v>
      </c>
      <c r="W18" s="142">
        <v>0.18494522022611948</v>
      </c>
      <c r="X18" s="142">
        <v>0.18494522022611948</v>
      </c>
      <c r="Z18" s="142">
        <v>0.17560000000000003</v>
      </c>
      <c r="AA18" s="142">
        <v>0.20955575369688126</v>
      </c>
      <c r="AB18" s="142">
        <v>0.17560000000000003</v>
      </c>
      <c r="AC18" s="142">
        <v>0.17560000000000003</v>
      </c>
      <c r="AD18" s="142">
        <v>0.17560000000000003</v>
      </c>
      <c r="AF18" s="188">
        <v>0.2231919641433838</v>
      </c>
      <c r="AG18" s="142">
        <v>0.24376832308057386</v>
      </c>
      <c r="AH18" s="188">
        <v>0.2225947132363916</v>
      </c>
      <c r="AI18" s="188">
        <v>0.22020570960842334</v>
      </c>
      <c r="AJ18" s="188">
        <v>0.21721945507346282</v>
      </c>
      <c r="AL18" s="407">
        <v>0.16560000000000002</v>
      </c>
      <c r="AM18" s="407">
        <v>0.1656</v>
      </c>
      <c r="AN18" s="407">
        <v>0.16560000000000002</v>
      </c>
      <c r="AO18" s="407">
        <v>0.16560000000000002</v>
      </c>
      <c r="AQ18" s="407">
        <v>0.20069908295560904</v>
      </c>
      <c r="AR18" s="407">
        <v>0.20005968706309477</v>
      </c>
      <c r="AS18" s="407">
        <v>0.19750210349303787</v>
      </c>
      <c r="AT18" s="407">
        <v>0.19400929282138779</v>
      </c>
    </row>
    <row r="19" spans="1:46" x14ac:dyDescent="0.3">
      <c r="A19" s="38">
        <v>2036</v>
      </c>
      <c r="B19" s="142">
        <f>SCRS!CZ29</f>
        <v>0.15671066216513804</v>
      </c>
      <c r="D19" s="142">
        <v>0.16560000000000005</v>
      </c>
      <c r="E19" s="142">
        <v>0.18560000000000004</v>
      </c>
      <c r="F19" s="142">
        <v>0.16560000000000005</v>
      </c>
      <c r="G19" s="142">
        <v>0.15560000000000004</v>
      </c>
      <c r="H19" s="142">
        <v>1.784805395783947E-2</v>
      </c>
      <c r="J19" s="142">
        <v>0.18560000000000004</v>
      </c>
      <c r="K19" s="142">
        <v>0.18560000000000004</v>
      </c>
      <c r="L19" s="142">
        <v>0.18560000000000004</v>
      </c>
      <c r="M19" s="142">
        <v>0.18560000000000004</v>
      </c>
      <c r="N19" s="142">
        <v>0.18560000000000004</v>
      </c>
      <c r="P19" s="142">
        <v>0.17468654498191544</v>
      </c>
      <c r="Q19" s="142">
        <v>0.17468654498191544</v>
      </c>
      <c r="R19" s="142">
        <v>0.1646865449819154</v>
      </c>
      <c r="S19" s="142">
        <v>0.1646865449819154</v>
      </c>
      <c r="U19" s="142">
        <v>0.18485939307294433</v>
      </c>
      <c r="V19" s="142">
        <v>0.18485939307294433</v>
      </c>
      <c r="W19" s="142">
        <v>0.18485939307294433</v>
      </c>
      <c r="X19" s="142">
        <v>0.18485939307294433</v>
      </c>
      <c r="Z19" s="142">
        <v>0.1656</v>
      </c>
      <c r="AA19" s="142">
        <v>0.21055396877614946</v>
      </c>
      <c r="AB19" s="142">
        <v>0.1656</v>
      </c>
      <c r="AC19" s="142">
        <v>0.16560000000000005</v>
      </c>
      <c r="AD19" s="142">
        <v>0.16560000000000005</v>
      </c>
      <c r="AF19" s="188">
        <v>0.22659129060165628</v>
      </c>
      <c r="AG19" s="142">
        <v>0.24476949446706184</v>
      </c>
      <c r="AH19" s="188">
        <v>0.22599822281315662</v>
      </c>
      <c r="AI19" s="188">
        <v>0.22362595165915825</v>
      </c>
      <c r="AJ19" s="188">
        <v>0.22066061271666018</v>
      </c>
      <c r="AL19" s="407">
        <v>0.15560000000000004</v>
      </c>
      <c r="AM19" s="407">
        <v>0.15560000000000004</v>
      </c>
      <c r="AN19" s="407">
        <v>2.0983164501472581E-2</v>
      </c>
      <c r="AO19" s="407">
        <v>2.0983164501472581E-2</v>
      </c>
      <c r="AQ19" s="407">
        <v>0.20279812237744715</v>
      </c>
      <c r="AR19" s="407">
        <v>0.20216326183270691</v>
      </c>
      <c r="AS19" s="407">
        <v>0.1996238196537459</v>
      </c>
      <c r="AT19" s="407">
        <v>0.19615633641126401</v>
      </c>
    </row>
    <row r="20" spans="1:46" x14ac:dyDescent="0.3">
      <c r="A20" s="38">
        <v>2037</v>
      </c>
      <c r="B20" s="142">
        <f>SCRS!CZ30</f>
        <v>0.15645058899978082</v>
      </c>
      <c r="D20" s="142">
        <v>1.7581315689003889E-2</v>
      </c>
      <c r="E20" s="142">
        <v>0.18560000000000001</v>
      </c>
      <c r="F20" s="142">
        <v>1.7581315689003889E-2</v>
      </c>
      <c r="G20" s="142">
        <v>1.7581315689003889E-2</v>
      </c>
      <c r="H20" s="142">
        <v>1.3583314667508268E-2</v>
      </c>
      <c r="J20" s="142">
        <v>0.18560000000000001</v>
      </c>
      <c r="K20" s="142">
        <v>0.18560000000000001</v>
      </c>
      <c r="L20" s="142">
        <v>0.18560000000000001</v>
      </c>
      <c r="M20" s="142">
        <v>0.18560000000000001</v>
      </c>
      <c r="N20" s="142">
        <v>0.18560000000000001</v>
      </c>
      <c r="P20" s="142">
        <v>0.16454425698042438</v>
      </c>
      <c r="Q20" s="142">
        <v>0.16454425698042438</v>
      </c>
      <c r="R20" s="142">
        <v>0.15454425698042434</v>
      </c>
      <c r="S20" s="142">
        <v>0.15454425698042434</v>
      </c>
      <c r="U20" s="142">
        <v>0.18478047952443741</v>
      </c>
      <c r="V20" s="142">
        <v>0.18478047952443741</v>
      </c>
      <c r="W20" s="142">
        <v>0.18478047952443741</v>
      </c>
      <c r="X20" s="142">
        <v>0.18478047952443741</v>
      </c>
      <c r="Z20" s="142">
        <v>0.15560000000000002</v>
      </c>
      <c r="AA20" s="142">
        <v>0.21157575554829716</v>
      </c>
      <c r="AB20" s="142">
        <v>0.15560000000000002</v>
      </c>
      <c r="AC20" s="142">
        <v>0.15560000000000002</v>
      </c>
      <c r="AD20" s="142">
        <v>4.4517415397857633E-2</v>
      </c>
      <c r="AF20" s="188">
        <v>0.23005685975445261</v>
      </c>
      <c r="AG20" s="142">
        <v>0.24579803581256354</v>
      </c>
      <c r="AH20" s="188">
        <v>0.22946762511392685</v>
      </c>
      <c r="AI20" s="188">
        <v>0.22711068655182412</v>
      </c>
      <c r="AJ20" s="188">
        <v>0.22416451334919563</v>
      </c>
      <c r="AL20" s="407">
        <v>2.1289127966884733E-2</v>
      </c>
      <c r="AM20" s="407">
        <v>2.1289127966884733E-2</v>
      </c>
      <c r="AN20" s="407">
        <v>1.8974184463414541E-2</v>
      </c>
      <c r="AO20" s="407">
        <v>1.3895774994448482E-2</v>
      </c>
      <c r="AQ20" s="407">
        <v>0.20496231877593687</v>
      </c>
      <c r="AR20" s="407">
        <v>0.20433162046295889</v>
      </c>
      <c r="AS20" s="407">
        <v>0.20180882721104676</v>
      </c>
      <c r="AT20" s="407">
        <v>0.19836464835859538</v>
      </c>
    </row>
    <row r="21" spans="1:46" x14ac:dyDescent="0.3">
      <c r="A21" s="38">
        <v>2038</v>
      </c>
      <c r="B21" s="142">
        <f>SCRS!CZ31</f>
        <v>0.15619050880279034</v>
      </c>
      <c r="D21" s="142">
        <v>1.0705218924371759E-2</v>
      </c>
      <c r="E21" s="142">
        <v>0.18560000000000001</v>
      </c>
      <c r="F21" s="142">
        <v>9.6500930735380144E-3</v>
      </c>
      <c r="G21" s="142">
        <v>7.7892154944495234E-3</v>
      </c>
      <c r="H21" s="142">
        <v>1.3094939424078064E-2</v>
      </c>
      <c r="J21" s="142">
        <v>0.18560000000000004</v>
      </c>
      <c r="K21" s="142">
        <v>0.18560000000000001</v>
      </c>
      <c r="L21" s="142">
        <v>0.18560000000000004</v>
      </c>
      <c r="M21" s="142">
        <v>0.18560000000000004</v>
      </c>
      <c r="N21" s="142">
        <v>0.18560000000000004</v>
      </c>
      <c r="P21" s="142">
        <v>0.1543911701012293</v>
      </c>
      <c r="Q21" s="142">
        <v>0.1543911701012293</v>
      </c>
      <c r="R21" s="142">
        <v>5.3491447691440042E-2</v>
      </c>
      <c r="S21" s="142">
        <v>5.3491447691440042E-2</v>
      </c>
      <c r="U21" s="142">
        <v>0.1846996104094854</v>
      </c>
      <c r="V21" s="142">
        <v>0.1846996104094854</v>
      </c>
      <c r="W21" s="142">
        <v>0.1846996104094854</v>
      </c>
      <c r="X21" s="142">
        <v>0.1846996104094854</v>
      </c>
      <c r="Z21" s="142">
        <v>0.14560000000000001</v>
      </c>
      <c r="AA21" s="142">
        <v>0.21262289267026124</v>
      </c>
      <c r="AB21" s="142">
        <v>0.14560000000000001</v>
      </c>
      <c r="AC21" s="142">
        <v>4.615941263053322E-2</v>
      </c>
      <c r="AD21" s="142">
        <v>4.5519286088114647E-2</v>
      </c>
      <c r="AF21" s="188">
        <v>0.23358110575847885</v>
      </c>
      <c r="AG21" s="142">
        <v>0.24685229620522908</v>
      </c>
      <c r="AH21" s="188">
        <v>0.23299534763986551</v>
      </c>
      <c r="AI21" s="188">
        <v>0.23065231516541249</v>
      </c>
      <c r="AJ21" s="188">
        <v>0.22772352457234624</v>
      </c>
      <c r="AL21" s="407">
        <v>1.3955381309482094E-2</v>
      </c>
      <c r="AM21" s="407">
        <v>1.2900255458648351E-2</v>
      </c>
      <c r="AN21" s="407">
        <v>1.8920743375644436E-2</v>
      </c>
      <c r="AO21" s="407">
        <v>1.3842333906678392E-2</v>
      </c>
      <c r="AQ21" s="407">
        <v>0.20718408655354231</v>
      </c>
      <c r="AR21" s="407">
        <v>0.20655717032665671</v>
      </c>
      <c r="AS21" s="407">
        <v>0.20404950541911446</v>
      </c>
      <c r="AT21" s="407">
        <v>0.20062657034549611</v>
      </c>
    </row>
    <row r="22" spans="1:46" x14ac:dyDescent="0.3">
      <c r="A22" s="38">
        <v>2039</v>
      </c>
      <c r="B22" s="142">
        <f>SCRS!CZ32</f>
        <v>0.15593042195774071</v>
      </c>
      <c r="D22" s="142">
        <v>1.0232299618463178E-2</v>
      </c>
      <c r="E22" s="142">
        <v>0.18560000000000004</v>
      </c>
      <c r="F22" s="142">
        <v>9.1771737676294533E-3</v>
      </c>
      <c r="G22" s="142">
        <v>7.3159994961232754E-3</v>
      </c>
      <c r="H22" s="142">
        <v>1.2620379638732573E-2</v>
      </c>
      <c r="J22" s="142">
        <v>0.18560000000000004</v>
      </c>
      <c r="K22" s="142">
        <v>0.18560000000000004</v>
      </c>
      <c r="L22" s="142">
        <v>0.18560000000000004</v>
      </c>
      <c r="M22" s="142">
        <v>0.18560000000000004</v>
      </c>
      <c r="N22" s="142">
        <v>0.18560000000000004</v>
      </c>
      <c r="P22" s="142">
        <v>5.4501776955994292E-2</v>
      </c>
      <c r="Q22" s="142">
        <v>5.4501776955994292E-2</v>
      </c>
      <c r="R22" s="142">
        <v>5.5662445571555828E-2</v>
      </c>
      <c r="S22" s="142">
        <v>5.018193751139987E-2</v>
      </c>
      <c r="U22" s="142">
        <v>0.18523789648627273</v>
      </c>
      <c r="V22" s="142">
        <v>0.18523789648627273</v>
      </c>
      <c r="W22" s="142">
        <v>0.18523789648627273</v>
      </c>
      <c r="X22" s="142">
        <v>0.18523789648627273</v>
      </c>
      <c r="Z22" s="142">
        <v>4.7821478344945871E-2</v>
      </c>
      <c r="AA22" s="142">
        <v>0.21369203763350261</v>
      </c>
      <c r="AB22" s="142">
        <v>4.7821478344945871E-2</v>
      </c>
      <c r="AC22" s="142">
        <v>4.3870842677628939E-2</v>
      </c>
      <c r="AD22" s="142">
        <v>4.6778834348007392E-2</v>
      </c>
      <c r="AF22" s="188">
        <v>0.2504797189190478</v>
      </c>
      <c r="AG22" s="142">
        <v>0.26249888075322414</v>
      </c>
      <c r="AH22" s="188">
        <v>0.24991032983127465</v>
      </c>
      <c r="AI22" s="188">
        <v>0.24763277348018231</v>
      </c>
      <c r="AJ22" s="188">
        <v>0.24478582804131677</v>
      </c>
      <c r="AL22" s="407">
        <v>1.3900980724001115E-2</v>
      </c>
      <c r="AM22" s="407">
        <v>1.2845854873167448E-2</v>
      </c>
      <c r="AN22" s="407">
        <v>1.8866822546594362E-2</v>
      </c>
      <c r="AO22" s="407">
        <v>1.3788588967469777E-2</v>
      </c>
      <c r="AQ22" s="407">
        <v>0.2228267019211698</v>
      </c>
      <c r="AR22" s="407">
        <v>0.22221773745671097</v>
      </c>
      <c r="AS22" s="407">
        <v>0.21978187959887577</v>
      </c>
      <c r="AT22" s="407">
        <v>0.21646115115347533</v>
      </c>
    </row>
    <row r="23" spans="1:46" x14ac:dyDescent="0.3">
      <c r="A23" s="38">
        <v>2040</v>
      </c>
      <c r="B23" s="142">
        <f>SCRS!CZ33</f>
        <v>0.15567032856049465</v>
      </c>
      <c r="D23" s="142">
        <v>9.7716056844375909E-3</v>
      </c>
      <c r="E23" s="142">
        <v>0.18560000000000007</v>
      </c>
      <c r="F23" s="142">
        <v>8.7165163777068403E-3</v>
      </c>
      <c r="G23" s="142">
        <v>7.1882696675556928E-3</v>
      </c>
      <c r="H23" s="142">
        <v>1.2157928126928255E-2</v>
      </c>
      <c r="J23" s="142">
        <v>0.18560000000000007</v>
      </c>
      <c r="K23" s="142">
        <v>0.18560000000000007</v>
      </c>
      <c r="L23" s="142">
        <v>0.18560000000000007</v>
      </c>
      <c r="M23" s="142">
        <v>0.18560000000000007</v>
      </c>
      <c r="N23" s="142">
        <v>0.18560000000000007</v>
      </c>
      <c r="P23" s="142">
        <v>5.1067566536250629E-2</v>
      </c>
      <c r="Q23" s="142">
        <v>4.9928897871325061E-2</v>
      </c>
      <c r="R23" s="142">
        <v>5.7673895234889035E-2</v>
      </c>
      <c r="S23" s="142">
        <v>5.2193387174733034E-2</v>
      </c>
      <c r="U23" s="142">
        <v>0.18579495643977748</v>
      </c>
      <c r="V23" s="142">
        <v>0.18579495643977748</v>
      </c>
      <c r="W23" s="142">
        <v>0.18579495643977748</v>
      </c>
      <c r="X23" s="142">
        <v>0.18579495643977748</v>
      </c>
      <c r="Z23" s="142">
        <v>4.3191198818889498E-2</v>
      </c>
      <c r="AA23" s="142">
        <v>0.21478003608405677</v>
      </c>
      <c r="AB23" s="142">
        <v>4.2052530153963756E-2</v>
      </c>
      <c r="AC23" s="142">
        <v>4.5127078298604427E-2</v>
      </c>
      <c r="AD23" s="142">
        <v>4.8036059203822354E-2</v>
      </c>
      <c r="AF23" s="188">
        <v>0.26887279497805461</v>
      </c>
      <c r="AG23" s="142">
        <v>0.2793221745645163</v>
      </c>
      <c r="AH23" s="188">
        <v>0.26832126603433709</v>
      </c>
      <c r="AI23" s="188">
        <v>0.26611515025946719</v>
      </c>
      <c r="AJ23" s="188">
        <v>0.26335750554087983</v>
      </c>
      <c r="AL23" s="407">
        <v>1.3844322104236516E-2</v>
      </c>
      <c r="AM23" s="407">
        <v>1.2789232797505819E-2</v>
      </c>
      <c r="AN23" s="407">
        <v>1.8810397041861156E-2</v>
      </c>
      <c r="AO23" s="407">
        <v>1.3732284707190415E-2</v>
      </c>
      <c r="AQ23" s="407">
        <v>0.23996914793846558</v>
      </c>
      <c r="AR23" s="407">
        <v>0.23937977353590181</v>
      </c>
      <c r="AS23" s="407">
        <v>0.23702227592564698</v>
      </c>
      <c r="AT23" s="407">
        <v>0.23381311006434971</v>
      </c>
    </row>
    <row r="24" spans="1:46" x14ac:dyDescent="0.3">
      <c r="A24" s="38">
        <v>2041</v>
      </c>
      <c r="B24" s="142">
        <f>SCRS!CZ34</f>
        <v>0.1554102287081652</v>
      </c>
      <c r="D24" s="142">
        <v>9.3214005707849511E-3</v>
      </c>
      <c r="E24" s="142">
        <v>0.18560000000000001</v>
      </c>
      <c r="F24" s="142">
        <v>8.2663364546494041E-3</v>
      </c>
      <c r="G24" s="142">
        <v>7.1882696675556919E-3</v>
      </c>
      <c r="H24" s="142">
        <v>1.1706209530304469E-2</v>
      </c>
      <c r="J24" s="142">
        <v>0.18560000000000001</v>
      </c>
      <c r="K24" s="142">
        <v>0.18560000000000001</v>
      </c>
      <c r="L24" s="142">
        <v>0.18560000000000001</v>
      </c>
      <c r="M24" s="142">
        <v>0.18560000000000001</v>
      </c>
      <c r="N24" s="142">
        <v>0.18560000000000001</v>
      </c>
      <c r="P24" s="142">
        <v>5.2910847817242632E-2</v>
      </c>
      <c r="Q24" s="142">
        <v>5.1772179152317029E-2</v>
      </c>
      <c r="R24" s="142">
        <v>5.9371047917570641E-2</v>
      </c>
      <c r="S24" s="142">
        <v>5.3890729673871943E-2</v>
      </c>
      <c r="U24" s="142">
        <v>0.18614957772342286</v>
      </c>
      <c r="V24" s="142">
        <v>0.18614957772342286</v>
      </c>
      <c r="W24" s="142">
        <v>0.18614957772342286</v>
      </c>
      <c r="X24" s="142">
        <v>0.18614957772342286</v>
      </c>
      <c r="Z24" s="142">
        <v>4.4441816572425713E-2</v>
      </c>
      <c r="AA24" s="142">
        <v>0.21588391119151282</v>
      </c>
      <c r="AB24" s="142">
        <v>4.3303147907500006E-2</v>
      </c>
      <c r="AC24" s="142">
        <v>4.6379264406082379E-2</v>
      </c>
      <c r="AD24" s="142">
        <v>4.9289095262803805E-2</v>
      </c>
      <c r="AF24" s="188">
        <v>0.28366302888535816</v>
      </c>
      <c r="AG24" s="142">
        <v>0.29249997133610256</v>
      </c>
      <c r="AH24" s="188">
        <v>0.28312627235325</v>
      </c>
      <c r="AI24" s="188">
        <v>0.28097924622481757</v>
      </c>
      <c r="AJ24" s="188">
        <v>0.27829546356427687</v>
      </c>
      <c r="AL24" s="407">
        <v>1.3783301452611266E-2</v>
      </c>
      <c r="AM24" s="407">
        <v>1.3226416188302476E-2</v>
      </c>
      <c r="AN24" s="407">
        <v>1.8749759872894432E-2</v>
      </c>
      <c r="AO24" s="407">
        <v>1.3671718624189423E-2</v>
      </c>
      <c r="AQ24" s="407">
        <v>0.25349744746741343</v>
      </c>
      <c r="AR24" s="407">
        <v>0.25292425822303599</v>
      </c>
      <c r="AS24" s="407">
        <v>0.25063150124552636</v>
      </c>
      <c r="AT24" s="407">
        <v>0.24751433646268561</v>
      </c>
    </row>
    <row r="25" spans="1:46" x14ac:dyDescent="0.3">
      <c r="A25" s="38">
        <v>2042</v>
      </c>
      <c r="B25" s="142">
        <f>SCRS!CZ35</f>
        <v>0.15515012287986191</v>
      </c>
      <c r="D25" s="142">
        <v>8.8803973612088354E-3</v>
      </c>
      <c r="E25" s="142">
        <v>0.17559999999999998</v>
      </c>
      <c r="F25" s="142">
        <v>7.8253480143904656E-3</v>
      </c>
      <c r="G25" s="142">
        <v>7.1882696675556954E-3</v>
      </c>
      <c r="H25" s="142">
        <v>1.1263920607023853E-2</v>
      </c>
      <c r="J25" s="142">
        <v>0.18560000000000004</v>
      </c>
      <c r="K25" s="142">
        <v>0.18559999999999999</v>
      </c>
      <c r="L25" s="142">
        <v>0.18560000000000004</v>
      </c>
      <c r="M25" s="142">
        <v>0.18560000000000004</v>
      </c>
      <c r="N25" s="142">
        <v>0.18560000000000004</v>
      </c>
      <c r="P25" s="142">
        <v>5.4251590849426441E-2</v>
      </c>
      <c r="Q25" s="142">
        <v>5.3112961622094911E-2</v>
      </c>
      <c r="R25" s="142">
        <v>6.060627975700289E-2</v>
      </c>
      <c r="S25" s="142">
        <v>5.5126092357658155E-2</v>
      </c>
      <c r="U25" s="142">
        <v>0.18629228222154812</v>
      </c>
      <c r="V25" s="142">
        <v>0.18629228222154812</v>
      </c>
      <c r="W25" s="142">
        <v>0.18629228222154812</v>
      </c>
      <c r="X25" s="142">
        <v>0.18629228222154812</v>
      </c>
      <c r="Z25" s="142">
        <v>4.5215008464720534E-2</v>
      </c>
      <c r="AA25" s="142">
        <v>0.15560000000000002</v>
      </c>
      <c r="AB25" s="142">
        <v>4.4076379237388795E-2</v>
      </c>
      <c r="AC25" s="142">
        <v>4.7153737682277298E-2</v>
      </c>
      <c r="AD25" s="142">
        <v>5.0064516926864609E-2</v>
      </c>
      <c r="AF25" s="188">
        <v>0.18560000000000004</v>
      </c>
      <c r="AG25" s="142">
        <v>0.18560000000000004</v>
      </c>
      <c r="AH25" s="188">
        <v>0.18560000000000004</v>
      </c>
      <c r="AI25" s="188">
        <v>0.18560000000000004</v>
      </c>
      <c r="AJ25" s="188">
        <v>0.18560000000000004</v>
      </c>
      <c r="AL25" s="407">
        <v>1.3657712368355817E-2</v>
      </c>
      <c r="AM25" s="407">
        <v>1.3657712368355817E-2</v>
      </c>
      <c r="AN25" s="407">
        <v>1.8540109719883645E-2</v>
      </c>
      <c r="AO25" s="407">
        <v>1.3657712368355817E-2</v>
      </c>
      <c r="AQ25" s="407">
        <v>0.18560000000000004</v>
      </c>
      <c r="AR25" s="407">
        <v>0.18560000000000004</v>
      </c>
      <c r="AS25" s="407">
        <v>0.18560000000000004</v>
      </c>
      <c r="AT25" s="407">
        <v>0.18560000000000004</v>
      </c>
    </row>
    <row r="26" spans="1:46" x14ac:dyDescent="0.3">
      <c r="A26" s="38">
        <v>2043</v>
      </c>
      <c r="B26" s="142">
        <f>SCRS!CZ36</f>
        <v>2.3182824267667615E-2</v>
      </c>
      <c r="D26" s="142">
        <v>8.4517775569236241E-3</v>
      </c>
      <c r="E26" s="142">
        <v>0.1656</v>
      </c>
      <c r="F26" s="142">
        <v>7.3967334476793302E-3</v>
      </c>
      <c r="G26" s="142">
        <v>7.1882696675556936E-3</v>
      </c>
      <c r="H26" s="142">
        <v>1.0835256143495993E-2</v>
      </c>
      <c r="J26" s="142">
        <v>0.18560000000000001</v>
      </c>
      <c r="K26" s="142">
        <v>0.18559999999999999</v>
      </c>
      <c r="L26" s="142">
        <v>0.18560000000000001</v>
      </c>
      <c r="M26" s="142">
        <v>0.18560000000000001</v>
      </c>
      <c r="N26" s="142">
        <v>0.18560000000000001</v>
      </c>
      <c r="P26" s="142">
        <v>5.5506328228442987E-2</v>
      </c>
      <c r="Q26" s="142">
        <v>5.4367726186249084E-2</v>
      </c>
      <c r="R26" s="142">
        <v>6.1714987092465048E-2</v>
      </c>
      <c r="S26" s="142">
        <v>5.623487640753469E-2</v>
      </c>
      <c r="U26" s="142">
        <v>0.18636831762056183</v>
      </c>
      <c r="V26" s="142">
        <v>0.18636831762056183</v>
      </c>
      <c r="W26" s="142">
        <v>0.18636831762056183</v>
      </c>
      <c r="X26" s="142">
        <v>0.18636831762056183</v>
      </c>
      <c r="Z26" s="142">
        <v>4.6456804885211554E-2</v>
      </c>
      <c r="AA26" s="142">
        <v>5.9246827864496643E-2</v>
      </c>
      <c r="AB26" s="142">
        <v>4.5318202843017442E-2</v>
      </c>
      <c r="AC26" s="142">
        <v>4.8396887220853682E-2</v>
      </c>
      <c r="AD26" s="142">
        <v>5.1308732672593595E-2</v>
      </c>
      <c r="AF26" s="188">
        <v>0.18560000000000001</v>
      </c>
      <c r="AG26" s="142">
        <v>0.18560000000000001</v>
      </c>
      <c r="AH26" s="188">
        <v>0.18560000000000001</v>
      </c>
      <c r="AI26" s="188">
        <v>0.18560000000000001</v>
      </c>
      <c r="AJ26" s="188">
        <v>0.18560000000000001</v>
      </c>
      <c r="AL26" s="407">
        <v>1.4232773941760273E-2</v>
      </c>
      <c r="AM26" s="407">
        <v>1.4232773941760273E-2</v>
      </c>
      <c r="AN26" s="407">
        <v>1.8471764814651803E-2</v>
      </c>
      <c r="AO26" s="407">
        <v>1.4232773941760273E-2</v>
      </c>
      <c r="AQ26" s="407">
        <v>0.18560000000000001</v>
      </c>
      <c r="AR26" s="407">
        <v>0.18560000000000001</v>
      </c>
      <c r="AS26" s="407">
        <v>0.18560000000000001</v>
      </c>
      <c r="AT26" s="407">
        <v>0.18560000000000001</v>
      </c>
    </row>
    <row r="27" spans="1:46" x14ac:dyDescent="0.3">
      <c r="A27" s="38">
        <v>2044</v>
      </c>
      <c r="B27" s="142">
        <f>SCRS!CZ37</f>
        <v>1.5530042541245953E-2</v>
      </c>
      <c r="D27" s="142">
        <v>8.0400195900338731E-3</v>
      </c>
      <c r="E27" s="142">
        <v>0.15560000000000002</v>
      </c>
      <c r="F27" s="142">
        <v>7.1882696675556945E-3</v>
      </c>
      <c r="G27" s="142">
        <v>7.1882696675556945E-3</v>
      </c>
      <c r="H27" s="142">
        <v>1.0423506095045354E-2</v>
      </c>
      <c r="J27" s="142">
        <v>0.18560000000000001</v>
      </c>
      <c r="K27" s="142">
        <v>0.18560000000000007</v>
      </c>
      <c r="L27" s="142">
        <v>0.18560000000000001</v>
      </c>
      <c r="M27" s="142">
        <v>0.18560000000000001</v>
      </c>
      <c r="N27" s="142">
        <v>0.18560000000000001</v>
      </c>
      <c r="P27" s="142">
        <v>5.6349251865728978E-2</v>
      </c>
      <c r="Q27" s="142">
        <v>5.5210665762258082E-2</v>
      </c>
      <c r="R27" s="142">
        <v>6.2452840367806843E-2</v>
      </c>
      <c r="S27" s="142">
        <v>5.6972756887751511E-2</v>
      </c>
      <c r="U27" s="142">
        <v>0.18588347836715652</v>
      </c>
      <c r="V27" s="142">
        <v>0.18588347836715652</v>
      </c>
      <c r="W27" s="142">
        <v>0.18588347836715652</v>
      </c>
      <c r="X27" s="142">
        <v>0.18588347836715652</v>
      </c>
      <c r="Z27" s="142">
        <v>4.723037462285376E-2</v>
      </c>
      <c r="AA27" s="142">
        <v>5.3888818002677183E-2</v>
      </c>
      <c r="AB27" s="142">
        <v>4.6091788519382615E-2</v>
      </c>
      <c r="AC27" s="142">
        <v>4.9171906873059536E-2</v>
      </c>
      <c r="AD27" s="142">
        <v>5.2085897101156894E-2</v>
      </c>
      <c r="AF27" s="188">
        <v>0.18560000000000001</v>
      </c>
      <c r="AG27" s="142">
        <v>0.18560000000000001</v>
      </c>
      <c r="AH27" s="188">
        <v>0.18560000000000001</v>
      </c>
      <c r="AI27" s="188">
        <v>0.18560000000000001</v>
      </c>
      <c r="AJ27" s="188">
        <v>0.18560000000000001</v>
      </c>
      <c r="AL27" s="407">
        <v>1.4664070121813618E-2</v>
      </c>
      <c r="AM27" s="407">
        <v>1.4664070121813618E-2</v>
      </c>
      <c r="AN27" s="407">
        <v>1.8265119500023477E-2</v>
      </c>
      <c r="AO27" s="407">
        <v>1.4664070121813618E-2</v>
      </c>
      <c r="AQ27" s="407">
        <v>0.18560000000000001</v>
      </c>
      <c r="AR27" s="407">
        <v>0.18560000000000001</v>
      </c>
      <c r="AS27" s="407">
        <v>0.18560000000000001</v>
      </c>
      <c r="AT27" s="407">
        <v>0.18560000000000001</v>
      </c>
    </row>
    <row r="28" spans="1:46" x14ac:dyDescent="0.3">
      <c r="A28" s="38">
        <v>2045</v>
      </c>
      <c r="B28" s="142">
        <f>SCRS!CZ38</f>
        <v>1.5274245144441739E-2</v>
      </c>
      <c r="D28" s="142">
        <v>7.6490797094406872E-3</v>
      </c>
      <c r="E28" s="142">
        <v>3.4572591298331894E-2</v>
      </c>
      <c r="F28" s="142">
        <v>7.1882696675556936E-3</v>
      </c>
      <c r="G28" s="142">
        <v>7.1882696675556936E-3</v>
      </c>
      <c r="H28" s="142">
        <v>1.0032574076276205E-2</v>
      </c>
      <c r="J28" s="142">
        <v>0.18560000000000007</v>
      </c>
      <c r="K28" s="142">
        <v>0.18560000000000004</v>
      </c>
      <c r="L28" s="142">
        <v>0.18560000000000007</v>
      </c>
      <c r="M28" s="142">
        <v>0.18560000000000007</v>
      </c>
      <c r="N28" s="142">
        <v>0.18560000000000007</v>
      </c>
      <c r="P28" s="142">
        <v>5.6902624866636622E-2</v>
      </c>
      <c r="Q28" s="142">
        <v>5.5764044415440667E-2</v>
      </c>
      <c r="R28" s="142">
        <v>6.2942921543737138E-2</v>
      </c>
      <c r="S28" s="142">
        <v>5.7462820155450817E-2</v>
      </c>
      <c r="U28" s="142">
        <v>0.1855107842669603</v>
      </c>
      <c r="V28" s="142">
        <v>0.1855107842669603</v>
      </c>
      <c r="W28" s="142">
        <v>0.1855107842669603</v>
      </c>
      <c r="X28" s="142">
        <v>0.1855107842669603</v>
      </c>
      <c r="Z28" s="142">
        <v>4.7535763930927337E-2</v>
      </c>
      <c r="AA28" s="142">
        <v>5.4499761375127652E-2</v>
      </c>
      <c r="AB28" s="142">
        <v>4.6397183479731229E-2</v>
      </c>
      <c r="AC28" s="142">
        <v>4.9479738410517185E-2</v>
      </c>
      <c r="AD28" s="142">
        <v>5.2396067068429905E-2</v>
      </c>
      <c r="AF28" s="188">
        <v>0.18560000000000004</v>
      </c>
      <c r="AG28" s="142">
        <v>0.18560000000000004</v>
      </c>
      <c r="AH28" s="188">
        <v>0.18560000000000004</v>
      </c>
      <c r="AI28" s="188">
        <v>0.18560000000000004</v>
      </c>
      <c r="AJ28" s="188">
        <v>0.18560000000000004</v>
      </c>
      <c r="AL28" s="407">
        <v>1.4951600908515843E-2</v>
      </c>
      <c r="AM28" s="407">
        <v>1.4951600908515843E-2</v>
      </c>
      <c r="AN28" s="407">
        <v>1.7920125356519028E-2</v>
      </c>
      <c r="AO28" s="407">
        <v>1.4951600908515843E-2</v>
      </c>
      <c r="AQ28" s="407">
        <v>0.18560000000000004</v>
      </c>
      <c r="AR28" s="407">
        <v>0.18560000000000004</v>
      </c>
      <c r="AS28" s="407">
        <v>0.18560000000000004</v>
      </c>
      <c r="AT28" s="407">
        <v>0.18560000000000004</v>
      </c>
    </row>
    <row r="29" spans="1:46" x14ac:dyDescent="0.3">
      <c r="A29" s="38">
        <v>2046</v>
      </c>
      <c r="B29" s="142">
        <f>SCRS!CZ39</f>
        <v>1.5017074924379004E-2</v>
      </c>
      <c r="D29" s="142">
        <v>7.2828014835253701E-3</v>
      </c>
      <c r="E29" s="142">
        <v>3.0426002472377568E-2</v>
      </c>
      <c r="F29" s="142">
        <v>7.1882696675556936E-3</v>
      </c>
      <c r="G29" s="142">
        <v>7.1882696675556936E-3</v>
      </c>
      <c r="H29" s="142">
        <v>9.6663036705933753E-3</v>
      </c>
      <c r="J29" s="142">
        <v>0.18560000000000001</v>
      </c>
      <c r="K29" s="142">
        <v>0.18560000000000001</v>
      </c>
      <c r="L29" s="142">
        <v>0.18560000000000001</v>
      </c>
      <c r="M29" s="142">
        <v>0.18560000000000001</v>
      </c>
      <c r="N29" s="142">
        <v>0.18560000000000001</v>
      </c>
      <c r="P29" s="142">
        <v>5.7344485642773162E-2</v>
      </c>
      <c r="Q29" s="142">
        <v>5.6205901470837955E-2</v>
      </c>
      <c r="R29" s="142">
        <v>6.328098944779692E-2</v>
      </c>
      <c r="S29" s="142">
        <v>5.7800870154169619E-2</v>
      </c>
      <c r="U29" s="142">
        <v>0.18526043114956695</v>
      </c>
      <c r="V29" s="142">
        <v>0.18526043114956695</v>
      </c>
      <c r="W29" s="142">
        <v>0.18526043114956695</v>
      </c>
      <c r="X29" s="142">
        <v>0.18526043114956695</v>
      </c>
      <c r="Z29" s="142">
        <v>4.8324921078528621E-2</v>
      </c>
      <c r="AA29" s="142">
        <v>5.5490857230521759E-2</v>
      </c>
      <c r="AB29" s="142">
        <v>4.7186336906593206E-2</v>
      </c>
      <c r="AC29" s="142">
        <v>5.0271572642218772E-2</v>
      </c>
      <c r="AD29" s="142">
        <v>5.3190287227008012E-2</v>
      </c>
      <c r="AF29" s="188">
        <v>0.18560000000000004</v>
      </c>
      <c r="AG29" s="142">
        <v>0.17560000000000003</v>
      </c>
      <c r="AH29" s="188">
        <v>0.18560000000000004</v>
      </c>
      <c r="AI29" s="188">
        <v>0.18560000000000004</v>
      </c>
      <c r="AJ29" s="188">
        <v>0.18560000000000004</v>
      </c>
      <c r="AL29" s="407">
        <v>1.5382897088569185E-2</v>
      </c>
      <c r="AM29" s="407">
        <v>1.5382897088569185E-2</v>
      </c>
      <c r="AN29" s="407">
        <v>1.773061763041054E-2</v>
      </c>
      <c r="AO29" s="407">
        <v>1.5382897088569185E-2</v>
      </c>
      <c r="AQ29" s="407">
        <v>0.18560000000000004</v>
      </c>
      <c r="AR29" s="407">
        <v>0.18560000000000004</v>
      </c>
      <c r="AS29" s="407">
        <v>0.18560000000000004</v>
      </c>
      <c r="AT29" s="407">
        <v>0.18560000000000004</v>
      </c>
    </row>
    <row r="30" spans="1:46" x14ac:dyDescent="0.3">
      <c r="A30" s="38">
        <v>2047</v>
      </c>
      <c r="B30" s="142">
        <f>SCRS!CZ40</f>
        <v>1.4758321357923543E-2</v>
      </c>
      <c r="D30" s="142">
        <v>7.1882696675556936E-3</v>
      </c>
      <c r="E30" s="142">
        <v>3.0391615899887713E-2</v>
      </c>
      <c r="F30" s="142">
        <v>7.1882696675556936E-3</v>
      </c>
      <c r="G30" s="142">
        <v>7.1882696675556936E-3</v>
      </c>
      <c r="H30" s="142">
        <v>9.3295275477055361E-3</v>
      </c>
      <c r="J30" s="142">
        <v>0.18560000000000001</v>
      </c>
      <c r="K30" s="142">
        <v>0.18560000000000001</v>
      </c>
      <c r="L30" s="142">
        <v>0.18560000000000001</v>
      </c>
      <c r="M30" s="142">
        <v>0.18560000000000001</v>
      </c>
      <c r="N30" s="142">
        <v>0.18560000000000001</v>
      </c>
      <c r="P30" s="142">
        <v>5.7595360319745686E-2</v>
      </c>
      <c r="Q30" s="142">
        <v>5.6456772427671706E-2</v>
      </c>
      <c r="R30" s="142">
        <v>6.3468859511402326E-2</v>
      </c>
      <c r="S30" s="142">
        <v>5.7988722316849185E-2</v>
      </c>
      <c r="U30" s="142">
        <v>0.1851398639768452</v>
      </c>
      <c r="V30" s="142">
        <v>0.1851398639768452</v>
      </c>
      <c r="W30" s="142">
        <v>0.1851398639768452</v>
      </c>
      <c r="X30" s="142">
        <v>0.1851398639768452</v>
      </c>
      <c r="Z30" s="142">
        <v>4.8662970464568085E-2</v>
      </c>
      <c r="AA30" s="142">
        <v>5.6300511149462731E-2</v>
      </c>
      <c r="AB30" s="142">
        <v>4.7524382572493848E-2</v>
      </c>
      <c r="AC30" s="142">
        <v>5.0612353800949035E-2</v>
      </c>
      <c r="AD30" s="142">
        <v>5.3533502019221878E-2</v>
      </c>
      <c r="AF30" s="188">
        <v>0.18560000000000001</v>
      </c>
      <c r="AG30" s="142">
        <v>0.16560000000000002</v>
      </c>
      <c r="AH30" s="188">
        <v>0.18560000000000001</v>
      </c>
      <c r="AI30" s="188">
        <v>0.18560000000000001</v>
      </c>
      <c r="AJ30" s="188">
        <v>0.18560000000000001</v>
      </c>
      <c r="AL30" s="407">
        <v>1.5670427875271415E-2</v>
      </c>
      <c r="AM30" s="407">
        <v>1.5670427875271415E-2</v>
      </c>
      <c r="AN30" s="407">
        <v>1.8082229544919913E-2</v>
      </c>
      <c r="AO30" s="407">
        <v>1.5670427875271415E-2</v>
      </c>
      <c r="AQ30" s="407">
        <v>0.18560000000000001</v>
      </c>
      <c r="AR30" s="407">
        <v>0.18560000000000001</v>
      </c>
      <c r="AS30" s="407">
        <v>0.18560000000000001</v>
      </c>
      <c r="AT30" s="407">
        <v>0.18560000000000001</v>
      </c>
    </row>
    <row r="31" spans="1:46" x14ac:dyDescent="0.3">
      <c r="A31" s="38">
        <v>2048</v>
      </c>
      <c r="B31" s="142">
        <f>SCRS!CZ41</f>
        <v>1.4498117968061237E-2</v>
      </c>
      <c r="D31" s="142">
        <v>7.1882696675556945E-3</v>
      </c>
      <c r="E31" s="142">
        <v>3.0484782710086682E-2</v>
      </c>
      <c r="F31" s="142">
        <v>7.1882696675556945E-3</v>
      </c>
      <c r="G31" s="142">
        <v>7.1882696675556945E-3</v>
      </c>
      <c r="H31" s="142">
        <v>9.0263461592652479E-3</v>
      </c>
      <c r="J31" s="142">
        <v>0.18560000000000007</v>
      </c>
      <c r="K31" s="142">
        <v>0.18560000000000004</v>
      </c>
      <c r="L31" s="142">
        <v>0.18560000000000007</v>
      </c>
      <c r="M31" s="142">
        <v>0.18560000000000007</v>
      </c>
      <c r="N31" s="142">
        <v>0.18560000000000007</v>
      </c>
      <c r="P31" s="142">
        <v>5.7719756748763978E-2</v>
      </c>
      <c r="Q31" s="142">
        <v>5.6581165137468498E-2</v>
      </c>
      <c r="R31" s="142">
        <v>6.3530306286732438E-2</v>
      </c>
      <c r="S31" s="142">
        <v>5.8050151193719535E-2</v>
      </c>
      <c r="U31" s="142">
        <v>0.18502495048207393</v>
      </c>
      <c r="V31" s="142">
        <v>0.18502495048207393</v>
      </c>
      <c r="W31" s="142">
        <v>0.18502495048207393</v>
      </c>
      <c r="X31" s="142">
        <v>0.18502495048207393</v>
      </c>
      <c r="Z31" s="142">
        <v>4.9021755172198575E-2</v>
      </c>
      <c r="AA31" s="142">
        <v>5.7249616887011703E-2</v>
      </c>
      <c r="AB31" s="142">
        <v>4.7883163560902837E-2</v>
      </c>
      <c r="AC31" s="142">
        <v>5.0973925194321819E-2</v>
      </c>
      <c r="AD31" s="142">
        <v>5.4651783759510464E-2</v>
      </c>
      <c r="AF31" s="188">
        <v>0.18560000000000004</v>
      </c>
      <c r="AG31" s="142">
        <v>0.15560000000000002</v>
      </c>
      <c r="AH31" s="188">
        <v>0.18560000000000004</v>
      </c>
      <c r="AI31" s="188">
        <v>0.18560000000000004</v>
      </c>
      <c r="AJ31" s="188">
        <v>0.18560000000000004</v>
      </c>
      <c r="AL31" s="407">
        <v>1.595795866197364E-2</v>
      </c>
      <c r="AM31" s="407">
        <v>1.595795866197364E-2</v>
      </c>
      <c r="AN31" s="407">
        <v>1.793573127575632E-2</v>
      </c>
      <c r="AO31" s="407">
        <v>1.595795866197364E-2</v>
      </c>
      <c r="AQ31" s="407">
        <v>0.17560000000000003</v>
      </c>
      <c r="AR31" s="407">
        <v>0.17560000000000003</v>
      </c>
      <c r="AS31" s="407">
        <v>0.17559999999999998</v>
      </c>
      <c r="AT31" s="407">
        <v>0.17559999999999998</v>
      </c>
    </row>
    <row r="32" spans="1:46" x14ac:dyDescent="0.3">
      <c r="A32" s="38">
        <v>2049</v>
      </c>
      <c r="B32" s="142">
        <f>SCRS!CZ42</f>
        <v>1.423660375128896E-2</v>
      </c>
      <c r="D32" s="142">
        <v>7.1882696675556936E-3</v>
      </c>
      <c r="E32" s="142">
        <v>3.0728091978638038E-2</v>
      </c>
      <c r="F32" s="142">
        <v>7.1882696675556936E-3</v>
      </c>
      <c r="G32" s="142">
        <v>7.1882696675556936E-3</v>
      </c>
      <c r="H32" s="142">
        <v>8.7605098048709508E-3</v>
      </c>
      <c r="J32" s="142">
        <v>0.18560000000000004</v>
      </c>
      <c r="K32" s="142">
        <v>0.18560000000000004</v>
      </c>
      <c r="L32" s="142">
        <v>0.18560000000000004</v>
      </c>
      <c r="M32" s="142">
        <v>0.18560000000000004</v>
      </c>
      <c r="N32" s="142">
        <v>0.18560000000000004</v>
      </c>
      <c r="P32" s="142">
        <v>5.7725415354074432E-2</v>
      </c>
      <c r="Q32" s="142">
        <v>5.6586820024069819E-2</v>
      </c>
      <c r="R32" s="142">
        <v>6.4324415846663888E-2</v>
      </c>
      <c r="S32" s="142">
        <v>5.8844242856318958E-2</v>
      </c>
      <c r="U32" s="142">
        <v>0.18445862920355288</v>
      </c>
      <c r="V32" s="142">
        <v>0.18445862920355288</v>
      </c>
      <c r="W32" s="142">
        <v>0.18445862920355288</v>
      </c>
      <c r="X32" s="142">
        <v>0.18445862920355288</v>
      </c>
      <c r="Z32" s="142">
        <v>4.9409015575417159E-2</v>
      </c>
      <c r="AA32" s="142">
        <v>5.835519228923005E-2</v>
      </c>
      <c r="AB32" s="142">
        <v>4.8270420245412345E-2</v>
      </c>
      <c r="AC32" s="142">
        <v>5.2215372842126122E-2</v>
      </c>
      <c r="AD32" s="142">
        <v>5.5204376662828243E-2</v>
      </c>
      <c r="AF32" s="188">
        <v>0.17560000000000006</v>
      </c>
      <c r="AG32" s="142">
        <v>0.14560000000000001</v>
      </c>
      <c r="AH32" s="188">
        <v>0.17560000000000006</v>
      </c>
      <c r="AI32" s="188">
        <v>0.17560000000000006</v>
      </c>
      <c r="AJ32" s="188">
        <v>0.17560000000000006</v>
      </c>
      <c r="AL32" s="407">
        <v>1.6245489448675873E-2</v>
      </c>
      <c r="AM32" s="407">
        <v>1.6245489448675873E-2</v>
      </c>
      <c r="AN32" s="407">
        <v>1.7831804273655542E-2</v>
      </c>
      <c r="AO32" s="407">
        <v>1.6245489448675873E-2</v>
      </c>
      <c r="AQ32" s="407">
        <v>0.16560000000000002</v>
      </c>
      <c r="AR32" s="407">
        <v>0.16560000000000002</v>
      </c>
      <c r="AS32" s="407">
        <v>0.16560000000000002</v>
      </c>
      <c r="AT32" s="407">
        <v>0.16560000000000002</v>
      </c>
    </row>
    <row r="33" spans="1:46" x14ac:dyDescent="0.3">
      <c r="A33" s="38">
        <v>2050</v>
      </c>
      <c r="B33" s="142">
        <f>SCRS!CZ43</f>
        <v>1.3974938408564695E-2</v>
      </c>
      <c r="D33" s="142">
        <v>7.1882696675556945E-3</v>
      </c>
      <c r="E33" s="142">
        <v>3.1144402012007057E-2</v>
      </c>
      <c r="F33" s="142">
        <v>7.1882696675556945E-3</v>
      </c>
      <c r="G33" s="142">
        <v>7.1882696675556945E-3</v>
      </c>
      <c r="H33" s="142">
        <v>8.5358614307041031E-3</v>
      </c>
      <c r="J33" s="142">
        <v>0.18560000000000007</v>
      </c>
      <c r="K33" s="142">
        <v>0.18560000000000007</v>
      </c>
      <c r="L33" s="142">
        <v>0.18560000000000007</v>
      </c>
      <c r="M33" s="142">
        <v>0.17560000000000001</v>
      </c>
      <c r="N33" s="142">
        <v>0.17560000000000001</v>
      </c>
      <c r="P33" s="142">
        <v>5.8570748173289722E-2</v>
      </c>
      <c r="Q33" s="142">
        <v>5.7432149124810344E-2</v>
      </c>
      <c r="R33" s="142">
        <v>6.4328234846981913E-2</v>
      </c>
      <c r="S33" s="142">
        <v>5.8848043959617596E-2</v>
      </c>
      <c r="U33" s="142">
        <v>0.18388679402929373</v>
      </c>
      <c r="V33" s="142">
        <v>0.18388679402929373</v>
      </c>
      <c r="W33" s="142">
        <v>0.18388679402929373</v>
      </c>
      <c r="X33" s="142">
        <v>0.18388679402929373</v>
      </c>
      <c r="Z33" s="142">
        <v>5.0783163661032887E-2</v>
      </c>
      <c r="AA33" s="142">
        <v>5.9640547213799133E-2</v>
      </c>
      <c r="AB33" s="142">
        <v>4.9644564612553205E-2</v>
      </c>
      <c r="AC33" s="142">
        <v>5.2813743347827E-2</v>
      </c>
      <c r="AD33" s="142">
        <v>5.580355025943378E-2</v>
      </c>
      <c r="AF33" s="188">
        <v>0.16560000000000002</v>
      </c>
      <c r="AG33" s="142">
        <v>6.2935020928964081E-2</v>
      </c>
      <c r="AH33" s="188">
        <v>0.16560000000000002</v>
      </c>
      <c r="AI33" s="188">
        <v>0.16560000000000002</v>
      </c>
      <c r="AJ33" s="188">
        <v>0.16560000000000002</v>
      </c>
      <c r="AL33" s="407">
        <v>1.6533020235378098E-2</v>
      </c>
      <c r="AM33" s="407">
        <v>1.6533020235378098E-2</v>
      </c>
      <c r="AN33" s="407">
        <v>1.777443507758655E-2</v>
      </c>
      <c r="AO33" s="407">
        <v>1.6533020235378098E-2</v>
      </c>
      <c r="AQ33" s="407">
        <v>2.4900085604922916E-2</v>
      </c>
      <c r="AR33" s="407">
        <v>2.4900085604922916E-2</v>
      </c>
      <c r="AS33" s="407">
        <v>2.4900085604922916E-2</v>
      </c>
      <c r="AT33" s="407">
        <v>2.4900085604922916E-2</v>
      </c>
    </row>
    <row r="34" spans="1:46" x14ac:dyDescent="0.3">
      <c r="AL34" s="408"/>
      <c r="AM34" s="408"/>
      <c r="AN34" s="408"/>
      <c r="AO34" s="408"/>
      <c r="AQ34" s="408">
        <v>0</v>
      </c>
      <c r="AR34" s="408">
        <v>0</v>
      </c>
      <c r="AS34" s="408">
        <v>0</v>
      </c>
      <c r="AT34" s="408">
        <v>0</v>
      </c>
    </row>
    <row r="35" spans="1:46" x14ac:dyDescent="0.3">
      <c r="A35" s="38"/>
      <c r="B35" s="38"/>
      <c r="D35" s="38"/>
      <c r="F35" s="38"/>
      <c r="G35" s="38"/>
      <c r="H35" s="38"/>
      <c r="J35" s="38"/>
      <c r="L35" s="38"/>
      <c r="M35" s="38"/>
      <c r="N35" s="38"/>
      <c r="P35" s="38"/>
      <c r="Q35" s="38"/>
      <c r="R35" s="38"/>
      <c r="S35" s="38"/>
      <c r="U35" s="38"/>
      <c r="V35" s="38"/>
      <c r="W35" s="38"/>
      <c r="X35" s="38"/>
      <c r="Z35" s="38"/>
      <c r="AB35" s="38"/>
      <c r="AC35" s="38"/>
      <c r="AD35" s="38"/>
      <c r="AF35" s="38"/>
      <c r="AH35" s="38"/>
      <c r="AI35" s="38"/>
      <c r="AJ35" s="38"/>
      <c r="AL35" s="38"/>
      <c r="AM35" s="38"/>
      <c r="AN35" s="38"/>
      <c r="AO35" s="38"/>
      <c r="AQ35" s="38">
        <v>0</v>
      </c>
      <c r="AR35" s="38">
        <v>0</v>
      </c>
      <c r="AS35" s="38">
        <v>0</v>
      </c>
      <c r="AT35" s="38">
        <v>0</v>
      </c>
    </row>
    <row r="36" spans="1:46" x14ac:dyDescent="0.3">
      <c r="A36" s="38"/>
      <c r="B36" s="38" t="s">
        <v>299</v>
      </c>
      <c r="D36" s="38" t="s">
        <v>299</v>
      </c>
      <c r="E36" s="38" t="s">
        <v>299</v>
      </c>
      <c r="F36" s="38" t="s">
        <v>299</v>
      </c>
      <c r="G36" s="38" t="s">
        <v>299</v>
      </c>
      <c r="H36" s="38" t="s">
        <v>299</v>
      </c>
      <c r="J36" s="38" t="s">
        <v>299</v>
      </c>
      <c r="K36" s="38" t="s">
        <v>299</v>
      </c>
      <c r="L36" s="38" t="s">
        <v>299</v>
      </c>
      <c r="M36" s="38" t="s">
        <v>299</v>
      </c>
      <c r="N36" s="38" t="s">
        <v>299</v>
      </c>
      <c r="P36" s="38" t="s">
        <v>299</v>
      </c>
      <c r="Q36" s="38" t="s">
        <v>299</v>
      </c>
      <c r="R36" s="38" t="s">
        <v>299</v>
      </c>
      <c r="S36" s="38" t="s">
        <v>299</v>
      </c>
      <c r="U36" s="38" t="s">
        <v>299</v>
      </c>
      <c r="V36" s="38" t="s">
        <v>299</v>
      </c>
      <c r="W36" s="38" t="s">
        <v>299</v>
      </c>
      <c r="X36" s="38" t="s">
        <v>299</v>
      </c>
      <c r="Z36" s="38" t="s">
        <v>299</v>
      </c>
      <c r="AA36" s="38" t="s">
        <v>299</v>
      </c>
      <c r="AB36" s="38" t="s">
        <v>299</v>
      </c>
      <c r="AC36" s="38" t="s">
        <v>299</v>
      </c>
      <c r="AD36" s="38" t="s">
        <v>299</v>
      </c>
      <c r="AF36" s="38" t="s">
        <v>299</v>
      </c>
      <c r="AG36" s="38" t="s">
        <v>299</v>
      </c>
      <c r="AH36" s="38" t="s">
        <v>299</v>
      </c>
      <c r="AI36" s="38" t="s">
        <v>299</v>
      </c>
      <c r="AJ36" s="38" t="s">
        <v>299</v>
      </c>
      <c r="AL36" s="38" t="s">
        <v>299</v>
      </c>
      <c r="AM36" s="38" t="s">
        <v>299</v>
      </c>
      <c r="AN36" s="38" t="s">
        <v>299</v>
      </c>
      <c r="AO36" s="38" t="s">
        <v>299</v>
      </c>
      <c r="AQ36" s="38" t="s">
        <v>299</v>
      </c>
      <c r="AR36" s="38" t="s">
        <v>299</v>
      </c>
      <c r="AS36" s="38" t="s">
        <v>299</v>
      </c>
      <c r="AT36" s="38" t="s">
        <v>299</v>
      </c>
    </row>
    <row r="37" spans="1:46" x14ac:dyDescent="0.3">
      <c r="A37" s="38">
        <v>2021</v>
      </c>
      <c r="B37" s="166">
        <f>SCRS!DB14</f>
        <v>1849.4589499999997</v>
      </c>
      <c r="C37" s="190">
        <f>D37-G37</f>
        <v>0</v>
      </c>
      <c r="D37" s="190">
        <v>1846.4809637440005</v>
      </c>
      <c r="E37" s="166">
        <v>1846.4809637440005</v>
      </c>
      <c r="F37" s="190">
        <v>1846.4809637440005</v>
      </c>
      <c r="G37" s="190">
        <v>1846.4809637440005</v>
      </c>
      <c r="H37" s="190">
        <v>1846.4809637440005</v>
      </c>
      <c r="J37" s="190">
        <v>1846.4809637440005</v>
      </c>
      <c r="K37" s="166">
        <v>1846.4809637440005</v>
      </c>
      <c r="L37" s="190">
        <v>1846.4809637440005</v>
      </c>
      <c r="M37" s="190">
        <v>1846.4809637440005</v>
      </c>
      <c r="N37" s="190">
        <v>1846.4809637440005</v>
      </c>
      <c r="P37" s="190">
        <v>1846.4809637440005</v>
      </c>
      <c r="Q37" s="190">
        <v>1846.4809637440005</v>
      </c>
      <c r="R37" s="190">
        <v>1846.4809637440005</v>
      </c>
      <c r="S37" s="190">
        <v>1846.4809637440005</v>
      </c>
      <c r="U37" s="190">
        <v>1846.4809637440005</v>
      </c>
      <c r="V37" s="190">
        <v>1846.4809637440005</v>
      </c>
      <c r="W37" s="190">
        <v>1846.4809637440005</v>
      </c>
      <c r="X37" s="190">
        <v>1846.4809637440005</v>
      </c>
      <c r="Z37" s="190">
        <v>1846.4809637440005</v>
      </c>
      <c r="AA37" s="166">
        <v>1846.4809637440005</v>
      </c>
      <c r="AB37" s="190">
        <v>1846.4809637440005</v>
      </c>
      <c r="AC37" s="190">
        <v>1846.4809637440005</v>
      </c>
      <c r="AD37" s="190">
        <v>1846.4809637440005</v>
      </c>
      <c r="AF37" s="190">
        <v>1846.4809637440005</v>
      </c>
      <c r="AG37" s="166">
        <v>1846.4809637440005</v>
      </c>
      <c r="AH37" s="190">
        <v>1846.4809637440005</v>
      </c>
      <c r="AI37" s="190">
        <v>1846.4809637440005</v>
      </c>
      <c r="AJ37" s="190">
        <v>1846.4809637440005</v>
      </c>
      <c r="AL37" s="190">
        <v>1846.4809637440005</v>
      </c>
      <c r="AM37" s="190">
        <v>1846.4809637440005</v>
      </c>
      <c r="AN37" s="190">
        <v>1846.4809637440005</v>
      </c>
      <c r="AO37" s="190">
        <v>1846.4809637440005</v>
      </c>
      <c r="AQ37" s="190">
        <v>1846.4809637440005</v>
      </c>
      <c r="AR37" s="190">
        <v>1846.4809637440005</v>
      </c>
      <c r="AS37" s="190">
        <v>1846.4809637440005</v>
      </c>
      <c r="AT37" s="190">
        <v>1846.4809637440005</v>
      </c>
    </row>
    <row r="38" spans="1:46" x14ac:dyDescent="0.3">
      <c r="A38" s="38">
        <v>2022</v>
      </c>
      <c r="B38" s="166">
        <f>SCRS!DB15</f>
        <v>240.86808828869457</v>
      </c>
      <c r="C38" s="190">
        <f t="shared" ref="C38:C66" si="0">D38-G38</f>
        <v>-488.99755501222444</v>
      </c>
      <c r="D38" s="190">
        <v>1979.5637049665729</v>
      </c>
      <c r="E38" s="166">
        <v>1979.5637049665729</v>
      </c>
      <c r="F38" s="190">
        <v>2077.3632159690183</v>
      </c>
      <c r="G38" s="190">
        <v>2468.5612599787974</v>
      </c>
      <c r="H38" s="190">
        <v>2957.5588149910227</v>
      </c>
      <c r="J38" s="190">
        <v>1979.5637049665729</v>
      </c>
      <c r="K38" s="166">
        <v>1979.5637049665729</v>
      </c>
      <c r="L38" s="190">
        <v>2077.3632159690183</v>
      </c>
      <c r="M38" s="190">
        <v>2468.5612599787974</v>
      </c>
      <c r="N38" s="190">
        <v>2957.5588149910227</v>
      </c>
      <c r="P38" s="190">
        <v>1979.5637049665731</v>
      </c>
      <c r="Q38" s="190">
        <v>2077.3632159690183</v>
      </c>
      <c r="R38" s="190">
        <v>2468.5612599787978</v>
      </c>
      <c r="S38" s="190">
        <v>2957.5588149910232</v>
      </c>
      <c r="U38" s="190">
        <v>1979.5637049665731</v>
      </c>
      <c r="V38" s="190">
        <v>2077.3632159690183</v>
      </c>
      <c r="W38" s="190">
        <v>2468.5612599787978</v>
      </c>
      <c r="X38" s="190">
        <v>2957.5588149910232</v>
      </c>
      <c r="Z38" s="190">
        <v>2149.8210141526688</v>
      </c>
      <c r="AA38" s="166">
        <v>2248.9843706589081</v>
      </c>
      <c r="AB38" s="190">
        <v>2247.6205251551137</v>
      </c>
      <c r="AC38" s="190">
        <v>2638.8185691648937</v>
      </c>
      <c r="AD38" s="190">
        <v>3127.8161241771186</v>
      </c>
      <c r="AF38" s="190">
        <v>2149.8210141526688</v>
      </c>
      <c r="AG38" s="166">
        <v>2248.9843706589081</v>
      </c>
      <c r="AH38" s="190">
        <v>2247.6205251551137</v>
      </c>
      <c r="AI38" s="190">
        <v>2638.8185691648937</v>
      </c>
      <c r="AJ38" s="190">
        <v>3127.8161241771186</v>
      </c>
      <c r="AL38" s="190">
        <v>2072.4860264602485</v>
      </c>
      <c r="AM38" s="190">
        <v>2170.2855374626934</v>
      </c>
      <c r="AN38" s="190">
        <v>2561.4835814724734</v>
      </c>
      <c r="AO38" s="190">
        <v>3050.4811364846983</v>
      </c>
      <c r="AQ38" s="190">
        <v>2072.4860264602485</v>
      </c>
      <c r="AR38" s="190">
        <v>2170.2855374626934</v>
      </c>
      <c r="AS38" s="190">
        <v>2561.4835814724734</v>
      </c>
      <c r="AT38" s="190">
        <v>3050.4811364846983</v>
      </c>
    </row>
    <row r="39" spans="1:46" x14ac:dyDescent="0.3">
      <c r="A39" s="38">
        <v>2023</v>
      </c>
      <c r="B39" s="166">
        <f>SCRS!DB16</f>
        <v>2150.8520640628694</v>
      </c>
      <c r="C39" s="190">
        <f t="shared" si="0"/>
        <v>0</v>
      </c>
      <c r="D39" s="190">
        <v>2114.499416450481</v>
      </c>
      <c r="E39" s="166">
        <v>2114.499416450481</v>
      </c>
      <c r="F39" s="190">
        <v>2114.499416450481</v>
      </c>
      <c r="G39" s="190">
        <v>2114.499416450481</v>
      </c>
      <c r="H39" s="190">
        <v>2114.499416450481</v>
      </c>
      <c r="J39" s="190">
        <v>2114.499416450481</v>
      </c>
      <c r="K39" s="166">
        <v>2114.499416450481</v>
      </c>
      <c r="L39" s="190">
        <v>2114.499416450481</v>
      </c>
      <c r="M39" s="190">
        <v>2114.499416450481</v>
      </c>
      <c r="N39" s="190">
        <v>2114.499416450481</v>
      </c>
      <c r="P39" s="190">
        <v>2114.4994164504806</v>
      </c>
      <c r="Q39" s="190">
        <v>2114.4994164504806</v>
      </c>
      <c r="R39" s="190">
        <v>2114.4994164504806</v>
      </c>
      <c r="S39" s="190">
        <v>2114.4994164504806</v>
      </c>
      <c r="U39" s="190">
        <v>2114.4994164504806</v>
      </c>
      <c r="V39" s="190">
        <v>2114.4994164504806</v>
      </c>
      <c r="W39" s="190">
        <v>2114.4994164504806</v>
      </c>
      <c r="X39" s="190">
        <v>2114.4994164504806</v>
      </c>
      <c r="Z39" s="190">
        <v>2114.499416450481</v>
      </c>
      <c r="AA39" s="166">
        <v>2654.4265473433111</v>
      </c>
      <c r="AB39" s="190">
        <v>2114.499416450481</v>
      </c>
      <c r="AC39" s="190">
        <v>2114.499416450481</v>
      </c>
      <c r="AD39" s="190">
        <v>2114.499416450481</v>
      </c>
      <c r="AF39" s="190">
        <v>2114.499416450481</v>
      </c>
      <c r="AG39" s="166">
        <v>2654.4265473433111</v>
      </c>
      <c r="AH39" s="190">
        <v>2114.499416450481</v>
      </c>
      <c r="AI39" s="190">
        <v>2114.499416450481</v>
      </c>
      <c r="AJ39" s="190">
        <v>2114.499416450481</v>
      </c>
      <c r="AL39" s="190">
        <v>2114.499416450481</v>
      </c>
      <c r="AM39" s="190">
        <v>2114.499416450481</v>
      </c>
      <c r="AN39" s="190">
        <v>2114.499416450481</v>
      </c>
      <c r="AO39" s="190">
        <v>2114.499416450481</v>
      </c>
      <c r="AQ39" s="190">
        <v>2114.499416450481</v>
      </c>
      <c r="AR39" s="190">
        <v>2114.499416450481</v>
      </c>
      <c r="AS39" s="190">
        <v>2114.499416450481</v>
      </c>
      <c r="AT39" s="190">
        <v>2114.499416450481</v>
      </c>
    </row>
    <row r="40" spans="1:46" x14ac:dyDescent="0.3">
      <c r="A40" s="38">
        <v>2024</v>
      </c>
      <c r="B40" s="166">
        <f>SCRS!DB17</f>
        <v>2085.508101750273</v>
      </c>
      <c r="C40" s="190">
        <f t="shared" si="0"/>
        <v>0</v>
      </c>
      <c r="D40" s="190">
        <v>2251.3081210575583</v>
      </c>
      <c r="E40" s="166">
        <v>2251.3081210575583</v>
      </c>
      <c r="F40" s="190">
        <v>2251.3081210575583</v>
      </c>
      <c r="G40" s="190">
        <v>2251.3081210575583</v>
      </c>
      <c r="H40" s="190">
        <v>2251.3081210575583</v>
      </c>
      <c r="J40" s="190">
        <v>2251.3081210575583</v>
      </c>
      <c r="K40" s="166">
        <v>2251.3081210575583</v>
      </c>
      <c r="L40" s="190">
        <v>2251.3081210575583</v>
      </c>
      <c r="M40" s="190">
        <v>2251.3081210575583</v>
      </c>
      <c r="N40" s="190">
        <v>2251.3081210575583</v>
      </c>
      <c r="P40" s="190">
        <v>2251.3081210575583</v>
      </c>
      <c r="Q40" s="190">
        <v>2251.3081210575583</v>
      </c>
      <c r="R40" s="190">
        <v>2251.3081210575583</v>
      </c>
      <c r="S40" s="190">
        <v>2251.3081210575583</v>
      </c>
      <c r="U40" s="190">
        <v>2251.3081210575583</v>
      </c>
      <c r="V40" s="190">
        <v>2251.3081210575583</v>
      </c>
      <c r="W40" s="190">
        <v>2251.3081210575583</v>
      </c>
      <c r="X40" s="190">
        <v>2251.3081210575583</v>
      </c>
      <c r="Z40" s="190">
        <v>2251.3081210575583</v>
      </c>
      <c r="AA40" s="166">
        <v>2629.0949852490576</v>
      </c>
      <c r="AB40" s="190">
        <v>2251.3081210575583</v>
      </c>
      <c r="AC40" s="190">
        <v>2251.3081210575583</v>
      </c>
      <c r="AD40" s="190">
        <v>2251.3081210575583</v>
      </c>
      <c r="AF40" s="190">
        <v>2251.3081210575583</v>
      </c>
      <c r="AG40" s="166">
        <v>2759.9819014551272</v>
      </c>
      <c r="AH40" s="190">
        <v>2251.3081210575583</v>
      </c>
      <c r="AI40" s="190">
        <v>2251.3081210575583</v>
      </c>
      <c r="AJ40" s="190">
        <v>2251.3081210575583</v>
      </c>
      <c r="AL40" s="190">
        <v>2251.3081210575583</v>
      </c>
      <c r="AM40" s="190">
        <v>2251.3081210575583</v>
      </c>
      <c r="AN40" s="190">
        <v>2251.3081210575583</v>
      </c>
      <c r="AO40" s="190">
        <v>2251.3081210575583</v>
      </c>
      <c r="AQ40" s="190">
        <v>2251.3081210575583</v>
      </c>
      <c r="AR40" s="190">
        <v>2251.3081210575583</v>
      </c>
      <c r="AS40" s="190">
        <v>2251.3081210575583</v>
      </c>
      <c r="AT40" s="190">
        <v>2251.3081210575583</v>
      </c>
    </row>
    <row r="41" spans="1:46" x14ac:dyDescent="0.3">
      <c r="A41" s="38">
        <v>2025</v>
      </c>
      <c r="B41" s="166">
        <f>SCRS!DB18</f>
        <v>2035.451559347194</v>
      </c>
      <c r="C41" s="190">
        <f t="shared" si="0"/>
        <v>0</v>
      </c>
      <c r="D41" s="190">
        <v>2267.8213835592028</v>
      </c>
      <c r="E41" s="166">
        <v>2390.010035690625</v>
      </c>
      <c r="F41" s="190">
        <v>2267.8213835592028</v>
      </c>
      <c r="G41" s="190">
        <v>2267.8213835592028</v>
      </c>
      <c r="H41" s="190">
        <v>2267.8213835592028</v>
      </c>
      <c r="J41" s="190">
        <v>2267.8213835592028</v>
      </c>
      <c r="K41" s="166">
        <v>2390.010035690625</v>
      </c>
      <c r="L41" s="190">
        <v>2267.8213835592028</v>
      </c>
      <c r="M41" s="190">
        <v>2267.8213835592028</v>
      </c>
      <c r="N41" s="190">
        <v>2267.8213835592028</v>
      </c>
      <c r="P41" s="190">
        <v>2267.6851514810555</v>
      </c>
      <c r="Q41" s="190">
        <v>2267.6851514810555</v>
      </c>
      <c r="R41" s="190">
        <v>2267.6851514810555</v>
      </c>
      <c r="S41" s="190">
        <v>2267.6851514810555</v>
      </c>
      <c r="U41" s="190">
        <v>2267.6805731599693</v>
      </c>
      <c r="V41" s="190">
        <v>2267.6805731599693</v>
      </c>
      <c r="W41" s="190">
        <v>2267.6805731599693</v>
      </c>
      <c r="X41" s="190">
        <v>2267.6805731599693</v>
      </c>
      <c r="Z41" s="190">
        <v>2267.8213835592028</v>
      </c>
      <c r="AA41" s="166">
        <v>2606.4701637056523</v>
      </c>
      <c r="AB41" s="190">
        <v>2267.8213835592028</v>
      </c>
      <c r="AC41" s="190">
        <v>2267.8213835592028</v>
      </c>
      <c r="AD41" s="190">
        <v>2267.8213835592028</v>
      </c>
      <c r="AF41" s="190">
        <v>2371.792894015131</v>
      </c>
      <c r="AG41" s="166">
        <v>2880.8672133521409</v>
      </c>
      <c r="AH41" s="190">
        <v>2364.7115139160396</v>
      </c>
      <c r="AI41" s="190">
        <v>2336.3859935196756</v>
      </c>
      <c r="AJ41" s="190">
        <v>2300.9790930242207</v>
      </c>
      <c r="AL41" s="190">
        <v>2267.8213835592028</v>
      </c>
      <c r="AM41" s="190">
        <v>2267.8213835592028</v>
      </c>
      <c r="AN41" s="190">
        <v>2267.8213835592028</v>
      </c>
      <c r="AO41" s="190">
        <v>2267.8213835592028</v>
      </c>
      <c r="AQ41" s="190">
        <v>2267.8213835592028</v>
      </c>
      <c r="AR41" s="190">
        <v>2267.8213835592028</v>
      </c>
      <c r="AS41" s="190">
        <v>2267.8213835592028</v>
      </c>
      <c r="AT41" s="190">
        <v>2267.8213835592028</v>
      </c>
    </row>
    <row r="42" spans="1:46" x14ac:dyDescent="0.3">
      <c r="A42" s="38">
        <v>2026</v>
      </c>
      <c r="B42" s="166">
        <f>SCRS!DB19</f>
        <v>1983.8322434603597</v>
      </c>
      <c r="C42" s="190">
        <f t="shared" si="0"/>
        <v>0</v>
      </c>
      <c r="D42" s="190">
        <v>2284.4557702356756</v>
      </c>
      <c r="E42" s="166">
        <v>2284.4557702356756</v>
      </c>
      <c r="F42" s="190">
        <v>2284.4557702356756</v>
      </c>
      <c r="G42" s="190">
        <v>2284.4557702356756</v>
      </c>
      <c r="H42" s="190">
        <v>2284.4557702356756</v>
      </c>
      <c r="J42" s="190">
        <v>2284.4557702356756</v>
      </c>
      <c r="K42" s="166">
        <v>2530.6255730627963</v>
      </c>
      <c r="L42" s="190">
        <v>2284.4557702356756</v>
      </c>
      <c r="M42" s="190">
        <v>2284.4557702356756</v>
      </c>
      <c r="N42" s="190">
        <v>2284.4557702356756</v>
      </c>
      <c r="P42" s="190">
        <v>2284.002061978259</v>
      </c>
      <c r="Q42" s="190">
        <v>2284.002061978259</v>
      </c>
      <c r="R42" s="190">
        <v>2284.002061978259</v>
      </c>
      <c r="S42" s="190">
        <v>2284.002061978259</v>
      </c>
      <c r="U42" s="190">
        <v>2283.9716134965829</v>
      </c>
      <c r="V42" s="190">
        <v>2283.9716134965829</v>
      </c>
      <c r="W42" s="190">
        <v>2283.9716134965829</v>
      </c>
      <c r="X42" s="190">
        <v>2283.9716134965829</v>
      </c>
      <c r="Z42" s="190">
        <v>2284.455770235676</v>
      </c>
      <c r="AA42" s="166">
        <v>2582.6634256484285</v>
      </c>
      <c r="AB42" s="190">
        <v>2284.455770235676</v>
      </c>
      <c r="AC42" s="190">
        <v>2284.455770235676</v>
      </c>
      <c r="AD42" s="190">
        <v>2284.455770235676</v>
      </c>
      <c r="AF42" s="190">
        <v>2480.9755421511372</v>
      </c>
      <c r="AG42" s="166">
        <v>2969.5175552089513</v>
      </c>
      <c r="AH42" s="190">
        <v>2473.442228435275</v>
      </c>
      <c r="AI42" s="190">
        <v>2443.308973571824</v>
      </c>
      <c r="AJ42" s="190">
        <v>2405.6424049925104</v>
      </c>
      <c r="AL42" s="190">
        <v>2284.455770235676</v>
      </c>
      <c r="AM42" s="190">
        <v>2284.4557702356765</v>
      </c>
      <c r="AN42" s="190">
        <v>2284.4557702356765</v>
      </c>
      <c r="AO42" s="190">
        <v>2284.4557702356765</v>
      </c>
      <c r="AQ42" s="190">
        <v>2327.2786922625223</v>
      </c>
      <c r="AR42" s="190">
        <v>2319.7453785466596</v>
      </c>
      <c r="AS42" s="190">
        <v>2289.6121236832087</v>
      </c>
      <c r="AT42" s="190">
        <v>2284.455770235676</v>
      </c>
    </row>
    <row r="43" spans="1:46" x14ac:dyDescent="0.3">
      <c r="A43" s="38">
        <v>2027</v>
      </c>
      <c r="B43" s="166">
        <f>SCRS!DB20</f>
        <v>1903.1980021789595</v>
      </c>
      <c r="C43" s="190">
        <f t="shared" si="0"/>
        <v>0</v>
      </c>
      <c r="D43" s="190">
        <v>2301.2121695283586</v>
      </c>
      <c r="E43" s="166">
        <v>2301.2121695283586</v>
      </c>
      <c r="F43" s="190">
        <v>2301.2121695283586</v>
      </c>
      <c r="G43" s="190">
        <v>2301.2121695283586</v>
      </c>
      <c r="H43" s="190">
        <v>2301.2121695283586</v>
      </c>
      <c r="J43" s="190">
        <v>2301.2121695283586</v>
      </c>
      <c r="K43" s="166">
        <v>2673.1753434822954</v>
      </c>
      <c r="L43" s="190">
        <v>2301.2121695283586</v>
      </c>
      <c r="M43" s="190">
        <v>2301.2121695283586</v>
      </c>
      <c r="N43" s="190">
        <v>2301.2121695283586</v>
      </c>
      <c r="P43" s="190">
        <v>2300.308476254414</v>
      </c>
      <c r="Q43" s="190">
        <v>2300.308476254414</v>
      </c>
      <c r="R43" s="190">
        <v>2300.308476254414</v>
      </c>
      <c r="S43" s="190">
        <v>2300.308476254414</v>
      </c>
      <c r="U43" s="190">
        <v>2300.2004573438321</v>
      </c>
      <c r="V43" s="190">
        <v>2300.2004573438321</v>
      </c>
      <c r="W43" s="190">
        <v>2300.2004573438321</v>
      </c>
      <c r="X43" s="190">
        <v>2300.2004573438321</v>
      </c>
      <c r="Z43" s="190">
        <v>2301.2121695283586</v>
      </c>
      <c r="AA43" s="166">
        <v>2533.1280160125698</v>
      </c>
      <c r="AB43" s="190">
        <v>2301.2121695283581</v>
      </c>
      <c r="AC43" s="190">
        <v>2301.2121695283586</v>
      </c>
      <c r="AD43" s="190">
        <v>2301.2121695283581</v>
      </c>
      <c r="AF43" s="190">
        <v>2532.809473083852</v>
      </c>
      <c r="AG43" s="166">
        <v>3000.9675710126844</v>
      </c>
      <c r="AH43" s="190">
        <v>2525.2929149947054</v>
      </c>
      <c r="AI43" s="190">
        <v>2495.2266826381201</v>
      </c>
      <c r="AJ43" s="190">
        <v>2457.6438921923877</v>
      </c>
      <c r="AL43" s="190">
        <v>2301.2121695283581</v>
      </c>
      <c r="AM43" s="190">
        <v>2301.2121695283581</v>
      </c>
      <c r="AN43" s="190">
        <v>2301.2121695283577</v>
      </c>
      <c r="AO43" s="190">
        <v>2301.2121695283577</v>
      </c>
      <c r="AQ43" s="190">
        <v>2363.5086224564948</v>
      </c>
      <c r="AR43" s="190">
        <v>2355.4461878397601</v>
      </c>
      <c r="AS43" s="190">
        <v>2323.1964493728201</v>
      </c>
      <c r="AT43" s="190">
        <v>2301.2121695283581</v>
      </c>
    </row>
    <row r="44" spans="1:46" x14ac:dyDescent="0.3">
      <c r="A44" s="38">
        <v>2028</v>
      </c>
      <c r="B44" s="166">
        <f>SCRS!DB21</f>
        <v>1909.6127321295205</v>
      </c>
      <c r="C44" s="190">
        <f t="shared" si="0"/>
        <v>0</v>
      </c>
      <c r="D44" s="190">
        <v>2318.0914763953151</v>
      </c>
      <c r="E44" s="166">
        <v>2318.0914763953151</v>
      </c>
      <c r="F44" s="190">
        <v>2318.0914763953151</v>
      </c>
      <c r="G44" s="190">
        <v>2318.0914763953151</v>
      </c>
      <c r="H44" s="190">
        <v>2318.0914763953151</v>
      </c>
      <c r="J44" s="190">
        <v>2318.0914763953151</v>
      </c>
      <c r="K44" s="166">
        <v>2817.6801566529261</v>
      </c>
      <c r="L44" s="190">
        <v>2318.0914763953151</v>
      </c>
      <c r="M44" s="190">
        <v>2318.0914763953151</v>
      </c>
      <c r="N44" s="190">
        <v>2318.0914763953151</v>
      </c>
      <c r="P44" s="190">
        <v>2316.6007726857042</v>
      </c>
      <c r="Q44" s="190">
        <v>2316.6007726857042</v>
      </c>
      <c r="R44" s="190">
        <v>2316.6007726857042</v>
      </c>
      <c r="S44" s="190">
        <v>2316.6007726857042</v>
      </c>
      <c r="U44" s="190">
        <v>2441.3268470729527</v>
      </c>
      <c r="V44" s="190">
        <v>2316.4296770085498</v>
      </c>
      <c r="W44" s="190">
        <v>2316.4296770085498</v>
      </c>
      <c r="X44" s="190">
        <v>2316.4296770085498</v>
      </c>
      <c r="Z44" s="190">
        <v>2318.0914763953142</v>
      </c>
      <c r="AA44" s="166">
        <v>2556.7630946444779</v>
      </c>
      <c r="AB44" s="190">
        <v>2318.0914763953151</v>
      </c>
      <c r="AC44" s="190">
        <v>2318.0914763953142</v>
      </c>
      <c r="AD44" s="190">
        <v>2318.0914763953142</v>
      </c>
      <c r="AF44" s="190">
        <v>2656.1832497138498</v>
      </c>
      <c r="AG44" s="166">
        <v>3094.6706668852207</v>
      </c>
      <c r="AH44" s="190">
        <v>2648.6723799652377</v>
      </c>
      <c r="AI44" s="190">
        <v>2618.6289009707939</v>
      </c>
      <c r="AJ44" s="190">
        <v>2581.0745522277384</v>
      </c>
      <c r="AL44" s="190">
        <v>2318.0914763953147</v>
      </c>
      <c r="AM44" s="190">
        <v>2318.0914763953147</v>
      </c>
      <c r="AN44" s="190">
        <v>2318.0914763953147</v>
      </c>
      <c r="AO44" s="190">
        <v>2318.0914763953147</v>
      </c>
      <c r="AQ44" s="190">
        <v>2473.3310206429592</v>
      </c>
      <c r="AR44" s="190">
        <v>2465.2689106277735</v>
      </c>
      <c r="AS44" s="190">
        <v>2433.0204705670335</v>
      </c>
      <c r="AT44" s="190">
        <v>2390.2154142879999</v>
      </c>
    </row>
    <row r="45" spans="1:46" x14ac:dyDescent="0.3">
      <c r="A45" s="38">
        <v>2029</v>
      </c>
      <c r="B45" s="166">
        <f>SCRS!DB22</f>
        <v>1914.8828205688858</v>
      </c>
      <c r="C45" s="190">
        <f t="shared" si="0"/>
        <v>0</v>
      </c>
      <c r="D45" s="190">
        <v>2335.0945923590948</v>
      </c>
      <c r="E45" s="166">
        <v>2335.0945923590948</v>
      </c>
      <c r="F45" s="190">
        <v>2335.0945923590948</v>
      </c>
      <c r="G45" s="190">
        <v>2335.0945923590948</v>
      </c>
      <c r="H45" s="190">
        <v>2335.0945923590948</v>
      </c>
      <c r="J45" s="190">
        <v>2335.0945923590948</v>
      </c>
      <c r="K45" s="166">
        <v>2335.0945923590948</v>
      </c>
      <c r="L45" s="190">
        <v>2335.0945923590948</v>
      </c>
      <c r="M45" s="190">
        <v>2335.0945923590948</v>
      </c>
      <c r="N45" s="190">
        <v>2335.0945923590948</v>
      </c>
      <c r="P45" s="190">
        <v>2332.8728743610995</v>
      </c>
      <c r="Q45" s="190">
        <v>2332.8728743610995</v>
      </c>
      <c r="R45" s="190">
        <v>2332.8728743610995</v>
      </c>
      <c r="S45" s="190">
        <v>2332.8728743610995</v>
      </c>
      <c r="U45" s="190">
        <v>2332.6831844283511</v>
      </c>
      <c r="V45" s="190">
        <v>2332.6831844283511</v>
      </c>
      <c r="W45" s="190">
        <v>2332.6831844283511</v>
      </c>
      <c r="X45" s="190">
        <v>2332.6831844283511</v>
      </c>
      <c r="Z45" s="190">
        <v>2335.0945923590953</v>
      </c>
      <c r="AA45" s="166">
        <v>2581.2234216072125</v>
      </c>
      <c r="AB45" s="190">
        <v>2335.0945923590953</v>
      </c>
      <c r="AC45" s="190">
        <v>2335.0945923590953</v>
      </c>
      <c r="AD45" s="190">
        <v>2335.0945923590953</v>
      </c>
      <c r="AF45" s="190">
        <v>2645.4985922995934</v>
      </c>
      <c r="AG45" s="166">
        <v>3067.1046079256189</v>
      </c>
      <c r="AH45" s="190">
        <v>2637.7931931113649</v>
      </c>
      <c r="AI45" s="190">
        <v>2606.9715963584531</v>
      </c>
      <c r="AJ45" s="190">
        <v>2568.4446004173137</v>
      </c>
      <c r="AL45" s="190">
        <v>2335.0945923590953</v>
      </c>
      <c r="AM45" s="190">
        <v>2335.0945923590953</v>
      </c>
      <c r="AN45" s="190">
        <v>2335.0945923590953</v>
      </c>
      <c r="AO45" s="190">
        <v>2335.0945923590953</v>
      </c>
      <c r="AQ45" s="190">
        <v>2448.6115818367462</v>
      </c>
      <c r="AR45" s="190">
        <v>2440.3510990801133</v>
      </c>
      <c r="AS45" s="190">
        <v>2407.309168053584</v>
      </c>
      <c r="AT45" s="190">
        <v>2362.095796124263</v>
      </c>
    </row>
    <row r="46" spans="1:46" x14ac:dyDescent="0.3">
      <c r="A46" s="38">
        <v>2030</v>
      </c>
      <c r="B46" s="166">
        <f>SCRS!DB23</f>
        <v>1920.1594493252321</v>
      </c>
      <c r="C46" s="190">
        <f t="shared" si="0"/>
        <v>0</v>
      </c>
      <c r="D46" s="190">
        <v>2352.2224255548836</v>
      </c>
      <c r="E46" s="166">
        <v>2352.2224255548836</v>
      </c>
      <c r="F46" s="190">
        <v>2352.2224255548836</v>
      </c>
      <c r="G46" s="190">
        <v>2352.2224255548836</v>
      </c>
      <c r="H46" s="190">
        <v>2352.2224255548836</v>
      </c>
      <c r="J46" s="190">
        <v>2352.2224255548836</v>
      </c>
      <c r="K46" s="166">
        <v>2352.2224255548836</v>
      </c>
      <c r="L46" s="190">
        <v>2352.2224255548836</v>
      </c>
      <c r="M46" s="190">
        <v>2352.2224255548836</v>
      </c>
      <c r="N46" s="190">
        <v>2352.2224255548836</v>
      </c>
      <c r="P46" s="190">
        <v>2349.1174190601719</v>
      </c>
      <c r="Q46" s="190">
        <v>2349.1174190601719</v>
      </c>
      <c r="R46" s="190">
        <v>2349.1174190601719</v>
      </c>
      <c r="S46" s="190">
        <v>2349.1174190601719</v>
      </c>
      <c r="U46" s="190">
        <v>2348.9712133215589</v>
      </c>
      <c r="V46" s="190">
        <v>2348.9712133215589</v>
      </c>
      <c r="W46" s="190">
        <v>2348.9712133215589</v>
      </c>
      <c r="X46" s="190">
        <v>2348.9712133215589</v>
      </c>
      <c r="Z46" s="190">
        <v>2352.2224255548831</v>
      </c>
      <c r="AA46" s="166">
        <v>2606.4613546635164</v>
      </c>
      <c r="AB46" s="190">
        <v>2352.2224255548831</v>
      </c>
      <c r="AC46" s="190">
        <v>2352.2224255548831</v>
      </c>
      <c r="AD46" s="190">
        <v>2352.2224255548831</v>
      </c>
      <c r="AF46" s="190">
        <v>2656.9181269369101</v>
      </c>
      <c r="AG46" s="166">
        <v>3058.5663315076035</v>
      </c>
      <c r="AH46" s="190">
        <v>2649.0900955502293</v>
      </c>
      <c r="AI46" s="190">
        <v>2617.7779700035098</v>
      </c>
      <c r="AJ46" s="190">
        <v>2578.6378130701096</v>
      </c>
      <c r="AL46" s="190">
        <v>2352.2224255548831</v>
      </c>
      <c r="AM46" s="190">
        <v>2352.2224255548831</v>
      </c>
      <c r="AN46" s="190">
        <v>2352.2224255548831</v>
      </c>
      <c r="AO46" s="190">
        <v>2352.2224255548831</v>
      </c>
      <c r="AQ46" s="190">
        <v>2445.9399463578038</v>
      </c>
      <c r="AR46" s="190">
        <v>2437.5543447389</v>
      </c>
      <c r="AS46" s="190">
        <v>2404.0119382632897</v>
      </c>
      <c r="AT46" s="190">
        <v>2358.1629397268284</v>
      </c>
    </row>
    <row r="47" spans="1:46" x14ac:dyDescent="0.3">
      <c r="A47" s="38">
        <v>2031</v>
      </c>
      <c r="B47" s="166">
        <f>SCRS!DB24</f>
        <v>1925.4434253437219</v>
      </c>
      <c r="C47" s="190">
        <f t="shared" si="0"/>
        <v>0</v>
      </c>
      <c r="D47" s="190">
        <v>2369.4758907790019</v>
      </c>
      <c r="E47" s="166">
        <v>2369.4758907790019</v>
      </c>
      <c r="F47" s="190">
        <v>2369.4758907790019</v>
      </c>
      <c r="G47" s="190">
        <v>2369.4758907790019</v>
      </c>
      <c r="H47" s="190">
        <v>2369.4758907790019</v>
      </c>
      <c r="J47" s="190">
        <v>2369.4758907790019</v>
      </c>
      <c r="K47" s="166">
        <v>2497.141617652871</v>
      </c>
      <c r="L47" s="190">
        <v>2369.4758907790019</v>
      </c>
      <c r="M47" s="190">
        <v>2369.4758907790019</v>
      </c>
      <c r="N47" s="190">
        <v>2369.4758907790019</v>
      </c>
      <c r="P47" s="190">
        <v>2365.3273784209873</v>
      </c>
      <c r="Q47" s="190">
        <v>2365.3273784209873</v>
      </c>
      <c r="R47" s="190">
        <v>2365.3273784209873</v>
      </c>
      <c r="S47" s="190">
        <v>2365.3273784209873</v>
      </c>
      <c r="U47" s="190">
        <v>2365.3157201961685</v>
      </c>
      <c r="V47" s="190">
        <v>2365.3157201961685</v>
      </c>
      <c r="W47" s="190">
        <v>2365.3157201961685</v>
      </c>
      <c r="X47" s="190">
        <v>2365.3157201961685</v>
      </c>
      <c r="Z47" s="190">
        <v>2369.4758907790024</v>
      </c>
      <c r="AA47" s="166">
        <v>2636.1368888470847</v>
      </c>
      <c r="AB47" s="190">
        <v>2369.4758907790019</v>
      </c>
      <c r="AC47" s="190">
        <v>2369.4758907790019</v>
      </c>
      <c r="AD47" s="190">
        <v>2369.4758907790019</v>
      </c>
      <c r="AF47" s="190">
        <v>2695.9538666715457</v>
      </c>
      <c r="AG47" s="166">
        <v>3072.8513881227673</v>
      </c>
      <c r="AH47" s="190">
        <v>2688.0728628116663</v>
      </c>
      <c r="AI47" s="190">
        <v>2656.5488473721475</v>
      </c>
      <c r="AJ47" s="190">
        <v>2617.1438280727489</v>
      </c>
      <c r="AL47" s="190">
        <v>2369.4758907790028</v>
      </c>
      <c r="AM47" s="190">
        <v>2369.4758907790028</v>
      </c>
      <c r="AN47" s="190">
        <v>2369.4758907790028</v>
      </c>
      <c r="AO47" s="190">
        <v>2369.4758907790028</v>
      </c>
      <c r="AQ47" s="190">
        <v>2466.6752201844197</v>
      </c>
      <c r="AR47" s="190">
        <v>2458.2353678628774</v>
      </c>
      <c r="AS47" s="190">
        <v>2424.475958576711</v>
      </c>
      <c r="AT47" s="190">
        <v>2378.3541057163084</v>
      </c>
    </row>
    <row r="48" spans="1:46" x14ac:dyDescent="0.3">
      <c r="A48" s="38">
        <v>2032</v>
      </c>
      <c r="B48" s="166">
        <f>SCRS!DB25</f>
        <v>1930.73532120347</v>
      </c>
      <c r="C48" s="190">
        <f t="shared" si="0"/>
        <v>0</v>
      </c>
      <c r="D48" s="190">
        <v>2386.8559095377727</v>
      </c>
      <c r="E48" s="166">
        <v>2386.8559095377727</v>
      </c>
      <c r="F48" s="190">
        <v>2386.8559095377727</v>
      </c>
      <c r="G48" s="190">
        <v>2386.8559095377727</v>
      </c>
      <c r="H48" s="190">
        <v>2386.8559095377727</v>
      </c>
      <c r="J48" s="190">
        <v>2386.8559095377727</v>
      </c>
      <c r="K48" s="166">
        <v>2386.8559095377727</v>
      </c>
      <c r="L48" s="190">
        <v>2386.8559095377727</v>
      </c>
      <c r="M48" s="190">
        <v>2386.8559095377727</v>
      </c>
      <c r="N48" s="190">
        <v>2386.8559095377727</v>
      </c>
      <c r="P48" s="190">
        <v>2381.4961259872944</v>
      </c>
      <c r="Q48" s="190">
        <v>2381.4961259872944</v>
      </c>
      <c r="R48" s="190">
        <v>2381.4961259872944</v>
      </c>
      <c r="S48" s="190">
        <v>2381.4961259872944</v>
      </c>
      <c r="U48" s="190">
        <v>2381.7499304461126</v>
      </c>
      <c r="V48" s="190">
        <v>2381.7499304461126</v>
      </c>
      <c r="W48" s="190">
        <v>2381.7499304461126</v>
      </c>
      <c r="X48" s="190">
        <v>2381.7499304461126</v>
      </c>
      <c r="Z48" s="190">
        <v>2386.8559095377727</v>
      </c>
      <c r="AA48" s="166">
        <v>2662.8315496203081</v>
      </c>
      <c r="AB48" s="190">
        <v>2386.8559095377723</v>
      </c>
      <c r="AC48" s="190">
        <v>2386.8559095377727</v>
      </c>
      <c r="AD48" s="190">
        <v>2386.8559095377723</v>
      </c>
      <c r="AF48" s="190">
        <v>2750.1684857437554</v>
      </c>
      <c r="AG48" s="166">
        <v>3102.764444709007</v>
      </c>
      <c r="AH48" s="190">
        <v>2742.3003584164603</v>
      </c>
      <c r="AI48" s="190">
        <v>2710.8278491072892</v>
      </c>
      <c r="AJ48" s="190">
        <v>2671.4872124708222</v>
      </c>
      <c r="AL48" s="190">
        <v>2386.8559095377727</v>
      </c>
      <c r="AM48" s="190">
        <v>2386.8559095377727</v>
      </c>
      <c r="AN48" s="190">
        <v>2386.8559095377727</v>
      </c>
      <c r="AO48" s="190">
        <v>2386.8559095377727</v>
      </c>
      <c r="AQ48" s="190">
        <v>2506.7644576223101</v>
      </c>
      <c r="AR48" s="190">
        <v>2498.3390138478394</v>
      </c>
      <c r="AS48" s="190">
        <v>2464.6372387499582</v>
      </c>
      <c r="AT48" s="190">
        <v>2418.5932209062098</v>
      </c>
    </row>
    <row r="49" spans="1:46" x14ac:dyDescent="0.3">
      <c r="A49" s="38">
        <v>2033</v>
      </c>
      <c r="B49" s="166">
        <f>SCRS!DB26</f>
        <v>1936.035663319645</v>
      </c>
      <c r="C49" s="190">
        <f t="shared" si="0"/>
        <v>0</v>
      </c>
      <c r="D49" s="190">
        <v>2404.3634100967297</v>
      </c>
      <c r="E49" s="166">
        <v>2404.3634100967297</v>
      </c>
      <c r="F49" s="190">
        <v>2404.3634100967297</v>
      </c>
      <c r="G49" s="190">
        <v>2404.3634100967297</v>
      </c>
      <c r="H49" s="190">
        <v>2404.3634100967297</v>
      </c>
      <c r="J49" s="190">
        <v>2404.3634100967297</v>
      </c>
      <c r="K49" s="166">
        <v>2404.3634100967297</v>
      </c>
      <c r="L49" s="190">
        <v>2404.3634100967297</v>
      </c>
      <c r="M49" s="190">
        <v>2404.3634100967297</v>
      </c>
      <c r="N49" s="190">
        <v>2404.3634100967297</v>
      </c>
      <c r="P49" s="190">
        <v>2397.5568838720997</v>
      </c>
      <c r="Q49" s="190">
        <v>2397.5568838720997</v>
      </c>
      <c r="R49" s="190">
        <v>2397.5568838720997</v>
      </c>
      <c r="S49" s="190">
        <v>2397.5568838720997</v>
      </c>
      <c r="U49" s="190">
        <v>2398.1591480236762</v>
      </c>
      <c r="V49" s="190">
        <v>2398.1591480236762</v>
      </c>
      <c r="W49" s="190">
        <v>2398.1591480236762</v>
      </c>
      <c r="X49" s="190">
        <v>2398.1591480236762</v>
      </c>
      <c r="Z49" s="190">
        <v>2404.3634100967297</v>
      </c>
      <c r="AA49" s="166">
        <v>2693.9988339718434</v>
      </c>
      <c r="AB49" s="190">
        <v>2404.3634100967297</v>
      </c>
      <c r="AC49" s="190">
        <v>2404.3634100967297</v>
      </c>
      <c r="AD49" s="190">
        <v>2404.3634100967297</v>
      </c>
      <c r="AF49" s="190">
        <v>2811.916706708033</v>
      </c>
      <c r="AG49" s="166">
        <v>3137.1741034607971</v>
      </c>
      <c r="AH49" s="190">
        <v>2804.0580116981328</v>
      </c>
      <c r="AI49" s="190">
        <v>2772.623231658537</v>
      </c>
      <c r="AJ49" s="190">
        <v>2733.3297566090405</v>
      </c>
      <c r="AL49" s="190">
        <v>2404.3634100967297</v>
      </c>
      <c r="AM49" s="190">
        <v>2404.3634100967297</v>
      </c>
      <c r="AN49" s="190">
        <v>2404.3634100967297</v>
      </c>
      <c r="AO49" s="190">
        <v>2404.3634100967297</v>
      </c>
      <c r="AQ49" s="190">
        <v>2549.922991243518</v>
      </c>
      <c r="AR49" s="190">
        <v>2541.508322215519</v>
      </c>
      <c r="AS49" s="190">
        <v>2507.8496461035261</v>
      </c>
      <c r="AT49" s="190">
        <v>2461.8693630091143</v>
      </c>
    </row>
    <row r="50" spans="1:46" x14ac:dyDescent="0.3">
      <c r="A50" s="38">
        <v>2034</v>
      </c>
      <c r="B50" s="166">
        <f>SCRS!DB27</f>
        <v>1941.3452007303495</v>
      </c>
      <c r="C50" s="190">
        <f t="shared" si="0"/>
        <v>130.49565342296364</v>
      </c>
      <c r="D50" s="190">
        <v>2421.9993275302027</v>
      </c>
      <c r="E50" s="166">
        <v>2421.9993275302018</v>
      </c>
      <c r="F50" s="190">
        <v>2421.9993275302027</v>
      </c>
      <c r="G50" s="190">
        <v>2291.503674107239</v>
      </c>
      <c r="H50" s="190">
        <v>2291.503674107239</v>
      </c>
      <c r="J50" s="190">
        <v>2421.9993275302027</v>
      </c>
      <c r="K50" s="166">
        <v>2421.9993275302018</v>
      </c>
      <c r="L50" s="190">
        <v>2421.9993275302027</v>
      </c>
      <c r="M50" s="190">
        <v>2421.9993275302027</v>
      </c>
      <c r="N50" s="190">
        <v>2421.9993275302027</v>
      </c>
      <c r="P50" s="190">
        <v>2413.5650612834042</v>
      </c>
      <c r="Q50" s="190">
        <v>2413.5650612834042</v>
      </c>
      <c r="R50" s="190">
        <v>2413.5650612834042</v>
      </c>
      <c r="S50" s="190">
        <v>2413.5650612834042</v>
      </c>
      <c r="U50" s="190">
        <v>2414.6106082637998</v>
      </c>
      <c r="V50" s="190">
        <v>2414.6106082637998</v>
      </c>
      <c r="W50" s="190">
        <v>2414.6106082637998</v>
      </c>
      <c r="X50" s="190">
        <v>2414.6106082637998</v>
      </c>
      <c r="Z50" s="190">
        <v>2421.9993275302018</v>
      </c>
      <c r="AA50" s="166">
        <v>2725.8366884898251</v>
      </c>
      <c r="AB50" s="190">
        <v>2421.9993275302018</v>
      </c>
      <c r="AC50" s="190">
        <v>2421.9993275302018</v>
      </c>
      <c r="AD50" s="190">
        <v>2421.9993275302018</v>
      </c>
      <c r="AF50" s="190">
        <v>2875.2114443684191</v>
      </c>
      <c r="AG50" s="166">
        <v>3172.2774874457868</v>
      </c>
      <c r="AH50" s="190">
        <v>2867.3585204632559</v>
      </c>
      <c r="AI50" s="190">
        <v>2835.9468248426069</v>
      </c>
      <c r="AJ50" s="190">
        <v>2796.6822053167948</v>
      </c>
      <c r="AL50" s="190">
        <v>2291.5036741072386</v>
      </c>
      <c r="AM50" s="190">
        <v>2291.5036741072386</v>
      </c>
      <c r="AN50" s="190">
        <v>2291.5036741072386</v>
      </c>
      <c r="AO50" s="190">
        <v>2291.5036741072386</v>
      </c>
      <c r="AQ50" s="190">
        <v>2594.3552675437327</v>
      </c>
      <c r="AR50" s="190">
        <v>2585.9474764765255</v>
      </c>
      <c r="AS50" s="190">
        <v>2552.3163122076994</v>
      </c>
      <c r="AT50" s="190">
        <v>2506.3802753693794</v>
      </c>
    </row>
    <row r="51" spans="1:46" x14ac:dyDescent="0.3">
      <c r="A51" s="38">
        <v>2035</v>
      </c>
      <c r="B51" s="166">
        <f>SCRS!DB28</f>
        <v>1946.6638838530419</v>
      </c>
      <c r="C51" s="190">
        <f t="shared" si="0"/>
        <v>131.45283425491698</v>
      </c>
      <c r="D51" s="190">
        <v>2308.3117695163387</v>
      </c>
      <c r="E51" s="166">
        <v>2439.7646037712552</v>
      </c>
      <c r="F51" s="190">
        <v>2308.3117695163387</v>
      </c>
      <c r="G51" s="190">
        <v>2176.8589352614217</v>
      </c>
      <c r="H51" s="190">
        <v>2176.8589352614217</v>
      </c>
      <c r="J51" s="190">
        <v>2439.7646037712552</v>
      </c>
      <c r="K51" s="166">
        <v>2439.7646037712552</v>
      </c>
      <c r="L51" s="190">
        <v>2439.7646037712552</v>
      </c>
      <c r="M51" s="190">
        <v>2439.7646037712552</v>
      </c>
      <c r="N51" s="190">
        <v>2439.7646037712552</v>
      </c>
      <c r="P51" s="190">
        <v>2429.5581386458193</v>
      </c>
      <c r="Q51" s="190">
        <v>2429.5581386458193</v>
      </c>
      <c r="R51" s="190">
        <v>2298.1053043909023</v>
      </c>
      <c r="S51" s="190">
        <v>2298.1053043909023</v>
      </c>
      <c r="U51" s="190">
        <v>2431.1573380623154</v>
      </c>
      <c r="V51" s="190">
        <v>2431.1573380623154</v>
      </c>
      <c r="W51" s="190">
        <v>2431.1573380623154</v>
      </c>
      <c r="X51" s="190">
        <v>2431.1573380623154</v>
      </c>
      <c r="Z51" s="190">
        <v>2308.3117695163378</v>
      </c>
      <c r="AA51" s="166">
        <v>2754.6697757880283</v>
      </c>
      <c r="AB51" s="190">
        <v>2308.3117695163378</v>
      </c>
      <c r="AC51" s="190">
        <v>2308.3117695163378</v>
      </c>
      <c r="AD51" s="190">
        <v>2308.3117695163378</v>
      </c>
      <c r="AF51" s="190">
        <v>2933.9216269569542</v>
      </c>
      <c r="AG51" s="166">
        <v>3204.4036970509665</v>
      </c>
      <c r="AH51" s="190">
        <v>2926.0705945084101</v>
      </c>
      <c r="AI51" s="190">
        <v>2894.6664647142393</v>
      </c>
      <c r="AJ51" s="190">
        <v>2855.4113024715234</v>
      </c>
      <c r="AL51" s="190">
        <v>2176.8589352614208</v>
      </c>
      <c r="AM51" s="190">
        <v>2176.8589352614208</v>
      </c>
      <c r="AN51" s="190">
        <v>2176.8589352614208</v>
      </c>
      <c r="AO51" s="190">
        <v>2176.8589352614208</v>
      </c>
      <c r="AQ51" s="190">
        <v>2638.2463286877455</v>
      </c>
      <c r="AR51" s="190">
        <v>2629.8412884595505</v>
      </c>
      <c r="AS51" s="190">
        <v>2596.2211275467716</v>
      </c>
      <c r="AT51" s="190">
        <v>2550.3071413163493</v>
      </c>
    </row>
    <row r="52" spans="1:46" x14ac:dyDescent="0.3">
      <c r="A52" s="38">
        <v>2036</v>
      </c>
      <c r="B52" s="166">
        <f>SCRS!DB29</f>
        <v>1951.9916932104024</v>
      </c>
      <c r="C52" s="190">
        <f t="shared" si="0"/>
        <v>132.41703597316837</v>
      </c>
      <c r="D52" s="190">
        <v>2192.8261157156617</v>
      </c>
      <c r="E52" s="166">
        <v>2457.6601876619975</v>
      </c>
      <c r="F52" s="190">
        <v>2192.8261157156617</v>
      </c>
      <c r="G52" s="190">
        <v>2060.4090797424933</v>
      </c>
      <c r="H52" s="190">
        <v>236.33864029862713</v>
      </c>
      <c r="J52" s="190">
        <v>2457.6601876619975</v>
      </c>
      <c r="K52" s="166">
        <v>2457.6601876619975</v>
      </c>
      <c r="L52" s="190">
        <v>2457.6601876619975</v>
      </c>
      <c r="M52" s="190">
        <v>2457.6601876619975</v>
      </c>
      <c r="N52" s="190">
        <v>2457.6601876619975</v>
      </c>
      <c r="P52" s="190">
        <v>2313.1474510898715</v>
      </c>
      <c r="Q52" s="190">
        <v>2313.1474510898715</v>
      </c>
      <c r="R52" s="190">
        <v>2180.7304151167032</v>
      </c>
      <c r="S52" s="190">
        <v>2180.7304151167032</v>
      </c>
      <c r="U52" s="190">
        <v>2447.8532902518059</v>
      </c>
      <c r="V52" s="190">
        <v>2447.8532902518059</v>
      </c>
      <c r="W52" s="190">
        <v>2447.8532902518059</v>
      </c>
      <c r="X52" s="190">
        <v>2447.8532902518059</v>
      </c>
      <c r="Z52" s="190">
        <v>2192.8261157156612</v>
      </c>
      <c r="AA52" s="166">
        <v>2788.0932457724662</v>
      </c>
      <c r="AB52" s="190">
        <v>2192.8261157156612</v>
      </c>
      <c r="AC52" s="190">
        <v>2192.8261157156617</v>
      </c>
      <c r="AD52" s="190">
        <v>2192.8261157156617</v>
      </c>
      <c r="AF52" s="190">
        <v>3000.4547078806072</v>
      </c>
      <c r="AG52" s="166">
        <v>3241.1650953979056</v>
      </c>
      <c r="AH52" s="190">
        <v>2992.6014800121784</v>
      </c>
      <c r="AI52" s="190">
        <v>2961.1885685384673</v>
      </c>
      <c r="AJ52" s="190">
        <v>2921.9224291963269</v>
      </c>
      <c r="AL52" s="190">
        <v>2060.4090797424933</v>
      </c>
      <c r="AM52" s="190">
        <v>2060.4090797424933</v>
      </c>
      <c r="AN52" s="190">
        <v>277.85284486223952</v>
      </c>
      <c r="AO52" s="190">
        <v>277.85284486223952</v>
      </c>
      <c r="AQ52" s="190">
        <v>2685.3926266145336</v>
      </c>
      <c r="AR52" s="190">
        <v>2676.9859914554522</v>
      </c>
      <c r="AS52" s="190">
        <v>2643.3594508191259</v>
      </c>
      <c r="AT52" s="190">
        <v>2597.4440654935179</v>
      </c>
    </row>
    <row r="53" spans="1:46" x14ac:dyDescent="0.3">
      <c r="A53" s="38">
        <v>2037</v>
      </c>
      <c r="B53" s="166">
        <f>SCRS!DB30</f>
        <v>1957.3286313661338</v>
      </c>
      <c r="C53" s="190">
        <f t="shared" si="0"/>
        <v>0</v>
      </c>
      <c r="D53" s="190">
        <v>234.51419886629279</v>
      </c>
      <c r="E53" s="166">
        <v>2475.6870350042618</v>
      </c>
      <c r="F53" s="190">
        <v>234.51419886629279</v>
      </c>
      <c r="G53" s="190">
        <v>234.51419886629279</v>
      </c>
      <c r="H53" s="190">
        <v>181.18553887248621</v>
      </c>
      <c r="J53" s="190">
        <v>2475.6870350042618</v>
      </c>
      <c r="K53" s="166">
        <v>2475.6870350042618</v>
      </c>
      <c r="L53" s="190">
        <v>2475.6870350042618</v>
      </c>
      <c r="M53" s="190">
        <v>2475.6870350042618</v>
      </c>
      <c r="N53" s="190">
        <v>2475.6870350042618</v>
      </c>
      <c r="P53" s="190">
        <v>2194.8280371274031</v>
      </c>
      <c r="Q53" s="190">
        <v>2194.8280371274031</v>
      </c>
      <c r="R53" s="190">
        <v>2061.4397270517425</v>
      </c>
      <c r="S53" s="190">
        <v>2061.4397270517425</v>
      </c>
      <c r="U53" s="190">
        <v>2464.7555898734918</v>
      </c>
      <c r="V53" s="190">
        <v>2464.7555898734918</v>
      </c>
      <c r="W53" s="190">
        <v>2464.7555898734918</v>
      </c>
      <c r="X53" s="190">
        <v>2464.7555898734918</v>
      </c>
      <c r="Z53" s="190">
        <v>2075.5221047772798</v>
      </c>
      <c r="AA53" s="166">
        <v>2822.1732485568441</v>
      </c>
      <c r="AB53" s="190">
        <v>2075.5221047772798</v>
      </c>
      <c r="AC53" s="190">
        <v>2075.5221047772798</v>
      </c>
      <c r="AD53" s="190">
        <v>593.81028088564233</v>
      </c>
      <c r="AF53" s="190">
        <v>3068.6895743959699</v>
      </c>
      <c r="AG53" s="166">
        <v>3278.6584616954565</v>
      </c>
      <c r="AH53" s="190">
        <v>3060.8298731021928</v>
      </c>
      <c r="AI53" s="190">
        <v>3029.3910679270884</v>
      </c>
      <c r="AJ53" s="190">
        <v>2990.0925614582075</v>
      </c>
      <c r="AL53" s="190">
        <v>283.97208024872396</v>
      </c>
      <c r="AM53" s="190">
        <v>283.97208024872396</v>
      </c>
      <c r="AN53" s="190">
        <v>253.09344006387215</v>
      </c>
      <c r="AO53" s="190">
        <v>185.35339437011055</v>
      </c>
      <c r="AQ53" s="190">
        <v>2733.9577330711068</v>
      </c>
      <c r="AR53" s="190">
        <v>2725.5449548575361</v>
      </c>
      <c r="AS53" s="190">
        <v>2691.8938420032528</v>
      </c>
      <c r="AT53" s="190">
        <v>2645.9525223305709</v>
      </c>
    </row>
    <row r="54" spans="1:46" x14ac:dyDescent="0.3">
      <c r="A54" s="38">
        <v>2038</v>
      </c>
      <c r="B54" s="166">
        <f>SCRS!DB31</f>
        <v>1962.6746492972338</v>
      </c>
      <c r="C54" s="190">
        <f t="shared" si="0"/>
        <v>39.181378267278404</v>
      </c>
      <c r="D54" s="190">
        <v>143.84250299768101</v>
      </c>
      <c r="E54" s="166">
        <v>2493.8461086106499</v>
      </c>
      <c r="F54" s="190">
        <v>129.66512424123582</v>
      </c>
      <c r="G54" s="190">
        <v>104.66112473040261</v>
      </c>
      <c r="H54" s="190">
        <v>175.95239076093355</v>
      </c>
      <c r="J54" s="190">
        <v>2493.8461086106504</v>
      </c>
      <c r="K54" s="166">
        <v>2493.8461086106499</v>
      </c>
      <c r="L54" s="190">
        <v>2493.8461086106504</v>
      </c>
      <c r="M54" s="190">
        <v>2493.8461086106504</v>
      </c>
      <c r="N54" s="190">
        <v>2493.8461086106504</v>
      </c>
      <c r="P54" s="190">
        <v>2074.5033338404933</v>
      </c>
      <c r="Q54" s="190">
        <v>2074.5033338404933</v>
      </c>
      <c r="R54" s="190">
        <v>718.74697558861999</v>
      </c>
      <c r="S54" s="190">
        <v>718.74697558861999</v>
      </c>
      <c r="U54" s="190">
        <v>2481.7478700517145</v>
      </c>
      <c r="V54" s="190">
        <v>2481.7478700517145</v>
      </c>
      <c r="W54" s="190">
        <v>2481.7478700517145</v>
      </c>
      <c r="X54" s="190">
        <v>2481.7478700517145</v>
      </c>
      <c r="Z54" s="190">
        <v>1956.3792748583546</v>
      </c>
      <c r="AA54" s="166">
        <v>2856.9438226684852</v>
      </c>
      <c r="AB54" s="190">
        <v>1956.3792748583546</v>
      </c>
      <c r="AC54" s="190">
        <v>620.22883385995988</v>
      </c>
      <c r="AD54" s="190">
        <v>611.627664211097</v>
      </c>
      <c r="AF54" s="190">
        <v>3138.5524334092411</v>
      </c>
      <c r="AG54" s="166">
        <v>3316.8730511477047</v>
      </c>
      <c r="AH54" s="190">
        <v>3130.6817943753458</v>
      </c>
      <c r="AI54" s="190">
        <v>3099.1992382397689</v>
      </c>
      <c r="AJ54" s="190">
        <v>3059.8460430702985</v>
      </c>
      <c r="AL54" s="190">
        <v>187.51386515533252</v>
      </c>
      <c r="AM54" s="190">
        <v>173.3364863988873</v>
      </c>
      <c r="AN54" s="190">
        <v>254.23180085868321</v>
      </c>
      <c r="AO54" s="190">
        <v>185.99488441411188</v>
      </c>
      <c r="AQ54" s="190">
        <v>2783.8643750948468</v>
      </c>
      <c r="AR54" s="190">
        <v>2775.4407081075433</v>
      </c>
      <c r="AS54" s="190">
        <v>2741.7460401583312</v>
      </c>
      <c r="AT54" s="190">
        <v>2695.7531882543981</v>
      </c>
    </row>
    <row r="55" spans="1:46" x14ac:dyDescent="0.3">
      <c r="A55" s="38">
        <v>2039</v>
      </c>
      <c r="B55" s="166">
        <f>SCRS!DB32</f>
        <v>1968.0297280067291</v>
      </c>
      <c r="C55" s="190">
        <f t="shared" si="0"/>
        <v>39.472788039516445</v>
      </c>
      <c r="D55" s="190">
        <v>138.49651169384916</v>
      </c>
      <c r="E55" s="166">
        <v>2512.1383783559613</v>
      </c>
      <c r="F55" s="190">
        <v>124.21514238417842</v>
      </c>
      <c r="G55" s="190">
        <v>99.023723654332713</v>
      </c>
      <c r="H55" s="190">
        <v>170.81972004246893</v>
      </c>
      <c r="J55" s="190">
        <v>2512.1383783559613</v>
      </c>
      <c r="K55" s="166">
        <v>2512.1383783559613</v>
      </c>
      <c r="L55" s="190">
        <v>2512.1383783559613</v>
      </c>
      <c r="M55" s="190">
        <v>2512.1383783559613</v>
      </c>
      <c r="N55" s="190">
        <v>2512.1383783559613</v>
      </c>
      <c r="P55" s="190">
        <v>737.6939955805484</v>
      </c>
      <c r="Q55" s="190">
        <v>737.6939955805484</v>
      </c>
      <c r="R55" s="190">
        <v>753.40391030956459</v>
      </c>
      <c r="S55" s="190">
        <v>679.22398234185459</v>
      </c>
      <c r="U55" s="190">
        <v>2507.2372246179661</v>
      </c>
      <c r="V55" s="190">
        <v>2507.2372246179661</v>
      </c>
      <c r="W55" s="190">
        <v>2507.2372246179661</v>
      </c>
      <c r="X55" s="190">
        <v>2507.2372246179661</v>
      </c>
      <c r="Z55" s="190">
        <v>647.27462855634167</v>
      </c>
      <c r="AA55" s="166">
        <v>2892.3705220269835</v>
      </c>
      <c r="AB55" s="190">
        <v>647.27462855634167</v>
      </c>
      <c r="AC55" s="190">
        <v>593.80187274400998</v>
      </c>
      <c r="AD55" s="190">
        <v>633.1622039891455</v>
      </c>
      <c r="AF55" s="190">
        <v>3390.3001880191468</v>
      </c>
      <c r="AG55" s="166">
        <v>3552.9822877998881</v>
      </c>
      <c r="AH55" s="190">
        <v>3382.5933767065817</v>
      </c>
      <c r="AI55" s="190">
        <v>3351.7661314563265</v>
      </c>
      <c r="AJ55" s="190">
        <v>3313.2320748935053</v>
      </c>
      <c r="AL55" s="190">
        <v>188.1529481333493</v>
      </c>
      <c r="AM55" s="190">
        <v>173.87157882367939</v>
      </c>
      <c r="AN55" s="190">
        <v>255.3667510610519</v>
      </c>
      <c r="AO55" s="190">
        <v>186.6317000461014</v>
      </c>
      <c r="AQ55" s="190">
        <v>3016.0102888936131</v>
      </c>
      <c r="AR55" s="190">
        <v>3007.7678158212962</v>
      </c>
      <c r="AS55" s="190">
        <v>2974.7979235320299</v>
      </c>
      <c r="AT55" s="190">
        <v>2929.8511057960991</v>
      </c>
    </row>
    <row r="56" spans="1:46" x14ac:dyDescent="0.3">
      <c r="A56" s="38">
        <v>2040</v>
      </c>
      <c r="B56" s="166">
        <f>SCRS!DB33</f>
        <v>1973.3938445482256</v>
      </c>
      <c r="C56" s="190">
        <f t="shared" si="0"/>
        <v>35.222517487797091</v>
      </c>
      <c r="D56" s="190">
        <v>133.23104306012374</v>
      </c>
      <c r="E56" s="166">
        <v>2530.564821228988</v>
      </c>
      <c r="F56" s="190">
        <v>118.84541869122441</v>
      </c>
      <c r="G56" s="190">
        <v>98.008525572326647</v>
      </c>
      <c r="H56" s="190">
        <v>165.76737724695622</v>
      </c>
      <c r="J56" s="190">
        <v>2530.564821228988</v>
      </c>
      <c r="K56" s="166">
        <v>2530.564821228988</v>
      </c>
      <c r="L56" s="190">
        <v>2530.564821228988</v>
      </c>
      <c r="M56" s="190">
        <v>2530.564821228988</v>
      </c>
      <c r="N56" s="190">
        <v>2530.564821228988</v>
      </c>
      <c r="P56" s="190">
        <v>696.28118201727636</v>
      </c>
      <c r="Q56" s="190">
        <v>680.75599415899819</v>
      </c>
      <c r="R56" s="190">
        <v>786.35522836560517</v>
      </c>
      <c r="S56" s="190">
        <v>711.63119334678674</v>
      </c>
      <c r="U56" s="190">
        <v>2533.2229565100915</v>
      </c>
      <c r="V56" s="190">
        <v>2533.2229565100915</v>
      </c>
      <c r="W56" s="190">
        <v>2533.2229565100915</v>
      </c>
      <c r="X56" s="190">
        <v>2533.2229565100915</v>
      </c>
      <c r="Z56" s="190">
        <v>588.89077757429288</v>
      </c>
      <c r="AA56" s="166">
        <v>2928.4202781067165</v>
      </c>
      <c r="AB56" s="190">
        <v>573.36558971601232</v>
      </c>
      <c r="AC56" s="190">
        <v>615.28554325050879</v>
      </c>
      <c r="AD56" s="190">
        <v>654.94806881285433</v>
      </c>
      <c r="AF56" s="190">
        <v>3665.9484717509636</v>
      </c>
      <c r="AG56" s="166">
        <v>3808.4206289986378</v>
      </c>
      <c r="AH56" s="190">
        <v>3658.4286455502038</v>
      </c>
      <c r="AI56" s="190">
        <v>3628.3493407471642</v>
      </c>
      <c r="AJ56" s="190">
        <v>3590.7502097433648</v>
      </c>
      <c r="AL56" s="190">
        <v>188.76053066133511</v>
      </c>
      <c r="AM56" s="190">
        <v>174.37490629243652</v>
      </c>
      <c r="AN56" s="190">
        <v>256.47052277739039</v>
      </c>
      <c r="AO56" s="190">
        <v>187.23295579265553</v>
      </c>
      <c r="AQ56" s="190">
        <v>3271.8614437143078</v>
      </c>
      <c r="AR56" s="190">
        <v>3263.8256132743259</v>
      </c>
      <c r="AS56" s="190">
        <v>3231.6822915143994</v>
      </c>
      <c r="AT56" s="190">
        <v>3187.9268915462535</v>
      </c>
    </row>
    <row r="57" spans="1:46" x14ac:dyDescent="0.3">
      <c r="A57" s="38">
        <v>2041</v>
      </c>
      <c r="B57" s="166">
        <f>SCRS!DB34</f>
        <v>1978.7669756228563</v>
      </c>
      <c r="C57" s="190">
        <f t="shared" si="0"/>
        <v>29.297523414299121</v>
      </c>
      <c r="D57" s="190">
        <v>128.02493792725406</v>
      </c>
      <c r="E57" s="166">
        <v>2549.1264213847012</v>
      </c>
      <c r="F57" s="190">
        <v>113.53414151186603</v>
      </c>
      <c r="G57" s="190">
        <v>98.727414512954937</v>
      </c>
      <c r="H57" s="190">
        <v>160.77913797394672</v>
      </c>
      <c r="J57" s="190">
        <v>2549.1264213847012</v>
      </c>
      <c r="K57" s="166">
        <v>2549.1264213847012</v>
      </c>
      <c r="L57" s="190">
        <v>2549.1264213847012</v>
      </c>
      <c r="M57" s="190">
        <v>2549.1264213847012</v>
      </c>
      <c r="N57" s="190">
        <v>2549.1264213847012</v>
      </c>
      <c r="P57" s="190">
        <v>726.7049576982663</v>
      </c>
      <c r="Q57" s="190">
        <v>711.06589315643066</v>
      </c>
      <c r="R57" s="190">
        <v>815.43268810332142</v>
      </c>
      <c r="S57" s="190">
        <v>740.16316206555757</v>
      </c>
      <c r="U57" s="190">
        <v>2556.6746061658523</v>
      </c>
      <c r="V57" s="190">
        <v>2556.6746061658523</v>
      </c>
      <c r="W57" s="190">
        <v>2556.6746061658523</v>
      </c>
      <c r="X57" s="190">
        <v>2556.6746061658523</v>
      </c>
      <c r="Z57" s="190">
        <v>610.38690107275249</v>
      </c>
      <c r="AA57" s="166">
        <v>2965.0613252702246</v>
      </c>
      <c r="AB57" s="190">
        <v>594.74783653091538</v>
      </c>
      <c r="AC57" s="190">
        <v>636.99681197161431</v>
      </c>
      <c r="AD57" s="190">
        <v>676.96193437802094</v>
      </c>
      <c r="AF57" s="190">
        <v>3895.9747936512831</v>
      </c>
      <c r="AG57" s="166">
        <v>4017.3459331202948</v>
      </c>
      <c r="AH57" s="190">
        <v>3888.6027017447759</v>
      </c>
      <c r="AI57" s="190">
        <v>3859.1143341187494</v>
      </c>
      <c r="AJ57" s="190">
        <v>3822.2538745862153</v>
      </c>
      <c r="AL57" s="190">
        <v>189.3069930321202</v>
      </c>
      <c r="AM57" s="190">
        <v>181.65844270383712</v>
      </c>
      <c r="AN57" s="190">
        <v>257.51890240632463</v>
      </c>
      <c r="AO57" s="190">
        <v>187.77445673846202</v>
      </c>
      <c r="AQ57" s="190">
        <v>3481.6650920946327</v>
      </c>
      <c r="AR57" s="190">
        <v>3473.7926144691155</v>
      </c>
      <c r="AS57" s="190">
        <v>3442.3027039670469</v>
      </c>
      <c r="AT57" s="190">
        <v>3399.4899501537425</v>
      </c>
    </row>
    <row r="58" spans="1:46" x14ac:dyDescent="0.3">
      <c r="A58" s="38">
        <v>2042</v>
      </c>
      <c r="B58" s="166">
        <f>SCRS!DB35</f>
        <v>1984.1491024460911</v>
      </c>
      <c r="C58" s="190">
        <f t="shared" si="0"/>
        <v>23.411025812618121</v>
      </c>
      <c r="D58" s="190">
        <v>122.86260229021579</v>
      </c>
      <c r="E58" s="166">
        <v>2429.47157481983</v>
      </c>
      <c r="F58" s="190">
        <v>108.26572075190454</v>
      </c>
      <c r="G58" s="190">
        <v>99.451576477597669</v>
      </c>
      <c r="H58" s="190">
        <v>155.83926501020375</v>
      </c>
      <c r="J58" s="190">
        <v>2567.8241701968141</v>
      </c>
      <c r="K58" s="166">
        <v>2567.8241701968136</v>
      </c>
      <c r="L58" s="190">
        <v>2567.8241701968141</v>
      </c>
      <c r="M58" s="190">
        <v>2567.8241701968141</v>
      </c>
      <c r="N58" s="190">
        <v>2567.8241701968141</v>
      </c>
      <c r="P58" s="190">
        <v>750.58483973483567</v>
      </c>
      <c r="Q58" s="190">
        <v>734.8316088574951</v>
      </c>
      <c r="R58" s="190">
        <v>838.50361005248863</v>
      </c>
      <c r="S58" s="190">
        <v>762.68379506733015</v>
      </c>
      <c r="U58" s="190">
        <v>2577.4020744052664</v>
      </c>
      <c r="V58" s="190">
        <v>2577.4020744052664</v>
      </c>
      <c r="W58" s="190">
        <v>2577.4020744052664</v>
      </c>
      <c r="X58" s="190">
        <v>2577.4020744052664</v>
      </c>
      <c r="Z58" s="190">
        <v>625.56137710863629</v>
      </c>
      <c r="AA58" s="166">
        <v>2152.7663840658633</v>
      </c>
      <c r="AB58" s="190">
        <v>609.80814623129288</v>
      </c>
      <c r="AC58" s="190">
        <v>652.38419900685301</v>
      </c>
      <c r="AD58" s="190">
        <v>692.65558531266402</v>
      </c>
      <c r="AF58" s="190">
        <v>2567.8241701968141</v>
      </c>
      <c r="AG58" s="166">
        <v>2567.8241701968141</v>
      </c>
      <c r="AH58" s="190">
        <v>2567.8241701968141</v>
      </c>
      <c r="AI58" s="190">
        <v>2567.8241701968141</v>
      </c>
      <c r="AJ58" s="190">
        <v>2567.8241701968141</v>
      </c>
      <c r="AL58" s="190">
        <v>188.95799530743554</v>
      </c>
      <c r="AM58" s="190">
        <v>188.95799530743554</v>
      </c>
      <c r="AN58" s="190">
        <v>256.50722983199404</v>
      </c>
      <c r="AO58" s="190">
        <v>188.95799530743554</v>
      </c>
      <c r="AQ58" s="190">
        <v>2567.8241701968141</v>
      </c>
      <c r="AR58" s="190">
        <v>2567.8241701968141</v>
      </c>
      <c r="AS58" s="190">
        <v>2567.8241701968141</v>
      </c>
      <c r="AT58" s="190">
        <v>2567.8241701968141</v>
      </c>
    </row>
    <row r="59" spans="1:46" x14ac:dyDescent="0.3">
      <c r="A59" s="38">
        <v>2043</v>
      </c>
      <c r="B59" s="166">
        <f>SCRS!DB36</f>
        <v>297.78008604262942</v>
      </c>
      <c r="C59" s="190">
        <f t="shared" si="0"/>
        <v>17.609181774723538</v>
      </c>
      <c r="D59" s="190">
        <v>117.79023191841605</v>
      </c>
      <c r="E59" s="166">
        <v>2307.9242531306918</v>
      </c>
      <c r="F59" s="190">
        <v>103.08635578407082</v>
      </c>
      <c r="G59" s="190">
        <v>100.18105014369252</v>
      </c>
      <c r="H59" s="190">
        <v>151.00815484575924</v>
      </c>
      <c r="J59" s="190">
        <v>2586.6590663107277</v>
      </c>
      <c r="K59" s="166">
        <v>2586.6590663107268</v>
      </c>
      <c r="L59" s="190">
        <v>2586.6590663107277</v>
      </c>
      <c r="M59" s="190">
        <v>2586.6590663107277</v>
      </c>
      <c r="N59" s="190">
        <v>2586.6590663107277</v>
      </c>
      <c r="P59" s="190">
        <v>773.57730145323865</v>
      </c>
      <c r="Q59" s="190">
        <v>757.7089000773725</v>
      </c>
      <c r="R59" s="190">
        <v>860.10576988132664</v>
      </c>
      <c r="S59" s="190">
        <v>783.73088848282771</v>
      </c>
      <c r="U59" s="190">
        <v>2597.3669097322386</v>
      </c>
      <c r="V59" s="190">
        <v>2597.3669097322386</v>
      </c>
      <c r="W59" s="190">
        <v>2597.3669097322386</v>
      </c>
      <c r="X59" s="190">
        <v>2597.3669097322386</v>
      </c>
      <c r="Z59" s="190">
        <v>647.45644153103956</v>
      </c>
      <c r="AA59" s="166">
        <v>825.70767481600899</v>
      </c>
      <c r="AB59" s="190">
        <v>631.58804015517046</v>
      </c>
      <c r="AC59" s="190">
        <v>674.49486589999435</v>
      </c>
      <c r="AD59" s="190">
        <v>715.07650079998734</v>
      </c>
      <c r="AF59" s="190">
        <v>2586.6590663107277</v>
      </c>
      <c r="AG59" s="166">
        <v>2586.6590663107277</v>
      </c>
      <c r="AH59" s="190">
        <v>2586.6590663107277</v>
      </c>
      <c r="AI59" s="190">
        <v>2586.6590663107277</v>
      </c>
      <c r="AJ59" s="190">
        <v>2586.6590663107277</v>
      </c>
      <c r="AL59" s="190">
        <v>198.35847928451119</v>
      </c>
      <c r="AM59" s="190">
        <v>198.35847928451119</v>
      </c>
      <c r="AN59" s="190">
        <v>257.43619573587597</v>
      </c>
      <c r="AO59" s="190">
        <v>198.35847928451119</v>
      </c>
      <c r="AQ59" s="190">
        <v>2586.6590663107277</v>
      </c>
      <c r="AR59" s="190">
        <v>2586.6590663107277</v>
      </c>
      <c r="AS59" s="190">
        <v>2586.6590663107277</v>
      </c>
      <c r="AT59" s="190">
        <v>2586.6590663107277</v>
      </c>
    </row>
    <row r="60" spans="1:46" x14ac:dyDescent="0.3">
      <c r="A60" s="38">
        <v>2044</v>
      </c>
      <c r="B60" s="166">
        <f>SCRS!DB37</f>
        <v>200.35910370115488</v>
      </c>
      <c r="C60" s="190">
        <f t="shared" si="0"/>
        <v>11.957688321936757</v>
      </c>
      <c r="D60" s="190">
        <v>112.87356279431164</v>
      </c>
      <c r="E60" s="166">
        <v>2184.4631314786261</v>
      </c>
      <c r="F60" s="190">
        <v>100.91587447237488</v>
      </c>
      <c r="G60" s="190">
        <v>100.91587447237488</v>
      </c>
      <c r="H60" s="190">
        <v>146.33524913476424</v>
      </c>
      <c r="J60" s="190">
        <v>2605.6321156968702</v>
      </c>
      <c r="K60" s="166">
        <v>2605.6321156968706</v>
      </c>
      <c r="L60" s="190">
        <v>2605.6321156968702</v>
      </c>
      <c r="M60" s="190">
        <v>2605.6321156968702</v>
      </c>
      <c r="N60" s="190">
        <v>2605.6321156968702</v>
      </c>
      <c r="P60" s="190">
        <v>791.08523899156887</v>
      </c>
      <c r="Q60" s="190">
        <v>775.10066723677403</v>
      </c>
      <c r="R60" s="190">
        <v>876.77331130844516</v>
      </c>
      <c r="S60" s="190">
        <v>799.83860488424239</v>
      </c>
      <c r="U60" s="190">
        <v>2609.6118588949748</v>
      </c>
      <c r="V60" s="190">
        <v>2609.6118588949748</v>
      </c>
      <c r="W60" s="190">
        <v>2609.6118588949748</v>
      </c>
      <c r="X60" s="190">
        <v>2609.6118588949748</v>
      </c>
      <c r="Z60" s="190">
        <v>663.06563013848165</v>
      </c>
      <c r="AA60" s="166">
        <v>756.54329129697908</v>
      </c>
      <c r="AB60" s="190">
        <v>647.08105838368328</v>
      </c>
      <c r="AC60" s="190">
        <v>690.32273566001925</v>
      </c>
      <c r="AD60" s="190">
        <v>731.23214580634101</v>
      </c>
      <c r="AF60" s="190">
        <v>2605.6321156968702</v>
      </c>
      <c r="AG60" s="166">
        <v>2605.6321156968702</v>
      </c>
      <c r="AH60" s="190">
        <v>2605.6321156968702</v>
      </c>
      <c r="AI60" s="190">
        <v>2605.6321156968702</v>
      </c>
      <c r="AJ60" s="190">
        <v>2605.6321156968702</v>
      </c>
      <c r="AL60" s="190">
        <v>205.86838392364479</v>
      </c>
      <c r="AM60" s="190">
        <v>205.86838392364479</v>
      </c>
      <c r="AN60" s="190">
        <v>256.42339421499099</v>
      </c>
      <c r="AO60" s="190">
        <v>205.86838392364479</v>
      </c>
      <c r="AQ60" s="190">
        <v>2605.6321156968702</v>
      </c>
      <c r="AR60" s="190">
        <v>2605.6321156968702</v>
      </c>
      <c r="AS60" s="190">
        <v>2605.6321156968702</v>
      </c>
      <c r="AT60" s="190">
        <v>2605.6321156968702</v>
      </c>
    </row>
    <row r="61" spans="1:46" x14ac:dyDescent="0.3">
      <c r="A61" s="38">
        <v>2045</v>
      </c>
      <c r="B61" s="166">
        <f>SCRS!DB38</f>
        <v>197.92621440503527</v>
      </c>
      <c r="C61" s="190">
        <f t="shared" si="0"/>
        <v>6.5167486283950211</v>
      </c>
      <c r="D61" s="190">
        <v>108.17283733895358</v>
      </c>
      <c r="E61" s="166">
        <v>488.92356165210361</v>
      </c>
      <c r="F61" s="190">
        <v>101.65608871055856</v>
      </c>
      <c r="G61" s="190">
        <v>101.65608871055856</v>
      </c>
      <c r="H61" s="190">
        <v>141.88007510296737</v>
      </c>
      <c r="J61" s="190">
        <v>2624.7443317044276</v>
      </c>
      <c r="K61" s="166">
        <v>2624.7443317044272</v>
      </c>
      <c r="L61" s="190">
        <v>2624.7443317044276</v>
      </c>
      <c r="M61" s="190">
        <v>2624.7443317044276</v>
      </c>
      <c r="N61" s="190">
        <v>2624.7443317044276</v>
      </c>
      <c r="P61" s="190">
        <v>804.71358878129217</v>
      </c>
      <c r="Q61" s="190">
        <v>788.6118507130484</v>
      </c>
      <c r="R61" s="190">
        <v>890.1351106834079</v>
      </c>
      <c r="S61" s="190">
        <v>812.63583775199572</v>
      </c>
      <c r="U61" s="190">
        <v>2623.4826480320407</v>
      </c>
      <c r="V61" s="190">
        <v>2623.4826480320407</v>
      </c>
      <c r="W61" s="190">
        <v>2623.4826480320407</v>
      </c>
      <c r="X61" s="190">
        <v>2623.4826480320407</v>
      </c>
      <c r="Z61" s="190">
        <v>672.24798992964043</v>
      </c>
      <c r="AA61" s="166">
        <v>770.73243399035641</v>
      </c>
      <c r="AB61" s="190">
        <v>656.14625186139449</v>
      </c>
      <c r="AC61" s="190">
        <v>699.73956318546755</v>
      </c>
      <c r="AD61" s="190">
        <v>740.98211229238348</v>
      </c>
      <c r="AF61" s="190">
        <v>2624.7443317044272</v>
      </c>
      <c r="AG61" s="166">
        <v>2624.7443317044272</v>
      </c>
      <c r="AH61" s="190">
        <v>2624.7443317044272</v>
      </c>
      <c r="AI61" s="190">
        <v>2624.7443317044272</v>
      </c>
      <c r="AJ61" s="190">
        <v>2624.7443317044272</v>
      </c>
      <c r="AL61" s="190">
        <v>211.44466451796183</v>
      </c>
      <c r="AM61" s="190">
        <v>211.44466451796183</v>
      </c>
      <c r="AN61" s="190">
        <v>253.42536343187547</v>
      </c>
      <c r="AO61" s="190">
        <v>211.44466451796183</v>
      </c>
      <c r="AQ61" s="190">
        <v>2624.7443317044272</v>
      </c>
      <c r="AR61" s="190">
        <v>2624.7443317044272</v>
      </c>
      <c r="AS61" s="190">
        <v>2624.7443317044272</v>
      </c>
      <c r="AT61" s="190">
        <v>2624.7443317044272</v>
      </c>
    </row>
    <row r="62" spans="1:46" x14ac:dyDescent="0.3">
      <c r="A62" s="38">
        <v>2046</v>
      </c>
      <c r="B62" s="166">
        <f>SCRS!DB39</f>
        <v>195.45016268480543</v>
      </c>
      <c r="C62" s="190">
        <f t="shared" si="0"/>
        <v>1.3466692499372783</v>
      </c>
      <c r="D62" s="190">
        <v>103.74840164296941</v>
      </c>
      <c r="E62" s="166">
        <v>433.43885344601978</v>
      </c>
      <c r="F62" s="190">
        <v>102.40173239303213</v>
      </c>
      <c r="G62" s="190">
        <v>102.40173239303213</v>
      </c>
      <c r="H62" s="190">
        <v>137.70299216424297</v>
      </c>
      <c r="J62" s="190">
        <v>2643.9967351154623</v>
      </c>
      <c r="K62" s="166">
        <v>2643.9967351154623</v>
      </c>
      <c r="L62" s="190">
        <v>2643.9967351154623</v>
      </c>
      <c r="M62" s="190">
        <v>2643.9967351154623</v>
      </c>
      <c r="N62" s="190">
        <v>2643.9967351154623</v>
      </c>
      <c r="P62" s="190">
        <v>816.91073715715379</v>
      </c>
      <c r="Q62" s="190">
        <v>800.69084042627651</v>
      </c>
      <c r="R62" s="190">
        <v>901.48022357139575</v>
      </c>
      <c r="S62" s="190">
        <v>823.41224124168775</v>
      </c>
      <c r="U62" s="190">
        <v>2639.1593486289757</v>
      </c>
      <c r="V62" s="190">
        <v>2639.1593486289757</v>
      </c>
      <c r="W62" s="190">
        <v>2639.1593486289757</v>
      </c>
      <c r="X62" s="190">
        <v>2639.1593486289757</v>
      </c>
      <c r="Z62" s="190">
        <v>688.42097821304992</v>
      </c>
      <c r="AA62" s="166">
        <v>790.50455466733717</v>
      </c>
      <c r="AB62" s="190">
        <v>672.20108148216957</v>
      </c>
      <c r="AC62" s="190">
        <v>716.15233801264128</v>
      </c>
      <c r="AD62" s="190">
        <v>757.73138883654553</v>
      </c>
      <c r="AF62" s="190">
        <v>2643.9967351154628</v>
      </c>
      <c r="AG62" s="166">
        <v>2501.5400144734658</v>
      </c>
      <c r="AH62" s="190">
        <v>2643.9967351154628</v>
      </c>
      <c r="AI62" s="190">
        <v>2643.9967351154628</v>
      </c>
      <c r="AJ62" s="190">
        <v>2643.9967351154628</v>
      </c>
      <c r="AL62" s="190">
        <v>219.13970732108876</v>
      </c>
      <c r="AM62" s="190">
        <v>219.13970732108876</v>
      </c>
      <c r="AN62" s="190">
        <v>252.5845642585459</v>
      </c>
      <c r="AO62" s="190">
        <v>219.13970732108876</v>
      </c>
      <c r="AQ62" s="190">
        <v>2643.9967351154628</v>
      </c>
      <c r="AR62" s="190">
        <v>2643.9967351154628</v>
      </c>
      <c r="AS62" s="190">
        <v>2643.9967351154628</v>
      </c>
      <c r="AT62" s="190">
        <v>2643.9967351154628</v>
      </c>
    </row>
    <row r="63" spans="1:46" x14ac:dyDescent="0.3">
      <c r="A63" s="38">
        <v>2047</v>
      </c>
      <c r="B63" s="166">
        <f>SCRS!DB40</f>
        <v>192.92778505525339</v>
      </c>
      <c r="C63" s="190">
        <f t="shared" si="0"/>
        <v>0</v>
      </c>
      <c r="D63" s="190">
        <v>103.15284534457025</v>
      </c>
      <c r="E63" s="166">
        <v>436.12465860072859</v>
      </c>
      <c r="F63" s="190">
        <v>103.15284534457025</v>
      </c>
      <c r="G63" s="190">
        <v>103.15284534457025</v>
      </c>
      <c r="H63" s="190">
        <v>133.88024611959517</v>
      </c>
      <c r="J63" s="190">
        <v>2663.3903541994387</v>
      </c>
      <c r="K63" s="166">
        <v>2663.3903541994387</v>
      </c>
      <c r="L63" s="190">
        <v>2663.3903541994387</v>
      </c>
      <c r="M63" s="190">
        <v>2663.3903541994387</v>
      </c>
      <c r="N63" s="190">
        <v>2663.3903541994387</v>
      </c>
      <c r="P63" s="190">
        <v>826.50284009833922</v>
      </c>
      <c r="Q63" s="190">
        <v>810.16391763520278</v>
      </c>
      <c r="R63" s="190">
        <v>910.78851408786772</v>
      </c>
      <c r="S63" s="190">
        <v>832.14764908968664</v>
      </c>
      <c r="U63" s="190">
        <v>2656.7873270136079</v>
      </c>
      <c r="V63" s="190">
        <v>2656.7873270136079</v>
      </c>
      <c r="W63" s="190">
        <v>2656.7873270136079</v>
      </c>
      <c r="X63" s="190">
        <v>2656.7873270136079</v>
      </c>
      <c r="Z63" s="190">
        <v>698.32158481693318</v>
      </c>
      <c r="AA63" s="166">
        <v>807.92154273694484</v>
      </c>
      <c r="AB63" s="190">
        <v>681.9826623537931</v>
      </c>
      <c r="AC63" s="190">
        <v>726.29555450849648</v>
      </c>
      <c r="AD63" s="190">
        <v>768.21450918379162</v>
      </c>
      <c r="AF63" s="190">
        <v>2663.3903541994387</v>
      </c>
      <c r="AG63" s="166">
        <v>2376.3870832727753</v>
      </c>
      <c r="AH63" s="190">
        <v>2663.3903541994387</v>
      </c>
      <c r="AI63" s="190">
        <v>2663.3903541994387</v>
      </c>
      <c r="AJ63" s="190">
        <v>2663.3903541994387</v>
      </c>
      <c r="AL63" s="190">
        <v>224.8732028511632</v>
      </c>
      <c r="AM63" s="190">
        <v>224.8732028511632</v>
      </c>
      <c r="AN63" s="190">
        <v>259.48295125193857</v>
      </c>
      <c r="AO63" s="190">
        <v>224.8732028511632</v>
      </c>
      <c r="AQ63" s="190">
        <v>2663.3903541994387</v>
      </c>
      <c r="AR63" s="190">
        <v>2663.3903541994387</v>
      </c>
      <c r="AS63" s="190">
        <v>2663.3903541994387</v>
      </c>
      <c r="AT63" s="190">
        <v>2663.3903541994387</v>
      </c>
    </row>
    <row r="64" spans="1:46" x14ac:dyDescent="0.3">
      <c r="A64" s="38">
        <v>2048</v>
      </c>
      <c r="B64" s="166">
        <f>SCRS!DB41</f>
        <v>190.36038378054707</v>
      </c>
      <c r="C64" s="190">
        <f t="shared" si="0"/>
        <v>0</v>
      </c>
      <c r="D64" s="190">
        <v>103.90946768206102</v>
      </c>
      <c r="E64" s="166">
        <v>440.67038248518264</v>
      </c>
      <c r="F64" s="190">
        <v>103.90946768206102</v>
      </c>
      <c r="G64" s="190">
        <v>103.90946768206102</v>
      </c>
      <c r="H64" s="190">
        <v>130.47963806318916</v>
      </c>
      <c r="J64" s="190">
        <v>2682.9262247681404</v>
      </c>
      <c r="K64" s="166">
        <v>2682.9262247681395</v>
      </c>
      <c r="L64" s="190">
        <v>2682.9262247681404</v>
      </c>
      <c r="M64" s="190">
        <v>2682.9262247681404</v>
      </c>
      <c r="N64" s="190">
        <v>2682.9262247681404</v>
      </c>
      <c r="P64" s="190">
        <v>834.36341092940006</v>
      </c>
      <c r="Q64" s="190">
        <v>817.90458930630939</v>
      </c>
      <c r="R64" s="190">
        <v>918.35735347104855</v>
      </c>
      <c r="S64" s="190">
        <v>839.13940188246568</v>
      </c>
      <c r="U64" s="190">
        <v>2674.613641620595</v>
      </c>
      <c r="V64" s="190">
        <v>2674.613641620595</v>
      </c>
      <c r="W64" s="190">
        <v>2674.613641620595</v>
      </c>
      <c r="X64" s="190">
        <v>2674.613641620595</v>
      </c>
      <c r="Z64" s="190">
        <v>708.6301321964155</v>
      </c>
      <c r="AA64" s="166">
        <v>827.56734107808518</v>
      </c>
      <c r="AB64" s="190">
        <v>692.17131057332108</v>
      </c>
      <c r="AC64" s="190">
        <v>736.84957264663456</v>
      </c>
      <c r="AD64" s="190">
        <v>790.01456831222038</v>
      </c>
      <c r="AF64" s="190">
        <v>2682.9262247681395</v>
      </c>
      <c r="AG64" s="166">
        <v>2249.2635806784619</v>
      </c>
      <c r="AH64" s="190">
        <v>2682.9262247681395</v>
      </c>
      <c r="AI64" s="190">
        <v>2682.9262247681395</v>
      </c>
      <c r="AJ64" s="190">
        <v>2682.9262247681395</v>
      </c>
      <c r="AL64" s="190">
        <v>230.67901825417545</v>
      </c>
      <c r="AM64" s="190">
        <v>230.67901825417545</v>
      </c>
      <c r="AN64" s="190">
        <v>259.26855495754711</v>
      </c>
      <c r="AO64" s="190">
        <v>230.67901825417545</v>
      </c>
      <c r="AQ64" s="190">
        <v>2538.37201007158</v>
      </c>
      <c r="AR64" s="190">
        <v>2538.37201007158</v>
      </c>
      <c r="AS64" s="190">
        <v>2538.3720100715796</v>
      </c>
      <c r="AT64" s="190">
        <v>2538.3720100715796</v>
      </c>
    </row>
    <row r="65" spans="1:48" x14ac:dyDescent="0.3">
      <c r="A65" s="38">
        <v>2049</v>
      </c>
      <c r="B65" s="166">
        <f>SCRS!DB42</f>
        <v>187.74936069843596</v>
      </c>
      <c r="C65" s="190">
        <f t="shared" si="0"/>
        <v>0</v>
      </c>
      <c r="D65" s="190">
        <v>104.67163981664827</v>
      </c>
      <c r="E65" s="166">
        <v>447.44561968200804</v>
      </c>
      <c r="F65" s="190">
        <v>104.67163981664827</v>
      </c>
      <c r="G65" s="190">
        <v>104.67163981664827</v>
      </c>
      <c r="H65" s="190">
        <v>127.56573825331701</v>
      </c>
      <c r="J65" s="190">
        <v>2702.6053902309868</v>
      </c>
      <c r="K65" s="166">
        <v>2702.6053902309868</v>
      </c>
      <c r="L65" s="190">
        <v>2702.6053902309868</v>
      </c>
      <c r="M65" s="190">
        <v>2702.6053902309868</v>
      </c>
      <c r="N65" s="190">
        <v>2702.6053902309868</v>
      </c>
      <c r="P65" s="190">
        <v>840.56583345497893</v>
      </c>
      <c r="Q65" s="190">
        <v>823.98623282910455</v>
      </c>
      <c r="R65" s="190">
        <v>936.65685878584748</v>
      </c>
      <c r="S65" s="190">
        <v>856.85758581653454</v>
      </c>
      <c r="U65" s="190">
        <v>2685.9853747852417</v>
      </c>
      <c r="V65" s="190">
        <v>2685.9853747852417</v>
      </c>
      <c r="W65" s="190">
        <v>2685.9853747852417</v>
      </c>
      <c r="X65" s="190">
        <v>2685.9853747852417</v>
      </c>
      <c r="Z65" s="190">
        <v>719.46698178948907</v>
      </c>
      <c r="AA65" s="166">
        <v>849.73629972434708</v>
      </c>
      <c r="AB65" s="190">
        <v>702.88738116361162</v>
      </c>
      <c r="AC65" s="190">
        <v>760.33161689682493</v>
      </c>
      <c r="AD65" s="190">
        <v>803.85585093373527</v>
      </c>
      <c r="AF65" s="190">
        <v>2556.9908756711279</v>
      </c>
      <c r="AG65" s="166">
        <v>2120.1473319915494</v>
      </c>
      <c r="AH65" s="190">
        <v>2556.9908756711279</v>
      </c>
      <c r="AI65" s="190">
        <v>2556.9908756711279</v>
      </c>
      <c r="AJ65" s="190">
        <v>2556.9908756711279</v>
      </c>
      <c r="AL65" s="190">
        <v>236.55790598562513</v>
      </c>
      <c r="AM65" s="190">
        <v>236.55790598562513</v>
      </c>
      <c r="AN65" s="190">
        <v>259.6569523034774</v>
      </c>
      <c r="AO65" s="190">
        <v>236.55790598562513</v>
      </c>
      <c r="AQ65" s="190">
        <v>2411.3763611112681</v>
      </c>
      <c r="AR65" s="190">
        <v>2411.3763611112681</v>
      </c>
      <c r="AS65" s="190">
        <v>2411.3763611112681</v>
      </c>
      <c r="AT65" s="190">
        <v>2411.3763611112681</v>
      </c>
    </row>
    <row r="66" spans="1:48" x14ac:dyDescent="0.3">
      <c r="A66" s="38">
        <v>2050</v>
      </c>
      <c r="B66" s="166">
        <f>SCRS!DB43</f>
        <v>185.10966670178703</v>
      </c>
      <c r="C66" s="190">
        <f t="shared" si="0"/>
        <v>0</v>
      </c>
      <c r="D66" s="190">
        <v>105.43940245589019</v>
      </c>
      <c r="E66" s="166">
        <v>456.83416035624197</v>
      </c>
      <c r="F66" s="190">
        <v>105.43940245589019</v>
      </c>
      <c r="G66" s="190">
        <v>105.43940245589019</v>
      </c>
      <c r="H66" s="190">
        <v>125.20622769092117</v>
      </c>
      <c r="J66" s="190">
        <v>2722.4289016507742</v>
      </c>
      <c r="K66" s="166">
        <v>2722.4289016507742</v>
      </c>
      <c r="L66" s="190">
        <v>2722.4289016507742</v>
      </c>
      <c r="M66" s="190">
        <v>2575.7463099670035</v>
      </c>
      <c r="N66" s="190">
        <v>2575.7463099670035</v>
      </c>
      <c r="P66" s="190">
        <v>859.13091389155807</v>
      </c>
      <c r="Q66" s="190">
        <v>842.42964795959506</v>
      </c>
      <c r="R66" s="190">
        <v>943.58322057975204</v>
      </c>
      <c r="S66" s="190">
        <v>863.1983603517142</v>
      </c>
      <c r="U66" s="190">
        <v>2697.2991524636427</v>
      </c>
      <c r="V66" s="190">
        <v>2697.2991524636427</v>
      </c>
      <c r="W66" s="190">
        <v>2697.2991524636427</v>
      </c>
      <c r="X66" s="190">
        <v>2697.2991524636427</v>
      </c>
      <c r="Z66" s="190">
        <v>744.90060597013598</v>
      </c>
      <c r="AA66" s="166">
        <v>874.82300347583123</v>
      </c>
      <c r="AB66" s="190">
        <v>728.19934003816854</v>
      </c>
      <c r="AC66" s="190">
        <v>774.6856750780737</v>
      </c>
      <c r="AD66" s="190">
        <v>818.54093772092688</v>
      </c>
      <c r="AF66" s="190">
        <v>2429.0637182832334</v>
      </c>
      <c r="AG66" s="166">
        <v>923.14719775327637</v>
      </c>
      <c r="AH66" s="190">
        <v>2429.0637182832334</v>
      </c>
      <c r="AI66" s="190">
        <v>2429.0637182832334</v>
      </c>
      <c r="AJ66" s="190">
        <v>2429.0637182832334</v>
      </c>
      <c r="AL66" s="190">
        <v>242.51062564854746</v>
      </c>
      <c r="AM66" s="190">
        <v>242.51062564854746</v>
      </c>
      <c r="AN66" s="190">
        <v>260.72002028953085</v>
      </c>
      <c r="AO66" s="190">
        <v>242.51062564854746</v>
      </c>
      <c r="AQ66" s="190">
        <v>365.24090896778301</v>
      </c>
      <c r="AR66" s="190">
        <v>365.24090896778301</v>
      </c>
      <c r="AS66" s="190">
        <v>365.24090896778301</v>
      </c>
      <c r="AT66" s="190">
        <v>365.24090896778301</v>
      </c>
    </row>
    <row r="67" spans="1:48" x14ac:dyDescent="0.3">
      <c r="A67" s="38"/>
      <c r="B67" s="166"/>
      <c r="D67" s="190"/>
      <c r="E67" s="166"/>
      <c r="F67" s="190"/>
      <c r="G67" s="190"/>
      <c r="H67" s="190"/>
      <c r="J67" s="190"/>
      <c r="K67" s="166"/>
      <c r="L67" s="190"/>
      <c r="M67" s="190"/>
      <c r="N67" s="190"/>
      <c r="P67" s="190"/>
      <c r="Q67" s="190"/>
      <c r="R67" s="190"/>
      <c r="S67" s="190"/>
      <c r="U67" s="190"/>
      <c r="V67" s="190"/>
      <c r="W67" s="190"/>
      <c r="X67" s="190"/>
      <c r="Z67" s="190"/>
      <c r="AA67" s="166"/>
      <c r="AB67" s="190"/>
      <c r="AC67" s="190"/>
      <c r="AD67" s="190"/>
      <c r="AF67" s="190"/>
      <c r="AG67" s="166"/>
      <c r="AH67" s="190"/>
      <c r="AI67" s="190"/>
      <c r="AJ67" s="190"/>
      <c r="AL67" s="190"/>
      <c r="AM67" s="190"/>
      <c r="AN67" s="190"/>
      <c r="AO67" s="190"/>
      <c r="AQ67" s="190"/>
      <c r="AR67" s="190"/>
      <c r="AS67" s="190"/>
      <c r="AT67" s="190"/>
    </row>
    <row r="68" spans="1:48" x14ac:dyDescent="0.3">
      <c r="A68" s="38"/>
      <c r="B68" s="38"/>
      <c r="D68" s="38"/>
      <c r="F68" s="38"/>
      <c r="G68" s="38"/>
      <c r="H68" s="38"/>
      <c r="J68" s="38"/>
      <c r="L68" s="38"/>
      <c r="M68" s="38"/>
      <c r="N68" s="38"/>
      <c r="P68" s="38"/>
      <c r="Q68" s="38"/>
      <c r="R68" s="38"/>
      <c r="S68" s="38"/>
      <c r="U68" s="38"/>
      <c r="V68" s="38"/>
      <c r="W68" s="38"/>
      <c r="X68" s="38"/>
      <c r="Z68" s="38"/>
      <c r="AB68" s="38"/>
      <c r="AC68" s="38"/>
      <c r="AD68" s="38"/>
      <c r="AF68" s="38"/>
      <c r="AH68" s="38"/>
      <c r="AI68" s="38"/>
      <c r="AJ68" s="38"/>
      <c r="AL68" s="38"/>
      <c r="AM68" s="38"/>
      <c r="AN68" s="38"/>
      <c r="AO68" s="38"/>
      <c r="AQ68" s="38"/>
      <c r="AR68" s="38"/>
      <c r="AS68" s="38"/>
      <c r="AT68" s="38"/>
    </row>
    <row r="69" spans="1:48" x14ac:dyDescent="0.3">
      <c r="A69" s="38"/>
      <c r="B69" s="38" t="s">
        <v>300</v>
      </c>
      <c r="D69" s="38" t="s">
        <v>300</v>
      </c>
      <c r="E69" s="38" t="s">
        <v>300</v>
      </c>
      <c r="F69" s="38" t="s">
        <v>300</v>
      </c>
      <c r="G69" s="38" t="s">
        <v>300</v>
      </c>
      <c r="H69" s="38" t="s">
        <v>300</v>
      </c>
      <c r="J69" s="38" t="s">
        <v>300</v>
      </c>
      <c r="K69" s="38" t="s">
        <v>300</v>
      </c>
      <c r="L69" s="38" t="s">
        <v>300</v>
      </c>
      <c r="M69" s="38" t="s">
        <v>300</v>
      </c>
      <c r="N69" s="38" t="s">
        <v>300</v>
      </c>
      <c r="P69" s="38" t="s">
        <v>300</v>
      </c>
      <c r="Q69" s="38" t="s">
        <v>300</v>
      </c>
      <c r="R69" s="38" t="s">
        <v>300</v>
      </c>
      <c r="S69" s="38" t="s">
        <v>300</v>
      </c>
      <c r="U69" s="38" t="s">
        <v>300</v>
      </c>
      <c r="V69" s="38" t="s">
        <v>300</v>
      </c>
      <c r="W69" s="38" t="s">
        <v>300</v>
      </c>
      <c r="X69" s="38" t="s">
        <v>300</v>
      </c>
      <c r="Z69" s="38" t="s">
        <v>300</v>
      </c>
      <c r="AA69" s="38" t="s">
        <v>300</v>
      </c>
      <c r="AB69" s="38" t="s">
        <v>300</v>
      </c>
      <c r="AC69" s="38" t="s">
        <v>300</v>
      </c>
      <c r="AD69" s="38" t="s">
        <v>300</v>
      </c>
      <c r="AF69" s="38" t="s">
        <v>300</v>
      </c>
      <c r="AG69" s="38" t="s">
        <v>300</v>
      </c>
      <c r="AH69" s="38" t="s">
        <v>300</v>
      </c>
      <c r="AI69" s="38" t="s">
        <v>300</v>
      </c>
      <c r="AJ69" s="38" t="s">
        <v>300</v>
      </c>
      <c r="AL69" s="38" t="s">
        <v>300</v>
      </c>
      <c r="AM69" s="38" t="s">
        <v>300</v>
      </c>
      <c r="AN69" s="38" t="s">
        <v>300</v>
      </c>
      <c r="AO69" s="38" t="s">
        <v>300</v>
      </c>
      <c r="AQ69" s="38" t="s">
        <v>300</v>
      </c>
      <c r="AR69" s="38" t="s">
        <v>300</v>
      </c>
      <c r="AS69" s="38" t="s">
        <v>300</v>
      </c>
      <c r="AT69" s="38" t="s">
        <v>300</v>
      </c>
    </row>
    <row r="70" spans="1:48" x14ac:dyDescent="0.3">
      <c r="A70" s="38">
        <v>2021</v>
      </c>
      <c r="B70" s="177">
        <f>SCRS!AR14</f>
        <v>0.60893685306164336</v>
      </c>
      <c r="D70" s="408">
        <v>0.60260524695729167</v>
      </c>
      <c r="E70" s="177">
        <v>0.53796147015267559</v>
      </c>
      <c r="F70" s="408">
        <v>0.60260524695729167</v>
      </c>
      <c r="G70" s="408">
        <v>0.60260524695729167</v>
      </c>
      <c r="H70" s="408">
        <v>0.60260524695729167</v>
      </c>
      <c r="J70" s="408">
        <v>0.60260524695729167</v>
      </c>
      <c r="K70" s="177">
        <v>0.53796147015267559</v>
      </c>
      <c r="L70" s="408">
        <v>0.60260524695729167</v>
      </c>
      <c r="M70" s="408">
        <v>0.60260524695729167</v>
      </c>
      <c r="N70" s="408">
        <v>0.60260524695729167</v>
      </c>
      <c r="P70" s="408">
        <v>0.60190185712655764</v>
      </c>
      <c r="Q70" s="408">
        <v>0.60190185712655764</v>
      </c>
      <c r="R70" s="408">
        <v>0.60190185712655764</v>
      </c>
      <c r="S70" s="408">
        <v>0.60190185712655764</v>
      </c>
      <c r="U70" s="408">
        <v>0.60190185712655764</v>
      </c>
      <c r="V70" s="408">
        <v>0.60190185712655764</v>
      </c>
      <c r="W70" s="408">
        <v>0.60190185712655764</v>
      </c>
      <c r="X70" s="408">
        <v>0.60190185712655764</v>
      </c>
      <c r="Z70" s="408">
        <v>0.60190185712655764</v>
      </c>
      <c r="AA70" s="177">
        <v>0.53733353564771935</v>
      </c>
      <c r="AB70" s="408">
        <v>0.60190185712655764</v>
      </c>
      <c r="AC70" s="408">
        <v>0.60190185712655764</v>
      </c>
      <c r="AD70" s="408">
        <v>0.60190185712655764</v>
      </c>
      <c r="AF70" s="408">
        <v>0.60190185712655764</v>
      </c>
      <c r="AG70" s="177">
        <v>0.53733353564771935</v>
      </c>
      <c r="AH70" s="408">
        <v>0.60190185712655764</v>
      </c>
      <c r="AI70" s="408">
        <v>0.60190185712655764</v>
      </c>
      <c r="AJ70" s="408">
        <v>0.60190185712655764</v>
      </c>
      <c r="AL70" s="408">
        <f>AL169/AL136</f>
        <v>0.60348448424570933</v>
      </c>
      <c r="AM70" s="408">
        <f t="shared" ref="AM70:AO70" si="1">AM169/AM136</f>
        <v>0.60348448424570933</v>
      </c>
      <c r="AN70" s="408">
        <f t="shared" si="1"/>
        <v>0.60348448424570933</v>
      </c>
      <c r="AO70" s="408">
        <f t="shared" si="1"/>
        <v>0.60348448424570933</v>
      </c>
      <c r="AQ70" s="408">
        <f>AQ169/AQ136</f>
        <v>0.60348448424570933</v>
      </c>
      <c r="AR70" s="408">
        <f t="shared" ref="AR70:AT70" si="2">AR169/AR136</f>
        <v>0.60348448424570933</v>
      </c>
      <c r="AS70" s="408">
        <f t="shared" si="2"/>
        <v>0.60348448424570933</v>
      </c>
      <c r="AT70" s="408">
        <f t="shared" si="2"/>
        <v>0.60348448424570933</v>
      </c>
    </row>
    <row r="71" spans="1:48" x14ac:dyDescent="0.3">
      <c r="A71" s="38">
        <v>2022</v>
      </c>
      <c r="B71" s="177">
        <f>SCRS!AR15</f>
        <v>0.59270078979895946</v>
      </c>
      <c r="D71" s="408">
        <v>0.61841272218061893</v>
      </c>
      <c r="E71" s="177">
        <v>0.54687684606986497</v>
      </c>
      <c r="F71" s="408">
        <v>0.62024198737949665</v>
      </c>
      <c r="G71" s="408">
        <v>0.62755904817500829</v>
      </c>
      <c r="H71" s="408">
        <v>0.63670537416939765</v>
      </c>
      <c r="J71" s="408">
        <v>0.43807455436871956</v>
      </c>
      <c r="K71" s="177">
        <v>0.39108061619877826</v>
      </c>
      <c r="L71" s="408">
        <v>0.43961622492989766</v>
      </c>
      <c r="M71" s="408">
        <v>0.44578290717461022</v>
      </c>
      <c r="N71" s="408">
        <v>0.45349125998050088</v>
      </c>
      <c r="P71" s="408">
        <v>0.61703767243333696</v>
      </c>
      <c r="Q71" s="408">
        <v>0.6188669376322149</v>
      </c>
      <c r="R71" s="408">
        <v>0.62618399842772632</v>
      </c>
      <c r="S71" s="408">
        <v>0.63533032442211568</v>
      </c>
      <c r="U71" s="408">
        <v>0.43701270060261821</v>
      </c>
      <c r="V71" s="408">
        <v>0.43855437116379636</v>
      </c>
      <c r="W71" s="408">
        <v>0.44472105340850893</v>
      </c>
      <c r="X71" s="408">
        <v>0.45242940621439953</v>
      </c>
      <c r="Z71" s="408">
        <v>0.62022220543719753</v>
      </c>
      <c r="AA71" s="177">
        <v>0.55013575055894226</v>
      </c>
      <c r="AB71" s="408">
        <v>0.62205147063607547</v>
      </c>
      <c r="AC71" s="408">
        <v>0.62936853143158689</v>
      </c>
      <c r="AD71" s="408">
        <v>0.63851485742597625</v>
      </c>
      <c r="AF71" s="408">
        <v>0.43969656556990877</v>
      </c>
      <c r="AG71" s="177">
        <v>0.3939241104805683</v>
      </c>
      <c r="AH71" s="408">
        <v>0.44123823613108692</v>
      </c>
      <c r="AI71" s="408">
        <v>0.44740491837579943</v>
      </c>
      <c r="AJ71" s="408">
        <v>0.45511327118169009</v>
      </c>
      <c r="AL71" s="408">
        <f t="shared" ref="AL71:AO99" si="3">AL170/AL137</f>
        <v>0.62186957545679877</v>
      </c>
      <c r="AM71" s="408">
        <f t="shared" si="3"/>
        <v>0.62369884065567671</v>
      </c>
      <c r="AN71" s="408">
        <f t="shared" si="3"/>
        <v>0.63101590145118802</v>
      </c>
      <c r="AO71" s="408">
        <f t="shared" si="3"/>
        <v>0.64016222744557749</v>
      </c>
      <c r="AQ71" s="408">
        <f t="shared" ref="AQ71:AT99" si="4">AQ170/AQ137</f>
        <v>0.44086666016327025</v>
      </c>
      <c r="AR71" s="408">
        <f t="shared" si="4"/>
        <v>0.44240833072444846</v>
      </c>
      <c r="AS71" s="408">
        <f t="shared" si="4"/>
        <v>0.44857501296916097</v>
      </c>
      <c r="AT71" s="408">
        <f t="shared" si="4"/>
        <v>0.45628336577505163</v>
      </c>
      <c r="AV71" s="38"/>
    </row>
    <row r="72" spans="1:48" x14ac:dyDescent="0.3">
      <c r="A72" s="38">
        <v>2023</v>
      </c>
      <c r="B72" s="177">
        <f>SCRS!AR16</f>
        <v>0.6112793957278444</v>
      </c>
      <c r="D72" s="408">
        <v>0.63723105274177427</v>
      </c>
      <c r="E72" s="177">
        <v>0.55816823636766333</v>
      </c>
      <c r="F72" s="408">
        <v>0.63913578148525052</v>
      </c>
      <c r="G72" s="408">
        <v>0.64675469645915618</v>
      </c>
      <c r="H72" s="408">
        <v>0.65627834017653819</v>
      </c>
      <c r="J72" s="408">
        <v>0.46638155894141409</v>
      </c>
      <c r="K72" s="177">
        <v>0.41635101978792022</v>
      </c>
      <c r="L72" s="408">
        <v>0.46804683885625958</v>
      </c>
      <c r="M72" s="408">
        <v>0.47470795851564201</v>
      </c>
      <c r="N72" s="408">
        <v>0.48303435808987</v>
      </c>
      <c r="P72" s="408">
        <v>0.63472153750858673</v>
      </c>
      <c r="Q72" s="408">
        <v>0.63662691921246728</v>
      </c>
      <c r="R72" s="408">
        <v>0.64424844602798925</v>
      </c>
      <c r="S72" s="408">
        <v>0.65377535454739188</v>
      </c>
      <c r="U72" s="408">
        <v>0.46407435929582219</v>
      </c>
      <c r="V72" s="408">
        <v>0.46574021008557581</v>
      </c>
      <c r="W72" s="408">
        <v>0.47240361324459013</v>
      </c>
      <c r="X72" s="408">
        <v>0.480732867193358</v>
      </c>
      <c r="Z72" s="408">
        <v>0.6380385802887597</v>
      </c>
      <c r="AA72" s="177">
        <v>0.5695131774405684</v>
      </c>
      <c r="AB72" s="408">
        <v>0.63994396199264036</v>
      </c>
      <c r="AC72" s="408">
        <v>0.64756548880816223</v>
      </c>
      <c r="AD72" s="408">
        <v>0.65709239732756486</v>
      </c>
      <c r="AF72" s="408">
        <v>0.46697440726193001</v>
      </c>
      <c r="AG72" s="177">
        <v>0.42753591838162108</v>
      </c>
      <c r="AH72" s="408">
        <v>0.46864025805168363</v>
      </c>
      <c r="AI72" s="408">
        <v>0.47530366121069795</v>
      </c>
      <c r="AJ72" s="408">
        <v>0.48363291515946583</v>
      </c>
      <c r="AL72" s="408">
        <f t="shared" si="3"/>
        <v>0.6414374500070763</v>
      </c>
      <c r="AM72" s="408">
        <f t="shared" si="3"/>
        <v>0.64334286613925484</v>
      </c>
      <c r="AN72" s="408">
        <f t="shared" si="3"/>
        <v>0.65096453066796878</v>
      </c>
      <c r="AO72" s="408">
        <f t="shared" si="3"/>
        <v>0.66049161132886136</v>
      </c>
      <c r="AQ72" s="408">
        <f t="shared" si="4"/>
        <v>0.46994955911458414</v>
      </c>
      <c r="AR72" s="408">
        <f t="shared" si="4"/>
        <v>0.47161544000455724</v>
      </c>
      <c r="AS72" s="408">
        <f t="shared" si="4"/>
        <v>0.47827896356444938</v>
      </c>
      <c r="AT72" s="408">
        <f t="shared" si="4"/>
        <v>0.48660836801431456</v>
      </c>
      <c r="AV72" s="38"/>
    </row>
    <row r="73" spans="1:48" x14ac:dyDescent="0.3">
      <c r="A73" s="38">
        <v>2024</v>
      </c>
      <c r="B73" s="177">
        <f>SCRS!AR17</f>
        <v>0.62916795606567844</v>
      </c>
      <c r="D73" s="408">
        <v>0.65920969141998087</v>
      </c>
      <c r="E73" s="177">
        <v>0.5719293005346251</v>
      </c>
      <c r="F73" s="408">
        <v>0.6611936482403733</v>
      </c>
      <c r="G73" s="408">
        <v>0.66912947552194313</v>
      </c>
      <c r="H73" s="408">
        <v>0.67904925962390561</v>
      </c>
      <c r="J73" s="408">
        <v>0.49932982212418514</v>
      </c>
      <c r="K73" s="177">
        <v>0.44576479636931965</v>
      </c>
      <c r="L73" s="408">
        <v>0.50112921304681612</v>
      </c>
      <c r="M73" s="408">
        <v>0.50832677673734017</v>
      </c>
      <c r="N73" s="408">
        <v>0.51732373135049514</v>
      </c>
      <c r="P73" s="408">
        <v>0.65496830409069073</v>
      </c>
      <c r="Q73" s="408">
        <v>0.65695451837334096</v>
      </c>
      <c r="R73" s="408">
        <v>0.66489937550394118</v>
      </c>
      <c r="S73" s="408">
        <v>0.67483044691719185</v>
      </c>
      <c r="U73" s="408">
        <v>0.49504254925687624</v>
      </c>
      <c r="V73" s="408">
        <v>0.49684398763187765</v>
      </c>
      <c r="W73" s="408">
        <v>0.50404974113188306</v>
      </c>
      <c r="X73" s="408">
        <v>0.5130569330068897</v>
      </c>
      <c r="Z73" s="408">
        <v>0.65842606677032767</v>
      </c>
      <c r="AA73" s="177">
        <v>0.58843995218686596</v>
      </c>
      <c r="AB73" s="408">
        <v>0.66041228105297778</v>
      </c>
      <c r="AC73" s="408">
        <v>0.66835713818357823</v>
      </c>
      <c r="AD73" s="408">
        <v>0.67828820959682889</v>
      </c>
      <c r="AF73" s="408">
        <v>0.49817863907213761</v>
      </c>
      <c r="AG73" s="177">
        <v>0.46485736256843002</v>
      </c>
      <c r="AH73" s="408">
        <v>0.49998007744713902</v>
      </c>
      <c r="AI73" s="408">
        <v>0.50718583094714431</v>
      </c>
      <c r="AJ73" s="408">
        <v>0.51619302282215107</v>
      </c>
      <c r="AL73" s="408">
        <f t="shared" si="3"/>
        <v>0.66396969392981697</v>
      </c>
      <c r="AM73" s="408">
        <f t="shared" si="3"/>
        <v>0.66595602734007886</v>
      </c>
      <c r="AN73" s="408">
        <f t="shared" si="3"/>
        <v>0.67390136098112596</v>
      </c>
      <c r="AO73" s="408">
        <f t="shared" si="3"/>
        <v>0.68383302803243484</v>
      </c>
      <c r="AQ73" s="408">
        <f t="shared" si="4"/>
        <v>0.50342631950863748</v>
      </c>
      <c r="AR73" s="408">
        <f t="shared" si="4"/>
        <v>0.50522786592890523</v>
      </c>
      <c r="AS73" s="408">
        <f t="shared" si="4"/>
        <v>0.51243405160997602</v>
      </c>
      <c r="AT73" s="408">
        <f t="shared" si="4"/>
        <v>0.52144178371131444</v>
      </c>
      <c r="AV73" s="38"/>
    </row>
    <row r="74" spans="1:48" x14ac:dyDescent="0.3">
      <c r="A74" s="38">
        <v>2025</v>
      </c>
      <c r="B74" s="177">
        <f>SCRS!AR18</f>
        <v>0.64664537421067292</v>
      </c>
      <c r="D74" s="408">
        <v>0.68225553302482944</v>
      </c>
      <c r="E74" s="177">
        <v>0.58826074761827984</v>
      </c>
      <c r="F74" s="408">
        <v>0.68432269295439985</v>
      </c>
      <c r="G74" s="408">
        <v>0.69259133267268158</v>
      </c>
      <c r="H74" s="408">
        <v>0.70292713232053372</v>
      </c>
      <c r="J74" s="408">
        <v>0.53503480573173345</v>
      </c>
      <c r="K74" s="177">
        <v>0.47968881848094519</v>
      </c>
      <c r="L74" s="408">
        <v>0.53697974743491994</v>
      </c>
      <c r="M74" s="408">
        <v>0.54475951424766655</v>
      </c>
      <c r="N74" s="408">
        <v>0.55448422276359965</v>
      </c>
      <c r="P74" s="408">
        <v>0.67582934117021987</v>
      </c>
      <c r="Q74" s="408">
        <v>0.67790120417867028</v>
      </c>
      <c r="R74" s="408">
        <v>0.68618865621247138</v>
      </c>
      <c r="S74" s="408">
        <v>0.69654797125472334</v>
      </c>
      <c r="U74" s="408">
        <v>0.52817479769078668</v>
      </c>
      <c r="V74" s="408">
        <v>0.53012416440924015</v>
      </c>
      <c r="W74" s="408">
        <v>0.53792163128305315</v>
      </c>
      <c r="X74" s="408">
        <v>0.54766846487531951</v>
      </c>
      <c r="Z74" s="408">
        <v>0.67943872659041382</v>
      </c>
      <c r="AA74" s="177">
        <v>0.6071197413093764</v>
      </c>
      <c r="AB74" s="408">
        <v>0.68151058959886424</v>
      </c>
      <c r="AC74" s="408">
        <v>0.68979804163266556</v>
      </c>
      <c r="AD74" s="408">
        <v>0.7001573566749173</v>
      </c>
      <c r="AF74" s="408">
        <v>0.53352876802818594</v>
      </c>
      <c r="AG74" s="177">
        <v>0.50665535328452582</v>
      </c>
      <c r="AH74" s="408">
        <v>0.53534479780887656</v>
      </c>
      <c r="AI74" s="408">
        <v>0.54260891693163837</v>
      </c>
      <c r="AJ74" s="408">
        <v>0.55168906583509081</v>
      </c>
      <c r="AL74" s="408">
        <f t="shared" si="3"/>
        <v>0.68746595648932052</v>
      </c>
      <c r="AM74" s="408">
        <f t="shared" si="3"/>
        <v>0.68953806797884099</v>
      </c>
      <c r="AN74" s="408">
        <f t="shared" si="3"/>
        <v>0.69782651393692297</v>
      </c>
      <c r="AO74" s="408">
        <f t="shared" si="3"/>
        <v>0.7081870713845253</v>
      </c>
      <c r="AQ74" s="408">
        <f t="shared" si="4"/>
        <v>0.53952615788925107</v>
      </c>
      <c r="AR74" s="408">
        <f t="shared" si="4"/>
        <v>0.54147575839764428</v>
      </c>
      <c r="AS74" s="408">
        <f t="shared" si="4"/>
        <v>0.54927416043121713</v>
      </c>
      <c r="AT74" s="408">
        <f t="shared" si="4"/>
        <v>0.55902216297318308</v>
      </c>
      <c r="AV74" s="38"/>
    </row>
    <row r="75" spans="1:48" x14ac:dyDescent="0.3">
      <c r="A75" s="38">
        <v>2026</v>
      </c>
      <c r="B75" s="177">
        <f>SCRS!AR19</f>
        <v>0.66368795100015987</v>
      </c>
      <c r="D75" s="408">
        <v>0.70643216491337613</v>
      </c>
      <c r="E75" s="177">
        <v>0.60325344645058376</v>
      </c>
      <c r="F75" s="408">
        <v>0.70858672642171305</v>
      </c>
      <c r="G75" s="408">
        <v>0.71720497245506099</v>
      </c>
      <c r="H75" s="408">
        <v>0.72797777999674596</v>
      </c>
      <c r="J75" s="408">
        <v>0.54779692753215481</v>
      </c>
      <c r="K75" s="177">
        <v>0.49516699310808832</v>
      </c>
      <c r="L75" s="408">
        <v>0.54980515773790339</v>
      </c>
      <c r="M75" s="408">
        <v>0.55783807856089795</v>
      </c>
      <c r="N75" s="408">
        <v>0.56787922958964132</v>
      </c>
      <c r="P75" s="408">
        <v>0.69737044748267796</v>
      </c>
      <c r="Q75" s="408">
        <v>0.69953309973053912</v>
      </c>
      <c r="R75" s="408">
        <v>0.70818370872198322</v>
      </c>
      <c r="S75" s="408">
        <v>0.71899696996128892</v>
      </c>
      <c r="U75" s="408">
        <v>0.53813032700685048</v>
      </c>
      <c r="V75" s="408">
        <v>0.54014609845355999</v>
      </c>
      <c r="W75" s="408">
        <v>0.54820918424039766</v>
      </c>
      <c r="X75" s="408">
        <v>0.55828804147394495</v>
      </c>
      <c r="Z75" s="408">
        <v>0.70114636304442568</v>
      </c>
      <c r="AA75" s="177">
        <v>0.62556932944130506</v>
      </c>
      <c r="AB75" s="408">
        <v>0.70330901529228695</v>
      </c>
      <c r="AC75" s="408">
        <v>0.71195962428373116</v>
      </c>
      <c r="AD75" s="408">
        <v>0.72277288552303665</v>
      </c>
      <c r="AF75" s="408">
        <v>0.54728247656245543</v>
      </c>
      <c r="AG75" s="177">
        <v>0.52801432510778168</v>
      </c>
      <c r="AH75" s="408">
        <v>0.54902210302329513</v>
      </c>
      <c r="AI75" s="408">
        <v>0.55598060886665313</v>
      </c>
      <c r="AJ75" s="408">
        <v>0.56467874117085093</v>
      </c>
      <c r="AL75" s="408">
        <f t="shared" si="3"/>
        <v>0.71201820135032967</v>
      </c>
      <c r="AM75" s="408">
        <f t="shared" si="3"/>
        <v>0.71418128172653894</v>
      </c>
      <c r="AN75" s="408">
        <f t="shared" si="3"/>
        <v>0.72283360323137569</v>
      </c>
      <c r="AO75" s="408">
        <f t="shared" si="3"/>
        <v>0.73364900511242148</v>
      </c>
      <c r="AQ75" s="408">
        <f t="shared" si="4"/>
        <v>0.55313236074435246</v>
      </c>
      <c r="AR75" s="408">
        <f t="shared" si="4"/>
        <v>0.55501023791444359</v>
      </c>
      <c r="AS75" s="408">
        <f t="shared" si="4"/>
        <v>0.56252174659480714</v>
      </c>
      <c r="AT75" s="408">
        <f t="shared" si="4"/>
        <v>0.57250794096898938</v>
      </c>
      <c r="AV75" s="38"/>
    </row>
    <row r="76" spans="1:48" x14ac:dyDescent="0.3">
      <c r="A76" s="38">
        <v>2027</v>
      </c>
      <c r="B76" s="177">
        <f>SCRS!AR20</f>
        <v>0.67976547396803677</v>
      </c>
      <c r="D76" s="408">
        <v>0.73180761894286328</v>
      </c>
      <c r="E76" s="177">
        <v>0.61888057301506072</v>
      </c>
      <c r="F76" s="408">
        <v>0.7340540195951899</v>
      </c>
      <c r="G76" s="408">
        <v>0.74303962220449671</v>
      </c>
      <c r="H76" s="408">
        <v>0.75427162546613025</v>
      </c>
      <c r="J76" s="408">
        <v>0.56109484661461928</v>
      </c>
      <c r="K76" s="177">
        <v>0.51328970989819667</v>
      </c>
      <c r="L76" s="408">
        <v>0.56316911000485559</v>
      </c>
      <c r="M76" s="408">
        <v>0.57146616356580138</v>
      </c>
      <c r="N76" s="408">
        <v>0.58183748051698359</v>
      </c>
      <c r="P76" s="408">
        <v>0.71966276271278529</v>
      </c>
      <c r="Q76" s="408">
        <v>0.72192169720333776</v>
      </c>
      <c r="R76" s="408">
        <v>0.73095743516554779</v>
      </c>
      <c r="S76" s="408">
        <v>0.74225210761831084</v>
      </c>
      <c r="U76" s="408">
        <v>0.54811878626706989</v>
      </c>
      <c r="V76" s="408">
        <v>0.55020462305216988</v>
      </c>
      <c r="W76" s="408">
        <v>0.55854797019256974</v>
      </c>
      <c r="X76" s="408">
        <v>0.56897715411806971</v>
      </c>
      <c r="Z76" s="408">
        <v>0.72362341729825586</v>
      </c>
      <c r="AA76" s="177">
        <v>0.64340294294941081</v>
      </c>
      <c r="AB76" s="408">
        <v>0.72588235178880856</v>
      </c>
      <c r="AC76" s="408">
        <v>0.73491808975101858</v>
      </c>
      <c r="AD76" s="408">
        <v>0.74621276220378141</v>
      </c>
      <c r="AF76" s="408">
        <v>0.56185045083102936</v>
      </c>
      <c r="AG76" s="177">
        <v>0.55010069204132273</v>
      </c>
      <c r="AH76" s="408">
        <v>0.56351284080991548</v>
      </c>
      <c r="AI76" s="408">
        <v>0.57016240072545921</v>
      </c>
      <c r="AJ76" s="408">
        <v>0.57847435061988894</v>
      </c>
      <c r="AL76" s="408">
        <f t="shared" si="3"/>
        <v>0.73772532546778091</v>
      </c>
      <c r="AM76" s="408">
        <f t="shared" si="3"/>
        <v>0.73998492446638442</v>
      </c>
      <c r="AN76" s="408">
        <f t="shared" si="3"/>
        <v>0.74902332046079845</v>
      </c>
      <c r="AO76" s="408">
        <f t="shared" si="3"/>
        <v>0.76032131545381565</v>
      </c>
      <c r="AQ76" s="408">
        <f t="shared" si="4"/>
        <v>0.56751945258132352</v>
      </c>
      <c r="AR76" s="408">
        <f t="shared" si="4"/>
        <v>0.56931504165616653</v>
      </c>
      <c r="AS76" s="408">
        <f t="shared" si="4"/>
        <v>0.57649739795553734</v>
      </c>
      <c r="AT76" s="408">
        <f t="shared" si="4"/>
        <v>0.58642882141389241</v>
      </c>
      <c r="AV76" s="38"/>
    </row>
    <row r="77" spans="1:48" x14ac:dyDescent="0.3">
      <c r="A77" s="38">
        <v>2028</v>
      </c>
      <c r="B77" s="177">
        <f>SCRS!AR21</f>
        <v>0.6964574528681392</v>
      </c>
      <c r="D77" s="408">
        <v>0.75845475308718469</v>
      </c>
      <c r="E77" s="177">
        <v>0.63517751732340655</v>
      </c>
      <c r="F77" s="408">
        <v>0.7607976865407986</v>
      </c>
      <c r="G77" s="408">
        <v>0.77016942035525482</v>
      </c>
      <c r="H77" s="408">
        <v>0.78188408762332529</v>
      </c>
      <c r="J77" s="408">
        <v>0.57495934130502591</v>
      </c>
      <c r="K77" s="177">
        <v>0.53417669097582721</v>
      </c>
      <c r="L77" s="408">
        <v>0.57710252169499543</v>
      </c>
      <c r="M77" s="408">
        <v>0.58567524325487408</v>
      </c>
      <c r="N77" s="408">
        <v>0.59639114520472247</v>
      </c>
      <c r="P77" s="408">
        <v>0.74278225185982438</v>
      </c>
      <c r="Q77" s="408">
        <v>0.74514334502991941</v>
      </c>
      <c r="R77" s="408">
        <v>0.75458771771029964</v>
      </c>
      <c r="S77" s="408">
        <v>0.76639318356077524</v>
      </c>
      <c r="U77" s="408">
        <v>0.56045205381717556</v>
      </c>
      <c r="V77" s="408">
        <v>0.56032641885927648</v>
      </c>
      <c r="W77" s="408">
        <v>0.56896558626410987</v>
      </c>
      <c r="X77" s="408">
        <v>0.57976454552015178</v>
      </c>
      <c r="Z77" s="408">
        <v>0.74694943014535953</v>
      </c>
      <c r="AA77" s="177">
        <v>0.66183703872316246</v>
      </c>
      <c r="AB77" s="408">
        <v>0.74931052331545478</v>
      </c>
      <c r="AC77" s="408">
        <v>0.7587548959958349</v>
      </c>
      <c r="AD77" s="408">
        <v>0.77056036184631027</v>
      </c>
      <c r="AF77" s="408">
        <v>0.57860212879460948</v>
      </c>
      <c r="AG77" s="177">
        <v>0.57400565072785681</v>
      </c>
      <c r="AH77" s="408">
        <v>0.58018602277722187</v>
      </c>
      <c r="AI77" s="408">
        <v>0.58652159870767062</v>
      </c>
      <c r="AJ77" s="408">
        <v>0.59444106862073187</v>
      </c>
      <c r="AL77" s="408">
        <f t="shared" si="3"/>
        <v>0.76469384256491291</v>
      </c>
      <c r="AM77" s="408">
        <f t="shared" si="3"/>
        <v>0.76705590070031082</v>
      </c>
      <c r="AN77" s="408">
        <f t="shared" si="3"/>
        <v>0.77650413324190237</v>
      </c>
      <c r="AO77" s="408">
        <f t="shared" si="3"/>
        <v>0.78831442391889128</v>
      </c>
      <c r="AQ77" s="408">
        <f t="shared" si="4"/>
        <v>0.58409746697247167</v>
      </c>
      <c r="AR77" s="408">
        <f t="shared" si="4"/>
        <v>0.58580934845984012</v>
      </c>
      <c r="AS77" s="408">
        <f t="shared" si="4"/>
        <v>0.59265687440931314</v>
      </c>
      <c r="AT77" s="408">
        <f t="shared" si="4"/>
        <v>0.60215801502348609</v>
      </c>
      <c r="AV77" s="38"/>
    </row>
    <row r="78" spans="1:48" x14ac:dyDescent="0.3">
      <c r="A78" s="38">
        <v>2029</v>
      </c>
      <c r="B78" s="177">
        <f>SCRS!AR22</f>
        <v>0.71378531674408696</v>
      </c>
      <c r="D78" s="408">
        <v>0.7864516728467198</v>
      </c>
      <c r="E78" s="177">
        <v>0.65218217165580372</v>
      </c>
      <c r="F78" s="408">
        <v>0.78889610732690418</v>
      </c>
      <c r="G78" s="408">
        <v>0.79867384524764173</v>
      </c>
      <c r="H78" s="408">
        <v>0.810896017648564</v>
      </c>
      <c r="J78" s="408">
        <v>0.58942336331421763</v>
      </c>
      <c r="K78" s="177">
        <v>0.54779059373541272</v>
      </c>
      <c r="L78" s="408">
        <v>0.59163849353411324</v>
      </c>
      <c r="M78" s="408">
        <v>0.60049901441369657</v>
      </c>
      <c r="N78" s="408">
        <v>0.61157466551317563</v>
      </c>
      <c r="P78" s="408">
        <v>0.76681027597569551</v>
      </c>
      <c r="Q78" s="408">
        <v>0.76927982181272991</v>
      </c>
      <c r="R78" s="408">
        <v>0.77915800516086764</v>
      </c>
      <c r="S78" s="408">
        <v>0.79150573434604032</v>
      </c>
      <c r="U78" s="408">
        <v>0.56989098443448061</v>
      </c>
      <c r="V78" s="408">
        <v>0.57053971794542757</v>
      </c>
      <c r="W78" s="408">
        <v>0.5794912618012813</v>
      </c>
      <c r="X78" s="408">
        <v>0.59068069162109871</v>
      </c>
      <c r="Z78" s="408">
        <v>0.77120969126769223</v>
      </c>
      <c r="AA78" s="177">
        <v>0.68094590262528798</v>
      </c>
      <c r="AB78" s="408">
        <v>0.77367923710472697</v>
      </c>
      <c r="AC78" s="408">
        <v>0.78355742045286458</v>
      </c>
      <c r="AD78" s="408">
        <v>0.79590514963803705</v>
      </c>
      <c r="AF78" s="408">
        <v>0.59519743391098268</v>
      </c>
      <c r="AG78" s="177">
        <v>0.59786327266583217</v>
      </c>
      <c r="AH78" s="408">
        <v>0.59669767186780931</v>
      </c>
      <c r="AI78" s="408">
        <v>0.60269862369511484</v>
      </c>
      <c r="AJ78" s="408">
        <v>0.61019981347924712</v>
      </c>
      <c r="AL78" s="408">
        <f t="shared" si="3"/>
        <v>0.79303878505501524</v>
      </c>
      <c r="AM78" s="408">
        <f t="shared" si="3"/>
        <v>0.79550966876875062</v>
      </c>
      <c r="AN78" s="408">
        <f t="shared" si="3"/>
        <v>0.80539320362369204</v>
      </c>
      <c r="AO78" s="408">
        <f t="shared" si="3"/>
        <v>0.81774762219236852</v>
      </c>
      <c r="AQ78" s="408">
        <f t="shared" si="4"/>
        <v>0.60052058733690838</v>
      </c>
      <c r="AR78" s="408">
        <f t="shared" si="4"/>
        <v>0.60214344254370733</v>
      </c>
      <c r="AS78" s="408">
        <f t="shared" si="4"/>
        <v>0.60863486337090267</v>
      </c>
      <c r="AT78" s="408">
        <f t="shared" si="4"/>
        <v>0.61765348608219195</v>
      </c>
      <c r="AV78" s="38"/>
    </row>
    <row r="79" spans="1:48" x14ac:dyDescent="0.3">
      <c r="A79" s="38">
        <v>2030</v>
      </c>
      <c r="B79" s="177">
        <f>SCRS!AR23</f>
        <v>0.73179381001242871</v>
      </c>
      <c r="D79" s="408">
        <v>0.81588219745848067</v>
      </c>
      <c r="E79" s="177">
        <v>0.66993514821313027</v>
      </c>
      <c r="F79" s="408">
        <v>0.81843339587278774</v>
      </c>
      <c r="G79" s="408">
        <v>0.82863818953001611</v>
      </c>
      <c r="H79" s="408">
        <v>0.84139418160155166</v>
      </c>
      <c r="J79" s="408">
        <v>0.60452222658934573</v>
      </c>
      <c r="K79" s="177">
        <v>0.56200236280751892</v>
      </c>
      <c r="L79" s="408">
        <v>0.60681249922850256</v>
      </c>
      <c r="M79" s="408">
        <v>0.61597358978513073</v>
      </c>
      <c r="N79" s="408">
        <v>0.62742495298091572</v>
      </c>
      <c r="P79" s="408">
        <v>0.79183425012322728</v>
      </c>
      <c r="Q79" s="408">
        <v>0.79441899785761483</v>
      </c>
      <c r="R79" s="408">
        <v>0.80475798879516469</v>
      </c>
      <c r="S79" s="408">
        <v>0.81768172746710255</v>
      </c>
      <c r="U79" s="408">
        <v>0.57944516677875557</v>
      </c>
      <c r="V79" s="408">
        <v>0.58087425705879792</v>
      </c>
      <c r="W79" s="408">
        <v>0.59015581976594411</v>
      </c>
      <c r="X79" s="408">
        <v>0.60175777314987711</v>
      </c>
      <c r="Z79" s="408">
        <v>0.79649596021215741</v>
      </c>
      <c r="AA79" s="177">
        <v>0.70080795070505197</v>
      </c>
      <c r="AB79" s="408">
        <v>0.79908070794654529</v>
      </c>
      <c r="AC79" s="408">
        <v>0.80941969888409493</v>
      </c>
      <c r="AD79" s="408">
        <v>0.82234343755603267</v>
      </c>
      <c r="AF79" s="408">
        <v>0.61207422911564202</v>
      </c>
      <c r="AG79" s="177">
        <v>0.62203643023540778</v>
      </c>
      <c r="AH79" s="408">
        <v>0.61348658056071015</v>
      </c>
      <c r="AI79" s="408">
        <v>0.61913598634098121</v>
      </c>
      <c r="AJ79" s="408">
        <v>0.62619774356632052</v>
      </c>
      <c r="AL79" s="408">
        <f t="shared" si="3"/>
        <v>0.82288471292824894</v>
      </c>
      <c r="AM79" s="408">
        <f t="shared" si="3"/>
        <v>0.82547125345824546</v>
      </c>
      <c r="AN79" s="408">
        <f t="shared" si="3"/>
        <v>0.83581741557823153</v>
      </c>
      <c r="AO79" s="408">
        <f t="shared" si="3"/>
        <v>0.84875011822821389</v>
      </c>
      <c r="AQ79" s="408">
        <f t="shared" si="4"/>
        <v>0.61722933393785473</v>
      </c>
      <c r="AR79" s="408">
        <f t="shared" si="4"/>
        <v>0.61875877269596469</v>
      </c>
      <c r="AS79" s="408">
        <f t="shared" si="4"/>
        <v>0.62487652772840474</v>
      </c>
      <c r="AT79" s="408">
        <f t="shared" si="4"/>
        <v>0.63338977587161926</v>
      </c>
      <c r="AV79" s="38"/>
    </row>
    <row r="80" spans="1:48" x14ac:dyDescent="0.3">
      <c r="A80" s="38">
        <v>2031</v>
      </c>
      <c r="B80" s="177">
        <f>SCRS!AR24</f>
        <v>0.75053287454360462</v>
      </c>
      <c r="D80" s="408">
        <v>0.84683737703987849</v>
      </c>
      <c r="E80" s="177">
        <v>0.68848142037698445</v>
      </c>
      <c r="F80" s="408">
        <v>0.84950089763512127</v>
      </c>
      <c r="G80" s="408">
        <v>0.86015498001609303</v>
      </c>
      <c r="H80" s="408">
        <v>0.8734725829923079</v>
      </c>
      <c r="J80" s="408">
        <v>0.62029659019849759</v>
      </c>
      <c r="K80" s="177">
        <v>0.57890278239742232</v>
      </c>
      <c r="L80" s="408">
        <v>0.62266535038712711</v>
      </c>
      <c r="M80" s="408">
        <v>0.63214039114164566</v>
      </c>
      <c r="N80" s="408">
        <v>0.64398419208479374</v>
      </c>
      <c r="P80" s="408">
        <v>0.81782584437539552</v>
      </c>
      <c r="Q80" s="408">
        <v>0.82053326807342819</v>
      </c>
      <c r="R80" s="408">
        <v>0.83136296286555877</v>
      </c>
      <c r="S80" s="408">
        <v>0.84490008135572237</v>
      </c>
      <c r="U80" s="408">
        <v>0.5890134712578966</v>
      </c>
      <c r="V80" s="408">
        <v>0.59122103213282962</v>
      </c>
      <c r="W80" s="408">
        <v>0.60085225102575845</v>
      </c>
      <c r="X80" s="408">
        <v>0.61289127464191973</v>
      </c>
      <c r="Z80" s="408">
        <v>0.82278512428462802</v>
      </c>
      <c r="AA80" s="177">
        <v>0.7214610980118582</v>
      </c>
      <c r="AB80" s="408">
        <v>0.82549254798266103</v>
      </c>
      <c r="AC80" s="408">
        <v>0.83632224277479139</v>
      </c>
      <c r="AD80" s="408">
        <v>0.84985936126495476</v>
      </c>
      <c r="AF80" s="408">
        <v>0.6296504707002003</v>
      </c>
      <c r="AG80" s="177">
        <v>0.64685142746689206</v>
      </c>
      <c r="AH80" s="408">
        <v>0.6309717245549803</v>
      </c>
      <c r="AI80" s="408">
        <v>0.63625673997409893</v>
      </c>
      <c r="AJ80" s="408">
        <v>0.64286300924799755</v>
      </c>
      <c r="AL80" s="408">
        <f t="shared" si="3"/>
        <v>0.85432864680211618</v>
      </c>
      <c r="AM80" s="408">
        <f t="shared" si="3"/>
        <v>0.85703842470829295</v>
      </c>
      <c r="AN80" s="408">
        <f t="shared" si="3"/>
        <v>0.86787753633300047</v>
      </c>
      <c r="AO80" s="408">
        <f t="shared" si="3"/>
        <v>0.88142642586388464</v>
      </c>
      <c r="AQ80" s="408">
        <f t="shared" si="4"/>
        <v>0.63464897411208621</v>
      </c>
      <c r="AR80" s="408">
        <f t="shared" si="4"/>
        <v>0.63608163814745666</v>
      </c>
      <c r="AS80" s="408">
        <f t="shared" si="4"/>
        <v>0.64181229428893816</v>
      </c>
      <c r="AT80" s="408">
        <f t="shared" si="4"/>
        <v>0.6498025664853907</v>
      </c>
      <c r="AV80" s="38"/>
    </row>
    <row r="81" spans="1:48" x14ac:dyDescent="0.3">
      <c r="A81" s="38">
        <v>2032</v>
      </c>
      <c r="B81" s="177">
        <f>SCRS!AR25</f>
        <v>0.77005234322867333</v>
      </c>
      <c r="D81" s="408">
        <v>0.87941264731150603</v>
      </c>
      <c r="E81" s="177">
        <v>0.70786620161144653</v>
      </c>
      <c r="F81" s="408">
        <v>0.88219440464401278</v>
      </c>
      <c r="G81" s="408">
        <v>0.8933214339740404</v>
      </c>
      <c r="H81" s="408">
        <v>0.90723022063657499</v>
      </c>
      <c r="J81" s="408">
        <v>0.63678444575167648</v>
      </c>
      <c r="K81" s="177">
        <v>0.59449280245198122</v>
      </c>
      <c r="L81" s="408">
        <v>0.63923523725018583</v>
      </c>
      <c r="M81" s="408">
        <v>0.64903840324422368</v>
      </c>
      <c r="N81" s="408">
        <v>0.661292360736771</v>
      </c>
      <c r="P81" s="408">
        <v>0.84500815768250803</v>
      </c>
      <c r="Q81" s="408">
        <v>0.84784607059007822</v>
      </c>
      <c r="R81" s="408">
        <v>0.85919772222035917</v>
      </c>
      <c r="S81" s="408">
        <v>0.87338728675821053</v>
      </c>
      <c r="U81" s="408">
        <v>0.59875792627146351</v>
      </c>
      <c r="V81" s="408">
        <v>0.60175259975178874</v>
      </c>
      <c r="W81" s="408">
        <v>0.61175366310279733</v>
      </c>
      <c r="X81" s="408">
        <v>0.62425499229155823</v>
      </c>
      <c r="Z81" s="408">
        <v>0.8503052245513989</v>
      </c>
      <c r="AA81" s="177">
        <v>0.74304270850348897</v>
      </c>
      <c r="AB81" s="408">
        <v>0.85314313745896941</v>
      </c>
      <c r="AC81" s="408">
        <v>0.86449478908925004</v>
      </c>
      <c r="AD81" s="408">
        <v>0.8786843536271014</v>
      </c>
      <c r="AF81" s="408">
        <v>0.6484148507342774</v>
      </c>
      <c r="AG81" s="177">
        <v>0.67276261920104818</v>
      </c>
      <c r="AH81" s="408">
        <v>0.64964253358386048</v>
      </c>
      <c r="AI81" s="408">
        <v>0.65455326498219124</v>
      </c>
      <c r="AJ81" s="408">
        <v>0.66069167923010497</v>
      </c>
      <c r="AL81" s="408">
        <f t="shared" si="3"/>
        <v>0.88756042289506465</v>
      </c>
      <c r="AM81" s="408">
        <f t="shared" si="3"/>
        <v>0.89040135858615266</v>
      </c>
      <c r="AN81" s="408">
        <f t="shared" si="3"/>
        <v>0.90176510135050503</v>
      </c>
      <c r="AO81" s="408">
        <f t="shared" si="3"/>
        <v>0.91596977980594518</v>
      </c>
      <c r="AQ81" s="408">
        <f t="shared" si="4"/>
        <v>0.65326976152623883</v>
      </c>
      <c r="AR81" s="408">
        <f t="shared" si="4"/>
        <v>0.65460303727915792</v>
      </c>
      <c r="AS81" s="408">
        <f t="shared" si="4"/>
        <v>0.65993614029083358</v>
      </c>
      <c r="AT81" s="408">
        <f t="shared" si="4"/>
        <v>0.6673894805067917</v>
      </c>
      <c r="AV81" s="38"/>
    </row>
    <row r="82" spans="1:48" x14ac:dyDescent="0.3">
      <c r="A82" s="38">
        <v>2033</v>
      </c>
      <c r="B82" s="177">
        <f>SCRS!AR26</f>
        <v>0.79040981207348815</v>
      </c>
      <c r="D82" s="408">
        <v>0.91371270627147572</v>
      </c>
      <c r="E82" s="177">
        <v>0.72814105495618764</v>
      </c>
      <c r="F82" s="408">
        <v>0.91661895210152389</v>
      </c>
      <c r="G82" s="408">
        <v>0.9282439354217169</v>
      </c>
      <c r="H82" s="408">
        <v>0.94277516457195831</v>
      </c>
      <c r="J82" s="408">
        <v>0.65403256129111287</v>
      </c>
      <c r="K82" s="177">
        <v>0.61080098007438122</v>
      </c>
      <c r="L82" s="408">
        <v>0.65656910037423843</v>
      </c>
      <c r="M82" s="408">
        <v>0.66671525670674125</v>
      </c>
      <c r="N82" s="408">
        <v>0.67939795212236986</v>
      </c>
      <c r="P82" s="408">
        <v>0.87337140353873532</v>
      </c>
      <c r="Q82" s="408">
        <v>0.8763484454852738</v>
      </c>
      <c r="R82" s="408">
        <v>0.88825661327142824</v>
      </c>
      <c r="S82" s="408">
        <v>0.90314182300412171</v>
      </c>
      <c r="U82" s="408">
        <v>0.60858193631273938</v>
      </c>
      <c r="V82" s="408">
        <v>0.61236448699516188</v>
      </c>
      <c r="W82" s="408">
        <v>0.62275780358445321</v>
      </c>
      <c r="X82" s="408">
        <v>0.63574944932106769</v>
      </c>
      <c r="Z82" s="408">
        <v>0.87905389261929001</v>
      </c>
      <c r="AA82" s="177">
        <v>0.76560780571020093</v>
      </c>
      <c r="AB82" s="408">
        <v>0.88203093456582893</v>
      </c>
      <c r="AC82" s="408">
        <v>0.89393910235198304</v>
      </c>
      <c r="AD82" s="408">
        <v>0.90882431208467618</v>
      </c>
      <c r="AF82" s="408">
        <v>0.66846417898006216</v>
      </c>
      <c r="AG82" s="177">
        <v>0.69983755484763044</v>
      </c>
      <c r="AH82" s="408">
        <v>0.66959552400261835</v>
      </c>
      <c r="AI82" s="408">
        <v>0.67412090409284209</v>
      </c>
      <c r="AJ82" s="408">
        <v>0.67977762920562201</v>
      </c>
      <c r="AL82" s="408">
        <f t="shared" si="3"/>
        <v>0.92270860400251475</v>
      </c>
      <c r="AM82" s="408">
        <f t="shared" si="3"/>
        <v>0.92568947324476691</v>
      </c>
      <c r="AN82" s="408">
        <f t="shared" si="3"/>
        <v>0.937612950213775</v>
      </c>
      <c r="AO82" s="408">
        <f t="shared" si="3"/>
        <v>0.95251729642503513</v>
      </c>
      <c r="AQ82" s="408">
        <f t="shared" si="4"/>
        <v>0.67319304066838803</v>
      </c>
      <c r="AR82" s="408">
        <f t="shared" si="4"/>
        <v>0.6744240042432168</v>
      </c>
      <c r="AS82" s="408">
        <f t="shared" si="4"/>
        <v>0.67934785854253232</v>
      </c>
      <c r="AT82" s="408">
        <f t="shared" si="4"/>
        <v>0.68624875869931012</v>
      </c>
      <c r="AV82" s="38"/>
    </row>
    <row r="83" spans="1:48" x14ac:dyDescent="0.3">
      <c r="A83" s="38">
        <v>2034</v>
      </c>
      <c r="B83" s="177">
        <f>SCRS!AR27</f>
        <v>0.8116651868244884</v>
      </c>
      <c r="D83" s="408">
        <v>0.94984876067344326</v>
      </c>
      <c r="E83" s="177">
        <v>0.74935959122228335</v>
      </c>
      <c r="F83" s="408">
        <v>0.95288613007446799</v>
      </c>
      <c r="G83" s="408">
        <v>0.96268537184042258</v>
      </c>
      <c r="H83" s="408">
        <v>0.97787221884554665</v>
      </c>
      <c r="J83" s="408">
        <v>0.67208800534877122</v>
      </c>
      <c r="K83" s="177">
        <v>0.627871498222904</v>
      </c>
      <c r="L83" s="408">
        <v>0.6747142120930375</v>
      </c>
      <c r="M83" s="408">
        <v>0.68521903907010362</v>
      </c>
      <c r="N83" s="408">
        <v>0.69835007279143613</v>
      </c>
      <c r="P83" s="408">
        <v>0.9030353975857226</v>
      </c>
      <c r="Q83" s="408">
        <v>0.90616088763754221</v>
      </c>
      <c r="R83" s="408">
        <v>0.91866284784482077</v>
      </c>
      <c r="S83" s="408">
        <v>0.93429029810391928</v>
      </c>
      <c r="U83" s="408">
        <v>0.61851985640514096</v>
      </c>
      <c r="V83" s="408">
        <v>0.62309222841653678</v>
      </c>
      <c r="W83" s="408">
        <v>0.63390182312761434</v>
      </c>
      <c r="X83" s="408">
        <v>0.64741381651646135</v>
      </c>
      <c r="Z83" s="408">
        <v>0.90915754871418741</v>
      </c>
      <c r="AA83" s="177">
        <v>0.78926411322189249</v>
      </c>
      <c r="AB83" s="408">
        <v>0.91228303876600747</v>
      </c>
      <c r="AC83" s="408">
        <v>0.92478499897328559</v>
      </c>
      <c r="AD83" s="408">
        <v>0.94041244923238398</v>
      </c>
      <c r="AF83" s="408">
        <v>0.68993499250264334</v>
      </c>
      <c r="AG83" s="177">
        <v>0.72820459140116567</v>
      </c>
      <c r="AH83" s="408">
        <v>0.69096679741932276</v>
      </c>
      <c r="AI83" s="408">
        <v>0.69509401708603968</v>
      </c>
      <c r="AJ83" s="408">
        <v>0.70025304166943592</v>
      </c>
      <c r="AL83" s="408">
        <f t="shared" si="3"/>
        <v>0.95753448470804181</v>
      </c>
      <c r="AM83" s="408">
        <f t="shared" si="3"/>
        <v>0.96066476144455881</v>
      </c>
      <c r="AN83" s="408">
        <f t="shared" si="3"/>
        <v>0.97318586839062704</v>
      </c>
      <c r="AO83" s="408">
        <f t="shared" si="3"/>
        <v>0.98883725207321183</v>
      </c>
      <c r="AQ83" s="408">
        <f t="shared" si="4"/>
        <v>0.69455695132070627</v>
      </c>
      <c r="AR83" s="408">
        <f t="shared" si="4"/>
        <v>0.69568220669406722</v>
      </c>
      <c r="AS83" s="408">
        <f t="shared" si="4"/>
        <v>0.70018322818751155</v>
      </c>
      <c r="AT83" s="408">
        <f t="shared" si="4"/>
        <v>0.70651366555811679</v>
      </c>
      <c r="AV83" s="38"/>
    </row>
    <row r="84" spans="1:48" x14ac:dyDescent="0.3">
      <c r="A84" s="38">
        <v>2035</v>
      </c>
      <c r="B84" s="177">
        <f>SCRS!AR28</f>
        <v>0.83388119569780361</v>
      </c>
      <c r="D84" s="408">
        <v>0.98557530945691507</v>
      </c>
      <c r="E84" s="177">
        <v>0.77157826205855029</v>
      </c>
      <c r="F84" s="408">
        <v>0.98875088739450046</v>
      </c>
      <c r="G84" s="408">
        <v>0.9966307003919086</v>
      </c>
      <c r="H84" s="408">
        <v>1.0125085900798347</v>
      </c>
      <c r="J84" s="408">
        <v>0.69099802303324043</v>
      </c>
      <c r="K84" s="177">
        <v>0.64574919833218181</v>
      </c>
      <c r="L84" s="408">
        <v>0.69371806849304196</v>
      </c>
      <c r="M84" s="408">
        <v>0.70459825033224888</v>
      </c>
      <c r="N84" s="408">
        <v>0.71819847763125744</v>
      </c>
      <c r="P84" s="408">
        <v>0.93424720035349518</v>
      </c>
      <c r="Q84" s="408">
        <v>0.93753097490024562</v>
      </c>
      <c r="R84" s="408">
        <v>0.94760143706132938</v>
      </c>
      <c r="S84" s="408">
        <v>0.96402030979508146</v>
      </c>
      <c r="U84" s="408">
        <v>0.62873563957252565</v>
      </c>
      <c r="V84" s="408">
        <v>0.63411050133433622</v>
      </c>
      <c r="W84" s="408">
        <v>0.64536138696518008</v>
      </c>
      <c r="X84" s="408">
        <v>0.65942499400373511</v>
      </c>
      <c r="Z84" s="408">
        <v>0.93842339460213853</v>
      </c>
      <c r="AA84" s="177">
        <v>0.81416847466965714</v>
      </c>
      <c r="AB84" s="408">
        <v>0.9417071691488893</v>
      </c>
      <c r="AC84" s="408">
        <v>0.95484226733589017</v>
      </c>
      <c r="AD84" s="408">
        <v>0.97126114006964204</v>
      </c>
      <c r="AF84" s="408">
        <v>0.71299305019036385</v>
      </c>
      <c r="AG84" s="177">
        <v>0.75804708653889641</v>
      </c>
      <c r="AH84" s="408">
        <v>0.71392157950023649</v>
      </c>
      <c r="AI84" s="408">
        <v>0.71763569673972605</v>
      </c>
      <c r="AJ84" s="408">
        <v>0.72227834328908813</v>
      </c>
      <c r="AL84" s="408">
        <f t="shared" si="3"/>
        <v>0.99208605413261164</v>
      </c>
      <c r="AM84" s="408">
        <f t="shared" si="3"/>
        <v>0.9953757363575213</v>
      </c>
      <c r="AN84" s="408">
        <f t="shared" si="3"/>
        <v>1.0085344652571608</v>
      </c>
      <c r="AO84" s="408">
        <f t="shared" si="3"/>
        <v>1.0249828763817097</v>
      </c>
      <c r="AQ84" s="408">
        <f t="shared" si="4"/>
        <v>0.71752585065359376</v>
      </c>
      <c r="AR84" s="408">
        <f t="shared" si="4"/>
        <v>0.71854141827628537</v>
      </c>
      <c r="AS84" s="408">
        <f t="shared" si="4"/>
        <v>0.72260368876705139</v>
      </c>
      <c r="AT84" s="408">
        <f t="shared" si="4"/>
        <v>0.72834248149946934</v>
      </c>
      <c r="AV84" s="38"/>
    </row>
    <row r="85" spans="1:48" x14ac:dyDescent="0.3">
      <c r="A85" s="38">
        <v>2036</v>
      </c>
      <c r="B85" s="177">
        <f>SCRS!AR29</f>
        <v>0.85712964980211137</v>
      </c>
      <c r="D85" s="408">
        <v>1.0208814428329425</v>
      </c>
      <c r="E85" s="177">
        <v>0.79486055297761904</v>
      </c>
      <c r="F85" s="408">
        <v>1.0242027295740035</v>
      </c>
      <c r="G85" s="408">
        <v>1.030062730165141</v>
      </c>
      <c r="H85" s="408">
        <v>1.0138653121874368</v>
      </c>
      <c r="J85" s="408">
        <v>0.71082035624356388</v>
      </c>
      <c r="K85" s="177">
        <v>0.66448785639566343</v>
      </c>
      <c r="L85" s="408">
        <v>0.71363862136386236</v>
      </c>
      <c r="M85" s="408">
        <v>0.72491168184505683</v>
      </c>
      <c r="N85" s="408">
        <v>0.73900300744654979</v>
      </c>
      <c r="P85" s="408">
        <v>0.96397481840701105</v>
      </c>
      <c r="Q85" s="408">
        <v>0.96742773917969127</v>
      </c>
      <c r="R85" s="408">
        <v>0.97495523883145996</v>
      </c>
      <c r="S85" s="408">
        <v>0.99221984269486174</v>
      </c>
      <c r="U85" s="408">
        <v>0.63914673821207268</v>
      </c>
      <c r="V85" s="408">
        <v>0.64532882901903921</v>
      </c>
      <c r="W85" s="408">
        <v>0.65704867971002812</v>
      </c>
      <c r="X85" s="408">
        <v>0.67169849307376428</v>
      </c>
      <c r="Z85" s="408">
        <v>0.966702458726587</v>
      </c>
      <c r="AA85" s="177">
        <v>0.84040982775388917</v>
      </c>
      <c r="AB85" s="408">
        <v>0.97015537949926756</v>
      </c>
      <c r="AC85" s="408">
        <v>0.98396706258998812</v>
      </c>
      <c r="AD85" s="408">
        <v>1.0012316664533898</v>
      </c>
      <c r="AF85" s="408">
        <v>0.73778279477790243</v>
      </c>
      <c r="AG85" s="177">
        <v>0.78947361848721087</v>
      </c>
      <c r="AH85" s="408">
        <v>0.73860388629557383</v>
      </c>
      <c r="AI85" s="408">
        <v>0.74188825236625833</v>
      </c>
      <c r="AJ85" s="408">
        <v>0.74599370995461411</v>
      </c>
      <c r="AL85" s="408">
        <f t="shared" si="3"/>
        <v>1.0263494880280548</v>
      </c>
      <c r="AM85" s="408">
        <f t="shared" si="3"/>
        <v>1.0298096369749281</v>
      </c>
      <c r="AN85" s="408">
        <f t="shared" si="3"/>
        <v>1.0102850352744899</v>
      </c>
      <c r="AO85" s="408">
        <f t="shared" si="3"/>
        <v>1.027585780008857</v>
      </c>
      <c r="AQ85" s="408">
        <f t="shared" si="4"/>
        <v>0.74224973047272302</v>
      </c>
      <c r="AR85" s="408">
        <f t="shared" si="4"/>
        <v>0.74315117318359991</v>
      </c>
      <c r="AS85" s="408">
        <f t="shared" si="4"/>
        <v>0.74675694402710746</v>
      </c>
      <c r="AT85" s="408">
        <f t="shared" si="4"/>
        <v>0.75188046918872797</v>
      </c>
      <c r="AV85" s="38"/>
    </row>
    <row r="86" spans="1:48" x14ac:dyDescent="0.3">
      <c r="A86" s="38">
        <v>2037</v>
      </c>
      <c r="B86" s="177">
        <f>SCRS!AR30</f>
        <v>0.88148601475352573</v>
      </c>
      <c r="D86" s="408">
        <v>1.0226507364890156</v>
      </c>
      <c r="E86" s="177">
        <v>0.81927315734099759</v>
      </c>
      <c r="F86" s="408">
        <v>1.0261257126293897</v>
      </c>
      <c r="G86" s="408">
        <v>1.0322568791995717</v>
      </c>
      <c r="H86" s="408">
        <v>1.0143510507973936</v>
      </c>
      <c r="J86" s="408">
        <v>0.52388494809482367</v>
      </c>
      <c r="K86" s="177">
        <v>0.48992073138628783</v>
      </c>
      <c r="L86" s="408">
        <v>0.52597933597284852</v>
      </c>
      <c r="M86" s="408">
        <v>0.53435688748494814</v>
      </c>
      <c r="N86" s="408">
        <v>0.54482882687507272</v>
      </c>
      <c r="P86" s="408">
        <v>0.99221715911201758</v>
      </c>
      <c r="Q86" s="408">
        <v>0.99585098886479817</v>
      </c>
      <c r="R86" s="408">
        <v>1.0007120941945449</v>
      </c>
      <c r="S86" s="408">
        <v>1.0188812429584486</v>
      </c>
      <c r="U86" s="408">
        <v>0.46374578392468702</v>
      </c>
      <c r="V86" s="408">
        <v>0.46883268088075358</v>
      </c>
      <c r="W86" s="408">
        <v>0.4775932002945189</v>
      </c>
      <c r="X86" s="408">
        <v>0.48854384956172575</v>
      </c>
      <c r="Z86" s="408">
        <v>0.99394986730526014</v>
      </c>
      <c r="AA86" s="177">
        <v>0.86812672383215894</v>
      </c>
      <c r="AB86" s="408">
        <v>0.99758369705804129</v>
      </c>
      <c r="AC86" s="408">
        <v>1.0121190160691633</v>
      </c>
      <c r="AD86" s="408">
        <v>1.0024657598314319</v>
      </c>
      <c r="AF86" s="408">
        <v>0.5475117717895972</v>
      </c>
      <c r="AG86" s="177">
        <v>0.58973546951348454</v>
      </c>
      <c r="AH86" s="408">
        <v>0.54800098338425196</v>
      </c>
      <c r="AI86" s="408">
        <v>0.54995782976287078</v>
      </c>
      <c r="AJ86" s="408">
        <v>0.55240388773614446</v>
      </c>
      <c r="AL86" s="408">
        <f t="shared" si="3"/>
        <v>1.0291228435042248</v>
      </c>
      <c r="AM86" s="408">
        <f t="shared" si="3"/>
        <v>1.0327654499220029</v>
      </c>
      <c r="AN86" s="408">
        <f t="shared" si="3"/>
        <v>1.0115972643984668</v>
      </c>
      <c r="AO86" s="408">
        <f t="shared" si="3"/>
        <v>1.0285335221784457</v>
      </c>
      <c r="AQ86" s="408">
        <f t="shared" si="4"/>
        <v>0.55062397762770598</v>
      </c>
      <c r="AR86" s="408">
        <f t="shared" si="4"/>
        <v>0.55116438135420842</v>
      </c>
      <c r="AS86" s="408">
        <f t="shared" si="4"/>
        <v>0.55332599626021794</v>
      </c>
      <c r="AT86" s="408">
        <f t="shared" si="4"/>
        <v>0.55642725975081608</v>
      </c>
      <c r="AV86" s="38"/>
    </row>
    <row r="87" spans="1:48" x14ac:dyDescent="0.3">
      <c r="A87" s="38">
        <v>2038</v>
      </c>
      <c r="B87" s="177">
        <f>SCRS!AR31</f>
        <v>0.90703203996345916</v>
      </c>
      <c r="D87" s="408">
        <v>1.022930083253456</v>
      </c>
      <c r="E87" s="177">
        <v>0.84488793597225798</v>
      </c>
      <c r="F87" s="408">
        <v>1.0263122746916333</v>
      </c>
      <c r="G87" s="408">
        <v>1.0322799181898814</v>
      </c>
      <c r="H87" s="408">
        <v>1.0148205046458862</v>
      </c>
      <c r="J87" s="408">
        <v>0.56355141544021781</v>
      </c>
      <c r="K87" s="177">
        <v>0.52723981063776792</v>
      </c>
      <c r="L87" s="408">
        <v>0.56582550452134517</v>
      </c>
      <c r="M87" s="408">
        <v>0.57492186084585495</v>
      </c>
      <c r="N87" s="408">
        <v>0.58629230625149209</v>
      </c>
      <c r="P87" s="408">
        <v>1.0189636498375318</v>
      </c>
      <c r="Q87" s="408">
        <v>1.0227911454804468</v>
      </c>
      <c r="R87" s="408">
        <v>1.0017777003872028</v>
      </c>
      <c r="S87" s="408">
        <v>1.0209151786017772</v>
      </c>
      <c r="U87" s="408">
        <v>0.48902218382907781</v>
      </c>
      <c r="V87" s="408">
        <v>0.49510907700458434</v>
      </c>
      <c r="W87" s="408">
        <v>0.50468144059002717</v>
      </c>
      <c r="X87" s="408">
        <v>0.51664689507183092</v>
      </c>
      <c r="Z87" s="408">
        <v>1.0201100633433986</v>
      </c>
      <c r="AA87" s="177">
        <v>0.89747117880394534</v>
      </c>
      <c r="AB87" s="408">
        <v>1.0239375589863138</v>
      </c>
      <c r="AC87" s="408">
        <v>1.0140039498581763</v>
      </c>
      <c r="AD87" s="408">
        <v>1.0036366151423919</v>
      </c>
      <c r="AF87" s="408">
        <v>0.59374008247311261</v>
      </c>
      <c r="AG87" s="177">
        <v>0.64365176403437607</v>
      </c>
      <c r="AH87" s="408">
        <v>0.59412291408729256</v>
      </c>
      <c r="AI87" s="408">
        <v>0.59565424054401206</v>
      </c>
      <c r="AJ87" s="408">
        <v>0.59756839861491151</v>
      </c>
      <c r="AL87" s="408">
        <f t="shared" si="3"/>
        <v>1.0301584858753312</v>
      </c>
      <c r="AM87" s="408">
        <f t="shared" si="3"/>
        <v>1.0337275094156597</v>
      </c>
      <c r="AN87" s="408">
        <f t="shared" si="3"/>
        <v>1.0129559629662377</v>
      </c>
      <c r="AO87" s="408">
        <f t="shared" si="3"/>
        <v>1.0295060813376387</v>
      </c>
      <c r="AQ87" s="408">
        <f t="shared" si="4"/>
        <v>0.59685699526717118</v>
      </c>
      <c r="AR87" s="408">
        <f t="shared" si="4"/>
        <v>0.59728486015765025</v>
      </c>
      <c r="AS87" s="408">
        <f t="shared" si="4"/>
        <v>0.59899631971956679</v>
      </c>
      <c r="AT87" s="408">
        <f t="shared" si="4"/>
        <v>0.60149714757776329</v>
      </c>
      <c r="AV87" s="38"/>
    </row>
    <row r="88" spans="1:48" x14ac:dyDescent="0.3">
      <c r="A88" s="38">
        <v>2039</v>
      </c>
      <c r="B88" s="177">
        <f>SCRS!AR32</f>
        <v>0.9338564435670057</v>
      </c>
      <c r="D88" s="408">
        <v>1.0231816166610244</v>
      </c>
      <c r="E88" s="177">
        <v>0.87178242292811325</v>
      </c>
      <c r="F88" s="408">
        <v>1.0264660541957271</v>
      </c>
      <c r="G88" s="408">
        <v>1.0322613449428848</v>
      </c>
      <c r="H88" s="408">
        <v>1.015271880789451</v>
      </c>
      <c r="J88" s="408">
        <v>0.6068514571455409</v>
      </c>
      <c r="K88" s="177">
        <v>0.56797662919986802</v>
      </c>
      <c r="L88" s="408">
        <v>0.60932163263082262</v>
      </c>
      <c r="M88" s="408">
        <v>0.61920233457195073</v>
      </c>
      <c r="N88" s="408">
        <v>0.63155321199836068</v>
      </c>
      <c r="P88" s="408">
        <v>1.0210909922817315</v>
      </c>
      <c r="Q88" s="408">
        <v>1.0251260095600934</v>
      </c>
      <c r="R88" s="408">
        <v>1.0027459740451123</v>
      </c>
      <c r="S88" s="408">
        <v>1.0215067417304355</v>
      </c>
      <c r="U88" s="408">
        <v>0.51653564731788881</v>
      </c>
      <c r="V88" s="408">
        <v>0.52368603945192094</v>
      </c>
      <c r="W88" s="408">
        <v>0.53415465089966152</v>
      </c>
      <c r="X88" s="408">
        <v>0.54724041520933753</v>
      </c>
      <c r="Z88" s="408">
        <v>1.0225140859734918</v>
      </c>
      <c r="AA88" s="177">
        <v>0.92860945511415172</v>
      </c>
      <c r="AB88" s="408">
        <v>1.0265491032518543</v>
      </c>
      <c r="AC88" s="408">
        <v>1.0150152126962597</v>
      </c>
      <c r="AD88" s="408">
        <v>1.004833107788847</v>
      </c>
      <c r="AF88" s="408">
        <v>0.64870007926232698</v>
      </c>
      <c r="AG88" s="177">
        <v>0.70644688899962738</v>
      </c>
      <c r="AH88" s="408">
        <v>0.64896909508365752</v>
      </c>
      <c r="AI88" s="408">
        <v>0.65004515836897903</v>
      </c>
      <c r="AJ88" s="408">
        <v>0.65139023747563096</v>
      </c>
      <c r="AL88" s="408">
        <f t="shared" si="3"/>
        <v>1.0312198230888048</v>
      </c>
      <c r="AM88" s="408">
        <f t="shared" si="3"/>
        <v>1.034710634885581</v>
      </c>
      <c r="AN88" s="408">
        <f t="shared" si="3"/>
        <v>1.0143606590153442</v>
      </c>
      <c r="AO88" s="408">
        <f t="shared" si="3"/>
        <v>1.0305000887708291</v>
      </c>
      <c r="AQ88" s="408">
        <f t="shared" si="4"/>
        <v>0.65188081780886886</v>
      </c>
      <c r="AR88" s="408">
        <f t="shared" si="4"/>
        <v>0.65218835508015605</v>
      </c>
      <c r="AS88" s="408">
        <f t="shared" si="4"/>
        <v>0.65341850416530478</v>
      </c>
      <c r="AT88" s="408">
        <f t="shared" si="4"/>
        <v>0.65527894284132349</v>
      </c>
      <c r="AV88" s="38"/>
    </row>
    <row r="89" spans="1:48" x14ac:dyDescent="0.3">
      <c r="A89" s="38">
        <v>2040</v>
      </c>
      <c r="B89" s="177">
        <f>SCRS!AR33</f>
        <v>0.96205568721825685</v>
      </c>
      <c r="D89" s="408">
        <v>1.0234025555653485</v>
      </c>
      <c r="E89" s="177">
        <v>0.90004039259766089</v>
      </c>
      <c r="F89" s="408">
        <v>1.0265838846537505</v>
      </c>
      <c r="G89" s="408">
        <v>1.0322791343593598</v>
      </c>
      <c r="H89" s="408">
        <v>1.0157031617183996</v>
      </c>
      <c r="J89" s="408">
        <v>0.65414636172060137</v>
      </c>
      <c r="K89" s="177">
        <v>0.61247072872868358</v>
      </c>
      <c r="L89" s="408">
        <v>0.65683061103930862</v>
      </c>
      <c r="M89" s="408">
        <v>0.66756760831413875</v>
      </c>
      <c r="N89" s="408">
        <v>0.68098885490767613</v>
      </c>
      <c r="P89" s="408">
        <v>1.0217629373359214</v>
      </c>
      <c r="Q89" s="408">
        <v>1.0257220806828158</v>
      </c>
      <c r="R89" s="408">
        <v>1.0036843745209478</v>
      </c>
      <c r="S89" s="408">
        <v>1.022043539233662</v>
      </c>
      <c r="U89" s="408">
        <v>0.54657426901223549</v>
      </c>
      <c r="V89" s="408">
        <v>0.55485901838783336</v>
      </c>
      <c r="W89" s="408">
        <v>0.56631807610838947</v>
      </c>
      <c r="X89" s="408">
        <v>0.58064189825908519</v>
      </c>
      <c r="Z89" s="408">
        <v>1.0234476110760138</v>
      </c>
      <c r="AA89" s="177">
        <v>0.96172404017130186</v>
      </c>
      <c r="AB89" s="408">
        <v>1.0274067544229089</v>
      </c>
      <c r="AC89" s="408">
        <v>1.0160388340319322</v>
      </c>
      <c r="AD89" s="408">
        <v>1.0060544500427986</v>
      </c>
      <c r="AF89" s="408">
        <v>0.71388044975912024</v>
      </c>
      <c r="AG89" s="177">
        <v>0.77951079920664723</v>
      </c>
      <c r="AH89" s="408">
        <v>0.71402767316397853</v>
      </c>
      <c r="AI89" s="408">
        <v>0.71461656678341079</v>
      </c>
      <c r="AJ89" s="408">
        <v>0.71535268380770101</v>
      </c>
      <c r="AL89" s="408">
        <f t="shared" si="3"/>
        <v>1.0323032820768738</v>
      </c>
      <c r="AM89" s="408">
        <f t="shared" si="3"/>
        <v>1.0357106323380276</v>
      </c>
      <c r="AN89" s="408">
        <f t="shared" si="3"/>
        <v>1.0158105428561857</v>
      </c>
      <c r="AO89" s="408">
        <f t="shared" si="3"/>
        <v>1.0315114833336414</v>
      </c>
      <c r="AQ89" s="408">
        <f t="shared" si="4"/>
        <v>0.71720406147696203</v>
      </c>
      <c r="AR89" s="408">
        <f t="shared" si="4"/>
        <v>0.71738292537150516</v>
      </c>
      <c r="AS89" s="408">
        <f t="shared" si="4"/>
        <v>0.71809838094967793</v>
      </c>
      <c r="AT89" s="408">
        <f t="shared" si="4"/>
        <v>0.71927585856234411</v>
      </c>
      <c r="AV89" s="38"/>
    </row>
    <row r="90" spans="1:48" x14ac:dyDescent="0.3">
      <c r="A90" s="38">
        <v>2041</v>
      </c>
      <c r="B90" s="177">
        <f>SCRS!AR34</f>
        <v>0.99173911474886778</v>
      </c>
      <c r="D90" s="408">
        <v>1.0235627772638354</v>
      </c>
      <c r="E90" s="177">
        <v>0.92971788040407577</v>
      </c>
      <c r="F90" s="408">
        <v>1.0266336049813138</v>
      </c>
      <c r="G90" s="408">
        <v>1.0323317892247601</v>
      </c>
      <c r="H90" s="408">
        <v>1.0160890577442145</v>
      </c>
      <c r="J90" s="408">
        <v>0.67407778427029263</v>
      </c>
      <c r="K90" s="177">
        <v>0.63133553079137295</v>
      </c>
      <c r="L90" s="408">
        <v>0.67686296198301232</v>
      </c>
      <c r="M90" s="408">
        <v>0.68800367283389197</v>
      </c>
      <c r="N90" s="408">
        <v>0.70192956139749174</v>
      </c>
      <c r="P90" s="408">
        <v>1.0223516984485201</v>
      </c>
      <c r="Q90" s="408">
        <v>1.0262274760543542</v>
      </c>
      <c r="R90" s="408">
        <v>1.0045726025013269</v>
      </c>
      <c r="S90" s="408">
        <v>1.0224918843357138</v>
      </c>
      <c r="U90" s="408">
        <v>0.55309715008412352</v>
      </c>
      <c r="V90" s="408">
        <v>0.56217175576170142</v>
      </c>
      <c r="W90" s="408">
        <v>0.57415424174866581</v>
      </c>
      <c r="X90" s="408">
        <v>0.5891323492323719</v>
      </c>
      <c r="Z90" s="408">
        <v>1.0243544995798375</v>
      </c>
      <c r="AA90" s="177">
        <v>0.99694044402040272</v>
      </c>
      <c r="AB90" s="408">
        <v>1.0282302771856719</v>
      </c>
      <c r="AC90" s="408">
        <v>1.0170466101867308</v>
      </c>
      <c r="AD90" s="408">
        <v>1.0072796050861279</v>
      </c>
      <c r="AF90" s="408">
        <v>0.75430668686297209</v>
      </c>
      <c r="AG90" s="177">
        <v>0.82458222727819874</v>
      </c>
      <c r="AH90" s="408">
        <v>0.75431834714826962</v>
      </c>
      <c r="AI90" s="408">
        <v>0.7543649882894593</v>
      </c>
      <c r="AJ90" s="408">
        <v>0.7544232897159463</v>
      </c>
      <c r="AL90" s="408">
        <f t="shared" si="3"/>
        <v>1.0333698329642069</v>
      </c>
      <c r="AM90" s="408">
        <f t="shared" si="3"/>
        <v>1.0368191074385598</v>
      </c>
      <c r="AN90" s="408">
        <f t="shared" si="3"/>
        <v>1.0172788657992293</v>
      </c>
      <c r="AO90" s="408">
        <f t="shared" si="3"/>
        <v>1.0325012976171315</v>
      </c>
      <c r="AQ90" s="408">
        <f t="shared" si="4"/>
        <v>0.75769609137093452</v>
      </c>
      <c r="AR90" s="408">
        <f t="shared" si="4"/>
        <v>0.75773065422175423</v>
      </c>
      <c r="AS90" s="408">
        <f t="shared" si="4"/>
        <v>0.75786890562503284</v>
      </c>
      <c r="AT90" s="408">
        <f t="shared" si="4"/>
        <v>0.75827108090012929</v>
      </c>
      <c r="AV90" s="38"/>
    </row>
    <row r="91" spans="1:48" x14ac:dyDescent="0.3">
      <c r="A91" s="38">
        <v>2042</v>
      </c>
      <c r="B91" s="177">
        <f>SCRS!AR35</f>
        <v>1.0229609141850744</v>
      </c>
      <c r="D91" s="408">
        <v>1.0236296723362084</v>
      </c>
      <c r="E91" s="177">
        <v>0.95858919678418286</v>
      </c>
      <c r="F91" s="408">
        <v>1.0265807374016249</v>
      </c>
      <c r="G91" s="408">
        <v>1.0323862035371349</v>
      </c>
      <c r="H91" s="408">
        <v>1.0164014610509178</v>
      </c>
      <c r="J91" s="408">
        <v>0.69533130051751491</v>
      </c>
      <c r="K91" s="177">
        <v>0.65140138586844754</v>
      </c>
      <c r="L91" s="408">
        <v>0.69821936447367849</v>
      </c>
      <c r="M91" s="408">
        <v>0.70977162029833418</v>
      </c>
      <c r="N91" s="408">
        <v>0.7242119400791539</v>
      </c>
      <c r="P91" s="408">
        <v>1.0228122410199678</v>
      </c>
      <c r="Q91" s="408">
        <v>1.0265941070631524</v>
      </c>
      <c r="R91" s="408">
        <v>1.0053796531357551</v>
      </c>
      <c r="S91" s="408">
        <v>1.0228063481000824</v>
      </c>
      <c r="U91" s="408">
        <v>0.56040117280944235</v>
      </c>
      <c r="V91" s="408">
        <v>0.57027267926625957</v>
      </c>
      <c r="W91" s="408">
        <v>0.58279902987483945</v>
      </c>
      <c r="X91" s="408">
        <v>0.59845696813556493</v>
      </c>
      <c r="Z91" s="408">
        <v>1.0251887213195099</v>
      </c>
      <c r="AA91" s="177">
        <v>1.0195785225984464</v>
      </c>
      <c r="AB91" s="408">
        <v>1.0289705873626951</v>
      </c>
      <c r="AC91" s="408">
        <v>1.0179979964560937</v>
      </c>
      <c r="AD91" s="408">
        <v>1.0084758346825236</v>
      </c>
      <c r="AF91" s="408">
        <v>0.77094187152713312</v>
      </c>
      <c r="AG91" s="177">
        <v>0.84662501797024459</v>
      </c>
      <c r="AH91" s="408">
        <v>0.77095406105291198</v>
      </c>
      <c r="AI91" s="408">
        <v>0.77100281915602698</v>
      </c>
      <c r="AJ91" s="408">
        <v>0.7710637667849205</v>
      </c>
      <c r="AL91" s="408">
        <f t="shared" si="3"/>
        <v>1.0343857112468477</v>
      </c>
      <c r="AM91" s="408">
        <f t="shared" si="3"/>
        <v>1.0380272482073039</v>
      </c>
      <c r="AN91" s="408">
        <f t="shared" si="3"/>
        <v>1.0187221103549375</v>
      </c>
      <c r="AO91" s="408">
        <f t="shared" si="3"/>
        <v>1.0334662370806029</v>
      </c>
      <c r="AQ91" s="408">
        <f t="shared" si="4"/>
        <v>0.78274549977480967</v>
      </c>
      <c r="AR91" s="408">
        <f t="shared" si="4"/>
        <v>0.78278164813592688</v>
      </c>
      <c r="AS91" s="408">
        <f t="shared" si="4"/>
        <v>0.7829262415803957</v>
      </c>
      <c r="AT91" s="408">
        <f t="shared" si="4"/>
        <v>0.78334686594244407</v>
      </c>
      <c r="AV91" s="38"/>
    </row>
    <row r="92" spans="1:48" x14ac:dyDescent="0.3">
      <c r="A92" s="38">
        <v>2043</v>
      </c>
      <c r="B92" s="177">
        <f>SCRS!AR36</f>
        <v>1.0248053047392507</v>
      </c>
      <c r="D92" s="408">
        <v>1.0235673326116659</v>
      </c>
      <c r="E92" s="177">
        <v>0.98645820830092257</v>
      </c>
      <c r="F92" s="408">
        <v>1.0263876043788212</v>
      </c>
      <c r="G92" s="408">
        <v>1.0324045782986151</v>
      </c>
      <c r="H92" s="408">
        <v>1.0166090858720649</v>
      </c>
      <c r="J92" s="408">
        <v>0.71804521903709972</v>
      </c>
      <c r="K92" s="177">
        <v>0.67277262629929768</v>
      </c>
      <c r="L92" s="408">
        <v>0.72103632428275199</v>
      </c>
      <c r="M92" s="408">
        <v>0.73300074526536174</v>
      </c>
      <c r="N92" s="408">
        <v>0.74795627149362431</v>
      </c>
      <c r="P92" s="408">
        <v>1.0231061656979665</v>
      </c>
      <c r="Q92" s="408">
        <v>1.0267808749312766</v>
      </c>
      <c r="R92" s="408">
        <v>1.0060797754003057</v>
      </c>
      <c r="S92" s="408">
        <v>1.0229485878760973</v>
      </c>
      <c r="U92" s="408">
        <v>0.56860793654890862</v>
      </c>
      <c r="V92" s="408">
        <v>0.57926476056293108</v>
      </c>
      <c r="W92" s="408">
        <v>0.59234828067720424</v>
      </c>
      <c r="X92" s="408">
        <v>0.60870268082004664</v>
      </c>
      <c r="Z92" s="408">
        <v>1.025909856589339</v>
      </c>
      <c r="AA92" s="177">
        <v>1.0195641117645413</v>
      </c>
      <c r="AB92" s="408">
        <v>1.0295845658226499</v>
      </c>
      <c r="AC92" s="408">
        <v>1.018857599091771</v>
      </c>
      <c r="AD92" s="408">
        <v>1.0096146167714424</v>
      </c>
      <c r="AF92" s="408">
        <v>0.78864970012916535</v>
      </c>
      <c r="AG92" s="177">
        <v>0.86983646160768291</v>
      </c>
      <c r="AH92" s="408">
        <v>0.7886624318425508</v>
      </c>
      <c r="AI92" s="408">
        <v>0.78871335869609094</v>
      </c>
      <c r="AJ92" s="408">
        <v>0.78877701726301641</v>
      </c>
      <c r="AL92" s="408">
        <f t="shared" si="3"/>
        <v>1.0354631409530801</v>
      </c>
      <c r="AM92" s="408">
        <f t="shared" si="3"/>
        <v>1.0393020732189013</v>
      </c>
      <c r="AN92" s="408">
        <f t="shared" si="3"/>
        <v>1.0201076432789744</v>
      </c>
      <c r="AO92" s="408">
        <f t="shared" si="3"/>
        <v>1.0344907431825467</v>
      </c>
      <c r="AQ92" s="408">
        <f t="shared" si="4"/>
        <v>0.80975063178122486</v>
      </c>
      <c r="AR92" s="408">
        <f t="shared" si="4"/>
        <v>0.80978840644274397</v>
      </c>
      <c r="AS92" s="408">
        <f t="shared" si="4"/>
        <v>0.80993950508882107</v>
      </c>
      <c r="AT92" s="408">
        <f t="shared" si="4"/>
        <v>0.81037905317377057</v>
      </c>
      <c r="AV92" s="38"/>
    </row>
    <row r="93" spans="1:48" x14ac:dyDescent="0.3">
      <c r="A93" s="38">
        <v>2044</v>
      </c>
      <c r="B93" s="177">
        <f>SCRS!AR37</f>
        <v>1.0248935225090898</v>
      </c>
      <c r="D93" s="408">
        <v>1.0233420727468725</v>
      </c>
      <c r="E93" s="177">
        <v>1.0130662174736955</v>
      </c>
      <c r="F93" s="408">
        <v>1.0260704680968185</v>
      </c>
      <c r="G93" s="408">
        <v>1.0323498063671139</v>
      </c>
      <c r="H93" s="408">
        <v>1.0166816464876771</v>
      </c>
      <c r="J93" s="408">
        <v>0.74228399540608869</v>
      </c>
      <c r="K93" s="177">
        <v>0.69548614168561251</v>
      </c>
      <c r="L93" s="408">
        <v>0.74537635174111705</v>
      </c>
      <c r="M93" s="408">
        <v>0.7577457770812317</v>
      </c>
      <c r="N93" s="408">
        <v>0.77320755875637515</v>
      </c>
      <c r="P93" s="408">
        <v>1.023182493374545</v>
      </c>
      <c r="Q93" s="408">
        <v>1.0267339896000736</v>
      </c>
      <c r="R93" s="408">
        <v>1.0066353995469095</v>
      </c>
      <c r="S93" s="408">
        <v>1.0228680985662753</v>
      </c>
      <c r="U93" s="408">
        <v>0.57791516454377134</v>
      </c>
      <c r="V93" s="408">
        <v>0.58934556697613916</v>
      </c>
      <c r="W93" s="408">
        <v>0.60298962461521799</v>
      </c>
      <c r="X93" s="408">
        <v>0.62004469666406747</v>
      </c>
      <c r="Z93" s="408">
        <v>1.0264631406890705</v>
      </c>
      <c r="AA93" s="177">
        <v>1.0176911869340493</v>
      </c>
      <c r="AB93" s="408">
        <v>1.0300146369145999</v>
      </c>
      <c r="AC93" s="408">
        <v>1.0195760749408733</v>
      </c>
      <c r="AD93" s="408">
        <v>1.0106540116163951</v>
      </c>
      <c r="AF93" s="408">
        <v>0.80762268409969995</v>
      </c>
      <c r="AG93" s="177">
        <v>0.89426201811424033</v>
      </c>
      <c r="AH93" s="408">
        <v>0.80763596127814707</v>
      </c>
      <c r="AI93" s="408">
        <v>0.80768906999193457</v>
      </c>
      <c r="AJ93" s="408">
        <v>0.80775545588416886</v>
      </c>
      <c r="AL93" s="408">
        <f t="shared" si="3"/>
        <v>1.0365479212901569</v>
      </c>
      <c r="AM93" s="408">
        <f t="shared" si="3"/>
        <v>1.040583808841925</v>
      </c>
      <c r="AN93" s="408">
        <f t="shared" si="3"/>
        <v>1.0213807161465542</v>
      </c>
      <c r="AO93" s="408">
        <f t="shared" si="3"/>
        <v>1.0355208064210943</v>
      </c>
      <c r="AQ93" s="408">
        <f t="shared" si="4"/>
        <v>0.83881929814982426</v>
      </c>
      <c r="AR93" s="408">
        <f t="shared" si="4"/>
        <v>0.83885871104843523</v>
      </c>
      <c r="AS93" s="408">
        <f t="shared" si="4"/>
        <v>0.83901636264287949</v>
      </c>
      <c r="AT93" s="408">
        <f t="shared" si="4"/>
        <v>0.83947497334672272</v>
      </c>
      <c r="AV93" s="38"/>
    </row>
    <row r="94" spans="1:48" x14ac:dyDescent="0.3">
      <c r="A94" s="38">
        <v>2045</v>
      </c>
      <c r="B94" s="177">
        <f>SCRS!AR38</f>
        <v>1.0248683335018713</v>
      </c>
      <c r="D94" s="408">
        <v>1.022922455254492</v>
      </c>
      <c r="E94" s="177">
        <v>1.0131604398415939</v>
      </c>
      <c r="F94" s="408">
        <v>1.0256467863451364</v>
      </c>
      <c r="G94" s="408">
        <v>1.0321849019660274</v>
      </c>
      <c r="H94" s="408">
        <v>1.0165901518696945</v>
      </c>
      <c r="J94" s="408">
        <v>0.76803767037825954</v>
      </c>
      <c r="K94" s="177">
        <v>0.71951060265215983</v>
      </c>
      <c r="L94" s="408">
        <v>0.77122737404025632</v>
      </c>
      <c r="M94" s="408">
        <v>0.78398618868824499</v>
      </c>
      <c r="N94" s="408">
        <v>0.79993470699823088</v>
      </c>
      <c r="P94" s="408">
        <v>1.022988376860775</v>
      </c>
      <c r="Q94" s="408">
        <v>1.0263982145992834</v>
      </c>
      <c r="R94" s="408">
        <v>1.0070056463354362</v>
      </c>
      <c r="S94" s="408">
        <v>1.0225132210667842</v>
      </c>
      <c r="U94" s="408">
        <v>0.5886895256142225</v>
      </c>
      <c r="V94" s="408">
        <v>0.60088036320525107</v>
      </c>
      <c r="W94" s="408">
        <v>0.6150767758410014</v>
      </c>
      <c r="X94" s="408">
        <v>0.63282229163569015</v>
      </c>
      <c r="Z94" s="408">
        <v>1.0267900038816054</v>
      </c>
      <c r="AA94" s="177">
        <v>1.0153755144763585</v>
      </c>
      <c r="AB94" s="408">
        <v>1.0301998416201146</v>
      </c>
      <c r="AC94" s="408">
        <v>1.0200999474285428</v>
      </c>
      <c r="AD94" s="408">
        <v>1.0115466291396953</v>
      </c>
      <c r="AF94" s="408">
        <v>0.82801901446945103</v>
      </c>
      <c r="AG94" s="177">
        <v>0.91989452681067385</v>
      </c>
      <c r="AH94" s="408">
        <v>0.82803282915045417</v>
      </c>
      <c r="AI94" s="408">
        <v>0.82808808787446631</v>
      </c>
      <c r="AJ94" s="408">
        <v>0.82815716127948114</v>
      </c>
      <c r="AL94" s="408">
        <f t="shared" si="3"/>
        <v>1.0375771955894182</v>
      </c>
      <c r="AM94" s="408">
        <f t="shared" si="3"/>
        <v>1.0418056731974086</v>
      </c>
      <c r="AN94" s="408">
        <f t="shared" si="3"/>
        <v>1.0224805438515459</v>
      </c>
      <c r="AO94" s="408">
        <f t="shared" si="3"/>
        <v>1.0364944304772783</v>
      </c>
      <c r="AQ94" s="408">
        <f t="shared" si="4"/>
        <v>0.86998485721045749</v>
      </c>
      <c r="AR94" s="408">
        <f t="shared" si="4"/>
        <v>0.87002588660349667</v>
      </c>
      <c r="AS94" s="408">
        <f t="shared" si="4"/>
        <v>0.87019000417565395</v>
      </c>
      <c r="AT94" s="408">
        <f t="shared" si="4"/>
        <v>0.87066742449953638</v>
      </c>
      <c r="AV94" s="38"/>
    </row>
    <row r="95" spans="1:48" x14ac:dyDescent="0.3">
      <c r="A95" s="38">
        <v>2046</v>
      </c>
      <c r="B95" s="177">
        <f>SCRS!AR39</f>
        <v>1.024714145873614</v>
      </c>
      <c r="D95" s="408">
        <v>1.0222790097092744</v>
      </c>
      <c r="E95" s="177">
        <v>1.0119429028252436</v>
      </c>
      <c r="F95" s="408">
        <v>1.0250837028311162</v>
      </c>
      <c r="G95" s="408">
        <v>1.0318720050770092</v>
      </c>
      <c r="H95" s="408">
        <v>1.0163066723555796</v>
      </c>
      <c r="J95" s="408">
        <v>0.79522177299395325</v>
      </c>
      <c r="K95" s="177">
        <v>0.74474578025028937</v>
      </c>
      <c r="L95" s="408">
        <v>0.79850258238165961</v>
      </c>
      <c r="M95" s="408">
        <v>0.81162581993248673</v>
      </c>
      <c r="N95" s="408">
        <v>0.82802986687102065</v>
      </c>
      <c r="P95" s="408">
        <v>1.0224866982524048</v>
      </c>
      <c r="Q95" s="408">
        <v>1.0257348197008718</v>
      </c>
      <c r="R95" s="408">
        <v>1.007161809819952</v>
      </c>
      <c r="S95" s="408">
        <v>1.0218482815593302</v>
      </c>
      <c r="U95" s="408">
        <v>0.60100042030990086</v>
      </c>
      <c r="V95" s="408">
        <v>0.61391381172860882</v>
      </c>
      <c r="W95" s="408">
        <v>0.62864233084128052</v>
      </c>
      <c r="X95" s="408">
        <v>0.64705297973212128</v>
      </c>
      <c r="Z95" s="408">
        <v>1.0268456883096233</v>
      </c>
      <c r="AA95" s="177">
        <v>1.0124911768837093</v>
      </c>
      <c r="AB95" s="408">
        <v>1.030093809758091</v>
      </c>
      <c r="AC95" s="408">
        <v>1.0203880992143259</v>
      </c>
      <c r="AD95" s="408">
        <v>1.0122553982873113</v>
      </c>
      <c r="AF95" s="408">
        <v>0.84966186757435747</v>
      </c>
      <c r="AG95" s="177">
        <v>0.94388650169437616</v>
      </c>
      <c r="AH95" s="408">
        <v>0.84967620005386557</v>
      </c>
      <c r="AI95" s="408">
        <v>0.84973352997189744</v>
      </c>
      <c r="AJ95" s="408">
        <v>0.84980519236943697</v>
      </c>
      <c r="AL95" s="408">
        <f t="shared" si="3"/>
        <v>1.0385026638125074</v>
      </c>
      <c r="AM95" s="408">
        <f t="shared" si="3"/>
        <v>1.0429149064375305</v>
      </c>
      <c r="AN95" s="408">
        <f t="shared" si="3"/>
        <v>1.0233626359013259</v>
      </c>
      <c r="AO95" s="408">
        <f t="shared" si="3"/>
        <v>1.0373641982180364</v>
      </c>
      <c r="AQ95" s="408">
        <f t="shared" si="4"/>
        <v>0.90309487642342001</v>
      </c>
      <c r="AR95" s="408">
        <f t="shared" si="4"/>
        <v>0.90313746545858675</v>
      </c>
      <c r="AS95" s="408">
        <f t="shared" si="4"/>
        <v>0.90330782159925416</v>
      </c>
      <c r="AT95" s="408">
        <f t="shared" si="4"/>
        <v>0.90380339000660814</v>
      </c>
      <c r="AV95" s="38"/>
    </row>
    <row r="96" spans="1:48" x14ac:dyDescent="0.3">
      <c r="A96" s="38">
        <v>2047</v>
      </c>
      <c r="B96" s="177">
        <f>SCRS!AR40</f>
        <v>1.0244192740182188</v>
      </c>
      <c r="D96" s="408">
        <v>1.0214517906696956</v>
      </c>
      <c r="E96" s="177">
        <v>1.0102239674516738</v>
      </c>
      <c r="F96" s="408">
        <v>1.024354308146509</v>
      </c>
      <c r="G96" s="408">
        <v>1.0313793782881076</v>
      </c>
      <c r="H96" s="408">
        <v>1.0158101501773256</v>
      </c>
      <c r="J96" s="408">
        <v>0.82365481844671129</v>
      </c>
      <c r="K96" s="177">
        <v>0.77100667772742104</v>
      </c>
      <c r="L96" s="408">
        <v>0.82701832734157532</v>
      </c>
      <c r="M96" s="408">
        <v>0.84047236292103344</v>
      </c>
      <c r="N96" s="408">
        <v>0.85728990739535604</v>
      </c>
      <c r="P96" s="408">
        <v>1.0216369360629634</v>
      </c>
      <c r="Q96" s="408">
        <v>1.024702262245095</v>
      </c>
      <c r="R96" s="408">
        <v>1.0070692335538414</v>
      </c>
      <c r="S96" s="408">
        <v>1.0208346125914272</v>
      </c>
      <c r="U96" s="408">
        <v>0.61509935383150893</v>
      </c>
      <c r="V96" s="408">
        <v>0.6286934069150929</v>
      </c>
      <c r="W96" s="408">
        <v>0.64392026833888449</v>
      </c>
      <c r="X96" s="408">
        <v>0.66295384511862498</v>
      </c>
      <c r="Z96" s="408">
        <v>1.0265797319220025</v>
      </c>
      <c r="AA96" s="177">
        <v>1.0089983751469502</v>
      </c>
      <c r="AB96" s="408">
        <v>1.0296450581041352</v>
      </c>
      <c r="AC96" s="408">
        <v>1.0203927687752736</v>
      </c>
      <c r="AD96" s="408">
        <v>1.0127350702758473</v>
      </c>
      <c r="AF96" s="408">
        <v>0.87254851957424018</v>
      </c>
      <c r="AG96" s="177">
        <v>0.96594448388318166</v>
      </c>
      <c r="AH96" s="408">
        <v>0.87256333699598221</v>
      </c>
      <c r="AI96" s="408">
        <v>0.87262260668295011</v>
      </c>
      <c r="AJ96" s="408">
        <v>0.87269669379165971</v>
      </c>
      <c r="AL96" s="408">
        <f t="shared" si="3"/>
        <v>1.0392564174639596</v>
      </c>
      <c r="AM96" s="408">
        <f t="shared" si="3"/>
        <v>1.0438385950694171</v>
      </c>
      <c r="AN96" s="408">
        <f t="shared" si="3"/>
        <v>1.0241859473170964</v>
      </c>
      <c r="AO96" s="408">
        <f t="shared" si="3"/>
        <v>1.0380904535476363</v>
      </c>
      <c r="AQ96" s="408">
        <f t="shared" si="4"/>
        <v>0.93794555828826964</v>
      </c>
      <c r="AR96" s="408">
        <f t="shared" si="4"/>
        <v>0.93798961040527862</v>
      </c>
      <c r="AS96" s="408">
        <f t="shared" si="4"/>
        <v>0.93816581887331474</v>
      </c>
      <c r="AT96" s="408">
        <f t="shared" si="4"/>
        <v>0.93867841178323241</v>
      </c>
      <c r="AV96" s="38"/>
    </row>
    <row r="97" spans="1:48" x14ac:dyDescent="0.3">
      <c r="A97" s="38">
        <v>2048</v>
      </c>
      <c r="B97" s="177">
        <f>SCRS!AR41</f>
        <v>1.0239755905326773</v>
      </c>
      <c r="D97" s="408">
        <v>1.0204434271839078</v>
      </c>
      <c r="E97" s="177">
        <v>1.0079575231736266</v>
      </c>
      <c r="F97" s="408">
        <v>1.0234362483046378</v>
      </c>
      <c r="G97" s="408">
        <v>1.0306798836874873</v>
      </c>
      <c r="H97" s="408">
        <v>1.015085510314776</v>
      </c>
      <c r="J97" s="408">
        <v>0.85307669625451066</v>
      </c>
      <c r="K97" s="177">
        <v>0.79803921927692789</v>
      </c>
      <c r="L97" s="408">
        <v>0.85651243857748227</v>
      </c>
      <c r="M97" s="408">
        <v>0.87025540786937094</v>
      </c>
      <c r="N97" s="408">
        <v>0.88743411948423179</v>
      </c>
      <c r="P97" s="408">
        <v>1.0204129804396023</v>
      </c>
      <c r="Q97" s="408">
        <v>1.0232744282814525</v>
      </c>
      <c r="R97" s="408">
        <v>1.0067031248816036</v>
      </c>
      <c r="S97" s="408">
        <v>1.0194483120384898</v>
      </c>
      <c r="U97" s="408">
        <v>0.63099017053003437</v>
      </c>
      <c r="V97" s="408">
        <v>0.64520803764300028</v>
      </c>
      <c r="W97" s="408">
        <v>0.66088638011767353</v>
      </c>
      <c r="X97" s="408">
        <v>0.68048430821101646</v>
      </c>
      <c r="Z97" s="408">
        <v>1.0259542897651284</v>
      </c>
      <c r="AA97" s="177">
        <v>1.004850570899571</v>
      </c>
      <c r="AB97" s="408">
        <v>1.0288157376069798</v>
      </c>
      <c r="AC97" s="408">
        <v>1.0200770734160374</v>
      </c>
      <c r="AD97" s="408">
        <v>1.0131943570847546</v>
      </c>
      <c r="AF97" s="408">
        <v>0.89645667140152541</v>
      </c>
      <c r="AG97" s="177">
        <v>0.98564281305728962</v>
      </c>
      <c r="AH97" s="408">
        <v>0.89647192816430787</v>
      </c>
      <c r="AI97" s="408">
        <v>0.89653295521543719</v>
      </c>
      <c r="AJ97" s="408">
        <v>0.89660923902934864</v>
      </c>
      <c r="AL97" s="408">
        <f t="shared" si="3"/>
        <v>1.0398119271715649</v>
      </c>
      <c r="AM97" s="408">
        <f t="shared" si="3"/>
        <v>1.0445452665086616</v>
      </c>
      <c r="AN97" s="408">
        <f t="shared" si="3"/>
        <v>1.0247428365042657</v>
      </c>
      <c r="AO97" s="408">
        <f t="shared" si="3"/>
        <v>1.0385966580537878</v>
      </c>
      <c r="AQ97" s="408">
        <f t="shared" si="4"/>
        <v>0.97131084273939006</v>
      </c>
      <c r="AR97" s="408">
        <f t="shared" si="4"/>
        <v>0.97135622283049849</v>
      </c>
      <c r="AS97" s="408">
        <f t="shared" si="4"/>
        <v>0.97153774319493247</v>
      </c>
      <c r="AT97" s="408">
        <f t="shared" si="4"/>
        <v>0.97206578848612413</v>
      </c>
      <c r="AV97" s="38"/>
    </row>
    <row r="98" spans="1:48" x14ac:dyDescent="0.3">
      <c r="A98" s="38">
        <v>2049</v>
      </c>
      <c r="B98" s="177">
        <f>SCRS!AR42</f>
        <v>1.023379839944186</v>
      </c>
      <c r="D98" s="408">
        <v>1.0192405066955637</v>
      </c>
      <c r="E98" s="177">
        <v>1.0051208248147847</v>
      </c>
      <c r="F98" s="408">
        <v>1.0223143363439036</v>
      </c>
      <c r="G98" s="408">
        <v>1.029754039655052</v>
      </c>
      <c r="H98" s="408">
        <v>1.0141259416400525</v>
      </c>
      <c r="J98" s="408">
        <v>0.88315527387600401</v>
      </c>
      <c r="K98" s="177">
        <v>0.82552833465532638</v>
      </c>
      <c r="L98" s="408">
        <v>0.88665103467140227</v>
      </c>
      <c r="M98" s="408">
        <v>0.90063407785299754</v>
      </c>
      <c r="N98" s="408">
        <v>0.91811288182999151</v>
      </c>
      <c r="P98" s="408">
        <v>1.0188033695994021</v>
      </c>
      <c r="Q98" s="408">
        <v>1.0214408671834576</v>
      </c>
      <c r="R98" s="408">
        <v>1.0063249504790093</v>
      </c>
      <c r="S98" s="408">
        <v>1.0179565937710793</v>
      </c>
      <c r="U98" s="408">
        <v>0.64843332195851977</v>
      </c>
      <c r="V98" s="408">
        <v>0.66320395600775806</v>
      </c>
      <c r="W98" s="408">
        <v>0.67927477804945158</v>
      </c>
      <c r="X98" s="408">
        <v>0.69936330560156967</v>
      </c>
      <c r="Z98" s="408">
        <v>1.0249447572428887</v>
      </c>
      <c r="AA98" s="177">
        <v>1.0000309561359253</v>
      </c>
      <c r="AB98" s="408">
        <v>1.0275822548269453</v>
      </c>
      <c r="AC98" s="408">
        <v>1.0196918226431422</v>
      </c>
      <c r="AD98" s="408">
        <v>1.0134188839625986</v>
      </c>
      <c r="AF98" s="408">
        <v>0.91823893191698502</v>
      </c>
      <c r="AG98" s="177">
        <v>1.0025510654689311</v>
      </c>
      <c r="AH98" s="408">
        <v>0.91825457060583282</v>
      </c>
      <c r="AI98" s="408">
        <v>0.91831712536122312</v>
      </c>
      <c r="AJ98" s="408">
        <v>0.91839531880546077</v>
      </c>
      <c r="AL98" s="408">
        <f t="shared" si="3"/>
        <v>1.0400942686021599</v>
      </c>
      <c r="AM98" s="408">
        <f t="shared" si="3"/>
        <v>1.0449553327230556</v>
      </c>
      <c r="AN98" s="408">
        <f t="shared" si="3"/>
        <v>1.0250005585559323</v>
      </c>
      <c r="AO98" s="408">
        <f t="shared" si="3"/>
        <v>1.0388360084163426</v>
      </c>
      <c r="AQ98" s="408">
        <f t="shared" si="4"/>
        <v>1.0026408568634506</v>
      </c>
      <c r="AR98" s="408">
        <f t="shared" si="4"/>
        <v>1.0026873939242322</v>
      </c>
      <c r="AS98" s="408">
        <f t="shared" si="4"/>
        <v>1.002873542167358</v>
      </c>
      <c r="AT98" s="408">
        <f t="shared" si="4"/>
        <v>1.0034150500227037</v>
      </c>
      <c r="AV98" s="38"/>
    </row>
    <row r="99" spans="1:48" x14ac:dyDescent="0.3">
      <c r="A99" s="38">
        <v>2050</v>
      </c>
      <c r="B99" s="177">
        <f>SCRS!AR43</f>
        <v>1.0226343112091227</v>
      </c>
      <c r="D99" s="408">
        <v>1.0178374531135643</v>
      </c>
      <c r="E99" s="177">
        <v>1.001716929017918</v>
      </c>
      <c r="F99" s="408">
        <v>1.0209815435138214</v>
      </c>
      <c r="G99" s="408">
        <v>1.0285913015152035</v>
      </c>
      <c r="H99" s="408">
        <v>1.0129337457468277</v>
      </c>
      <c r="J99" s="408">
        <v>0.91350541075790725</v>
      </c>
      <c r="K99" s="177">
        <v>0.85311622952440869</v>
      </c>
      <c r="L99" s="408">
        <v>0.91704765925260057</v>
      </c>
      <c r="M99" s="408">
        <v>0.92879581770671871</v>
      </c>
      <c r="N99" s="408">
        <v>0.94650706018018871</v>
      </c>
      <c r="P99" s="408">
        <v>1.0171190518461992</v>
      </c>
      <c r="Q99" s="408">
        <v>1.0195145549510813</v>
      </c>
      <c r="R99" s="408">
        <v>1.0057167627028039</v>
      </c>
      <c r="S99" s="408">
        <v>1.0161520567130236</v>
      </c>
      <c r="U99" s="408">
        <v>0.66723689839269196</v>
      </c>
      <c r="V99" s="408">
        <v>0.682476900572075</v>
      </c>
      <c r="W99" s="408">
        <v>0.69887093515264043</v>
      </c>
      <c r="X99" s="408">
        <v>0.71936347837834846</v>
      </c>
      <c r="Z99" s="408">
        <v>1.0238482267232458</v>
      </c>
      <c r="AA99" s="177">
        <v>0.99455738423901419</v>
      </c>
      <c r="AB99" s="408">
        <v>1.0262437298281291</v>
      </c>
      <c r="AC99" s="408">
        <v>1.0190105739231299</v>
      </c>
      <c r="AD99" s="408">
        <v>1.0133925620081623</v>
      </c>
      <c r="AF99" s="408">
        <v>0.93751895978789135</v>
      </c>
      <c r="AG99" s="177">
        <v>0.99804155861265609</v>
      </c>
      <c r="AH99" s="408">
        <v>0.93753491299831826</v>
      </c>
      <c r="AI99" s="408">
        <v>0.93759872584002524</v>
      </c>
      <c r="AJ99" s="408">
        <v>0.93767849189215879</v>
      </c>
      <c r="AL99" s="408">
        <f t="shared" si="3"/>
        <v>1.0400652333757261</v>
      </c>
      <c r="AM99" s="408">
        <f t="shared" si="3"/>
        <v>1.0450265447529614</v>
      </c>
      <c r="AN99" s="408">
        <f t="shared" si="3"/>
        <v>1.0249371595663561</v>
      </c>
      <c r="AO99" s="408">
        <f t="shared" si="3"/>
        <v>1.038768245819091</v>
      </c>
      <c r="AQ99" s="408">
        <f t="shared" si="4"/>
        <v>0.99455560565090828</v>
      </c>
      <c r="AR99" s="408">
        <f t="shared" si="4"/>
        <v>0.99460309815216452</v>
      </c>
      <c r="AS99" s="408">
        <f t="shared" si="4"/>
        <v>0.99479306815718893</v>
      </c>
      <c r="AT99" s="408">
        <f t="shared" si="4"/>
        <v>0.99534569357160807</v>
      </c>
      <c r="AV99" s="38"/>
    </row>
    <row r="100" spans="1:48" x14ac:dyDescent="0.3">
      <c r="A100" s="38"/>
      <c r="B100" s="38"/>
      <c r="D100" s="38"/>
      <c r="F100" s="38"/>
      <c r="G100" s="38"/>
      <c r="H100" s="38"/>
      <c r="J100" s="38"/>
      <c r="L100" s="38"/>
      <c r="M100" s="38"/>
      <c r="N100" s="38"/>
      <c r="P100" s="38"/>
      <c r="Q100" s="38"/>
      <c r="R100" s="38"/>
      <c r="S100" s="38"/>
      <c r="U100" s="38"/>
      <c r="V100" s="38"/>
      <c r="W100" s="38"/>
      <c r="X100" s="38"/>
      <c r="Z100" s="38"/>
      <c r="AB100" s="38"/>
      <c r="AC100" s="38"/>
      <c r="AD100" s="38"/>
      <c r="AF100" s="38"/>
      <c r="AH100" s="38"/>
      <c r="AI100" s="38"/>
      <c r="AJ100" s="38"/>
      <c r="AL100" s="408"/>
      <c r="AM100" s="408"/>
      <c r="AN100" s="408"/>
      <c r="AO100" s="408"/>
      <c r="AQ100" s="408"/>
      <c r="AR100" s="408"/>
      <c r="AS100" s="408"/>
      <c r="AT100" s="408"/>
    </row>
    <row r="101" spans="1:48" x14ac:dyDescent="0.3">
      <c r="AL101" s="38"/>
      <c r="AM101" s="38"/>
      <c r="AN101" s="38"/>
      <c r="AO101" s="38"/>
      <c r="AQ101" s="38"/>
      <c r="AR101" s="38"/>
      <c r="AS101" s="38"/>
      <c r="AT101" s="38"/>
    </row>
    <row r="102" spans="1:48" x14ac:dyDescent="0.3">
      <c r="A102" s="38"/>
      <c r="B102" s="38" t="s">
        <v>301</v>
      </c>
      <c r="D102" s="38" t="s">
        <v>301</v>
      </c>
      <c r="E102" s="38" t="s">
        <v>301</v>
      </c>
      <c r="F102" s="38" t="s">
        <v>301</v>
      </c>
      <c r="G102" s="38" t="s">
        <v>301</v>
      </c>
      <c r="H102" s="38" t="s">
        <v>301</v>
      </c>
      <c r="J102" s="38" t="s">
        <v>301</v>
      </c>
      <c r="K102" s="38" t="s">
        <v>301</v>
      </c>
      <c r="L102" s="38" t="s">
        <v>301</v>
      </c>
      <c r="M102" s="38" t="s">
        <v>301</v>
      </c>
      <c r="N102" s="38" t="s">
        <v>301</v>
      </c>
      <c r="P102" s="38" t="s">
        <v>301</v>
      </c>
      <c r="Q102" s="38" t="s">
        <v>301</v>
      </c>
      <c r="R102" s="38" t="s">
        <v>301</v>
      </c>
      <c r="S102" s="38" t="s">
        <v>301</v>
      </c>
      <c r="U102" s="38" t="s">
        <v>301</v>
      </c>
      <c r="V102" s="38" t="s">
        <v>301</v>
      </c>
      <c r="W102" s="38" t="s">
        <v>301</v>
      </c>
      <c r="X102" s="38" t="s">
        <v>301</v>
      </c>
      <c r="Z102" s="38" t="s">
        <v>301</v>
      </c>
      <c r="AA102" s="38" t="s">
        <v>301</v>
      </c>
      <c r="AB102" s="38" t="s">
        <v>301</v>
      </c>
      <c r="AC102" s="38" t="s">
        <v>301</v>
      </c>
      <c r="AD102" s="38" t="s">
        <v>301</v>
      </c>
      <c r="AF102" s="38" t="s">
        <v>301</v>
      </c>
      <c r="AG102" s="38" t="s">
        <v>301</v>
      </c>
      <c r="AH102" s="38" t="s">
        <v>301</v>
      </c>
      <c r="AI102" s="38" t="s">
        <v>301</v>
      </c>
      <c r="AJ102" s="38" t="s">
        <v>301</v>
      </c>
      <c r="AL102" s="38" t="s">
        <v>301</v>
      </c>
      <c r="AM102" s="38" t="s">
        <v>301</v>
      </c>
      <c r="AN102" s="38" t="s">
        <v>301</v>
      </c>
      <c r="AO102" s="38" t="s">
        <v>301</v>
      </c>
      <c r="AQ102" s="38" t="s">
        <v>301</v>
      </c>
      <c r="AR102" s="38" t="s">
        <v>301</v>
      </c>
      <c r="AS102" s="38" t="s">
        <v>301</v>
      </c>
      <c r="AT102" s="38" t="s">
        <v>301</v>
      </c>
    </row>
    <row r="103" spans="1:48" x14ac:dyDescent="0.3">
      <c r="A103" s="38">
        <v>2021</v>
      </c>
      <c r="B103" s="166">
        <f>SCRS!AP14/(1+SCRS!$DU$27)^MAX(Outputs!A104-2021,0)</f>
        <v>21507.689000000006</v>
      </c>
      <c r="D103" s="190">
        <v>21860.803591924276</v>
      </c>
      <c r="E103" s="166">
        <v>28471.078846170385</v>
      </c>
      <c r="F103" s="190">
        <v>21860.803591924276</v>
      </c>
      <c r="G103" s="190">
        <v>21860.803591924276</v>
      </c>
      <c r="H103" s="190">
        <v>21860.803591924276</v>
      </c>
      <c r="J103" s="190">
        <v>21860.803591924276</v>
      </c>
      <c r="K103" s="166">
        <v>28471.078846170385</v>
      </c>
      <c r="L103" s="190">
        <v>21860.803591924276</v>
      </c>
      <c r="M103" s="190">
        <v>21860.803591924276</v>
      </c>
      <c r="N103" s="190">
        <v>21860.803591924276</v>
      </c>
      <c r="P103" s="190">
        <v>21899.49727577516</v>
      </c>
      <c r="Q103" s="190">
        <v>21899.49727577516</v>
      </c>
      <c r="R103" s="190">
        <v>21899.49727577516</v>
      </c>
      <c r="S103" s="190">
        <v>21899.49727577516</v>
      </c>
      <c r="U103" s="190">
        <v>21899.49727577516</v>
      </c>
      <c r="V103" s="190">
        <v>21899.49727577516</v>
      </c>
      <c r="W103" s="190">
        <v>21899.49727577516</v>
      </c>
      <c r="X103" s="190">
        <v>21899.49727577516</v>
      </c>
      <c r="Z103" s="190">
        <v>21899.49727577516</v>
      </c>
      <c r="AA103" s="166">
        <v>28509.77253002127</v>
      </c>
      <c r="AB103" s="190">
        <v>21899.49727577516</v>
      </c>
      <c r="AC103" s="190">
        <v>21899.49727577516</v>
      </c>
      <c r="AD103" s="190">
        <v>21899.49727577516</v>
      </c>
      <c r="AF103" s="190">
        <v>21899.49727577516</v>
      </c>
      <c r="AG103" s="166">
        <v>28509.77253002127</v>
      </c>
      <c r="AH103" s="190">
        <v>21899.49727577516</v>
      </c>
      <c r="AI103" s="190">
        <v>21899.49727577516</v>
      </c>
      <c r="AJ103" s="190">
        <v>21899.49727577516</v>
      </c>
      <c r="AL103" s="190">
        <f>AL136-AL169</f>
        <v>21812.436487110666</v>
      </c>
      <c r="AM103" s="190">
        <f t="shared" ref="AM103:AO103" si="5">AM136-AM169</f>
        <v>21812.436487110666</v>
      </c>
      <c r="AN103" s="190">
        <f t="shared" si="5"/>
        <v>21812.436487110666</v>
      </c>
      <c r="AO103" s="190">
        <f t="shared" si="5"/>
        <v>21812.436487110666</v>
      </c>
      <c r="AQ103" s="190">
        <f>AQ136-AQ169</f>
        <v>21812.436487110666</v>
      </c>
      <c r="AR103" s="190">
        <f t="shared" ref="AR103:AT103" si="6">AR136-AR169</f>
        <v>21812.436487110666</v>
      </c>
      <c r="AS103" s="190">
        <f t="shared" si="6"/>
        <v>21812.436487110666</v>
      </c>
      <c r="AT103" s="190">
        <f t="shared" si="6"/>
        <v>21812.436487110666</v>
      </c>
    </row>
    <row r="104" spans="1:48" x14ac:dyDescent="0.3">
      <c r="A104" s="38">
        <v>2022</v>
      </c>
      <c r="B104" s="166">
        <f>SCRS!AP15/(1+SCRS!$DU$27)^MAX(Outputs!A105-2021,0)</f>
        <v>22498.147976105778</v>
      </c>
      <c r="D104" s="190">
        <v>21103.077158154068</v>
      </c>
      <c r="E104" s="166">
        <v>28070.483396917334</v>
      </c>
      <c r="F104" s="190">
        <v>21001.912557344403</v>
      </c>
      <c r="G104" s="190">
        <v>20597.254154105725</v>
      </c>
      <c r="H104" s="190">
        <v>20091.431150057382</v>
      </c>
      <c r="J104" s="190">
        <v>31076.392546556555</v>
      </c>
      <c r="K104" s="166">
        <v>37721.889302723139</v>
      </c>
      <c r="L104" s="190">
        <v>30991.132909519085</v>
      </c>
      <c r="M104" s="190">
        <v>30650.094361369203</v>
      </c>
      <c r="N104" s="190">
        <v>30223.796176181851</v>
      </c>
      <c r="P104" s="190">
        <v>21179.122096232233</v>
      </c>
      <c r="Q104" s="190">
        <v>21077.957495422561</v>
      </c>
      <c r="R104" s="190">
        <v>20673.29909218389</v>
      </c>
      <c r="S104" s="190">
        <v>20167.476088135547</v>
      </c>
      <c r="U104" s="190">
        <v>31135.116679302198</v>
      </c>
      <c r="V104" s="190">
        <v>31049.857042264724</v>
      </c>
      <c r="W104" s="190">
        <v>30708.818494114843</v>
      </c>
      <c r="X104" s="190">
        <v>30282.520308927491</v>
      </c>
      <c r="Z104" s="190">
        <v>21003.006566183121</v>
      </c>
      <c r="AA104" s="166">
        <v>27868.597831019088</v>
      </c>
      <c r="AB104" s="190">
        <v>20901.841965373453</v>
      </c>
      <c r="AC104" s="190">
        <v>20497.183562134778</v>
      </c>
      <c r="AD104" s="190">
        <v>19991.360558086435</v>
      </c>
      <c r="AF104" s="190">
        <v>30986.689798273925</v>
      </c>
      <c r="AG104" s="166">
        <v>37545.737944457913</v>
      </c>
      <c r="AH104" s="190">
        <v>30901.430161236454</v>
      </c>
      <c r="AI104" s="190">
        <v>30560.391613086573</v>
      </c>
      <c r="AJ104" s="190">
        <v>30134.093427899221</v>
      </c>
      <c r="AL104" s="190">
        <f t="shared" ref="AL104:AO132" si="7">AL137-AL170</f>
        <v>20911.901388803155</v>
      </c>
      <c r="AM104" s="190">
        <f t="shared" si="7"/>
        <v>20810.736787993483</v>
      </c>
      <c r="AN104" s="190">
        <f t="shared" si="7"/>
        <v>20406.078384754815</v>
      </c>
      <c r="AO104" s="190">
        <f t="shared" si="7"/>
        <v>19900.255380706469</v>
      </c>
      <c r="AQ104" s="190">
        <f t="shared" ref="AQ104:AT132" si="8">AQ137-AQ170</f>
        <v>30921.979578826475</v>
      </c>
      <c r="AR104" s="190">
        <f t="shared" si="8"/>
        <v>30836.719941789001</v>
      </c>
      <c r="AS104" s="190">
        <f t="shared" si="8"/>
        <v>30495.681393639119</v>
      </c>
      <c r="AT104" s="190">
        <f t="shared" si="8"/>
        <v>30069.383208451767</v>
      </c>
    </row>
    <row r="105" spans="1:48" x14ac:dyDescent="0.3">
      <c r="A105" s="38">
        <v>2023</v>
      </c>
      <c r="B105" s="166">
        <f>SCRS!AP16/(1+SCRS!$DU$27)^MAX(Outputs!A106-2021,0)</f>
        <v>21559.974054738312</v>
      </c>
      <c r="D105" s="190">
        <v>20162.575297161751</v>
      </c>
      <c r="E105" s="166">
        <v>27507.718354072575</v>
      </c>
      <c r="F105" s="190">
        <v>20056.711118319363</v>
      </c>
      <c r="G105" s="190">
        <v>19633.254402949795</v>
      </c>
      <c r="H105" s="190">
        <v>19103.933508737831</v>
      </c>
      <c r="J105" s="190">
        <v>29658.332332781676</v>
      </c>
      <c r="K105" s="166">
        <v>36337.02482892415</v>
      </c>
      <c r="L105" s="190">
        <v>29565.776638785013</v>
      </c>
      <c r="M105" s="190">
        <v>29195.553862798344</v>
      </c>
      <c r="N105" s="190">
        <v>28732.775392815009</v>
      </c>
      <c r="P105" s="190">
        <v>20295.095938892209</v>
      </c>
      <c r="Q105" s="190">
        <v>20189.231760049814</v>
      </c>
      <c r="R105" s="190">
        <v>19765.775044680253</v>
      </c>
      <c r="S105" s="190">
        <v>19236.454150468289</v>
      </c>
      <c r="U105" s="190">
        <v>29776.358069452959</v>
      </c>
      <c r="V105" s="190">
        <v>29683.802375456289</v>
      </c>
      <c r="W105" s="190">
        <v>29313.579599469624</v>
      </c>
      <c r="X105" s="190">
        <v>28850.801129486288</v>
      </c>
      <c r="Z105" s="190">
        <v>20110.799002801694</v>
      </c>
      <c r="AA105" s="166">
        <v>26791.732252795973</v>
      </c>
      <c r="AB105" s="190">
        <v>20004.934823959298</v>
      </c>
      <c r="AC105" s="190">
        <v>19581.478108589738</v>
      </c>
      <c r="AD105" s="190">
        <v>19052.157214377774</v>
      </c>
      <c r="AF105" s="190">
        <v>29615.229621588529</v>
      </c>
      <c r="AG105" s="166">
        <v>35627.813896544831</v>
      </c>
      <c r="AH105" s="190">
        <v>29522.673927591859</v>
      </c>
      <c r="AI105" s="190">
        <v>29152.45115160519</v>
      </c>
      <c r="AJ105" s="190">
        <v>28689.672681621854</v>
      </c>
      <c r="AL105" s="190">
        <f t="shared" si="7"/>
        <v>19921.595748869491</v>
      </c>
      <c r="AM105" s="190">
        <f t="shared" si="7"/>
        <v>19815.731570027099</v>
      </c>
      <c r="AN105" s="190">
        <f t="shared" si="7"/>
        <v>19392.274854657539</v>
      </c>
      <c r="AO105" s="190">
        <f t="shared" si="7"/>
        <v>18862.953960445579</v>
      </c>
      <c r="AQ105" s="190">
        <f t="shared" si="8"/>
        <v>29449.396235155324</v>
      </c>
      <c r="AR105" s="190">
        <f t="shared" si="8"/>
        <v>29356.840541158654</v>
      </c>
      <c r="AS105" s="190">
        <f t="shared" si="8"/>
        <v>28986.617765171985</v>
      </c>
      <c r="AT105" s="190">
        <f t="shared" si="8"/>
        <v>28523.839295188649</v>
      </c>
    </row>
    <row r="106" spans="1:48" x14ac:dyDescent="0.3">
      <c r="A106" s="38">
        <v>2024</v>
      </c>
      <c r="B106" s="166">
        <f>SCRS!AP17/(1+SCRS!$DU$27)^MAX(Outputs!A107-2021,0)</f>
        <v>20646.872807652777</v>
      </c>
      <c r="D106" s="190">
        <v>19029.374544661965</v>
      </c>
      <c r="E106" s="166">
        <v>26775.310619211559</v>
      </c>
      <c r="F106" s="190">
        <v>18918.592469980937</v>
      </c>
      <c r="G106" s="190">
        <v>18475.46417125679</v>
      </c>
      <c r="H106" s="190">
        <v>17921.553797851604</v>
      </c>
      <c r="J106" s="190">
        <v>27956.899296343468</v>
      </c>
      <c r="K106" s="166">
        <v>34666.749562273588</v>
      </c>
      <c r="L106" s="190">
        <v>27856.42318843511</v>
      </c>
      <c r="M106" s="190">
        <v>27454.518756801659</v>
      </c>
      <c r="N106" s="190">
        <v>26952.138217259846</v>
      </c>
      <c r="P106" s="190">
        <v>19244.311873817547</v>
      </c>
      <c r="Q106" s="190">
        <v>19133.529799136508</v>
      </c>
      <c r="R106" s="190">
        <v>18690.401500412376</v>
      </c>
      <c r="S106" s="190">
        <v>18136.49112700719</v>
      </c>
      <c r="U106" s="190">
        <v>28164.249198899026</v>
      </c>
      <c r="V106" s="190">
        <v>28063.77309099066</v>
      </c>
      <c r="W106" s="190">
        <v>27661.868659357213</v>
      </c>
      <c r="X106" s="190">
        <v>27159.488119815403</v>
      </c>
      <c r="Z106" s="190">
        <v>19051.453466368308</v>
      </c>
      <c r="AA106" s="166">
        <v>25711.788836530937</v>
      </c>
      <c r="AB106" s="190">
        <v>18940.671391687269</v>
      </c>
      <c r="AC106" s="190">
        <v>18497.543092963129</v>
      </c>
      <c r="AD106" s="190">
        <v>17943.632719557947</v>
      </c>
      <c r="AF106" s="190">
        <v>27989.332253051085</v>
      </c>
      <c r="AG106" s="166">
        <v>33432.483459405557</v>
      </c>
      <c r="AH106" s="190">
        <v>27888.856145142719</v>
      </c>
      <c r="AI106" s="190">
        <v>27486.951713509276</v>
      </c>
      <c r="AJ106" s="190">
        <v>26984.571173967459</v>
      </c>
      <c r="AL106" s="190">
        <f t="shared" si="7"/>
        <v>18741.13090473177</v>
      </c>
      <c r="AM106" s="190">
        <f t="shared" si="7"/>
        <v>18630.348830050731</v>
      </c>
      <c r="AN106" s="190">
        <f t="shared" si="7"/>
        <v>18187.220531326588</v>
      </c>
      <c r="AO106" s="190">
        <f t="shared" si="7"/>
        <v>17633.310157921413</v>
      </c>
      <c r="AQ106" s="190">
        <f t="shared" si="8"/>
        <v>27694.979237942178</v>
      </c>
      <c r="AR106" s="190">
        <f t="shared" si="8"/>
        <v>27594.503130033812</v>
      </c>
      <c r="AS106" s="190">
        <f t="shared" si="8"/>
        <v>27192.598698400365</v>
      </c>
      <c r="AT106" s="190">
        <f t="shared" si="8"/>
        <v>26690.218158858555</v>
      </c>
    </row>
    <row r="107" spans="1:48" x14ac:dyDescent="0.3">
      <c r="A107" s="38">
        <v>2025</v>
      </c>
      <c r="B107" s="166">
        <f>SCRS!AP18/(1+SCRS!$DU$27)^MAX(Outputs!A108-2021,0)</f>
        <v>19744.200228258473</v>
      </c>
      <c r="D107" s="190">
        <v>17819.432712155321</v>
      </c>
      <c r="E107" s="166">
        <v>25865.440910653368</v>
      </c>
      <c r="F107" s="190">
        <v>17703.504281926758</v>
      </c>
      <c r="G107" s="190">
        <v>17239.790561012491</v>
      </c>
      <c r="H107" s="190">
        <v>16660.14840986966</v>
      </c>
      <c r="J107" s="190">
        <v>26075.720756468905</v>
      </c>
      <c r="K107" s="166">
        <v>32685.924508981414</v>
      </c>
      <c r="L107" s="190">
        <v>25966.646448617292</v>
      </c>
      <c r="M107" s="190">
        <v>25530.349217210802</v>
      </c>
      <c r="N107" s="190">
        <v>24984.977677952698</v>
      </c>
      <c r="P107" s="190">
        <v>18138.552332378749</v>
      </c>
      <c r="Q107" s="190">
        <v>18022.623902150182</v>
      </c>
      <c r="R107" s="190">
        <v>17558.910181235933</v>
      </c>
      <c r="S107" s="190">
        <v>16979.268030093095</v>
      </c>
      <c r="U107" s="190">
        <v>26400.372429494688</v>
      </c>
      <c r="V107" s="190">
        <v>26291.29812164306</v>
      </c>
      <c r="W107" s="190">
        <v>25855.000890236584</v>
      </c>
      <c r="X107" s="190">
        <v>25309.629350978481</v>
      </c>
      <c r="Z107" s="190">
        <v>17936.593812850027</v>
      </c>
      <c r="AA107" s="166">
        <v>24621.742241494045</v>
      </c>
      <c r="AB107" s="190">
        <v>17820.665382621457</v>
      </c>
      <c r="AC107" s="190">
        <v>17356.9516617072</v>
      </c>
      <c r="AD107" s="190">
        <v>16777.30951056437</v>
      </c>
      <c r="AF107" s="190">
        <v>26100.797904454434</v>
      </c>
      <c r="AG107" s="166">
        <v>30917.82918320311</v>
      </c>
      <c r="AH107" s="190">
        <v>25999.184293484443</v>
      </c>
      <c r="AI107" s="190">
        <v>25592.729849604511</v>
      </c>
      <c r="AJ107" s="190">
        <v>25084.661794754589</v>
      </c>
      <c r="AL107" s="190">
        <f t="shared" si="7"/>
        <v>17485.343448177053</v>
      </c>
      <c r="AM107" s="190">
        <f t="shared" si="7"/>
        <v>17369.415017948486</v>
      </c>
      <c r="AN107" s="190">
        <f t="shared" si="7"/>
        <v>16905.701297034218</v>
      </c>
      <c r="AO107" s="190">
        <f t="shared" si="7"/>
        <v>16326.059145891399</v>
      </c>
      <c r="AQ107" s="190">
        <f t="shared" si="8"/>
        <v>25762.131983336953</v>
      </c>
      <c r="AR107" s="190">
        <f t="shared" si="8"/>
        <v>25653.057675485328</v>
      </c>
      <c r="AS107" s="190">
        <f t="shared" si="8"/>
        <v>25216.760444078845</v>
      </c>
      <c r="AT107" s="190">
        <f t="shared" si="8"/>
        <v>24671.388904820742</v>
      </c>
    </row>
    <row r="108" spans="1:48" x14ac:dyDescent="0.3">
      <c r="A108" s="38">
        <v>2026</v>
      </c>
      <c r="B108" s="166">
        <f>SCRS!AP19/(1+SCRS!$DU$27)^MAX(Outputs!A109-2021,0)</f>
        <v>18854.062022205711</v>
      </c>
      <c r="D108" s="190">
        <v>16529.510378874595</v>
      </c>
      <c r="E108" s="166">
        <v>25023.405822120956</v>
      </c>
      <c r="F108" s="190">
        <v>16408.196520346908</v>
      </c>
      <c r="G108" s="190">
        <v>15922.941086236131</v>
      </c>
      <c r="H108" s="190">
        <v>15316.371793597664</v>
      </c>
      <c r="J108" s="190">
        <v>25461.561132917199</v>
      </c>
      <c r="K108" s="166">
        <v>31840.582081538989</v>
      </c>
      <c r="L108" s="190">
        <v>25348.486544826526</v>
      </c>
      <c r="M108" s="190">
        <v>24896.188192463818</v>
      </c>
      <c r="N108" s="190">
        <v>24330.815252010427</v>
      </c>
      <c r="P108" s="190">
        <v>16975.988052029756</v>
      </c>
      <c r="Q108" s="190">
        <v>16854.674193502062</v>
      </c>
      <c r="R108" s="190">
        <v>16369.418759391305</v>
      </c>
      <c r="S108" s="190">
        <v>15762.84946675283</v>
      </c>
      <c r="U108" s="190">
        <v>25908.553824655995</v>
      </c>
      <c r="V108" s="190">
        <v>25795.479236565312</v>
      </c>
      <c r="W108" s="190">
        <v>25343.180884202611</v>
      </c>
      <c r="X108" s="190">
        <v>24777.80794374922</v>
      </c>
      <c r="Z108" s="190">
        <v>16764.178276915231</v>
      </c>
      <c r="AA108" s="166">
        <v>23522.902667203918</v>
      </c>
      <c r="AB108" s="190">
        <v>16642.864418387529</v>
      </c>
      <c r="AC108" s="190">
        <v>16157.608984276767</v>
      </c>
      <c r="AD108" s="190">
        <v>15551.039691638305</v>
      </c>
      <c r="AF108" s="190">
        <v>25395.164500269224</v>
      </c>
      <c r="AG108" s="166">
        <v>29651.612337840801</v>
      </c>
      <c r="AH108" s="190">
        <v>25297.580249925664</v>
      </c>
      <c r="AI108" s="190">
        <v>24907.243248551469</v>
      </c>
      <c r="AJ108" s="190">
        <v>24419.321996833718</v>
      </c>
      <c r="AL108" s="190">
        <f t="shared" si="7"/>
        <v>16151.125757593152</v>
      </c>
      <c r="AM108" s="190">
        <f t="shared" si="7"/>
        <v>16029.811899065455</v>
      </c>
      <c r="AN108" s="190">
        <f t="shared" si="7"/>
        <v>15544.556464954687</v>
      </c>
      <c r="AO108" s="190">
        <f t="shared" si="7"/>
        <v>14937.987172316229</v>
      </c>
      <c r="AQ108" s="190">
        <f t="shared" si="8"/>
        <v>25062.054173071938</v>
      </c>
      <c r="AR108" s="190">
        <f t="shared" si="8"/>
        <v>24956.735606156704</v>
      </c>
      <c r="AS108" s="190">
        <f t="shared" si="8"/>
        <v>24535.461338495817</v>
      </c>
      <c r="AT108" s="190">
        <f t="shared" si="8"/>
        <v>23975.397188839634</v>
      </c>
    </row>
    <row r="109" spans="1:48" x14ac:dyDescent="0.3">
      <c r="A109" s="38">
        <v>2027</v>
      </c>
      <c r="B109" s="166">
        <f>SCRS!AP20/(1+SCRS!$DU$27)^MAX(Outputs!A110-2021,0)</f>
        <v>18007.058462633082</v>
      </c>
      <c r="D109" s="190">
        <v>15156.191942290836</v>
      </c>
      <c r="E109" s="166">
        <v>24126.064497595478</v>
      </c>
      <c r="F109" s="190">
        <v>15029.242476643278</v>
      </c>
      <c r="G109" s="190">
        <v>14521.444614053034</v>
      </c>
      <c r="H109" s="190">
        <v>13886.697285815218</v>
      </c>
      <c r="J109" s="190">
        <v>24803.578397524409</v>
      </c>
      <c r="K109" s="166">
        <v>30810.299919724483</v>
      </c>
      <c r="L109" s="190">
        <v>24686.356819650464</v>
      </c>
      <c r="M109" s="190">
        <v>24217.470508154642</v>
      </c>
      <c r="N109" s="190">
        <v>23631.362618784871</v>
      </c>
      <c r="P109" s="190">
        <v>15754.623528732778</v>
      </c>
      <c r="Q109" s="190">
        <v>15627.67406308522</v>
      </c>
      <c r="R109" s="190">
        <v>15119.876200494988</v>
      </c>
      <c r="S109" s="190">
        <v>14485.128872257172</v>
      </c>
      <c r="U109" s="190">
        <v>25395.193556734928</v>
      </c>
      <c r="V109" s="190">
        <v>25277.971978860969</v>
      </c>
      <c r="W109" s="190">
        <v>24809.085667365158</v>
      </c>
      <c r="X109" s="190">
        <v>24222.977777995384</v>
      </c>
      <c r="Z109" s="190">
        <v>15532.039392121955</v>
      </c>
      <c r="AA109" s="166">
        <v>22441.867573143056</v>
      </c>
      <c r="AB109" s="190">
        <v>15405.089926474384</v>
      </c>
      <c r="AC109" s="190">
        <v>14897.292063884152</v>
      </c>
      <c r="AD109" s="190">
        <v>14262.544735646348</v>
      </c>
      <c r="AF109" s="190">
        <v>24623.490133666739</v>
      </c>
      <c r="AG109" s="166">
        <v>28313.696063467436</v>
      </c>
      <c r="AH109" s="190">
        <v>24530.065769038163</v>
      </c>
      <c r="AI109" s="190">
        <v>24156.368310523896</v>
      </c>
      <c r="AJ109" s="190">
        <v>23689.246487381053</v>
      </c>
      <c r="AL109" s="190">
        <f t="shared" si="7"/>
        <v>14735.194078830384</v>
      </c>
      <c r="AM109" s="190">
        <f t="shared" si="7"/>
        <v>14608.244613182818</v>
      </c>
      <c r="AN109" s="190">
        <f t="shared" si="7"/>
        <v>14100.446750592571</v>
      </c>
      <c r="AO109" s="190">
        <f t="shared" si="7"/>
        <v>13465.699422354781</v>
      </c>
      <c r="AQ109" s="190">
        <f t="shared" si="8"/>
        <v>24297.751252190203</v>
      </c>
      <c r="AR109" s="190">
        <f t="shared" si="8"/>
        <v>24196.870930631027</v>
      </c>
      <c r="AS109" s="190">
        <f t="shared" si="8"/>
        <v>23793.34964439438</v>
      </c>
      <c r="AT109" s="190">
        <f t="shared" si="8"/>
        <v>23235.379446170249</v>
      </c>
    </row>
    <row r="110" spans="1:48" x14ac:dyDescent="0.3">
      <c r="A110" s="38">
        <v>2028</v>
      </c>
      <c r="B110" s="166">
        <f>SCRS!AP21/(1+SCRS!$DU$27)^MAX(Outputs!A111-2021,0)</f>
        <v>17115.153943825982</v>
      </c>
      <c r="D110" s="190">
        <v>13695.878059495553</v>
      </c>
      <c r="E110" s="166">
        <v>23171.530283279775</v>
      </c>
      <c r="F110" s="190">
        <v>13563.031185908378</v>
      </c>
      <c r="G110" s="190">
        <v>13031.643691559661</v>
      </c>
      <c r="H110" s="190">
        <v>12367.409323623755</v>
      </c>
      <c r="J110" s="190">
        <v>24100.267366946809</v>
      </c>
      <c r="K110" s="166">
        <v>29586.550786344211</v>
      </c>
      <c r="L110" s="190">
        <v>23978.746709199735</v>
      </c>
      <c r="M110" s="190">
        <v>23492.664078211408</v>
      </c>
      <c r="N110" s="190">
        <v>22885.060789475996</v>
      </c>
      <c r="P110" s="190">
        <v>14472.352935644854</v>
      </c>
      <c r="Q110" s="190">
        <v>14339.506062057679</v>
      </c>
      <c r="R110" s="190">
        <v>13808.118567708974</v>
      </c>
      <c r="S110" s="190">
        <v>13143.884199773067</v>
      </c>
      <c r="U110" s="190">
        <v>24731.158931649461</v>
      </c>
      <c r="V110" s="190">
        <v>24738.227780766276</v>
      </c>
      <c r="W110" s="190">
        <v>24252.145149777953</v>
      </c>
      <c r="X110" s="190">
        <v>23644.541861042544</v>
      </c>
      <c r="Z110" s="190">
        <v>14237.886708760878</v>
      </c>
      <c r="AA110" s="166">
        <v>21304.361896198938</v>
      </c>
      <c r="AB110" s="190">
        <v>14105.039835173689</v>
      </c>
      <c r="AC110" s="190">
        <v>13573.65234082499</v>
      </c>
      <c r="AD110" s="190">
        <v>12909.417972889098</v>
      </c>
      <c r="AF110" s="190">
        <v>23709.945221549293</v>
      </c>
      <c r="AG110" s="166">
        <v>26837.764101550463</v>
      </c>
      <c r="AH110" s="190">
        <v>23620.827449176446</v>
      </c>
      <c r="AI110" s="190">
        <v>23264.356359685135</v>
      </c>
      <c r="AJ110" s="190">
        <v>22818.76749782098</v>
      </c>
      <c r="AL110" s="190">
        <f t="shared" si="7"/>
        <v>13234.088900101742</v>
      </c>
      <c r="AM110" s="190">
        <f t="shared" si="7"/>
        <v>13101.242026514556</v>
      </c>
      <c r="AN110" s="190">
        <f t="shared" si="7"/>
        <v>12569.854532165838</v>
      </c>
      <c r="AO110" s="190">
        <f t="shared" si="7"/>
        <v>11905.620164229964</v>
      </c>
      <c r="AQ110" s="190">
        <f t="shared" si="8"/>
        <v>23391.190251288688</v>
      </c>
      <c r="AR110" s="190">
        <f t="shared" si="8"/>
        <v>23294.9106127224</v>
      </c>
      <c r="AS110" s="190">
        <f t="shared" si="8"/>
        <v>22909.792058457286</v>
      </c>
      <c r="AT110" s="190">
        <f t="shared" si="8"/>
        <v>22375.428908291869</v>
      </c>
    </row>
    <row r="111" spans="1:48" x14ac:dyDescent="0.3">
      <c r="A111" s="38">
        <v>2029</v>
      </c>
      <c r="B111" s="166">
        <f>SCRS!AP22/(1+SCRS!$DU$27)^MAX(Outputs!A112-2021,0)</f>
        <v>16177.451389704018</v>
      </c>
      <c r="D111" s="190">
        <v>12144.77775636695</v>
      </c>
      <c r="E111" s="166">
        <v>22157.817158982751</v>
      </c>
      <c r="F111" s="190">
        <v>12005.759512124134</v>
      </c>
      <c r="G111" s="190">
        <v>11449.686535152861</v>
      </c>
      <c r="H111" s="190">
        <v>10754.59531393876</v>
      </c>
      <c r="J111" s="190">
        <v>23350.040110247955</v>
      </c>
      <c r="K111" s="166">
        <v>28808.107362648563</v>
      </c>
      <c r="L111" s="190">
        <v>23224.062704661748</v>
      </c>
      <c r="M111" s="190">
        <v>22720.153082316876</v>
      </c>
      <c r="N111" s="190">
        <v>22090.266054385793</v>
      </c>
      <c r="P111" s="190">
        <v>13126.958618534567</v>
      </c>
      <c r="Q111" s="190">
        <v>12987.940374291751</v>
      </c>
      <c r="R111" s="190">
        <v>12431.86739732049</v>
      </c>
      <c r="S111" s="190">
        <v>11736.776176106388</v>
      </c>
      <c r="U111" s="190">
        <v>24212.144306147675</v>
      </c>
      <c r="V111" s="190">
        <v>24175.625124231366</v>
      </c>
      <c r="W111" s="190">
        <v>23671.715501886509</v>
      </c>
      <c r="X111" s="190">
        <v>23041.828473955418</v>
      </c>
      <c r="Z111" s="190">
        <v>12879.302154574045</v>
      </c>
      <c r="AA111" s="166">
        <v>20107.846244510689</v>
      </c>
      <c r="AB111" s="190">
        <v>12740.283910331211</v>
      </c>
      <c r="AC111" s="190">
        <v>12184.210933359962</v>
      </c>
      <c r="AD111" s="190">
        <v>11489.119712145866</v>
      </c>
      <c r="AF111" s="190">
        <v>22787.56731653104</v>
      </c>
      <c r="AG111" s="166">
        <v>25343.988837759596</v>
      </c>
      <c r="AH111" s="190">
        <v>22703.114360211377</v>
      </c>
      <c r="AI111" s="190">
        <v>22365.302534932795</v>
      </c>
      <c r="AJ111" s="190">
        <v>21943.037753334545</v>
      </c>
      <c r="AL111" s="190">
        <f t="shared" si="7"/>
        <v>11644.167861108006</v>
      </c>
      <c r="AM111" s="190">
        <f t="shared" si="7"/>
        <v>11505.149616865187</v>
      </c>
      <c r="AN111" s="190">
        <f t="shared" si="7"/>
        <v>10949.076639893909</v>
      </c>
      <c r="AO111" s="190">
        <f t="shared" si="7"/>
        <v>10253.985418679833</v>
      </c>
      <c r="AQ111" s="190">
        <f t="shared" si="8"/>
        <v>22475.734592794994</v>
      </c>
      <c r="AR111" s="190">
        <f t="shared" si="8"/>
        <v>22384.42860366431</v>
      </c>
      <c r="AS111" s="190">
        <f t="shared" si="8"/>
        <v>22019.204647141596</v>
      </c>
      <c r="AT111" s="190">
        <f t="shared" si="8"/>
        <v>21511.793841913335</v>
      </c>
    </row>
    <row r="112" spans="1:48" x14ac:dyDescent="0.3">
      <c r="A112" s="38">
        <v>2030</v>
      </c>
      <c r="B112" s="166">
        <f>SCRS!AP23/(1+SCRS!$DU$27)^MAX(Outputs!A113-2021,0)</f>
        <v>15191.821279937272</v>
      </c>
      <c r="D112" s="190">
        <v>10498.900185157399</v>
      </c>
      <c r="E112" s="166">
        <v>21082.836474793101</v>
      </c>
      <c r="F112" s="190">
        <v>10353.423880668584</v>
      </c>
      <c r="G112" s="190">
        <v>9771.5186627133171</v>
      </c>
      <c r="H112" s="190">
        <v>9044.1371402692221</v>
      </c>
      <c r="J112" s="190">
        <v>22551.223244968085</v>
      </c>
      <c r="K112" s="166">
        <v>27977.024852187489</v>
      </c>
      <c r="L112" s="190">
        <v>22420.625641132996</v>
      </c>
      <c r="M112" s="190">
        <v>21898.235225792589</v>
      </c>
      <c r="N112" s="190">
        <v>21245.247206617092</v>
      </c>
      <c r="P112" s="190">
        <v>11716.108156447246</v>
      </c>
      <c r="Q112" s="190">
        <v>11570.631851958433</v>
      </c>
      <c r="R112" s="190">
        <v>10988.726634003177</v>
      </c>
      <c r="S112" s="190">
        <v>10261.345111559081</v>
      </c>
      <c r="U112" s="190">
        <v>23669.916471146251</v>
      </c>
      <c r="V112" s="190">
        <v>23589.483564694467</v>
      </c>
      <c r="W112" s="190">
        <v>23067.093149354074</v>
      </c>
      <c r="X112" s="190">
        <v>22414.105130178566</v>
      </c>
      <c r="Z112" s="190">
        <v>11453.735025284994</v>
      </c>
      <c r="AA112" s="166">
        <v>18849.71367397518</v>
      </c>
      <c r="AB112" s="190">
        <v>11308.258720796162</v>
      </c>
      <c r="AC112" s="190">
        <v>10726.353502840917</v>
      </c>
      <c r="AD112" s="190">
        <v>9998.9719803968292</v>
      </c>
      <c r="AF112" s="190">
        <v>21833.468238866342</v>
      </c>
      <c r="AG112" s="166">
        <v>23812.481267617717</v>
      </c>
      <c r="AH112" s="190">
        <v>21753.97743744907</v>
      </c>
      <c r="AI112" s="190">
        <v>21436.014231780046</v>
      </c>
      <c r="AJ112" s="190">
        <v>21038.560224693745</v>
      </c>
      <c r="AL112" s="190">
        <f t="shared" si="7"/>
        <v>9961.5981782852323</v>
      </c>
      <c r="AM112" s="190">
        <f t="shared" si="7"/>
        <v>9816.1218737964155</v>
      </c>
      <c r="AN112" s="190">
        <f t="shared" si="7"/>
        <v>9234.2166558411482</v>
      </c>
      <c r="AO112" s="190">
        <f t="shared" si="7"/>
        <v>8506.8351333970786</v>
      </c>
      <c r="AQ112" s="190">
        <f t="shared" si="8"/>
        <v>21528.393357717374</v>
      </c>
      <c r="AR112" s="190">
        <f t="shared" si="8"/>
        <v>21442.372243456273</v>
      </c>
      <c r="AS112" s="190">
        <f t="shared" si="8"/>
        <v>21098.287786411849</v>
      </c>
      <c r="AT112" s="190">
        <f t="shared" si="8"/>
        <v>20619.472216074435</v>
      </c>
    </row>
    <row r="113" spans="1:46" x14ac:dyDescent="0.3">
      <c r="A113" s="38">
        <v>2031</v>
      </c>
      <c r="B113" s="166">
        <f>SCRS!AP24/(1+SCRS!$DU$27)^MAX(Outputs!A114-2021,0)</f>
        <v>14156.03435415901</v>
      </c>
      <c r="D113" s="190">
        <v>8754.0587546857023</v>
      </c>
      <c r="E113" s="166">
        <v>19944.463252212361</v>
      </c>
      <c r="F113" s="190">
        <v>8601.8243822622007</v>
      </c>
      <c r="G113" s="190">
        <v>7992.8868925681809</v>
      </c>
      <c r="H113" s="190">
        <v>7231.7150304506422</v>
      </c>
      <c r="J113" s="190">
        <v>21702.069960125318</v>
      </c>
      <c r="K113" s="166">
        <v>26960.054813574858</v>
      </c>
      <c r="L113" s="190">
        <v>21566.682713117792</v>
      </c>
      <c r="M113" s="190">
        <v>21025.133725087642</v>
      </c>
      <c r="N113" s="190">
        <v>20348.197490049963</v>
      </c>
      <c r="P113" s="190">
        <v>10243.3794435077</v>
      </c>
      <c r="Q113" s="190">
        <v>10091.1450710842</v>
      </c>
      <c r="R113" s="190">
        <v>9482.2075813901847</v>
      </c>
      <c r="S113" s="190">
        <v>8721.0357192726533</v>
      </c>
      <c r="U113" s="190">
        <v>23109.15588241025</v>
      </c>
      <c r="V113" s="190">
        <v>22985.028046554224</v>
      </c>
      <c r="W113" s="190">
        <v>22443.479058524081</v>
      </c>
      <c r="X113" s="190">
        <v>21766.542823486394</v>
      </c>
      <c r="Z113" s="190">
        <v>9964.5265749289501</v>
      </c>
      <c r="AA113" s="166">
        <v>17528.575356220153</v>
      </c>
      <c r="AB113" s="190">
        <v>9812.2922025054268</v>
      </c>
      <c r="AC113" s="190">
        <v>9203.3547128114296</v>
      </c>
      <c r="AD113" s="190">
        <v>8442.1828506939019</v>
      </c>
      <c r="AF113" s="190">
        <v>20824.198373997853</v>
      </c>
      <c r="AG113" s="166">
        <v>22223.794670705254</v>
      </c>
      <c r="AH113" s="190">
        <v>20749.906252103257</v>
      </c>
      <c r="AI113" s="190">
        <v>20452.737764524936</v>
      </c>
      <c r="AJ113" s="190">
        <v>20081.277155052019</v>
      </c>
      <c r="AL113" s="190">
        <f t="shared" si="7"/>
        <v>8183.7655342943326</v>
      </c>
      <c r="AM113" s="190">
        <f t="shared" si="7"/>
        <v>8031.5311618708292</v>
      </c>
      <c r="AN113" s="190">
        <f t="shared" si="7"/>
        <v>7422.5936721768085</v>
      </c>
      <c r="AO113" s="190">
        <f t="shared" si="7"/>
        <v>6661.4218100592989</v>
      </c>
      <c r="AQ113" s="190">
        <f t="shared" si="8"/>
        <v>20525.292502218756</v>
      </c>
      <c r="AR113" s="190">
        <f t="shared" si="8"/>
        <v>20444.805939160877</v>
      </c>
      <c r="AS113" s="190">
        <f t="shared" si="8"/>
        <v>20122.859686929383</v>
      </c>
      <c r="AT113" s="190">
        <f t="shared" si="8"/>
        <v>19673.968997198986</v>
      </c>
    </row>
    <row r="114" spans="1:46" x14ac:dyDescent="0.3">
      <c r="A114" s="38">
        <v>2032</v>
      </c>
      <c r="B114" s="166">
        <f>SCRS!AP25/(1+SCRS!$DU$27)^MAX(Outputs!A115-2021,0)</f>
        <v>13067.757221088108</v>
      </c>
      <c r="D114" s="190">
        <v>6905.8271147756586</v>
      </c>
      <c r="E114" s="166">
        <v>18740.34075172446</v>
      </c>
      <c r="F114" s="190">
        <v>6746.5207299412868</v>
      </c>
      <c r="G114" s="190">
        <v>6109.2951906037752</v>
      </c>
      <c r="H114" s="190">
        <v>5312.7632664318753</v>
      </c>
      <c r="J114" s="190">
        <v>20800.720532574356</v>
      </c>
      <c r="K114" s="166">
        <v>26013.227847122253</v>
      </c>
      <c r="L114" s="190">
        <v>20660.36798310934</v>
      </c>
      <c r="M114" s="190">
        <v>20098.957785249233</v>
      </c>
      <c r="N114" s="190">
        <v>19397.195037924106</v>
      </c>
      <c r="P114" s="190">
        <v>8700.4749203383126</v>
      </c>
      <c r="Q114" s="190">
        <v>8541.1685355039408</v>
      </c>
      <c r="R114" s="190">
        <v>7903.9429961664346</v>
      </c>
      <c r="S114" s="190">
        <v>7107.4110719945456</v>
      </c>
      <c r="U114" s="190">
        <v>22523.744135569144</v>
      </c>
      <c r="V114" s="190">
        <v>22355.637988041715</v>
      </c>
      <c r="W114" s="190">
        <v>21794.227790181616</v>
      </c>
      <c r="X114" s="190">
        <v>21092.465042856482</v>
      </c>
      <c r="Z114" s="190">
        <v>8403.1238033051122</v>
      </c>
      <c r="AA114" s="166">
        <v>16140.406272582961</v>
      </c>
      <c r="AB114" s="190">
        <v>8243.8174184707186</v>
      </c>
      <c r="AC114" s="190">
        <v>7606.5918791332351</v>
      </c>
      <c r="AD114" s="190">
        <v>6810.0599549613462</v>
      </c>
      <c r="AF114" s="190">
        <v>19736.250165242374</v>
      </c>
      <c r="AG114" s="166">
        <v>20554.949979859728</v>
      </c>
      <c r="AH114" s="190">
        <v>19667.33412628694</v>
      </c>
      <c r="AI114" s="190">
        <v>19391.669970465286</v>
      </c>
      <c r="AJ114" s="190">
        <v>19047.0897756882</v>
      </c>
      <c r="AL114" s="190">
        <f t="shared" si="7"/>
        <v>6305.0855382203154</v>
      </c>
      <c r="AM114" s="190">
        <f t="shared" si="7"/>
        <v>6145.7791533859418</v>
      </c>
      <c r="AN114" s="190">
        <f t="shared" si="7"/>
        <v>5508.5536140484328</v>
      </c>
      <c r="AO114" s="190">
        <f t="shared" si="7"/>
        <v>4712.0216898765648</v>
      </c>
      <c r="AQ114" s="190">
        <f t="shared" si="8"/>
        <v>19443.00991299827</v>
      </c>
      <c r="AR114" s="190">
        <f t="shared" si="8"/>
        <v>19368.246045286956</v>
      </c>
      <c r="AS114" s="190">
        <f t="shared" si="8"/>
        <v>19069.190574441724</v>
      </c>
      <c r="AT114" s="190">
        <f t="shared" si="8"/>
        <v>18651.24211877281</v>
      </c>
    </row>
    <row r="115" spans="1:46" x14ac:dyDescent="0.3">
      <c r="A115" s="38">
        <v>2033</v>
      </c>
      <c r="B115" s="166">
        <f>SCRS!AP26/(1+SCRS!$DU$27)^MAX(Outputs!A116-2021,0)</f>
        <v>11924.547568997063</v>
      </c>
      <c r="D115" s="190">
        <v>4949.5776772786749</v>
      </c>
      <c r="E115" s="166">
        <v>17468.139858896327</v>
      </c>
      <c r="F115" s="190">
        <v>4782.8707513395229</v>
      </c>
      <c r="G115" s="190">
        <v>4116.0430475829116</v>
      </c>
      <c r="H115" s="190">
        <v>3282.5084178871371</v>
      </c>
      <c r="J115" s="190">
        <v>19845.247633867024</v>
      </c>
      <c r="K115" s="166">
        <v>25007.758754858838</v>
      </c>
      <c r="L115" s="190">
        <v>19699.747680387401</v>
      </c>
      <c r="M115" s="190">
        <v>19117.747866468857</v>
      </c>
      <c r="N115" s="190">
        <v>18390.248099070679</v>
      </c>
      <c r="P115" s="190">
        <v>7090.8856613831103</v>
      </c>
      <c r="Q115" s="190">
        <v>6924.178735443963</v>
      </c>
      <c r="R115" s="190">
        <v>6257.351031687358</v>
      </c>
      <c r="S115" s="190">
        <v>5423.816401991583</v>
      </c>
      <c r="U115" s="190">
        <v>21918.435590142188</v>
      </c>
      <c r="V115" s="190">
        <v>21706.622183478954</v>
      </c>
      <c r="W115" s="190">
        <v>21124.622369560413</v>
      </c>
      <c r="X115" s="190">
        <v>20397.122602162231</v>
      </c>
      <c r="Z115" s="190">
        <v>6772.6804418014717</v>
      </c>
      <c r="AA115" s="166">
        <v>14683.703254047172</v>
      </c>
      <c r="AB115" s="190">
        <v>6605.9735158623025</v>
      </c>
      <c r="AC115" s="190">
        <v>5939.1458121057194</v>
      </c>
      <c r="AD115" s="190">
        <v>5105.6111824099562</v>
      </c>
      <c r="AF115" s="190">
        <v>18565.179313381097</v>
      </c>
      <c r="AG115" s="166">
        <v>18803.937929678839</v>
      </c>
      <c r="AH115" s="190">
        <v>18501.826813055664</v>
      </c>
      <c r="AI115" s="190">
        <v>18248.41681175401</v>
      </c>
      <c r="AJ115" s="190">
        <v>17931.654310126924</v>
      </c>
      <c r="AL115" s="190">
        <f t="shared" si="7"/>
        <v>4322.5683453836391</v>
      </c>
      <c r="AM115" s="190">
        <f t="shared" si="7"/>
        <v>4155.8614194444817</v>
      </c>
      <c r="AN115" s="190">
        <f t="shared" si="7"/>
        <v>3489.0337156878813</v>
      </c>
      <c r="AO115" s="190">
        <f t="shared" si="7"/>
        <v>2655.4990859921309</v>
      </c>
      <c r="AQ115" s="190">
        <f t="shared" si="8"/>
        <v>18276.878030561988</v>
      </c>
      <c r="AR115" s="190">
        <f t="shared" si="8"/>
        <v>18208.035643719231</v>
      </c>
      <c r="AS115" s="190">
        <f t="shared" si="8"/>
        <v>17932.666096348206</v>
      </c>
      <c r="AT115" s="190">
        <f t="shared" si="8"/>
        <v>17546.729056560347</v>
      </c>
    </row>
    <row r="116" spans="1:46" x14ac:dyDescent="0.3">
      <c r="A116" s="38">
        <v>2034</v>
      </c>
      <c r="B116" s="166">
        <f>SCRS!AP27/(1+SCRS!$DU$27)^MAX(Outputs!A117-2021,0)</f>
        <v>10723.848875648404</v>
      </c>
      <c r="D116" s="190">
        <v>2880.4355376871645</v>
      </c>
      <c r="E116" s="166">
        <v>16125.356246349416</v>
      </c>
      <c r="F116" s="190">
        <v>2705.9842802251696</v>
      </c>
      <c r="G116" s="190">
        <v>2143.1650038908128</v>
      </c>
      <c r="H116" s="190">
        <v>1270.9087165808185</v>
      </c>
      <c r="J116" s="190">
        <v>18833.619573726533</v>
      </c>
      <c r="K116" s="166">
        <v>23941.489282750645</v>
      </c>
      <c r="L116" s="190">
        <v>18682.783436133966</v>
      </c>
      <c r="M116" s="190">
        <v>18079.43888576364</v>
      </c>
      <c r="N116" s="190">
        <v>17325.258197800737</v>
      </c>
      <c r="P116" s="190">
        <v>5412.142268898001</v>
      </c>
      <c r="Q116" s="190">
        <v>5237.6910114360071</v>
      </c>
      <c r="R116" s="190">
        <v>4539.8859815880178</v>
      </c>
      <c r="S116" s="190">
        <v>3667.6296942780127</v>
      </c>
      <c r="U116" s="190">
        <v>21292.562012207178</v>
      </c>
      <c r="V116" s="190">
        <v>21037.352098322579</v>
      </c>
      <c r="W116" s="190">
        <v>20434.007547952264</v>
      </c>
      <c r="X116" s="190">
        <v>19679.826859989356</v>
      </c>
      <c r="Z116" s="190">
        <v>5070.4304269066033</v>
      </c>
      <c r="AA116" s="166">
        <v>13155.628672479717</v>
      </c>
      <c r="AB116" s="190">
        <v>4895.9791694445867</v>
      </c>
      <c r="AC116" s="190">
        <v>4198.1741395966201</v>
      </c>
      <c r="AD116" s="190">
        <v>3325.9178522866255</v>
      </c>
      <c r="AF116" s="190">
        <v>17306.479801906844</v>
      </c>
      <c r="AG116" s="166">
        <v>16967.397082093103</v>
      </c>
      <c r="AH116" s="190">
        <v>17248.88894025447</v>
      </c>
      <c r="AI116" s="190">
        <v>17018.525493645047</v>
      </c>
      <c r="AJ116" s="190">
        <v>16730.571185383254</v>
      </c>
      <c r="AL116" s="190">
        <f t="shared" si="7"/>
        <v>2366.6158506153733</v>
      </c>
      <c r="AM116" s="190">
        <f t="shared" si="7"/>
        <v>2192.1645931533785</v>
      </c>
      <c r="AN116" s="190">
        <f t="shared" si="7"/>
        <v>1494.3595633053847</v>
      </c>
      <c r="AO116" s="190">
        <f t="shared" si="7"/>
        <v>622.10327599541779</v>
      </c>
      <c r="AQ116" s="190">
        <f t="shared" si="8"/>
        <v>17022.432331148237</v>
      </c>
      <c r="AR116" s="190">
        <f t="shared" si="8"/>
        <v>16959.721513105003</v>
      </c>
      <c r="AS116" s="190">
        <f t="shared" si="8"/>
        <v>16708.878240932041</v>
      </c>
      <c r="AT116" s="190">
        <f t="shared" si="8"/>
        <v>16356.08107552382</v>
      </c>
    </row>
    <row r="117" spans="1:46" x14ac:dyDescent="0.3">
      <c r="A117" s="38">
        <v>2035</v>
      </c>
      <c r="B117" s="166">
        <f>SCRS!AP28/(1+SCRS!$DU$27)^MAX(Outputs!A118-2021,0)</f>
        <v>9462.9859288654316</v>
      </c>
      <c r="D117" s="190">
        <v>829.23627888643432</v>
      </c>
      <c r="E117" s="166">
        <v>14709.264511612788</v>
      </c>
      <c r="F117" s="190">
        <v>646.68092877949027</v>
      </c>
      <c r="G117" s="190">
        <v>193.69188275630566</v>
      </c>
      <c r="H117" s="190">
        <v>-719.08486777835049</v>
      </c>
      <c r="J117" s="190">
        <v>17763.684342698394</v>
      </c>
      <c r="K117" s="166">
        <v>22812.052793847801</v>
      </c>
      <c r="L117" s="190">
        <v>17607.316317419056</v>
      </c>
      <c r="M117" s="190">
        <v>16981.844216301652</v>
      </c>
      <c r="N117" s="190">
        <v>16200.004089904904</v>
      </c>
      <c r="P117" s="190">
        <v>3655.4048364426917</v>
      </c>
      <c r="Q117" s="190">
        <v>3472.8494863357582</v>
      </c>
      <c r="R117" s="190">
        <v>2913.0008367460428</v>
      </c>
      <c r="S117" s="190">
        <v>2000.2240862113651</v>
      </c>
      <c r="U117" s="190">
        <v>20639.75292309143</v>
      </c>
      <c r="V117" s="190">
        <v>20340.947461043284</v>
      </c>
      <c r="W117" s="190">
        <v>19715.475359925891</v>
      </c>
      <c r="X117" s="190">
        <v>18933.635233529138</v>
      </c>
      <c r="Z117" s="190">
        <v>3423.2370696481971</v>
      </c>
      <c r="AA117" s="166">
        <v>11551.589457943426</v>
      </c>
      <c r="AB117" s="190">
        <v>3240.6817195412427</v>
      </c>
      <c r="AC117" s="190">
        <v>2510.4603191135411</v>
      </c>
      <c r="AD117" s="190">
        <v>1597.6835685788742</v>
      </c>
      <c r="AF117" s="190">
        <v>15955.618590646232</v>
      </c>
      <c r="AG117" s="166">
        <v>15040.186101295594</v>
      </c>
      <c r="AH117" s="190">
        <v>15903.998727334943</v>
      </c>
      <c r="AI117" s="190">
        <v>15697.519274089838</v>
      </c>
      <c r="AJ117" s="190">
        <v>15439.419957533444</v>
      </c>
      <c r="AL117" s="190">
        <f t="shared" si="7"/>
        <v>439.17103834792943</v>
      </c>
      <c r="AM117" s="190">
        <f t="shared" si="7"/>
        <v>256.61568824100686</v>
      </c>
      <c r="AN117" s="190">
        <f t="shared" si="7"/>
        <v>-473.60571218672703</v>
      </c>
      <c r="AO117" s="190">
        <f t="shared" si="7"/>
        <v>-1386.3824627213617</v>
      </c>
      <c r="AQ117" s="190">
        <f t="shared" si="8"/>
        <v>15675.42507285907</v>
      </c>
      <c r="AR117" s="190">
        <f t="shared" si="8"/>
        <v>15619.06786561459</v>
      </c>
      <c r="AS117" s="190">
        <f t="shared" si="8"/>
        <v>15393.63903663669</v>
      </c>
      <c r="AT117" s="190">
        <f t="shared" si="8"/>
        <v>15075.174441933661</v>
      </c>
    </row>
    <row r="118" spans="1:46" x14ac:dyDescent="0.3">
      <c r="A118" s="38">
        <v>2036</v>
      </c>
      <c r="B118" s="166">
        <f>SCRS!AP29/(1+SCRS!$DU$27)^MAX(Outputs!A119-2021,0)</f>
        <v>8139.159281771922</v>
      </c>
      <c r="D118" s="190">
        <v>-1201.0723193443766</v>
      </c>
      <c r="E118" s="166">
        <v>13217.203357904584</v>
      </c>
      <c r="F118" s="190">
        <v>-1392.1082358376946</v>
      </c>
      <c r="G118" s="190">
        <v>-1729.1675356985932</v>
      </c>
      <c r="H118" s="190">
        <v>-797.51398409723595</v>
      </c>
      <c r="J118" s="190">
        <v>16633.221574410793</v>
      </c>
      <c r="K118" s="166">
        <v>21617.159914549196</v>
      </c>
      <c r="L118" s="190">
        <v>16471.118780478177</v>
      </c>
      <c r="M118" s="190">
        <v>15822.707604747662</v>
      </c>
      <c r="N118" s="190">
        <v>15012.193635084532</v>
      </c>
      <c r="P118" s="190">
        <v>1993.1252512094925</v>
      </c>
      <c r="Q118" s="190">
        <v>1802.0893347161746</v>
      </c>
      <c r="R118" s="190">
        <v>1385.6237134205765</v>
      </c>
      <c r="S118" s="190">
        <v>430.44413095396618</v>
      </c>
      <c r="U118" s="190">
        <v>19964.528039764242</v>
      </c>
      <c r="V118" s="190">
        <v>19622.498360862272</v>
      </c>
      <c r="W118" s="190">
        <v>18974.087185131768</v>
      </c>
      <c r="X118" s="190">
        <v>18163.573215468634</v>
      </c>
      <c r="Z118" s="190">
        <v>1842.2161216293664</v>
      </c>
      <c r="AA118" s="166">
        <v>9869.7945563701214</v>
      </c>
      <c r="AB118" s="190">
        <v>1651.1802051360276</v>
      </c>
      <c r="AC118" s="190">
        <v>887.03653916278734</v>
      </c>
      <c r="AD118" s="190">
        <v>-68.143043303812476</v>
      </c>
      <c r="AF118" s="190">
        <v>14507.400377169941</v>
      </c>
      <c r="AG118" s="166">
        <v>13019.925381262701</v>
      </c>
      <c r="AH118" s="190">
        <v>14461.97275779208</v>
      </c>
      <c r="AI118" s="190">
        <v>14280.262280280678</v>
      </c>
      <c r="AJ118" s="190">
        <v>14053.124183391415</v>
      </c>
      <c r="AL118" s="190">
        <f t="shared" si="7"/>
        <v>-1454.7635584062082</v>
      </c>
      <c r="AM118" s="190">
        <f t="shared" si="7"/>
        <v>-1645.7994748995188</v>
      </c>
      <c r="AN118" s="190">
        <f t="shared" si="7"/>
        <v>-567.84004677129269</v>
      </c>
      <c r="AO118" s="190">
        <f t="shared" si="7"/>
        <v>-1523.0196292378678</v>
      </c>
      <c r="AQ118" s="190">
        <f t="shared" si="8"/>
        <v>14230.473809526287</v>
      </c>
      <c r="AR118" s="190">
        <f t="shared" si="8"/>
        <v>14180.704872673385</v>
      </c>
      <c r="AS118" s="190">
        <f t="shared" si="8"/>
        <v>13981.629125261767</v>
      </c>
      <c r="AT118" s="190">
        <f t="shared" si="8"/>
        <v>13698.757682455485</v>
      </c>
    </row>
    <row r="119" spans="1:46" x14ac:dyDescent="0.3">
      <c r="A119" s="38">
        <v>2037</v>
      </c>
      <c r="B119" s="166">
        <f>SCRS!AP30/(1+SCRS!$DU$27)^MAX(Outputs!A120-2021,0)</f>
        <v>6749.4394587931702</v>
      </c>
      <c r="D119" s="190">
        <v>-1303.0647239734992</v>
      </c>
      <c r="E119" s="166">
        <v>11646.30229799765</v>
      </c>
      <c r="F119" s="190">
        <v>-1502.9751695948646</v>
      </c>
      <c r="G119" s="190">
        <v>-1855.6924809407533</v>
      </c>
      <c r="H119" s="190">
        <v>-825.59558516361062</v>
      </c>
      <c r="J119" s="190">
        <v>27390.223227015762</v>
      </c>
      <c r="K119" s="166">
        <v>32870.254749182524</v>
      </c>
      <c r="L119" s="190">
        <v>27269.736064777338</v>
      </c>
      <c r="M119" s="190">
        <v>26787.787415823608</v>
      </c>
      <c r="N119" s="190">
        <v>26185.351604631451</v>
      </c>
      <c r="P119" s="190">
        <v>428.16292891162499</v>
      </c>
      <c r="Q119" s="190">
        <v>228.25248329025951</v>
      </c>
      <c r="R119" s="190">
        <v>-39.174941436626369</v>
      </c>
      <c r="S119" s="190">
        <v>-1038.7271695434947</v>
      </c>
      <c r="U119" s="190">
        <v>29501.332367021503</v>
      </c>
      <c r="V119" s="190">
        <v>29221.483307901686</v>
      </c>
      <c r="W119" s="190">
        <v>28739.534658947963</v>
      </c>
      <c r="X119" s="190">
        <v>28137.098847755798</v>
      </c>
      <c r="Z119" s="190">
        <v>332.84022790235105</v>
      </c>
      <c r="AA119" s="166">
        <v>8107.0298390549679</v>
      </c>
      <c r="AB119" s="190">
        <v>132.92978228095495</v>
      </c>
      <c r="AC119" s="190">
        <v>-666.71200020448669</v>
      </c>
      <c r="AD119" s="190">
        <v>-135.65058911184647</v>
      </c>
      <c r="AF119" s="190">
        <v>24893.054846817278</v>
      </c>
      <c r="AG119" s="166">
        <v>25221.385918454573</v>
      </c>
      <c r="AH119" s="190">
        <v>24866.141503445659</v>
      </c>
      <c r="AI119" s="190">
        <v>24758.488129959216</v>
      </c>
      <c r="AJ119" s="190">
        <v>24623.92141310115</v>
      </c>
      <c r="AL119" s="190">
        <f t="shared" si="7"/>
        <v>-1598.295274031203</v>
      </c>
      <c r="AM119" s="190">
        <f t="shared" si="7"/>
        <v>-1798.2057196525566</v>
      </c>
      <c r="AN119" s="190">
        <f t="shared" si="7"/>
        <v>-636.47125930786569</v>
      </c>
      <c r="AO119" s="190">
        <f t="shared" si="7"/>
        <v>-1565.9526392969929</v>
      </c>
      <c r="AQ119" s="190">
        <f t="shared" si="8"/>
        <v>24662.274915441649</v>
      </c>
      <c r="AR119" s="190">
        <f t="shared" si="8"/>
        <v>24632.616935031449</v>
      </c>
      <c r="AS119" s="190">
        <f t="shared" si="8"/>
        <v>24513.985013390651</v>
      </c>
      <c r="AT119" s="190">
        <f t="shared" si="8"/>
        <v>24343.784092596994</v>
      </c>
    </row>
    <row r="120" spans="1:46" x14ac:dyDescent="0.3">
      <c r="A120" s="38">
        <v>2038</v>
      </c>
      <c r="B120" s="166">
        <f>SCRS!AP31/(1+SCRS!$DU$27)^MAX(Outputs!A121-2021,0)</f>
        <v>5290.7609686599317</v>
      </c>
      <c r="D120" s="190">
        <v>-1318.8596959305264</v>
      </c>
      <c r="E120" s="166">
        <v>9993.5612577211159</v>
      </c>
      <c r="F120" s="190">
        <v>-1513.3917402509921</v>
      </c>
      <c r="G120" s="190">
        <v>-1856.6301141603005</v>
      </c>
      <c r="H120" s="190">
        <v>-852.42456535191536</v>
      </c>
      <c r="J120" s="190">
        <v>25103.024753957881</v>
      </c>
      <c r="K120" s="166">
        <v>30458.99712712421</v>
      </c>
      <c r="L120" s="190">
        <v>24972.22695436409</v>
      </c>
      <c r="M120" s="190">
        <v>24449.035755988898</v>
      </c>
      <c r="N120" s="190">
        <v>23795.046758019904</v>
      </c>
      <c r="P120" s="190">
        <v>-1036.4853565690009</v>
      </c>
      <c r="Q120" s="190">
        <v>-1245.6825955077436</v>
      </c>
      <c r="R120" s="190">
        <v>-97.162752713148492</v>
      </c>
      <c r="S120" s="190">
        <v>-1143.1489474068817</v>
      </c>
      <c r="U120" s="190">
        <v>27928.222073820776</v>
      </c>
      <c r="V120" s="190">
        <v>27595.534236961128</v>
      </c>
      <c r="W120" s="190">
        <v>27072.343038585939</v>
      </c>
      <c r="X120" s="190">
        <v>26418.354040616938</v>
      </c>
      <c r="Z120" s="190">
        <v>-1099.1442234845831</v>
      </c>
      <c r="AA120" s="166">
        <v>6259.9294624106878</v>
      </c>
      <c r="AB120" s="190">
        <v>-1308.3414624233556</v>
      </c>
      <c r="AC120" s="190">
        <v>-765.40587315629364</v>
      </c>
      <c r="AD120" s="190">
        <v>-198.76439265959559</v>
      </c>
      <c r="AF120" s="190">
        <v>22204.715816053638</v>
      </c>
      <c r="AG120" s="166">
        <v>21756.953753849699</v>
      </c>
      <c r="AH120" s="190">
        <v>22183.791607605963</v>
      </c>
      <c r="AI120" s="190">
        <v>22100.09477381529</v>
      </c>
      <c r="AJ120" s="190">
        <v>21995.473731576942</v>
      </c>
      <c r="AL120" s="190">
        <f t="shared" si="7"/>
        <v>-1643.8086901487841</v>
      </c>
      <c r="AM120" s="190">
        <f t="shared" si="7"/>
        <v>-1838.3407344692314</v>
      </c>
      <c r="AN120" s="190">
        <f t="shared" si="7"/>
        <v>-706.17353275575442</v>
      </c>
      <c r="AO120" s="190">
        <f t="shared" si="7"/>
        <v>-1608.2489391392446</v>
      </c>
      <c r="AQ120" s="190">
        <f t="shared" si="8"/>
        <v>21973.582403703436</v>
      </c>
      <c r="AR120" s="190">
        <f t="shared" si="8"/>
        <v>21950.26133818024</v>
      </c>
      <c r="AS120" s="190">
        <f t="shared" si="8"/>
        <v>21856.977076087431</v>
      </c>
      <c r="AT120" s="190">
        <f t="shared" si="8"/>
        <v>21720.667760597818</v>
      </c>
    </row>
    <row r="121" spans="1:46" x14ac:dyDescent="0.3">
      <c r="A121" s="38">
        <v>2039</v>
      </c>
      <c r="B121" s="166">
        <f>SCRS!AP32/(1+SCRS!$DU$27)^MAX(Outputs!A122-2021,0)</f>
        <v>3759.9159548671369</v>
      </c>
      <c r="D121" s="190">
        <v>-1332.5269847747031</v>
      </c>
      <c r="E121" s="166">
        <v>8255.8462325391611</v>
      </c>
      <c r="F121" s="190">
        <v>-1521.3232067464226</v>
      </c>
      <c r="G121" s="190">
        <v>-1854.4484334346307</v>
      </c>
      <c r="H121" s="190">
        <v>-877.85910524612905</v>
      </c>
      <c r="J121" s="190">
        <v>22598.986517589557</v>
      </c>
      <c r="K121" s="166">
        <v>27817.703310595349</v>
      </c>
      <c r="L121" s="190">
        <v>22456.995752260358</v>
      </c>
      <c r="M121" s="190">
        <v>21889.032690943521</v>
      </c>
      <c r="N121" s="190">
        <v>21179.078864297473</v>
      </c>
      <c r="P121" s="190">
        <v>-1144.2687124592082</v>
      </c>
      <c r="Q121" s="190">
        <v>-1363.1841605417999</v>
      </c>
      <c r="R121" s="190">
        <v>-148.9798176906377</v>
      </c>
      <c r="S121" s="190">
        <v>-1166.8247439640022</v>
      </c>
      <c r="U121" s="190">
        <v>26229.829539251423</v>
      </c>
      <c r="V121" s="190">
        <v>25841.892836630068</v>
      </c>
      <c r="W121" s="190">
        <v>25273.929775313238</v>
      </c>
      <c r="X121" s="190">
        <v>24563.975948667179</v>
      </c>
      <c r="Z121" s="190">
        <v>-1221.4771038249344</v>
      </c>
      <c r="AA121" s="166">
        <v>4325.0317317517511</v>
      </c>
      <c r="AB121" s="190">
        <v>-1440.3925519075649</v>
      </c>
      <c r="AC121" s="190">
        <v>-814.63393802161215</v>
      </c>
      <c r="AD121" s="190">
        <v>-262.2149756088408</v>
      </c>
      <c r="AF121" s="190">
        <v>19059.39287350202</v>
      </c>
      <c r="AG121" s="166">
        <v>17784.239104228101</v>
      </c>
      <c r="AH121" s="190">
        <v>19044.797714422115</v>
      </c>
      <c r="AI121" s="190">
        <v>18986.417078102502</v>
      </c>
      <c r="AJ121" s="190">
        <v>18913.441282702988</v>
      </c>
      <c r="AL121" s="190">
        <f t="shared" si="7"/>
        <v>-1688.4853704328343</v>
      </c>
      <c r="AM121" s="190">
        <f t="shared" si="7"/>
        <v>-1877.2815924045281</v>
      </c>
      <c r="AN121" s="190">
        <f t="shared" si="7"/>
        <v>-776.67841320594016</v>
      </c>
      <c r="AO121" s="190">
        <f t="shared" si="7"/>
        <v>-1649.5594334394191</v>
      </c>
      <c r="AQ121" s="190">
        <f t="shared" si="8"/>
        <v>18827.593757491391</v>
      </c>
      <c r="AR121" s="190">
        <f t="shared" si="8"/>
        <v>18810.960986000209</v>
      </c>
      <c r="AS121" s="190">
        <f t="shared" si="8"/>
        <v>18744.429900035473</v>
      </c>
      <c r="AT121" s="190">
        <f t="shared" si="8"/>
        <v>18643.810384091725</v>
      </c>
    </row>
    <row r="122" spans="1:46" x14ac:dyDescent="0.3">
      <c r="A122" s="38">
        <v>2040</v>
      </c>
      <c r="B122" s="166">
        <f>SCRS!AP33/(1+SCRS!$DU$27)^MAX(Outputs!A123-2021,0)</f>
        <v>2153.5475863112874</v>
      </c>
      <c r="D122" s="190">
        <v>-1343.8790870681335</v>
      </c>
      <c r="E122" s="166">
        <v>6429.8847607542311</v>
      </c>
      <c r="F122" s="190">
        <v>-1526.5651881243396</v>
      </c>
      <c r="G122" s="190">
        <v>-1853.6118200029505</v>
      </c>
      <c r="H122" s="190">
        <v>-901.7455625851743</v>
      </c>
      <c r="J122" s="190">
        <v>19860.457990250594</v>
      </c>
      <c r="K122" s="166">
        <v>24927.754524527285</v>
      </c>
      <c r="L122" s="190">
        <v>19706.316425932346</v>
      </c>
      <c r="M122" s="190">
        <v>19089.750168659291</v>
      </c>
      <c r="N122" s="190">
        <v>18319.042347067982</v>
      </c>
      <c r="P122" s="190">
        <v>-1170.9769815022269</v>
      </c>
      <c r="Q122" s="190">
        <v>-1384.0027166831494</v>
      </c>
      <c r="R122" s="190">
        <v>-198.24151899487012</v>
      </c>
      <c r="S122" s="190">
        <v>-1186.0750520497991</v>
      </c>
      <c r="U122" s="190">
        <v>24397.032698849795</v>
      </c>
      <c r="V122" s="190">
        <v>23951.263331112499</v>
      </c>
      <c r="W122" s="190">
        <v>23334.697073839467</v>
      </c>
      <c r="X122" s="190">
        <v>22563.989252248146</v>
      </c>
      <c r="Z122" s="190">
        <v>-1261.6225658063902</v>
      </c>
      <c r="AA122" s="166">
        <v>2298.7754728187915</v>
      </c>
      <c r="AB122" s="190">
        <v>-1474.6483009873509</v>
      </c>
      <c r="AC122" s="190">
        <v>-862.98578044093404</v>
      </c>
      <c r="AD122" s="190">
        <v>-325.76584338504665</v>
      </c>
      <c r="AF122" s="190">
        <v>15394.953453127484</v>
      </c>
      <c r="AG122" s="166">
        <v>13242.128194134875</v>
      </c>
      <c r="AH122" s="190">
        <v>15387.031948067466</v>
      </c>
      <c r="AI122" s="190">
        <v>15355.345927827428</v>
      </c>
      <c r="AJ122" s="190">
        <v>15315.73840252738</v>
      </c>
      <c r="AL122" s="190">
        <f t="shared" si="7"/>
        <v>-1731.9501083355062</v>
      </c>
      <c r="AM122" s="190">
        <f t="shared" si="7"/>
        <v>-1914.6362093916905</v>
      </c>
      <c r="AN122" s="190">
        <f t="shared" si="7"/>
        <v>-847.68697333753516</v>
      </c>
      <c r="AO122" s="190">
        <f t="shared" si="7"/>
        <v>-1689.497582432472</v>
      </c>
      <c r="AQ122" s="190">
        <f t="shared" si="8"/>
        <v>15162.188634462633</v>
      </c>
      <c r="AR122" s="190">
        <f t="shared" si="8"/>
        <v>15152.598793381032</v>
      </c>
      <c r="AS122" s="190">
        <f t="shared" si="8"/>
        <v>15114.239429054622</v>
      </c>
      <c r="AT122" s="190">
        <f t="shared" si="8"/>
        <v>15051.108615474543</v>
      </c>
    </row>
    <row r="123" spans="1:46" x14ac:dyDescent="0.3">
      <c r="A123" s="38">
        <v>2041</v>
      </c>
      <c r="B123" s="166">
        <f>SCRS!AP34/(1+SCRS!$DU$27)^MAX(Outputs!A124-2021,0)</f>
        <v>468.14313717096235</v>
      </c>
      <c r="D123" s="190">
        <v>-1351.872947523364</v>
      </c>
      <c r="E123" s="166">
        <v>4516.8533161798496</v>
      </c>
      <c r="F123" s="190">
        <v>-1528.0562926053403</v>
      </c>
      <c r="G123" s="190">
        <v>-1854.9796023011884</v>
      </c>
      <c r="H123" s="190">
        <v>-923.08142083606435</v>
      </c>
      <c r="J123" s="190">
        <v>18699.214507201446</v>
      </c>
      <c r="K123" s="166">
        <v>23693.129061509382</v>
      </c>
      <c r="L123" s="190">
        <v>18539.419829277398</v>
      </c>
      <c r="M123" s="190">
        <v>17900.241117581132</v>
      </c>
      <c r="N123" s="190">
        <v>17101.267727960796</v>
      </c>
      <c r="P123" s="190">
        <v>-1192.300982791932</v>
      </c>
      <c r="Q123" s="190">
        <v>-1399.0456048689477</v>
      </c>
      <c r="R123" s="190">
        <v>-243.91517578878879</v>
      </c>
      <c r="S123" s="190">
        <v>-1199.7788830266497</v>
      </c>
      <c r="U123" s="190">
        <v>23839.025405359844</v>
      </c>
      <c r="V123" s="190">
        <v>23354.961015678455</v>
      </c>
      <c r="W123" s="190">
        <v>22715.782303982203</v>
      </c>
      <c r="X123" s="190">
        <v>21916.80891436186</v>
      </c>
      <c r="Z123" s="190">
        <v>-1299.1358957049774</v>
      </c>
      <c r="AA123" s="166">
        <v>182.08848580157152</v>
      </c>
      <c r="AB123" s="190">
        <v>-1505.8805177820304</v>
      </c>
      <c r="AC123" s="190">
        <v>-909.31300481354117</v>
      </c>
      <c r="AD123" s="190">
        <v>-388.31412827610177</v>
      </c>
      <c r="AF123" s="190">
        <v>13105.956104113364</v>
      </c>
      <c r="AG123" s="166">
        <v>10439.93207857613</v>
      </c>
      <c r="AH123" s="190">
        <v>13105.334112471344</v>
      </c>
      <c r="AI123" s="190">
        <v>13102.846145903297</v>
      </c>
      <c r="AJ123" s="190">
        <v>13099.736187693245</v>
      </c>
      <c r="AL123" s="190">
        <f t="shared" si="7"/>
        <v>-1772.9495446032015</v>
      </c>
      <c r="AM123" s="190">
        <f t="shared" si="7"/>
        <v>-1956.2105640717418</v>
      </c>
      <c r="AN123" s="190">
        <f t="shared" si="7"/>
        <v>-918.03148319209868</v>
      </c>
      <c r="AO123" s="190">
        <f t="shared" si="7"/>
        <v>-1726.8039930290979</v>
      </c>
      <c r="AQ123" s="190">
        <f t="shared" si="8"/>
        <v>12873.681594998285</v>
      </c>
      <c r="AR123" s="190">
        <f t="shared" si="8"/>
        <v>12871.845260046095</v>
      </c>
      <c r="AS123" s="190">
        <f t="shared" si="8"/>
        <v>12864.499920237336</v>
      </c>
      <c r="AT123" s="190">
        <f t="shared" si="8"/>
        <v>12843.13222350365</v>
      </c>
    </row>
    <row r="124" spans="1:46" x14ac:dyDescent="0.3">
      <c r="A124" s="38">
        <v>2042</v>
      </c>
      <c r="B124" s="166">
        <f>SCRS!AP35/(1+SCRS!$DU$27)^MAX(Outputs!A125-2021,0)</f>
        <v>-1299.9732597188683</v>
      </c>
      <c r="D124" s="190">
        <v>-1355.363395285654</v>
      </c>
      <c r="E124" s="166">
        <v>2660.6848956404224</v>
      </c>
      <c r="F124" s="190">
        <v>-1524.6321650706168</v>
      </c>
      <c r="G124" s="190">
        <v>-1857.6251994506883</v>
      </c>
      <c r="H124" s="190">
        <v>-940.76378298119266</v>
      </c>
      <c r="J124" s="190">
        <v>17475.350360025561</v>
      </c>
      <c r="K124" s="166">
        <v>22397.804322393229</v>
      </c>
      <c r="L124" s="190">
        <v>17309.695241590849</v>
      </c>
      <c r="M124" s="190">
        <v>16647.074767851933</v>
      </c>
      <c r="N124" s="190">
        <v>15818.799175678281</v>
      </c>
      <c r="P124" s="190">
        <v>-1206.7248015031259</v>
      </c>
      <c r="Q124" s="190">
        <v>-1406.7784282502121</v>
      </c>
      <c r="R124" s="190">
        <v>-284.57356980917723</v>
      </c>
      <c r="S124" s="190">
        <v>-1206.4130770840761</v>
      </c>
      <c r="U124" s="190">
        <v>23253.954182677608</v>
      </c>
      <c r="V124" s="190">
        <v>22731.769989585282</v>
      </c>
      <c r="W124" s="190">
        <v>22069.149515846384</v>
      </c>
      <c r="X124" s="190">
        <v>21240.873923672723</v>
      </c>
      <c r="Z124" s="190">
        <v>-1332.4361560005029</v>
      </c>
      <c r="AA124" s="166">
        <v>-1154.9614552443018</v>
      </c>
      <c r="AB124" s="190">
        <v>-1532.4897827476257</v>
      </c>
      <c r="AC124" s="190">
        <v>-952.06028561257904</v>
      </c>
      <c r="AD124" s="190">
        <v>-448.35577161791957</v>
      </c>
      <c r="AF124" s="190">
        <v>12116.745758216024</v>
      </c>
      <c r="AG124" s="166">
        <v>9047.7813916976411</v>
      </c>
      <c r="AH124" s="190">
        <v>12116.100955144588</v>
      </c>
      <c r="AI124" s="190">
        <v>12113.521742858888</v>
      </c>
      <c r="AJ124" s="190">
        <v>12110.297727501769</v>
      </c>
      <c r="AL124" s="190">
        <f t="shared" si="7"/>
        <v>-1810.855718097926</v>
      </c>
      <c r="AM124" s="190">
        <f t="shared" si="7"/>
        <v>-2002.6300856591406</v>
      </c>
      <c r="AN124" s="190">
        <f t="shared" si="7"/>
        <v>-985.96304574642272</v>
      </c>
      <c r="AO124" s="190">
        <f t="shared" si="7"/>
        <v>-1762.433423161674</v>
      </c>
      <c r="AQ124" s="190">
        <f t="shared" si="8"/>
        <v>11441.280105885795</v>
      </c>
      <c r="AR124" s="190">
        <f t="shared" si="8"/>
        <v>11439.376423685972</v>
      </c>
      <c r="AS124" s="190">
        <f t="shared" si="8"/>
        <v>11431.761694886671</v>
      </c>
      <c r="AT124" s="190">
        <f t="shared" si="8"/>
        <v>11409.610341793559</v>
      </c>
    </row>
    <row r="125" spans="1:46" x14ac:dyDescent="0.3">
      <c r="A125" s="38">
        <v>2043</v>
      </c>
      <c r="B125" s="166">
        <f>SCRS!AP36/(1+SCRS!$DU$27)^MAX(Outputs!A126-2021,0)</f>
        <v>-1404.6779158392319</v>
      </c>
      <c r="D125" s="190">
        <v>-1353.0883181449487</v>
      </c>
      <c r="E125" s="166">
        <v>870.91060636703185</v>
      </c>
      <c r="F125" s="190">
        <v>-1515.010621572824</v>
      </c>
      <c r="G125" s="190">
        <v>-1860.4674984968592</v>
      </c>
      <c r="H125" s="190">
        <v>-953.58946380859356</v>
      </c>
      <c r="J125" s="190">
        <v>16188.073833063785</v>
      </c>
      <c r="K125" s="166">
        <v>21044.910214427953</v>
      </c>
      <c r="L125" s="190">
        <v>16016.34334353733</v>
      </c>
      <c r="M125" s="190">
        <v>15329.421385431466</v>
      </c>
      <c r="N125" s="190">
        <v>14470.768937799119</v>
      </c>
      <c r="P125" s="190">
        <v>-1213.1393116635331</v>
      </c>
      <c r="Q125" s="190">
        <v>-1406.0719811567556</v>
      </c>
      <c r="R125" s="190">
        <v>-319.20547271262791</v>
      </c>
      <c r="S125" s="190">
        <v>-1204.8660285556928</v>
      </c>
      <c r="U125" s="190">
        <v>22649.308316793718</v>
      </c>
      <c r="V125" s="190">
        <v>22089.794794823763</v>
      </c>
      <c r="W125" s="190">
        <v>21402.872836717917</v>
      </c>
      <c r="X125" s="190">
        <v>20544.220389085564</v>
      </c>
      <c r="Z125" s="190">
        <v>-1360.3410448518414</v>
      </c>
      <c r="AA125" s="166">
        <v>-1144.9282950062834</v>
      </c>
      <c r="AB125" s="190">
        <v>-1553.2737143451086</v>
      </c>
      <c r="AC125" s="190">
        <v>-990.07750056215843</v>
      </c>
      <c r="AD125" s="190">
        <v>-504.79468227143468</v>
      </c>
      <c r="AF125" s="190">
        <v>11096.490895836925</v>
      </c>
      <c r="AG125" s="166">
        <v>7617.4129383989575</v>
      </c>
      <c r="AH125" s="190">
        <v>11095.82244473108</v>
      </c>
      <c r="AI125" s="190">
        <v>11093.148640307769</v>
      </c>
      <c r="AJ125" s="190">
        <v>11089.806384778622</v>
      </c>
      <c r="AL125" s="190">
        <f t="shared" si="7"/>
        <v>-1852.7363162431866</v>
      </c>
      <c r="AM125" s="190">
        <f t="shared" si="7"/>
        <v>-2053.2974914051592</v>
      </c>
      <c r="AN125" s="190">
        <f t="shared" si="7"/>
        <v>-1050.5037042914119</v>
      </c>
      <c r="AO125" s="190">
        <f t="shared" si="7"/>
        <v>-1801.9343676598728</v>
      </c>
      <c r="AQ125" s="190">
        <f t="shared" si="8"/>
        <v>9939.3878874858128</v>
      </c>
      <c r="AR125" s="190">
        <f t="shared" si="8"/>
        <v>9937.4143880904012</v>
      </c>
      <c r="AS125" s="190">
        <f t="shared" si="8"/>
        <v>9929.5203905087255</v>
      </c>
      <c r="AT125" s="190">
        <f t="shared" si="8"/>
        <v>9906.5566406029175</v>
      </c>
    </row>
    <row r="126" spans="1:46" x14ac:dyDescent="0.3">
      <c r="A126" s="38">
        <v>2044</v>
      </c>
      <c r="B126" s="166">
        <f>SCRS!AP37/(1+SCRS!$DU$27)^MAX(Outputs!A127-2021,0)</f>
        <v>-1412.3129665831977</v>
      </c>
      <c r="D126" s="190">
        <v>-1343.8161075977118</v>
      </c>
      <c r="E126" s="166">
        <v>-842.62054412049872</v>
      </c>
      <c r="F126" s="190">
        <v>-1500.8913450417942</v>
      </c>
      <c r="G126" s="190">
        <v>-1862.3963409427352</v>
      </c>
      <c r="H126" s="190">
        <v>-960.37166426853832</v>
      </c>
      <c r="J126" s="190">
        <v>14836.853689671781</v>
      </c>
      <c r="K126" s="166">
        <v>19637.636791340752</v>
      </c>
      <c r="L126" s="190">
        <v>14658.825015932871</v>
      </c>
      <c r="M126" s="190">
        <v>13946.710320977149</v>
      </c>
      <c r="N126" s="190">
        <v>13056.566952282497</v>
      </c>
      <c r="P126" s="190">
        <v>-1209.9475562491841</v>
      </c>
      <c r="Q126" s="190">
        <v>-1395.3082984989744</v>
      </c>
      <c r="R126" s="190">
        <v>-346.316737238261</v>
      </c>
      <c r="S126" s="190">
        <v>-1193.5385693547469</v>
      </c>
      <c r="U126" s="190">
        <v>22029.576669732432</v>
      </c>
      <c r="V126" s="190">
        <v>21432.997722569915</v>
      </c>
      <c r="W126" s="190">
        <v>20720.883027614222</v>
      </c>
      <c r="X126" s="190">
        <v>19830.739658919556</v>
      </c>
      <c r="Z126" s="190">
        <v>-1381.1720719643156</v>
      </c>
      <c r="AA126" s="166">
        <v>-1028.6790111201069</v>
      </c>
      <c r="AB126" s="190">
        <v>-1566.5328142141495</v>
      </c>
      <c r="AC126" s="190">
        <v>-1021.7202978549527</v>
      </c>
      <c r="AD126" s="190">
        <v>-556.05732788269518</v>
      </c>
      <c r="AF126" s="190">
        <v>10040.613815377139</v>
      </c>
      <c r="AG126" s="166">
        <v>6148.2840608469523</v>
      </c>
      <c r="AH126" s="190">
        <v>10039.92084894957</v>
      </c>
      <c r="AI126" s="190">
        <v>10037.148983239329</v>
      </c>
      <c r="AJ126" s="190">
        <v>10033.684151101537</v>
      </c>
      <c r="AL126" s="190">
        <f t="shared" si="7"/>
        <v>-1897.1595271376791</v>
      </c>
      <c r="AM126" s="190">
        <f t="shared" si="7"/>
        <v>-2106.6576941744788</v>
      </c>
      <c r="AN126" s="190">
        <f t="shared" si="7"/>
        <v>-1109.8477807378295</v>
      </c>
      <c r="AO126" s="190">
        <f t="shared" si="7"/>
        <v>-1843.8432046076778</v>
      </c>
      <c r="AQ126" s="190">
        <f t="shared" si="8"/>
        <v>8366.7003022727804</v>
      </c>
      <c r="AR126" s="190">
        <f t="shared" si="8"/>
        <v>8364.6544251489249</v>
      </c>
      <c r="AS126" s="190">
        <f t="shared" si="8"/>
        <v>8356.4709166534958</v>
      </c>
      <c r="AT126" s="190">
        <f t="shared" si="8"/>
        <v>8332.6649754308455</v>
      </c>
    </row>
    <row r="127" spans="1:46" x14ac:dyDescent="0.3">
      <c r="A127" s="38">
        <v>2045</v>
      </c>
      <c r="B127" s="166">
        <f>SCRS!AP38/(1+SCRS!$DU$27)^MAX(Outputs!A128-2021,0)</f>
        <v>-1416.6204057186878</v>
      </c>
      <c r="D127" s="190">
        <v>-1326.3046789004457</v>
      </c>
      <c r="E127" s="166">
        <v>-852.97108541817215</v>
      </c>
      <c r="F127" s="190">
        <v>-1483.9358328182896</v>
      </c>
      <c r="G127" s="190">
        <v>-1862.2344593356395</v>
      </c>
      <c r="H127" s="190">
        <v>-959.91445088034243</v>
      </c>
      <c r="J127" s="190">
        <v>13421.455934380003</v>
      </c>
      <c r="K127" s="166">
        <v>18179.433862683039</v>
      </c>
      <c r="L127" s="190">
        <v>13236.898091677562</v>
      </c>
      <c r="M127" s="190">
        <v>12498.666720867723</v>
      </c>
      <c r="N127" s="190">
        <v>11575.877507355417</v>
      </c>
      <c r="P127" s="190">
        <v>-1195.4246046558037</v>
      </c>
      <c r="Q127" s="190">
        <v>-1372.7404697637928</v>
      </c>
      <c r="R127" s="190">
        <v>-364.30244952122337</v>
      </c>
      <c r="S127" s="190">
        <v>-1170.7159037926936</v>
      </c>
      <c r="U127" s="190">
        <v>21388.663680400194</v>
      </c>
      <c r="V127" s="190">
        <v>20754.724742651841</v>
      </c>
      <c r="W127" s="190">
        <v>20016.493371842029</v>
      </c>
      <c r="X127" s="190">
        <v>19093.704158329714</v>
      </c>
      <c r="Z127" s="190">
        <v>-1393.1140068240586</v>
      </c>
      <c r="AA127" s="166">
        <v>-890.30414648107296</v>
      </c>
      <c r="AB127" s="190">
        <v>-1570.4298719320905</v>
      </c>
      <c r="AC127" s="190">
        <v>-1045.2226294135235</v>
      </c>
      <c r="AD127" s="190">
        <v>-600.43928538424586</v>
      </c>
      <c r="AF127" s="190">
        <v>8943.2282618861464</v>
      </c>
      <c r="AG127" s="166">
        <v>4638.4291755534105</v>
      </c>
      <c r="AH127" s="190">
        <v>8942.5098810419204</v>
      </c>
      <c r="AI127" s="190">
        <v>8939.6363576650401</v>
      </c>
      <c r="AJ127" s="190">
        <v>8936.0444534439594</v>
      </c>
      <c r="AL127" s="190">
        <f t="shared" si="7"/>
        <v>-1942.456794925849</v>
      </c>
      <c r="AM127" s="190">
        <f t="shared" si="7"/>
        <v>-2161.0371049515888</v>
      </c>
      <c r="AN127" s="190">
        <f t="shared" si="7"/>
        <v>-1162.0740843779422</v>
      </c>
      <c r="AO127" s="190">
        <f t="shared" si="7"/>
        <v>-1886.4860281777001</v>
      </c>
      <c r="AQ127" s="190">
        <f t="shared" si="8"/>
        <v>6720.7995060152825</v>
      </c>
      <c r="AR127" s="190">
        <f t="shared" si="8"/>
        <v>6718.6785967230753</v>
      </c>
      <c r="AS127" s="190">
        <f t="shared" si="8"/>
        <v>6710.1949595542246</v>
      </c>
      <c r="AT127" s="190">
        <f t="shared" si="8"/>
        <v>6685.5159398026226</v>
      </c>
    </row>
    <row r="128" spans="1:46" x14ac:dyDescent="0.3">
      <c r="A128" s="38">
        <v>2046</v>
      </c>
      <c r="B128" s="166">
        <f>SCRS!AP39/(1+SCRS!$DU$27)^MAX(Outputs!A129-2021,0)</f>
        <v>-1417.3958720608969</v>
      </c>
      <c r="D128" s="190">
        <v>-1299.2416592084003</v>
      </c>
      <c r="E128" s="166">
        <v>-780.16361210958723</v>
      </c>
      <c r="F128" s="190">
        <v>-1462.8025262641243</v>
      </c>
      <c r="G128" s="190">
        <v>-1858.6749276074706</v>
      </c>
      <c r="H128" s="190">
        <v>-950.95375978992706</v>
      </c>
      <c r="J128" s="190">
        <v>11942.021072612317</v>
      </c>
      <c r="K128" s="166">
        <v>16674.342661922208</v>
      </c>
      <c r="L128" s="190">
        <v>11750.694604871893</v>
      </c>
      <c r="M128" s="190">
        <v>10985.388733910098</v>
      </c>
      <c r="N128" s="190">
        <v>10028.756395207854</v>
      </c>
      <c r="P128" s="190">
        <v>-1168.427189418187</v>
      </c>
      <c r="Q128" s="190">
        <v>-1337.2022302143669</v>
      </c>
      <c r="R128" s="190">
        <v>-372.13348198770024</v>
      </c>
      <c r="S128" s="190">
        <v>-1135.2545371241993</v>
      </c>
      <c r="U128" s="190">
        <v>20732.343727985157</v>
      </c>
      <c r="V128" s="190">
        <v>20061.353373071477</v>
      </c>
      <c r="W128" s="190">
        <v>19296.047502109715</v>
      </c>
      <c r="X128" s="190">
        <v>18339.415163407455</v>
      </c>
      <c r="Z128" s="190">
        <v>-1394.9238695483159</v>
      </c>
      <c r="AA128" s="166">
        <v>-722.3570859277105</v>
      </c>
      <c r="AB128" s="190">
        <v>-1563.6989103445374</v>
      </c>
      <c r="AC128" s="190">
        <v>-1059.3822710288898</v>
      </c>
      <c r="AD128" s="190">
        <v>-636.80049491090415</v>
      </c>
      <c r="AF128" s="190">
        <v>7811.6920305846479</v>
      </c>
      <c r="AG128" s="166">
        <v>3245.0091368191179</v>
      </c>
      <c r="AH128" s="190">
        <v>7810.9473032546903</v>
      </c>
      <c r="AI128" s="190">
        <v>7807.9683939348934</v>
      </c>
      <c r="AJ128" s="190">
        <v>7804.2447572851652</v>
      </c>
      <c r="AL128" s="190">
        <f t="shared" si="7"/>
        <v>-1987.7310383045988</v>
      </c>
      <c r="AM128" s="190">
        <f t="shared" si="7"/>
        <v>-2215.5166184659392</v>
      </c>
      <c r="AN128" s="190">
        <f t="shared" si="7"/>
        <v>-1206.1149000965888</v>
      </c>
      <c r="AO128" s="190">
        <f t="shared" si="7"/>
        <v>-1928.9568348055473</v>
      </c>
      <c r="AQ128" s="190">
        <f t="shared" si="8"/>
        <v>5002.8050745241926</v>
      </c>
      <c r="AR128" s="190">
        <f t="shared" si="8"/>
        <v>5000.6063812726134</v>
      </c>
      <c r="AS128" s="190">
        <f t="shared" si="8"/>
        <v>4991.8116082662746</v>
      </c>
      <c r="AT128" s="190">
        <f t="shared" si="8"/>
        <v>4966.2274899907788</v>
      </c>
    </row>
    <row r="129" spans="1:46" x14ac:dyDescent="0.3">
      <c r="A129" s="38">
        <v>2047</v>
      </c>
      <c r="B129" s="166">
        <f>SCRS!AP40/(1+SCRS!$DU$27)^MAX(Outputs!A130-2021,0)</f>
        <v>-1414.4222159610995</v>
      </c>
      <c r="D129" s="190">
        <v>-1264.994310211654</v>
      </c>
      <c r="E129" s="166">
        <v>-675.34582126973362</v>
      </c>
      <c r="F129" s="190">
        <v>-1436.1533593555437</v>
      </c>
      <c r="G129" s="190">
        <v>-1850.4159211524923</v>
      </c>
      <c r="H129" s="190">
        <v>-932.31144783459865</v>
      </c>
      <c r="J129" s="190">
        <v>10398.929149224103</v>
      </c>
      <c r="K129" s="166">
        <v>15126.190886898859</v>
      </c>
      <c r="L129" s="190">
        <v>10200.585818363623</v>
      </c>
      <c r="M129" s="190">
        <v>9407.2124949215668</v>
      </c>
      <c r="N129" s="190">
        <v>8415.4958406189962</v>
      </c>
      <c r="P129" s="190">
        <v>-1127.3608786216532</v>
      </c>
      <c r="Q129" s="190">
        <v>-1287.0752119216056</v>
      </c>
      <c r="R129" s="190">
        <v>-368.33206546661205</v>
      </c>
      <c r="S129" s="190">
        <v>-1085.5569886818907</v>
      </c>
      <c r="U129" s="190">
        <v>20054.684701375547</v>
      </c>
      <c r="V129" s="190">
        <v>19346.386466184493</v>
      </c>
      <c r="W129" s="190">
        <v>18553.013142742468</v>
      </c>
      <c r="X129" s="190">
        <v>17561.296488439883</v>
      </c>
      <c r="Z129" s="190">
        <v>-1384.8980209544918</v>
      </c>
      <c r="AA129" s="166">
        <v>-521.5383397404305</v>
      </c>
      <c r="AB129" s="190">
        <v>-1544.6123542544933</v>
      </c>
      <c r="AC129" s="190">
        <v>-1062.5353634692024</v>
      </c>
      <c r="AD129" s="190">
        <v>-663.54219348381389</v>
      </c>
      <c r="AF129" s="190">
        <v>6640.6728076607505</v>
      </c>
      <c r="AG129" s="166">
        <v>1973.8293908082437</v>
      </c>
      <c r="AH129" s="190">
        <v>6639.900767592535</v>
      </c>
      <c r="AI129" s="190">
        <v>6636.81260731969</v>
      </c>
      <c r="AJ129" s="190">
        <v>6632.9524069786457</v>
      </c>
      <c r="AL129" s="190">
        <f t="shared" si="7"/>
        <v>-2031.1924394643429</v>
      </c>
      <c r="AM129" s="190">
        <f t="shared" si="7"/>
        <v>-2268.2819425254202</v>
      </c>
      <c r="AN129" s="190">
        <f t="shared" si="7"/>
        <v>-1251.4212071662114</v>
      </c>
      <c r="AO129" s="190">
        <f t="shared" si="7"/>
        <v>-1970.8635239768773</v>
      </c>
      <c r="AQ129" s="190">
        <f t="shared" si="8"/>
        <v>3210.8001947902158</v>
      </c>
      <c r="AR129" s="190">
        <f t="shared" si="8"/>
        <v>3208.5208648668195</v>
      </c>
      <c r="AS129" s="190">
        <f t="shared" si="8"/>
        <v>3199.4035451732125</v>
      </c>
      <c r="AT129" s="190">
        <f t="shared" si="8"/>
        <v>3172.8811340514221</v>
      </c>
    </row>
    <row r="130" spans="1:46" x14ac:dyDescent="0.3">
      <c r="A130" s="38">
        <v>2048</v>
      </c>
      <c r="B130" s="166">
        <f>SCRS!AP41/(1+SCRS!$DU$27)^MAX(Outputs!A131-2021,0)</f>
        <v>-1407.4735245293812</v>
      </c>
      <c r="D130" s="190">
        <v>-1223.469845187954</v>
      </c>
      <c r="E130" s="166">
        <v>-533.45675046981512</v>
      </c>
      <c r="F130" s="190">
        <v>-1402.5800482040552</v>
      </c>
      <c r="G130" s="190">
        <v>-1836.0870810869255</v>
      </c>
      <c r="H130" s="190">
        <v>-902.81667566622298</v>
      </c>
      <c r="J130" s="190">
        <v>8792.8618851878618</v>
      </c>
      <c r="K130" s="166">
        <v>13539.054735517298</v>
      </c>
      <c r="L130" s="190">
        <v>8587.2443490390942</v>
      </c>
      <c r="M130" s="190">
        <v>7764.7742044439119</v>
      </c>
      <c r="N130" s="190">
        <v>6736.6865236999292</v>
      </c>
      <c r="P130" s="190">
        <v>-1070.844510566003</v>
      </c>
      <c r="Q130" s="190">
        <v>-1220.9531986521179</v>
      </c>
      <c r="R130" s="190">
        <v>-351.63921820930619</v>
      </c>
      <c r="S130" s="190">
        <v>-1020.2389723446623</v>
      </c>
      <c r="U130" s="190">
        <v>19357.886096152411</v>
      </c>
      <c r="V130" s="190">
        <v>18612.031026388137</v>
      </c>
      <c r="W130" s="190">
        <v>17789.560881792986</v>
      </c>
      <c r="X130" s="190">
        <v>16761.473201048982</v>
      </c>
      <c r="Z130" s="190">
        <v>-1361.5360482444348</v>
      </c>
      <c r="AA130" s="166">
        <v>-282.91695235958588</v>
      </c>
      <c r="AB130" s="190">
        <v>-1511.6447363306056</v>
      </c>
      <c r="AC130" s="190">
        <v>-1053.2231645156642</v>
      </c>
      <c r="AD130" s="190">
        <v>-692.16275871434561</v>
      </c>
      <c r="AF130" s="190">
        <v>5431.7793211762964</v>
      </c>
      <c r="AG130" s="166">
        <v>837.40484540649436</v>
      </c>
      <c r="AH130" s="190">
        <v>5430.9789666801526</v>
      </c>
      <c r="AI130" s="190">
        <v>5427.777548695587</v>
      </c>
      <c r="AJ130" s="190">
        <v>5423.775776214894</v>
      </c>
      <c r="AL130" s="190">
        <f t="shared" si="7"/>
        <v>-2072.9917708405701</v>
      </c>
      <c r="AM130" s="190">
        <f t="shared" si="7"/>
        <v>-2319.4549338045908</v>
      </c>
      <c r="AN130" s="190">
        <f t="shared" si="7"/>
        <v>-1288.3500022382941</v>
      </c>
      <c r="AO130" s="190">
        <f t="shared" si="7"/>
        <v>-2009.7131742116617</v>
      </c>
      <c r="AQ130" s="190">
        <f t="shared" si="8"/>
        <v>1493.8334097042316</v>
      </c>
      <c r="AR130" s="190">
        <f t="shared" si="8"/>
        <v>1491.4704857738616</v>
      </c>
      <c r="AS130" s="190">
        <f t="shared" si="8"/>
        <v>1482.0187900523742</v>
      </c>
      <c r="AT130" s="190">
        <f t="shared" si="8"/>
        <v>1454.5236743662099</v>
      </c>
    </row>
    <row r="131" spans="1:46" x14ac:dyDescent="0.3">
      <c r="A131" s="38">
        <v>2049</v>
      </c>
      <c r="B131" s="166">
        <f>SCRS!AP42/(1+SCRS!$DU$27)^MAX(Outputs!A132-2021,0)</f>
        <v>-1396.3148174401956</v>
      </c>
      <c r="D131" s="190">
        <v>-1173.2147025378661</v>
      </c>
      <c r="E131" s="166">
        <v>-349.77007302438142</v>
      </c>
      <c r="F131" s="190">
        <v>-1360.645428432462</v>
      </c>
      <c r="G131" s="190">
        <v>-1814.2909298355746</v>
      </c>
      <c r="H131" s="190">
        <v>-861.34750407185345</v>
      </c>
      <c r="J131" s="190">
        <v>7124.7578232589194</v>
      </c>
      <c r="K131" s="166">
        <v>11917.019100536872</v>
      </c>
      <c r="L131" s="190">
        <v>6911.5993016768261</v>
      </c>
      <c r="M131" s="190">
        <v>6058.9652153483212</v>
      </c>
      <c r="N131" s="190">
        <v>4993.1726074376911</v>
      </c>
      <c r="P131" s="190">
        <v>-997.60882279007433</v>
      </c>
      <c r="Q131" s="190">
        <v>-1137.5407028731499</v>
      </c>
      <c r="R131" s="190">
        <v>-335.56891855013868</v>
      </c>
      <c r="S131" s="190">
        <v>-952.68330915835588</v>
      </c>
      <c r="U131" s="190">
        <v>18652.296225902614</v>
      </c>
      <c r="V131" s="190">
        <v>17868.643340294697</v>
      </c>
      <c r="W131" s="190">
        <v>17016.009253966229</v>
      </c>
      <c r="X131" s="190">
        <v>15950.216646055576</v>
      </c>
      <c r="Z131" s="190">
        <v>-1323.4388536751303</v>
      </c>
      <c r="AA131" s="166">
        <v>-1.8252477460697492</v>
      </c>
      <c r="AB131" s="190">
        <v>-1463.3707337582607</v>
      </c>
      <c r="AC131" s="190">
        <v>-1044.7455123277834</v>
      </c>
      <c r="AD131" s="190">
        <v>-711.93606881557412</v>
      </c>
      <c r="AF131" s="190">
        <v>4337.8162860208622</v>
      </c>
      <c r="AG131" s="166">
        <v>-150.41691600260106</v>
      </c>
      <c r="AH131" s="190">
        <v>4336.986578670334</v>
      </c>
      <c r="AI131" s="190">
        <v>4333.6677492682438</v>
      </c>
      <c r="AJ131" s="190">
        <v>4329.5192125156418</v>
      </c>
      <c r="AL131" s="190">
        <f t="shared" si="7"/>
        <v>-2110.4527547249963</v>
      </c>
      <c r="AM131" s="190">
        <f t="shared" si="7"/>
        <v>-2366.3258887790362</v>
      </c>
      <c r="AN131" s="190">
        <f t="shared" si="7"/>
        <v>-1315.9610965241154</v>
      </c>
      <c r="AO131" s="190">
        <f t="shared" si="7"/>
        <v>-2044.2213763285326</v>
      </c>
      <c r="AQ131" s="190">
        <f t="shared" si="8"/>
        <v>-139.00749001326039</v>
      </c>
      <c r="AR131" s="190">
        <f t="shared" si="8"/>
        <v>-141.4570737454851</v>
      </c>
      <c r="AS131" s="190">
        <f t="shared" si="8"/>
        <v>-151.25540867436212</v>
      </c>
      <c r="AT131" s="190">
        <f t="shared" si="8"/>
        <v>-179.75890268641524</v>
      </c>
    </row>
    <row r="132" spans="1:46" x14ac:dyDescent="0.3">
      <c r="A132" s="38">
        <v>2050</v>
      </c>
      <c r="B132" s="166">
        <f>SCRS!AP43/(1+SCRS!$DU$27)^MAX(Outputs!A133-2021,0)</f>
        <v>-1380.7156408580465</v>
      </c>
      <c r="D132" s="190">
        <v>-1112.7537541375839</v>
      </c>
      <c r="E132" s="166">
        <v>-119.9776362400674</v>
      </c>
      <c r="F132" s="190">
        <v>-1308.8915308683681</v>
      </c>
      <c r="G132" s="190">
        <v>-1783.6110286691669</v>
      </c>
      <c r="H132" s="190">
        <v>-806.84580041862944</v>
      </c>
      <c r="J132" s="190">
        <v>5395.7915560566944</v>
      </c>
      <c r="K132" s="166">
        <v>10264.12123027698</v>
      </c>
      <c r="L132" s="190">
        <v>5174.8154847833284</v>
      </c>
      <c r="M132" s="190">
        <v>4441.930170899469</v>
      </c>
      <c r="N132" s="190">
        <v>3337.0498145324577</v>
      </c>
      <c r="P132" s="190">
        <v>-922.9944715093169</v>
      </c>
      <c r="Q132" s="190">
        <v>-1052.1509307661743</v>
      </c>
      <c r="R132" s="190">
        <v>-308.22620417439589</v>
      </c>
      <c r="S132" s="190">
        <v>-870.85775448105778</v>
      </c>
      <c r="U132" s="190">
        <v>17941.326766530659</v>
      </c>
      <c r="V132" s="190">
        <v>17119.643539928151</v>
      </c>
      <c r="W132" s="190">
        <v>16235.739254834582</v>
      </c>
      <c r="X132" s="190">
        <v>15130.858898467548</v>
      </c>
      <c r="Z132" s="190">
        <v>-1285.8061076404686</v>
      </c>
      <c r="AA132" s="166">
        <v>325.98619361100583</v>
      </c>
      <c r="AB132" s="190">
        <v>-1414.9625668973795</v>
      </c>
      <c r="AC132" s="190">
        <v>-1024.9781815552956</v>
      </c>
      <c r="AD132" s="190">
        <v>-722.07624604069156</v>
      </c>
      <c r="AF132" s="190">
        <v>3368.7411667446836</v>
      </c>
      <c r="AG132" s="166">
        <v>117.30110691386631</v>
      </c>
      <c r="AH132" s="190">
        <v>3367.8810300292203</v>
      </c>
      <c r="AI132" s="190">
        <v>3364.4404831673965</v>
      </c>
      <c r="AJ132" s="190">
        <v>3360.1397995901252</v>
      </c>
      <c r="AL132" s="190">
        <f t="shared" si="7"/>
        <v>-2142.2861087441343</v>
      </c>
      <c r="AM132" s="190">
        <f t="shared" si="7"/>
        <v>-2407.567190347545</v>
      </c>
      <c r="AN132" s="190">
        <f t="shared" si="7"/>
        <v>-1333.3887270679697</v>
      </c>
      <c r="AO132" s="190">
        <f t="shared" si="7"/>
        <v>-2072.9362462402351</v>
      </c>
      <c r="AQ132" s="190">
        <f t="shared" si="8"/>
        <v>291.11150496007758</v>
      </c>
      <c r="AR132" s="190">
        <f t="shared" si="8"/>
        <v>288.57208319366327</v>
      </c>
      <c r="AS132" s="190">
        <f t="shared" si="8"/>
        <v>278.41439612803515</v>
      </c>
      <c r="AT132" s="190">
        <f t="shared" si="8"/>
        <v>248.86554169988813</v>
      </c>
    </row>
    <row r="133" spans="1:46" x14ac:dyDescent="0.3">
      <c r="AL133" s="190"/>
      <c r="AM133" s="190"/>
      <c r="AN133" s="190"/>
      <c r="AO133" s="190"/>
      <c r="AQ133" s="190"/>
      <c r="AR133" s="190"/>
      <c r="AS133" s="190"/>
      <c r="AT133" s="190"/>
    </row>
    <row r="134" spans="1:46" x14ac:dyDescent="0.3">
      <c r="A134" s="38"/>
      <c r="B134" s="38"/>
      <c r="D134" s="38"/>
      <c r="F134" s="38"/>
      <c r="G134" s="38"/>
      <c r="H134" s="38"/>
      <c r="J134" s="38"/>
      <c r="L134" s="38"/>
      <c r="M134" s="38"/>
      <c r="N134" s="38"/>
      <c r="P134" s="38"/>
      <c r="Q134" s="38"/>
      <c r="R134" s="38"/>
      <c r="S134" s="38"/>
      <c r="U134" s="38"/>
      <c r="V134" s="38"/>
      <c r="W134" s="38"/>
      <c r="X134" s="38"/>
      <c r="Z134" s="38"/>
      <c r="AB134" s="38"/>
      <c r="AC134" s="38"/>
      <c r="AD134" s="38"/>
      <c r="AF134" s="38"/>
      <c r="AH134" s="38"/>
      <c r="AI134" s="38"/>
      <c r="AJ134" s="38"/>
      <c r="AL134" s="38"/>
      <c r="AM134" s="38"/>
      <c r="AN134" s="38"/>
      <c r="AO134" s="38"/>
      <c r="AQ134" s="38"/>
      <c r="AR134" s="38"/>
      <c r="AS134" s="38"/>
      <c r="AT134" s="38"/>
    </row>
    <row r="135" spans="1:46" x14ac:dyDescent="0.3">
      <c r="A135" s="38"/>
      <c r="B135" s="38" t="s">
        <v>302</v>
      </c>
      <c r="D135" s="38" t="s">
        <v>302</v>
      </c>
      <c r="E135" s="38" t="s">
        <v>302</v>
      </c>
      <c r="F135" s="38" t="s">
        <v>302</v>
      </c>
      <c r="G135" s="38" t="s">
        <v>302</v>
      </c>
      <c r="H135" s="38" t="s">
        <v>302</v>
      </c>
      <c r="J135" s="38" t="s">
        <v>302</v>
      </c>
      <c r="K135" s="38" t="s">
        <v>302</v>
      </c>
      <c r="L135" s="38" t="s">
        <v>302</v>
      </c>
      <c r="M135" s="38" t="s">
        <v>302</v>
      </c>
      <c r="N135" s="38" t="s">
        <v>302</v>
      </c>
      <c r="P135" s="38" t="s">
        <v>302</v>
      </c>
      <c r="Q135" s="38" t="s">
        <v>302</v>
      </c>
      <c r="R135" s="38" t="s">
        <v>302</v>
      </c>
      <c r="S135" s="38" t="s">
        <v>302</v>
      </c>
      <c r="U135" s="38" t="s">
        <v>302</v>
      </c>
      <c r="V135" s="38" t="s">
        <v>302</v>
      </c>
      <c r="W135" s="38" t="s">
        <v>302</v>
      </c>
      <c r="X135" s="38" t="s">
        <v>302</v>
      </c>
      <c r="Z135" s="38" t="s">
        <v>302</v>
      </c>
      <c r="AA135" s="38" t="s">
        <v>302</v>
      </c>
      <c r="AB135" s="38" t="s">
        <v>302</v>
      </c>
      <c r="AC135" s="38" t="s">
        <v>302</v>
      </c>
      <c r="AD135" s="38" t="s">
        <v>302</v>
      </c>
      <c r="AF135" s="38" t="s">
        <v>302</v>
      </c>
      <c r="AG135" s="38" t="s">
        <v>302</v>
      </c>
      <c r="AH135" s="38" t="s">
        <v>302</v>
      </c>
      <c r="AI135" s="38" t="s">
        <v>302</v>
      </c>
      <c r="AJ135" s="38" t="s">
        <v>302</v>
      </c>
      <c r="AL135" s="38" t="s">
        <v>302</v>
      </c>
      <c r="AM135" s="38" t="s">
        <v>302</v>
      </c>
      <c r="AN135" s="38" t="s">
        <v>302</v>
      </c>
      <c r="AO135" s="38" t="s">
        <v>302</v>
      </c>
      <c r="AQ135" s="38" t="s">
        <v>302</v>
      </c>
      <c r="AR135" s="38" t="s">
        <v>302</v>
      </c>
      <c r="AS135" s="38" t="s">
        <v>302</v>
      </c>
      <c r="AT135" s="38" t="s">
        <v>302</v>
      </c>
    </row>
    <row r="136" spans="1:46" x14ac:dyDescent="0.3">
      <c r="A136" s="38">
        <v>2021</v>
      </c>
      <c r="B136" s="166">
        <f>SCRS!AC14/(1+SCRS!$DU$27)^MAX(Outputs!A137-2021,0)</f>
        <v>54997.995000000003</v>
      </c>
      <c r="D136" s="190">
        <v>55010.297505299168</v>
      </c>
      <c r="E136" s="166">
        <v>61620.572759545277</v>
      </c>
      <c r="F136" s="190">
        <v>55010.297505299168</v>
      </c>
      <c r="G136" s="190">
        <v>55010.297505299168</v>
      </c>
      <c r="H136" s="190">
        <v>55010.297505299168</v>
      </c>
      <c r="J136" s="190">
        <v>55010.297505299168</v>
      </c>
      <c r="K136" s="166">
        <v>61620.572759545277</v>
      </c>
      <c r="L136" s="190">
        <v>55010.297505299168</v>
      </c>
      <c r="M136" s="190">
        <v>55010.297505299168</v>
      </c>
      <c r="N136" s="190">
        <v>55010.297505299168</v>
      </c>
      <c r="P136" s="190">
        <v>55010.297505299168</v>
      </c>
      <c r="Q136" s="190">
        <v>55010.297505299168</v>
      </c>
      <c r="R136" s="190">
        <v>55010.297505299168</v>
      </c>
      <c r="S136" s="190">
        <v>55010.297505299168</v>
      </c>
      <c r="U136" s="190">
        <v>55010.297505299168</v>
      </c>
      <c r="V136" s="190">
        <v>55010.297505299168</v>
      </c>
      <c r="W136" s="190">
        <v>55010.297505299168</v>
      </c>
      <c r="X136" s="190">
        <v>55010.297505299168</v>
      </c>
      <c r="Z136" s="190">
        <v>55010.297505299168</v>
      </c>
      <c r="AA136" s="166">
        <v>61620.572759545277</v>
      </c>
      <c r="AB136" s="190">
        <v>55010.297505299168</v>
      </c>
      <c r="AC136" s="190">
        <v>55010.297505299168</v>
      </c>
      <c r="AD136" s="190">
        <v>55010.297505299168</v>
      </c>
      <c r="AF136" s="190">
        <v>55010.297505299168</v>
      </c>
      <c r="AG136" s="166">
        <v>61620.572759545277</v>
      </c>
      <c r="AH136" s="190">
        <v>55010.297505299168</v>
      </c>
      <c r="AI136" s="190">
        <v>55010.297505299168</v>
      </c>
      <c r="AJ136" s="190">
        <v>55010.297505299168</v>
      </c>
      <c r="AL136" s="190">
        <v>55010.297505299168</v>
      </c>
      <c r="AM136" s="190">
        <v>55010.297505299168</v>
      </c>
      <c r="AN136" s="190">
        <v>55010.297505299168</v>
      </c>
      <c r="AO136" s="190">
        <v>55010.297505299168</v>
      </c>
      <c r="AQ136" s="190">
        <f>AL136</f>
        <v>55010.297505299168</v>
      </c>
      <c r="AR136" s="190">
        <f t="shared" ref="AR136:AT151" si="9">AM136</f>
        <v>55010.297505299168</v>
      </c>
      <c r="AS136" s="190">
        <f t="shared" si="9"/>
        <v>55010.297505299168</v>
      </c>
      <c r="AT136" s="190">
        <f t="shared" si="9"/>
        <v>55010.297505299168</v>
      </c>
    </row>
    <row r="137" spans="1:46" x14ac:dyDescent="0.3">
      <c r="A137" s="38">
        <v>2022</v>
      </c>
      <c r="B137" s="166">
        <f>SCRS!AC15/(1+SCRS!$DU$27)^MAX(Outputs!A138-2021,0)</f>
        <v>55237.39651987252</v>
      </c>
      <c r="D137" s="190">
        <v>55303.408642839786</v>
      </c>
      <c r="E137" s="166">
        <v>61948.905399006377</v>
      </c>
      <c r="F137" s="190">
        <v>55303.408642839786</v>
      </c>
      <c r="G137" s="190">
        <v>55303.408642839786</v>
      </c>
      <c r="H137" s="190">
        <v>55303.408642839786</v>
      </c>
      <c r="J137" s="190">
        <v>55303.408642839786</v>
      </c>
      <c r="K137" s="166">
        <v>61948.905399006377</v>
      </c>
      <c r="L137" s="190">
        <v>55303.408642839786</v>
      </c>
      <c r="M137" s="190">
        <v>55303.408642839786</v>
      </c>
      <c r="N137" s="190">
        <v>55303.408642839786</v>
      </c>
      <c r="P137" s="190">
        <v>55303.408642839786</v>
      </c>
      <c r="Q137" s="190">
        <v>55303.408642839786</v>
      </c>
      <c r="R137" s="190">
        <v>55303.408642839786</v>
      </c>
      <c r="S137" s="190">
        <v>55303.408642839786</v>
      </c>
      <c r="U137" s="190">
        <v>55303.408642839786</v>
      </c>
      <c r="V137" s="190">
        <v>55303.408642839786</v>
      </c>
      <c r="W137" s="190">
        <v>55303.408642839786</v>
      </c>
      <c r="X137" s="190">
        <v>55303.408642839786</v>
      </c>
      <c r="Z137" s="190">
        <v>55303.408642839786</v>
      </c>
      <c r="AA137" s="166">
        <v>61948.905399006377</v>
      </c>
      <c r="AB137" s="190">
        <v>55303.408642839786</v>
      </c>
      <c r="AC137" s="190">
        <v>55303.408642839786</v>
      </c>
      <c r="AD137" s="190">
        <v>55303.408642839786</v>
      </c>
      <c r="AF137" s="190">
        <v>55303.408642839786</v>
      </c>
      <c r="AG137" s="166">
        <v>61948.905399006377</v>
      </c>
      <c r="AH137" s="190">
        <v>55303.408642839786</v>
      </c>
      <c r="AI137" s="190">
        <v>55303.408642839786</v>
      </c>
      <c r="AJ137" s="190">
        <v>55303.408642839786</v>
      </c>
      <c r="AL137" s="190">
        <v>55303.408642839786</v>
      </c>
      <c r="AM137" s="190">
        <v>55303.408642839786</v>
      </c>
      <c r="AN137" s="190">
        <v>55303.408642839786</v>
      </c>
      <c r="AO137" s="190">
        <v>55303.408642839786</v>
      </c>
      <c r="AQ137" s="190">
        <f t="shared" ref="AQ137:AQ165" si="10">AL137</f>
        <v>55303.408642839786</v>
      </c>
      <c r="AR137" s="190">
        <f t="shared" si="9"/>
        <v>55303.408642839786</v>
      </c>
      <c r="AS137" s="190">
        <f t="shared" si="9"/>
        <v>55303.408642839786</v>
      </c>
      <c r="AT137" s="190">
        <f t="shared" si="9"/>
        <v>55303.408642839786</v>
      </c>
    </row>
    <row r="138" spans="1:46" x14ac:dyDescent="0.3">
      <c r="A138" s="38">
        <v>2023</v>
      </c>
      <c r="B138" s="166">
        <f>SCRS!AC16/(1+SCRS!$DU$27)^MAX(Outputs!A139-2021,0)</f>
        <v>55463.934295706873</v>
      </c>
      <c r="D138" s="190">
        <v>55579.661516093467</v>
      </c>
      <c r="E138" s="166">
        <v>62258.354012235948</v>
      </c>
      <c r="F138" s="190">
        <v>55579.661516093467</v>
      </c>
      <c r="G138" s="190">
        <v>55579.661516093467</v>
      </c>
      <c r="H138" s="190">
        <v>55579.661516093467</v>
      </c>
      <c r="J138" s="190">
        <v>55579.661516093467</v>
      </c>
      <c r="K138" s="166">
        <v>62258.354012235948</v>
      </c>
      <c r="L138" s="190">
        <v>55579.661516093467</v>
      </c>
      <c r="M138" s="190">
        <v>55579.661516093467</v>
      </c>
      <c r="N138" s="190">
        <v>55579.661516093467</v>
      </c>
      <c r="P138" s="190">
        <v>55551.256429022003</v>
      </c>
      <c r="Q138" s="190">
        <v>55551.256429022003</v>
      </c>
      <c r="R138" s="190">
        <v>55551.256429022003</v>
      </c>
      <c r="S138" s="190">
        <v>55551.256429022003</v>
      </c>
      <c r="U138" s="190">
        <v>55551.256429022003</v>
      </c>
      <c r="V138" s="190">
        <v>55551.256429022003</v>
      </c>
      <c r="W138" s="190">
        <v>55551.256429022003</v>
      </c>
      <c r="X138" s="190">
        <v>55551.256429022003</v>
      </c>
      <c r="Z138" s="190">
        <v>55560.614771721703</v>
      </c>
      <c r="AA138" s="166">
        <v>62235.89398975666</v>
      </c>
      <c r="AB138" s="190">
        <v>55560.614771721703</v>
      </c>
      <c r="AC138" s="190">
        <v>55560.614771721703</v>
      </c>
      <c r="AD138" s="190">
        <v>55560.614771721703</v>
      </c>
      <c r="AF138" s="190">
        <v>55560.614771721703</v>
      </c>
      <c r="AG138" s="166">
        <v>62235.89398975666</v>
      </c>
      <c r="AH138" s="190">
        <v>55560.614771721703</v>
      </c>
      <c r="AI138" s="190">
        <v>55560.614771721703</v>
      </c>
      <c r="AJ138" s="190">
        <v>55560.614771721703</v>
      </c>
      <c r="AL138" s="190">
        <v>55559.610866395968</v>
      </c>
      <c r="AM138" s="190">
        <v>55559.610866395968</v>
      </c>
      <c r="AN138" s="190">
        <v>55559.610866395968</v>
      </c>
      <c r="AO138" s="190">
        <v>55559.610866395968</v>
      </c>
      <c r="AQ138" s="190">
        <f t="shared" si="10"/>
        <v>55559.610866395968</v>
      </c>
      <c r="AR138" s="190">
        <f t="shared" si="9"/>
        <v>55559.610866395968</v>
      </c>
      <c r="AS138" s="190">
        <f t="shared" si="9"/>
        <v>55559.610866395968</v>
      </c>
      <c r="AT138" s="190">
        <f t="shared" si="9"/>
        <v>55559.610866395968</v>
      </c>
    </row>
    <row r="139" spans="1:46" x14ac:dyDescent="0.3">
      <c r="A139" s="38">
        <v>2024</v>
      </c>
      <c r="B139" s="166">
        <f>SCRS!AC17/(1+SCRS!$DU$27)^MAX(Outputs!A140-2021,0)</f>
        <v>55677.153971380016</v>
      </c>
      <c r="D139" s="190">
        <v>55838.954528819246</v>
      </c>
      <c r="E139" s="166">
        <v>62548.804794749376</v>
      </c>
      <c r="F139" s="190">
        <v>55838.954528819246</v>
      </c>
      <c r="G139" s="190">
        <v>55838.954528819246</v>
      </c>
      <c r="H139" s="190">
        <v>55838.954528819246</v>
      </c>
      <c r="J139" s="190">
        <v>55838.954528819246</v>
      </c>
      <c r="K139" s="166">
        <v>62548.804794749376</v>
      </c>
      <c r="L139" s="190">
        <v>55838.954528819246</v>
      </c>
      <c r="M139" s="190">
        <v>55838.954528819246</v>
      </c>
      <c r="N139" s="190">
        <v>55838.954528819246</v>
      </c>
      <c r="P139" s="190">
        <v>55744.307486336671</v>
      </c>
      <c r="Q139" s="190">
        <v>55744.307486336671</v>
      </c>
      <c r="R139" s="190">
        <v>55744.307486336671</v>
      </c>
      <c r="S139" s="190">
        <v>55744.307486336671</v>
      </c>
      <c r="U139" s="190">
        <v>55744.307486336671</v>
      </c>
      <c r="V139" s="190">
        <v>55744.307486336671</v>
      </c>
      <c r="W139" s="190">
        <v>55744.307486336671</v>
      </c>
      <c r="X139" s="190">
        <v>55744.307486336671</v>
      </c>
      <c r="Z139" s="190">
        <v>55775.489909993281</v>
      </c>
      <c r="AA139" s="166">
        <v>62473.966977973527</v>
      </c>
      <c r="AB139" s="190">
        <v>55775.489909993281</v>
      </c>
      <c r="AC139" s="190">
        <v>55775.489909993281</v>
      </c>
      <c r="AD139" s="190">
        <v>55775.489909993281</v>
      </c>
      <c r="AF139" s="190">
        <v>55775.489909993281</v>
      </c>
      <c r="AG139" s="166">
        <v>62473.966977973527</v>
      </c>
      <c r="AH139" s="190">
        <v>55775.489909993281</v>
      </c>
      <c r="AI139" s="190">
        <v>55775.489909993281</v>
      </c>
      <c r="AJ139" s="190">
        <v>55775.489909993281</v>
      </c>
      <c r="AL139" s="190">
        <v>55772.144851772726</v>
      </c>
      <c r="AM139" s="190">
        <v>55772.144851772726</v>
      </c>
      <c r="AN139" s="190">
        <v>55772.144851772726</v>
      </c>
      <c r="AO139" s="190">
        <v>55772.144851772726</v>
      </c>
      <c r="AQ139" s="190">
        <f t="shared" si="10"/>
        <v>55772.144851772726</v>
      </c>
      <c r="AR139" s="190">
        <f t="shared" si="9"/>
        <v>55772.144851772726</v>
      </c>
      <c r="AS139" s="190">
        <f t="shared" si="9"/>
        <v>55772.144851772726</v>
      </c>
      <c r="AT139" s="190">
        <f t="shared" si="9"/>
        <v>55772.144851772726</v>
      </c>
    </row>
    <row r="140" spans="1:46" x14ac:dyDescent="0.3">
      <c r="A140" s="38">
        <v>2025</v>
      </c>
      <c r="B140" s="166">
        <f>SCRS!AC18/(1+SCRS!$DU$27)^MAX(Outputs!A141-2021,0)</f>
        <v>55876.44475901137</v>
      </c>
      <c r="D140" s="190">
        <v>56081.016553304085</v>
      </c>
      <c r="E140" s="166">
        <v>62819.954038955038</v>
      </c>
      <c r="F140" s="190">
        <v>56081.016553304085</v>
      </c>
      <c r="G140" s="190">
        <v>56081.016553304085</v>
      </c>
      <c r="H140" s="190">
        <v>56081.016553304085</v>
      </c>
      <c r="J140" s="190">
        <v>56081.016553304085</v>
      </c>
      <c r="K140" s="166">
        <v>62819.954038955038</v>
      </c>
      <c r="L140" s="190">
        <v>56081.016553304085</v>
      </c>
      <c r="M140" s="190">
        <v>56081.016553304085</v>
      </c>
      <c r="N140" s="190">
        <v>56081.016553304085</v>
      </c>
      <c r="P140" s="190">
        <v>55891.165734152484</v>
      </c>
      <c r="Q140" s="190">
        <v>55891.165734152484</v>
      </c>
      <c r="R140" s="190">
        <v>55891.165734152484</v>
      </c>
      <c r="S140" s="190">
        <v>55891.165734152484</v>
      </c>
      <c r="U140" s="190">
        <v>55891.165734152484</v>
      </c>
      <c r="V140" s="190">
        <v>55891.165734152484</v>
      </c>
      <c r="W140" s="190">
        <v>55891.165734152484</v>
      </c>
      <c r="X140" s="190">
        <v>55891.165734152484</v>
      </c>
      <c r="Z140" s="190">
        <v>55953.71400316395</v>
      </c>
      <c r="AA140" s="166">
        <v>62669.838193327545</v>
      </c>
      <c r="AB140" s="190">
        <v>55953.71400316395</v>
      </c>
      <c r="AC140" s="190">
        <v>55953.71400316395</v>
      </c>
      <c r="AD140" s="190">
        <v>55953.71400316395</v>
      </c>
      <c r="AF140" s="190">
        <v>55953.71400316395</v>
      </c>
      <c r="AG140" s="166">
        <v>62669.838193327545</v>
      </c>
      <c r="AH140" s="190">
        <v>55953.71400316395</v>
      </c>
      <c r="AI140" s="190">
        <v>55953.71400316395</v>
      </c>
      <c r="AJ140" s="190">
        <v>55953.71400316395</v>
      </c>
      <c r="AL140" s="190">
        <v>55947.00421037354</v>
      </c>
      <c r="AM140" s="190">
        <v>55947.00421037354</v>
      </c>
      <c r="AN140" s="190">
        <v>55947.00421037354</v>
      </c>
      <c r="AO140" s="190">
        <v>55947.00421037354</v>
      </c>
      <c r="AQ140" s="190">
        <f t="shared" si="10"/>
        <v>55947.00421037354</v>
      </c>
      <c r="AR140" s="190">
        <f t="shared" si="9"/>
        <v>55947.00421037354</v>
      </c>
      <c r="AS140" s="190">
        <f t="shared" si="9"/>
        <v>55947.00421037354</v>
      </c>
      <c r="AT140" s="190">
        <f t="shared" si="9"/>
        <v>55947.00421037354</v>
      </c>
    </row>
    <row r="141" spans="1:46" x14ac:dyDescent="0.3">
      <c r="A141" s="38">
        <v>2026</v>
      </c>
      <c r="B141" s="166">
        <f>SCRS!AC19/(1+SCRS!$DU$27)^MAX(Outputs!A142-2021,0)</f>
        <v>56061.21481010237</v>
      </c>
      <c r="D141" s="190">
        <v>56305.590747014867</v>
      </c>
      <c r="E141" s="166">
        <v>63071.51403901029</v>
      </c>
      <c r="F141" s="190">
        <v>56305.590747014867</v>
      </c>
      <c r="G141" s="190">
        <v>56305.590747014867</v>
      </c>
      <c r="H141" s="190">
        <v>56305.590747014867</v>
      </c>
      <c r="J141" s="190">
        <v>56305.590747014867</v>
      </c>
      <c r="K141" s="166">
        <v>63071.51403901029</v>
      </c>
      <c r="L141" s="190">
        <v>56305.590747014867</v>
      </c>
      <c r="M141" s="190">
        <v>56305.590747014867</v>
      </c>
      <c r="N141" s="190">
        <v>56305.590747014867</v>
      </c>
      <c r="P141" s="190">
        <v>55991.446999885244</v>
      </c>
      <c r="Q141" s="190">
        <v>55991.446999885244</v>
      </c>
      <c r="R141" s="190">
        <v>55991.446999885244</v>
      </c>
      <c r="S141" s="190">
        <v>55991.446999885244</v>
      </c>
      <c r="U141" s="190">
        <v>55991.446999885244</v>
      </c>
      <c r="V141" s="190">
        <v>55991.446999885244</v>
      </c>
      <c r="W141" s="190">
        <v>55991.446999885244</v>
      </c>
      <c r="X141" s="190">
        <v>55991.446999885244</v>
      </c>
      <c r="Z141" s="190">
        <v>56094.944828820298</v>
      </c>
      <c r="AA141" s="166">
        <v>62823.119249566174</v>
      </c>
      <c r="AB141" s="190">
        <v>56094.944828820298</v>
      </c>
      <c r="AC141" s="190">
        <v>56094.944828820298</v>
      </c>
      <c r="AD141" s="190">
        <v>56094.944828820298</v>
      </c>
      <c r="AF141" s="190">
        <v>56094.944828820298</v>
      </c>
      <c r="AG141" s="166">
        <v>62823.119249566174</v>
      </c>
      <c r="AH141" s="190">
        <v>56094.944828820298</v>
      </c>
      <c r="AI141" s="190">
        <v>56094.944828820298</v>
      </c>
      <c r="AJ141" s="190">
        <v>56094.944828820298</v>
      </c>
      <c r="AL141" s="190">
        <v>56083.842219629252</v>
      </c>
      <c r="AM141" s="190">
        <v>56083.842219629252</v>
      </c>
      <c r="AN141" s="190">
        <v>56083.842219629252</v>
      </c>
      <c r="AO141" s="190">
        <v>56083.842219629252</v>
      </c>
      <c r="AQ141" s="190">
        <f t="shared" si="10"/>
        <v>56083.842219629252</v>
      </c>
      <c r="AR141" s="190">
        <f t="shared" si="9"/>
        <v>56083.842219629252</v>
      </c>
      <c r="AS141" s="190">
        <f t="shared" si="9"/>
        <v>56083.842219629252</v>
      </c>
      <c r="AT141" s="190">
        <f t="shared" si="9"/>
        <v>56083.842219629252</v>
      </c>
    </row>
    <row r="142" spans="1:46" x14ac:dyDescent="0.3">
      <c r="A142" s="38">
        <v>2027</v>
      </c>
      <c r="B142" s="166">
        <f>SCRS!AC20/(1+SCRS!$DU$27)^MAX(Outputs!A143-2021,0)</f>
        <v>56230.846454188279</v>
      </c>
      <c r="D142" s="190">
        <v>56512.388169080412</v>
      </c>
      <c r="E142" s="166">
        <v>63303.161133659218</v>
      </c>
      <c r="F142" s="190">
        <v>56512.388169080412</v>
      </c>
      <c r="G142" s="190">
        <v>56512.388169080412</v>
      </c>
      <c r="H142" s="190">
        <v>56512.388169080412</v>
      </c>
      <c r="J142" s="190">
        <v>56512.388169080412</v>
      </c>
      <c r="K142" s="166">
        <v>63303.161133659218</v>
      </c>
      <c r="L142" s="190">
        <v>56512.388169080412</v>
      </c>
      <c r="M142" s="190">
        <v>56512.388169080412</v>
      </c>
      <c r="N142" s="190">
        <v>56512.388169080412</v>
      </c>
      <c r="P142" s="190">
        <v>56044.761274382981</v>
      </c>
      <c r="Q142" s="190">
        <v>56044.761274382981</v>
      </c>
      <c r="R142" s="190">
        <v>56044.761274382981</v>
      </c>
      <c r="S142" s="190">
        <v>56044.761274382981</v>
      </c>
      <c r="U142" s="190">
        <v>56044.761274382981</v>
      </c>
      <c r="V142" s="190">
        <v>56044.761274382981</v>
      </c>
      <c r="W142" s="190">
        <v>56044.761274382981</v>
      </c>
      <c r="X142" s="190">
        <v>56044.761274382981</v>
      </c>
      <c r="Z142" s="190">
        <v>56198.825675775799</v>
      </c>
      <c r="AA142" s="166">
        <v>62933.406570316438</v>
      </c>
      <c r="AB142" s="190">
        <v>56198.825675775799</v>
      </c>
      <c r="AC142" s="190">
        <v>56198.825675775799</v>
      </c>
      <c r="AD142" s="190">
        <v>56198.825675775799</v>
      </c>
      <c r="AF142" s="190">
        <v>56198.825675775799</v>
      </c>
      <c r="AG142" s="166">
        <v>62933.406570316438</v>
      </c>
      <c r="AH142" s="190">
        <v>56198.825675775799</v>
      </c>
      <c r="AI142" s="190">
        <v>56198.825675775799</v>
      </c>
      <c r="AJ142" s="190">
        <v>56198.825675775799</v>
      </c>
      <c r="AL142" s="190">
        <v>56182.298596352812</v>
      </c>
      <c r="AM142" s="190">
        <v>56182.298596352812</v>
      </c>
      <c r="AN142" s="190">
        <v>56182.298596352812</v>
      </c>
      <c r="AO142" s="190">
        <v>56182.298596352812</v>
      </c>
      <c r="AQ142" s="190">
        <f t="shared" si="10"/>
        <v>56182.298596352812</v>
      </c>
      <c r="AR142" s="190">
        <f t="shared" si="9"/>
        <v>56182.298596352812</v>
      </c>
      <c r="AS142" s="190">
        <f t="shared" si="9"/>
        <v>56182.298596352812</v>
      </c>
      <c r="AT142" s="190">
        <f t="shared" si="9"/>
        <v>56182.298596352812</v>
      </c>
    </row>
    <row r="143" spans="1:46" x14ac:dyDescent="0.3">
      <c r="A143" s="38">
        <v>2028</v>
      </c>
      <c r="B143" s="166">
        <f>SCRS!AC21/(1+SCRS!$DU$27)^MAX(Outputs!A144-2021,0)</f>
        <v>56384.695014076737</v>
      </c>
      <c r="D143" s="190">
        <v>56701.086999401887</v>
      </c>
      <c r="E143" s="166">
        <v>63514.534831508165</v>
      </c>
      <c r="F143" s="190">
        <v>56701.086999401887</v>
      </c>
      <c r="G143" s="190">
        <v>56701.086999401887</v>
      </c>
      <c r="H143" s="190">
        <v>56701.086999401887</v>
      </c>
      <c r="J143" s="190">
        <v>56701.086999401887</v>
      </c>
      <c r="K143" s="166">
        <v>63514.534831508165</v>
      </c>
      <c r="L143" s="190">
        <v>56701.086999401887</v>
      </c>
      <c r="M143" s="190">
        <v>56701.086999401887</v>
      </c>
      <c r="N143" s="190">
        <v>56701.086999401887</v>
      </c>
      <c r="P143" s="190">
        <v>56050.713711944052</v>
      </c>
      <c r="Q143" s="190">
        <v>56050.713711944052</v>
      </c>
      <c r="R143" s="190">
        <v>56050.713711944052</v>
      </c>
      <c r="S143" s="190">
        <v>56050.713711944052</v>
      </c>
      <c r="U143" s="190">
        <v>56050.713711944052</v>
      </c>
      <c r="V143" s="190">
        <v>56050.713711944052</v>
      </c>
      <c r="W143" s="190">
        <v>56050.713711944052</v>
      </c>
      <c r="X143" s="190">
        <v>56050.713711944052</v>
      </c>
      <c r="Z143" s="190">
        <v>56264.985757350907</v>
      </c>
      <c r="AA143" s="166">
        <v>63000.2819225317</v>
      </c>
      <c r="AB143" s="190">
        <v>56264.985757350907</v>
      </c>
      <c r="AC143" s="190">
        <v>56264.985757350907</v>
      </c>
      <c r="AD143" s="190">
        <v>56264.985757350907</v>
      </c>
      <c r="AF143" s="190">
        <v>56264.985757350907</v>
      </c>
      <c r="AG143" s="166">
        <v>63000.2819225317</v>
      </c>
      <c r="AH143" s="190">
        <v>56264.985757350907</v>
      </c>
      <c r="AI143" s="190">
        <v>56264.985757350907</v>
      </c>
      <c r="AJ143" s="190">
        <v>56264.985757350907</v>
      </c>
      <c r="AL143" s="190">
        <v>56241.999972961064</v>
      </c>
      <c r="AM143" s="190">
        <v>56241.999972961064</v>
      </c>
      <c r="AN143" s="190">
        <v>56241.999972961064</v>
      </c>
      <c r="AO143" s="190">
        <v>56241.999972961064</v>
      </c>
      <c r="AQ143" s="190">
        <f t="shared" si="10"/>
        <v>56241.999972961064</v>
      </c>
      <c r="AR143" s="190">
        <f t="shared" si="9"/>
        <v>56241.999972961064</v>
      </c>
      <c r="AS143" s="190">
        <f t="shared" si="9"/>
        <v>56241.999972961064</v>
      </c>
      <c r="AT143" s="190">
        <f t="shared" si="9"/>
        <v>56241.999972961064</v>
      </c>
    </row>
    <row r="144" spans="1:46" x14ac:dyDescent="0.3">
      <c r="A144" s="38">
        <v>2029</v>
      </c>
      <c r="B144" s="166">
        <f>SCRS!AC22/(1+SCRS!$DU$27)^MAX(Outputs!A145-2021,0)</f>
        <v>56522.087566133974</v>
      </c>
      <c r="D144" s="190">
        <v>56871.331741454953</v>
      </c>
      <c r="E144" s="166">
        <v>63705.236918032977</v>
      </c>
      <c r="F144" s="190">
        <v>56871.331741454953</v>
      </c>
      <c r="G144" s="190">
        <v>56871.331741454953</v>
      </c>
      <c r="H144" s="190">
        <v>56871.331741454953</v>
      </c>
      <c r="J144" s="190">
        <v>56871.331741454953</v>
      </c>
      <c r="K144" s="166">
        <v>63705.236918032977</v>
      </c>
      <c r="L144" s="190">
        <v>56871.331741454953</v>
      </c>
      <c r="M144" s="190">
        <v>56871.331741454953</v>
      </c>
      <c r="N144" s="190">
        <v>56871.331741454953</v>
      </c>
      <c r="P144" s="190">
        <v>56008.9057073078</v>
      </c>
      <c r="Q144" s="190">
        <v>56008.9057073078</v>
      </c>
      <c r="R144" s="190">
        <v>56008.9057073078</v>
      </c>
      <c r="S144" s="190">
        <v>56008.9057073078</v>
      </c>
      <c r="U144" s="190">
        <v>56008.9057073078</v>
      </c>
      <c r="V144" s="190">
        <v>56008.9057073078</v>
      </c>
      <c r="W144" s="190">
        <v>56008.9057073078</v>
      </c>
      <c r="X144" s="190">
        <v>56008.9057073078</v>
      </c>
      <c r="Z144" s="190">
        <v>56293.04067089333</v>
      </c>
      <c r="AA144" s="166">
        <v>63023.313005427706</v>
      </c>
      <c r="AB144" s="190">
        <v>56293.04067089333</v>
      </c>
      <c r="AC144" s="190">
        <v>56293.04067089333</v>
      </c>
      <c r="AD144" s="190">
        <v>56293.04067089333</v>
      </c>
      <c r="AF144" s="190">
        <v>56293.04067089333</v>
      </c>
      <c r="AG144" s="166">
        <v>63023.313005427706</v>
      </c>
      <c r="AH144" s="190">
        <v>56293.04067089333</v>
      </c>
      <c r="AI144" s="190">
        <v>56293.04067089333</v>
      </c>
      <c r="AJ144" s="190">
        <v>56293.04067089333</v>
      </c>
      <c r="AL144" s="190">
        <v>56262.56042323343</v>
      </c>
      <c r="AM144" s="190">
        <v>56262.56042323343</v>
      </c>
      <c r="AN144" s="190">
        <v>56262.56042323343</v>
      </c>
      <c r="AO144" s="190">
        <v>56262.56042323343</v>
      </c>
      <c r="AQ144" s="190">
        <f t="shared" si="10"/>
        <v>56262.56042323343</v>
      </c>
      <c r="AR144" s="190">
        <f t="shared" si="9"/>
        <v>56262.56042323343</v>
      </c>
      <c r="AS144" s="190">
        <f t="shared" si="9"/>
        <v>56262.56042323343</v>
      </c>
      <c r="AT144" s="190">
        <f t="shared" si="9"/>
        <v>56262.56042323343</v>
      </c>
    </row>
    <row r="145" spans="1:46" x14ac:dyDescent="0.3">
      <c r="A145" s="38">
        <v>2030</v>
      </c>
      <c r="B145" s="166">
        <f>SCRS!AC23/(1+SCRS!$DU$27)^MAX(Outputs!A146-2021,0)</f>
        <v>56642.321643065967</v>
      </c>
      <c r="D145" s="190">
        <v>57022.732404107715</v>
      </c>
      <c r="E145" s="166">
        <v>63874.830539080729</v>
      </c>
      <c r="F145" s="190">
        <v>57022.732404107715</v>
      </c>
      <c r="G145" s="190">
        <v>57022.732404107715</v>
      </c>
      <c r="H145" s="190">
        <v>57022.732404107715</v>
      </c>
      <c r="J145" s="190">
        <v>57022.732404107715</v>
      </c>
      <c r="K145" s="166">
        <v>63874.830539080729</v>
      </c>
      <c r="L145" s="190">
        <v>57022.732404107715</v>
      </c>
      <c r="M145" s="190">
        <v>57022.732404107715</v>
      </c>
      <c r="N145" s="190">
        <v>57022.732404107715</v>
      </c>
      <c r="P145" s="190">
        <v>55918.93604957249</v>
      </c>
      <c r="Q145" s="190">
        <v>55918.93604957249</v>
      </c>
      <c r="R145" s="190">
        <v>55918.93604957249</v>
      </c>
      <c r="S145" s="190">
        <v>55918.93604957249</v>
      </c>
      <c r="U145" s="190">
        <v>55918.93604957249</v>
      </c>
      <c r="V145" s="190">
        <v>55918.93604957249</v>
      </c>
      <c r="W145" s="190">
        <v>55918.93604957249</v>
      </c>
      <c r="X145" s="190">
        <v>55918.93604957249</v>
      </c>
      <c r="Z145" s="190">
        <v>56282.592901967771</v>
      </c>
      <c r="AA145" s="166">
        <v>63002.054093332037</v>
      </c>
      <c r="AB145" s="190">
        <v>56282.592901967771</v>
      </c>
      <c r="AC145" s="190">
        <v>56282.592901967771</v>
      </c>
      <c r="AD145" s="190">
        <v>56282.592901967771</v>
      </c>
      <c r="AF145" s="190">
        <v>56282.592901967771</v>
      </c>
      <c r="AG145" s="166">
        <v>63002.054093332037</v>
      </c>
      <c r="AH145" s="190">
        <v>56282.592901967771</v>
      </c>
      <c r="AI145" s="190">
        <v>56282.592901967771</v>
      </c>
      <c r="AJ145" s="190">
        <v>56282.592901967771</v>
      </c>
      <c r="AL145" s="190">
        <v>56243.582036200496</v>
      </c>
      <c r="AM145" s="190">
        <v>56243.582036200496</v>
      </c>
      <c r="AN145" s="190">
        <v>56243.582036200496</v>
      </c>
      <c r="AO145" s="190">
        <v>56243.582036200496</v>
      </c>
      <c r="AQ145" s="190">
        <f t="shared" si="10"/>
        <v>56243.582036200496</v>
      </c>
      <c r="AR145" s="190">
        <f t="shared" si="9"/>
        <v>56243.582036200496</v>
      </c>
      <c r="AS145" s="190">
        <f t="shared" si="9"/>
        <v>56243.582036200496</v>
      </c>
      <c r="AT145" s="190">
        <f t="shared" si="9"/>
        <v>56243.582036200496</v>
      </c>
    </row>
    <row r="146" spans="1:46" x14ac:dyDescent="0.3">
      <c r="A146" s="38">
        <v>2031</v>
      </c>
      <c r="B146" s="166">
        <f>SCRS!AC24/(1+SCRS!$DU$27)^MAX(Outputs!A147-2021,0)</f>
        <v>56745.089471251224</v>
      </c>
      <c r="D146" s="190">
        <v>57155.320178637623</v>
      </c>
      <c r="E146" s="166">
        <v>64023.350634007678</v>
      </c>
      <c r="F146" s="190">
        <v>57155.320178637623</v>
      </c>
      <c r="G146" s="190">
        <v>57155.320178637623</v>
      </c>
      <c r="H146" s="190">
        <v>57155.320178637623</v>
      </c>
      <c r="J146" s="190">
        <v>57155.320178637623</v>
      </c>
      <c r="K146" s="166">
        <v>64023.350634007678</v>
      </c>
      <c r="L146" s="190">
        <v>57155.320178637623</v>
      </c>
      <c r="M146" s="190">
        <v>57155.320178637623</v>
      </c>
      <c r="N146" s="190">
        <v>57155.320178637623</v>
      </c>
      <c r="P146" s="190">
        <v>55773.119753432322</v>
      </c>
      <c r="Q146" s="190">
        <v>55773.119753432322</v>
      </c>
      <c r="R146" s="190">
        <v>55773.119753432322</v>
      </c>
      <c r="S146" s="190">
        <v>55773.119753432322</v>
      </c>
      <c r="U146" s="190">
        <v>55773.119753432322</v>
      </c>
      <c r="V146" s="190">
        <v>55773.119753432322</v>
      </c>
      <c r="W146" s="190">
        <v>55773.119753432322</v>
      </c>
      <c r="X146" s="190">
        <v>55773.119753432322</v>
      </c>
      <c r="Z146" s="190">
        <v>56228.499637542591</v>
      </c>
      <c r="AA146" s="166">
        <v>62930.438912143021</v>
      </c>
      <c r="AB146" s="190">
        <v>56228.499637542591</v>
      </c>
      <c r="AC146" s="190">
        <v>56228.499637542591</v>
      </c>
      <c r="AD146" s="190">
        <v>56228.499637542591</v>
      </c>
      <c r="AF146" s="190">
        <v>56228.499637542591</v>
      </c>
      <c r="AG146" s="166">
        <v>62930.438912143021</v>
      </c>
      <c r="AH146" s="190">
        <v>56228.499637542591</v>
      </c>
      <c r="AI146" s="190">
        <v>56228.499637542591</v>
      </c>
      <c r="AJ146" s="190">
        <v>56228.499637542591</v>
      </c>
      <c r="AL146" s="190">
        <v>56179.64929025741</v>
      </c>
      <c r="AM146" s="190">
        <v>56179.64929025741</v>
      </c>
      <c r="AN146" s="190">
        <v>56179.64929025741</v>
      </c>
      <c r="AO146" s="190">
        <v>56179.64929025741</v>
      </c>
      <c r="AQ146" s="190">
        <f t="shared" si="10"/>
        <v>56179.64929025741</v>
      </c>
      <c r="AR146" s="190">
        <f t="shared" si="9"/>
        <v>56179.64929025741</v>
      </c>
      <c r="AS146" s="190">
        <f t="shared" si="9"/>
        <v>56179.64929025741</v>
      </c>
      <c r="AT146" s="190">
        <f t="shared" si="9"/>
        <v>56179.64929025741</v>
      </c>
    </row>
    <row r="147" spans="1:46" x14ac:dyDescent="0.3">
      <c r="A147" s="38">
        <v>2032</v>
      </c>
      <c r="B147" s="166">
        <f>SCRS!AC25/(1+SCRS!$DU$27)^MAX(Outputs!A148-2021,0)</f>
        <v>56829.268906547033</v>
      </c>
      <c r="D147" s="190">
        <v>57268.253766338712</v>
      </c>
      <c r="E147" s="166">
        <v>64149.854810016921</v>
      </c>
      <c r="F147" s="190">
        <v>57268.253766338712</v>
      </c>
      <c r="G147" s="190">
        <v>57268.253766338712</v>
      </c>
      <c r="H147" s="190">
        <v>57268.253766338712</v>
      </c>
      <c r="J147" s="190">
        <v>57268.253766338712</v>
      </c>
      <c r="K147" s="166">
        <v>64149.854810016921</v>
      </c>
      <c r="L147" s="190">
        <v>57268.253766338712</v>
      </c>
      <c r="M147" s="190">
        <v>57268.253766338712</v>
      </c>
      <c r="N147" s="190">
        <v>57268.253766338712</v>
      </c>
      <c r="P147" s="190">
        <v>55578.26768344624</v>
      </c>
      <c r="Q147" s="190">
        <v>55578.26768344624</v>
      </c>
      <c r="R147" s="190">
        <v>55578.26768344624</v>
      </c>
      <c r="S147" s="190">
        <v>55578.26768344624</v>
      </c>
      <c r="U147" s="190">
        <v>55578.26768344624</v>
      </c>
      <c r="V147" s="190">
        <v>55578.26768344624</v>
      </c>
      <c r="W147" s="190">
        <v>55578.26768344624</v>
      </c>
      <c r="X147" s="190">
        <v>55578.26768344624</v>
      </c>
      <c r="Z147" s="190">
        <v>56135.050659736553</v>
      </c>
      <c r="AA147" s="166">
        <v>62813.575666920166</v>
      </c>
      <c r="AB147" s="190">
        <v>56135.050659736553</v>
      </c>
      <c r="AC147" s="190">
        <v>56135.050659736553</v>
      </c>
      <c r="AD147" s="190">
        <v>56135.050659736553</v>
      </c>
      <c r="AF147" s="190">
        <v>56135.050659736553</v>
      </c>
      <c r="AG147" s="166">
        <v>62813.575666920166</v>
      </c>
      <c r="AH147" s="190">
        <v>56135.050659736553</v>
      </c>
      <c r="AI147" s="190">
        <v>56135.050659736553</v>
      </c>
      <c r="AJ147" s="190">
        <v>56135.050659736553</v>
      </c>
      <c r="AL147" s="190">
        <v>56075.322413708731</v>
      </c>
      <c r="AM147" s="190">
        <v>56075.322413708731</v>
      </c>
      <c r="AN147" s="190">
        <v>56075.322413708731</v>
      </c>
      <c r="AO147" s="190">
        <v>56075.322413708731</v>
      </c>
      <c r="AQ147" s="190">
        <f t="shared" si="10"/>
        <v>56075.322413708731</v>
      </c>
      <c r="AR147" s="190">
        <f t="shared" si="9"/>
        <v>56075.322413708731</v>
      </c>
      <c r="AS147" s="190">
        <f t="shared" si="9"/>
        <v>56075.322413708731</v>
      </c>
      <c r="AT147" s="190">
        <f t="shared" si="9"/>
        <v>56075.322413708731</v>
      </c>
    </row>
    <row r="148" spans="1:46" x14ac:dyDescent="0.3">
      <c r="A148" s="38">
        <v>2033</v>
      </c>
      <c r="B148" s="166">
        <f>SCRS!AC26/(1+SCRS!$DU$27)^MAX(Outputs!A149-2021,0)</f>
        <v>56894.58884963709</v>
      </c>
      <c r="D148" s="190">
        <v>57361.6052074939</v>
      </c>
      <c r="E148" s="166">
        <v>64254.423764063344</v>
      </c>
      <c r="F148" s="190">
        <v>57361.6052074939</v>
      </c>
      <c r="G148" s="190">
        <v>57361.6052074939</v>
      </c>
      <c r="H148" s="190">
        <v>57361.6052074939</v>
      </c>
      <c r="J148" s="190">
        <v>57361.6052074939</v>
      </c>
      <c r="K148" s="166">
        <v>64254.423764063344</v>
      </c>
      <c r="L148" s="190">
        <v>57361.6052074939</v>
      </c>
      <c r="M148" s="190">
        <v>57361.6052074939</v>
      </c>
      <c r="N148" s="190">
        <v>57361.6052074939</v>
      </c>
      <c r="P148" s="190">
        <v>55327.276399424401</v>
      </c>
      <c r="Q148" s="190">
        <v>55327.276399424401</v>
      </c>
      <c r="R148" s="190">
        <v>55327.276399424401</v>
      </c>
      <c r="S148" s="190">
        <v>55327.276399424401</v>
      </c>
      <c r="U148" s="190">
        <v>55327.276399424401</v>
      </c>
      <c r="V148" s="190">
        <v>55327.276399424401</v>
      </c>
      <c r="W148" s="190">
        <v>55327.276399424401</v>
      </c>
      <c r="X148" s="190">
        <v>55327.276399424401</v>
      </c>
      <c r="Z148" s="190">
        <v>55997.506562841743</v>
      </c>
      <c r="AA148" s="166">
        <v>62645.871371861715</v>
      </c>
      <c r="AB148" s="190">
        <v>55997.506562841743</v>
      </c>
      <c r="AC148" s="190">
        <v>55997.506562841743</v>
      </c>
      <c r="AD148" s="190">
        <v>55997.506562841743</v>
      </c>
      <c r="AF148" s="190">
        <v>55997.506562841743</v>
      </c>
      <c r="AG148" s="166">
        <v>62645.871371861715</v>
      </c>
      <c r="AH148" s="190">
        <v>55997.506562841743</v>
      </c>
      <c r="AI148" s="190">
        <v>55997.506562841743</v>
      </c>
      <c r="AJ148" s="190">
        <v>55997.506562841743</v>
      </c>
      <c r="AL148" s="190">
        <v>55925.608401797785</v>
      </c>
      <c r="AM148" s="190">
        <v>55925.608401797785</v>
      </c>
      <c r="AN148" s="190">
        <v>55925.608401797785</v>
      </c>
      <c r="AO148" s="190">
        <v>55925.608401797785</v>
      </c>
      <c r="AQ148" s="190">
        <f t="shared" si="10"/>
        <v>55925.608401797785</v>
      </c>
      <c r="AR148" s="190">
        <f t="shared" si="9"/>
        <v>55925.608401797785</v>
      </c>
      <c r="AS148" s="190">
        <f t="shared" si="9"/>
        <v>55925.608401797785</v>
      </c>
      <c r="AT148" s="190">
        <f t="shared" si="9"/>
        <v>55925.608401797785</v>
      </c>
    </row>
    <row r="149" spans="1:46" x14ac:dyDescent="0.3">
      <c r="A149" s="38">
        <v>2034</v>
      </c>
      <c r="B149" s="166">
        <f>SCRS!AC27/(1+SCRS!$DU$27)^MAX(Outputs!A150-2021,0)</f>
        <v>56940.343077488869</v>
      </c>
      <c r="D149" s="190">
        <v>57434.982193189375</v>
      </c>
      <c r="E149" s="166">
        <v>64336.618045697389</v>
      </c>
      <c r="F149" s="190">
        <v>57434.982193189375</v>
      </c>
      <c r="G149" s="190">
        <v>57434.982193189375</v>
      </c>
      <c r="H149" s="190">
        <v>57434.982193189375</v>
      </c>
      <c r="J149" s="190">
        <v>57434.982193189375</v>
      </c>
      <c r="K149" s="166">
        <v>64336.618045697389</v>
      </c>
      <c r="L149" s="190">
        <v>57434.982193189375</v>
      </c>
      <c r="M149" s="190">
        <v>57434.982193189375</v>
      </c>
      <c r="N149" s="190">
        <v>57434.982193189375</v>
      </c>
      <c r="P149" s="190">
        <v>55020.013875979981</v>
      </c>
      <c r="Q149" s="190">
        <v>55020.013875979981</v>
      </c>
      <c r="R149" s="190">
        <v>55020.013875979981</v>
      </c>
      <c r="S149" s="190">
        <v>55020.013875979981</v>
      </c>
      <c r="U149" s="190">
        <v>55020.013875979981</v>
      </c>
      <c r="V149" s="190">
        <v>55020.013875979981</v>
      </c>
      <c r="W149" s="190">
        <v>55020.013875979981</v>
      </c>
      <c r="X149" s="190">
        <v>55020.013875979981</v>
      </c>
      <c r="Z149" s="190">
        <v>55815.649568435678</v>
      </c>
      <c r="AA149" s="166">
        <v>62427.092383803698</v>
      </c>
      <c r="AB149" s="190">
        <v>55815.649568435678</v>
      </c>
      <c r="AC149" s="190">
        <v>55815.649568435678</v>
      </c>
      <c r="AD149" s="190">
        <v>55815.649568435678</v>
      </c>
      <c r="AF149" s="190">
        <v>55815.649568435678</v>
      </c>
      <c r="AG149" s="166">
        <v>62427.092383803698</v>
      </c>
      <c r="AH149" s="190">
        <v>55815.649568435678</v>
      </c>
      <c r="AI149" s="190">
        <v>55815.649568435678</v>
      </c>
      <c r="AJ149" s="190">
        <v>55815.649568435678</v>
      </c>
      <c r="AL149" s="190">
        <v>55730.298675159218</v>
      </c>
      <c r="AM149" s="190">
        <v>55730.298675159218</v>
      </c>
      <c r="AN149" s="190">
        <v>55730.298675159218</v>
      </c>
      <c r="AO149" s="190">
        <v>55730.298675159218</v>
      </c>
      <c r="AQ149" s="190">
        <f t="shared" si="10"/>
        <v>55730.298675159218</v>
      </c>
      <c r="AR149" s="190">
        <f t="shared" si="9"/>
        <v>55730.298675159218</v>
      </c>
      <c r="AS149" s="190">
        <f t="shared" si="9"/>
        <v>55730.298675159218</v>
      </c>
      <c r="AT149" s="190">
        <f t="shared" si="9"/>
        <v>55730.298675159218</v>
      </c>
    </row>
    <row r="150" spans="1:46" x14ac:dyDescent="0.3">
      <c r="A150" s="38">
        <v>2035</v>
      </c>
      <c r="B150" s="166">
        <f>SCRS!AC28/(1+SCRS!$DU$27)^MAX(Outputs!A151-2021,0)</f>
        <v>56965.170009596055</v>
      </c>
      <c r="D150" s="190">
        <v>57487.28379368686</v>
      </c>
      <c r="E150" s="166">
        <v>64395.204432702223</v>
      </c>
      <c r="F150" s="190">
        <v>57487.28379368686</v>
      </c>
      <c r="G150" s="190">
        <v>57487.28379368686</v>
      </c>
      <c r="H150" s="190">
        <v>57487.28379368686</v>
      </c>
      <c r="J150" s="190">
        <v>57487.28379368686</v>
      </c>
      <c r="K150" s="166">
        <v>64395.204432702223</v>
      </c>
      <c r="L150" s="190">
        <v>57487.28379368686</v>
      </c>
      <c r="M150" s="190">
        <v>57487.28379368686</v>
      </c>
      <c r="N150" s="190">
        <v>57487.28379368686</v>
      </c>
      <c r="P150" s="190">
        <v>54662.485259873407</v>
      </c>
      <c r="Q150" s="190">
        <v>54662.485259873407</v>
      </c>
      <c r="R150" s="190">
        <v>54662.485259873407</v>
      </c>
      <c r="S150" s="190">
        <v>54662.485259873407</v>
      </c>
      <c r="U150" s="190">
        <v>54662.485259873407</v>
      </c>
      <c r="V150" s="190">
        <v>54662.485259873407</v>
      </c>
      <c r="W150" s="190">
        <v>54662.485259873407</v>
      </c>
      <c r="X150" s="190">
        <v>54662.485259873407</v>
      </c>
      <c r="Z150" s="190">
        <v>55593.143654636784</v>
      </c>
      <c r="AA150" s="166">
        <v>62161.624285270103</v>
      </c>
      <c r="AB150" s="190">
        <v>55593.143654636784</v>
      </c>
      <c r="AC150" s="190">
        <v>55593.143654636784</v>
      </c>
      <c r="AD150" s="190">
        <v>55593.143654636784</v>
      </c>
      <c r="AF150" s="190">
        <v>55593.143654636784</v>
      </c>
      <c r="AG150" s="166">
        <v>62161.624285270103</v>
      </c>
      <c r="AH150" s="190">
        <v>55593.143654636784</v>
      </c>
      <c r="AI150" s="190">
        <v>55593.143654636784</v>
      </c>
      <c r="AJ150" s="190">
        <v>55593.143654636784</v>
      </c>
      <c r="AL150" s="190">
        <v>55493.30835805383</v>
      </c>
      <c r="AM150" s="190">
        <v>55493.30835805383</v>
      </c>
      <c r="AN150" s="190">
        <v>55493.30835805383</v>
      </c>
      <c r="AO150" s="190">
        <v>55493.30835805383</v>
      </c>
      <c r="AQ150" s="190">
        <f t="shared" si="10"/>
        <v>55493.30835805383</v>
      </c>
      <c r="AR150" s="190">
        <f t="shared" si="9"/>
        <v>55493.30835805383</v>
      </c>
      <c r="AS150" s="190">
        <f t="shared" si="9"/>
        <v>55493.30835805383</v>
      </c>
      <c r="AT150" s="190">
        <f t="shared" si="9"/>
        <v>55493.30835805383</v>
      </c>
    </row>
    <row r="151" spans="1:46" x14ac:dyDescent="0.3">
      <c r="A151" s="38">
        <v>2036</v>
      </c>
      <c r="B151" s="166">
        <f>SCRS!AC29/(1+SCRS!$DU$27)^MAX(Outputs!A152-2021,0)</f>
        <v>56968.848123480042</v>
      </c>
      <c r="D151" s="190">
        <v>57518.646051103999</v>
      </c>
      <c r="E151" s="166">
        <v>64430.335314604665</v>
      </c>
      <c r="F151" s="190">
        <v>57518.646051103999</v>
      </c>
      <c r="G151" s="190">
        <v>57518.646051103999</v>
      </c>
      <c r="H151" s="190">
        <v>57518.646051103999</v>
      </c>
      <c r="J151" s="190">
        <v>57518.646051103999</v>
      </c>
      <c r="K151" s="166">
        <v>64430.335314604665</v>
      </c>
      <c r="L151" s="190">
        <v>57518.646051103999</v>
      </c>
      <c r="M151" s="190">
        <v>57518.646051103999</v>
      </c>
      <c r="N151" s="190">
        <v>57518.646051103999</v>
      </c>
      <c r="P151" s="190">
        <v>54248.511701235919</v>
      </c>
      <c r="Q151" s="190">
        <v>54248.511701235919</v>
      </c>
      <c r="R151" s="190">
        <v>54248.511701235919</v>
      </c>
      <c r="S151" s="190">
        <v>54248.511701235919</v>
      </c>
      <c r="U151" s="190">
        <v>54248.511701235919</v>
      </c>
      <c r="V151" s="190">
        <v>54248.511701235919</v>
      </c>
      <c r="W151" s="190">
        <v>54248.511701235919</v>
      </c>
      <c r="X151" s="190">
        <v>54248.511701235919</v>
      </c>
      <c r="Z151" s="190">
        <v>55325.890476493325</v>
      </c>
      <c r="AA151" s="166">
        <v>61844.62625398692</v>
      </c>
      <c r="AB151" s="190">
        <v>55325.890476493325</v>
      </c>
      <c r="AC151" s="190">
        <v>55325.890476493325</v>
      </c>
      <c r="AD151" s="190">
        <v>55325.890476493325</v>
      </c>
      <c r="AF151" s="190">
        <v>55325.890476493325</v>
      </c>
      <c r="AG151" s="166">
        <v>61844.62625398692</v>
      </c>
      <c r="AH151" s="190">
        <v>55325.890476493325</v>
      </c>
      <c r="AI151" s="190">
        <v>55325.890476493325</v>
      </c>
      <c r="AJ151" s="190">
        <v>55325.890476493325</v>
      </c>
      <c r="AL151" s="190">
        <v>55210.315921785354</v>
      </c>
      <c r="AM151" s="190">
        <v>55210.315921785354</v>
      </c>
      <c r="AN151" s="190">
        <v>55210.315921785354</v>
      </c>
      <c r="AO151" s="190">
        <v>55210.315921785354</v>
      </c>
      <c r="AQ151" s="190">
        <f t="shared" si="10"/>
        <v>55210.315921785354</v>
      </c>
      <c r="AR151" s="190">
        <f t="shared" si="9"/>
        <v>55210.315921785354</v>
      </c>
      <c r="AS151" s="190">
        <f t="shared" si="9"/>
        <v>55210.315921785354</v>
      </c>
      <c r="AT151" s="190">
        <f t="shared" si="9"/>
        <v>55210.315921785354</v>
      </c>
    </row>
    <row r="152" spans="1:46" x14ac:dyDescent="0.3">
      <c r="A152" s="38">
        <v>2037</v>
      </c>
      <c r="B152" s="166">
        <f>SCRS!AC30/(1+SCRS!$DU$27)^MAX(Outputs!A153-2021,0)</f>
        <v>56950.573763563152</v>
      </c>
      <c r="D152" s="190">
        <v>57528.580786122337</v>
      </c>
      <c r="E152" s="166">
        <v>64441.463850348089</v>
      </c>
      <c r="F152" s="190">
        <v>57528.580786122337</v>
      </c>
      <c r="G152" s="190">
        <v>57528.580786122337</v>
      </c>
      <c r="H152" s="190">
        <v>57528.580786122337</v>
      </c>
      <c r="J152" s="190">
        <v>57528.580786122337</v>
      </c>
      <c r="K152" s="166">
        <v>64441.463850348089</v>
      </c>
      <c r="L152" s="190">
        <v>57528.580786122337</v>
      </c>
      <c r="M152" s="190">
        <v>57528.580786122337</v>
      </c>
      <c r="N152" s="190">
        <v>57528.580786122337</v>
      </c>
      <c r="P152" s="190">
        <v>53778.060223675158</v>
      </c>
      <c r="Q152" s="190">
        <v>53778.060223675158</v>
      </c>
      <c r="R152" s="190">
        <v>53778.060223675158</v>
      </c>
      <c r="S152" s="190">
        <v>53778.060223675158</v>
      </c>
      <c r="U152" s="190">
        <v>53778.060223675158</v>
      </c>
      <c r="V152" s="190">
        <v>53778.060223675158</v>
      </c>
      <c r="W152" s="190">
        <v>53778.060223675158</v>
      </c>
      <c r="X152" s="190">
        <v>53778.060223675158</v>
      </c>
      <c r="Z152" s="190">
        <v>55013.707086413386</v>
      </c>
      <c r="AA152" s="166">
        <v>61475.911379776335</v>
      </c>
      <c r="AB152" s="190">
        <v>55013.707086413386</v>
      </c>
      <c r="AC152" s="190">
        <v>55013.707086413386</v>
      </c>
      <c r="AD152" s="190">
        <v>55013.707086413386</v>
      </c>
      <c r="AF152" s="190">
        <v>55013.707086413386</v>
      </c>
      <c r="AG152" s="166">
        <v>61475.911379776335</v>
      </c>
      <c r="AH152" s="190">
        <v>55013.707086413386</v>
      </c>
      <c r="AI152" s="190">
        <v>55013.707086413386</v>
      </c>
      <c r="AJ152" s="190">
        <v>55013.707086413386</v>
      </c>
      <c r="AL152" s="190">
        <v>54881.154506747858</v>
      </c>
      <c r="AM152" s="190">
        <v>54881.154506747858</v>
      </c>
      <c r="AN152" s="190">
        <v>54881.154506747858</v>
      </c>
      <c r="AO152" s="190">
        <v>54881.154506747858</v>
      </c>
      <c r="AQ152" s="190">
        <f t="shared" si="10"/>
        <v>54881.154506747858</v>
      </c>
      <c r="AR152" s="190">
        <f t="shared" ref="AR152:AR165" si="11">AM152</f>
        <v>54881.154506747858</v>
      </c>
      <c r="AS152" s="190">
        <f t="shared" ref="AS152:AS165" si="12">AN152</f>
        <v>54881.154506747858</v>
      </c>
      <c r="AT152" s="190">
        <f t="shared" ref="AT152:AT165" si="13">AO152</f>
        <v>54881.154506747858</v>
      </c>
    </row>
    <row r="153" spans="1:46" x14ac:dyDescent="0.3">
      <c r="A153" s="38">
        <v>2038</v>
      </c>
      <c r="B153" s="166">
        <f>SCRS!AC31/(1+SCRS!$DU$27)^MAX(Outputs!A154-2021,0)</f>
        <v>56909.509110239829</v>
      </c>
      <c r="D153" s="190">
        <v>57516.568141188276</v>
      </c>
      <c r="E153" s="166">
        <v>64428.007714047009</v>
      </c>
      <c r="F153" s="190">
        <v>57516.568141188276</v>
      </c>
      <c r="G153" s="190">
        <v>57516.568141188276</v>
      </c>
      <c r="H153" s="190">
        <v>57516.568141188276</v>
      </c>
      <c r="J153" s="190">
        <v>57516.568141188276</v>
      </c>
      <c r="K153" s="166">
        <v>64428.007714047009</v>
      </c>
      <c r="L153" s="190">
        <v>57516.568141188276</v>
      </c>
      <c r="M153" s="190">
        <v>57516.568141188276</v>
      </c>
      <c r="N153" s="190">
        <v>57516.568141188276</v>
      </c>
      <c r="P153" s="190">
        <v>53251.139034788415</v>
      </c>
      <c r="Q153" s="190">
        <v>53251.139034788415</v>
      </c>
      <c r="R153" s="190">
        <v>53251.139034788415</v>
      </c>
      <c r="S153" s="190">
        <v>53251.139034788415</v>
      </c>
      <c r="U153" s="190">
        <v>53251.139034788415</v>
      </c>
      <c r="V153" s="190">
        <v>53251.139034788415</v>
      </c>
      <c r="W153" s="190">
        <v>53251.139034788415</v>
      </c>
      <c r="X153" s="190">
        <v>53251.139034788415</v>
      </c>
      <c r="Z153" s="190">
        <v>54656.427715599253</v>
      </c>
      <c r="AA153" s="166">
        <v>61055.314880100988</v>
      </c>
      <c r="AB153" s="190">
        <v>54656.427715599253</v>
      </c>
      <c r="AC153" s="190">
        <v>54656.427715599253</v>
      </c>
      <c r="AD153" s="190">
        <v>54656.427715599253</v>
      </c>
      <c r="AF153" s="190">
        <v>54656.427715599253</v>
      </c>
      <c r="AG153" s="166">
        <v>61055.314880100988</v>
      </c>
      <c r="AH153" s="190">
        <v>54656.427715599253</v>
      </c>
      <c r="AI153" s="190">
        <v>54656.427715599253</v>
      </c>
      <c r="AJ153" s="190">
        <v>54656.427715599253</v>
      </c>
      <c r="AL153" s="190">
        <v>54505.677007258957</v>
      </c>
      <c r="AM153" s="190">
        <v>54505.677007258957</v>
      </c>
      <c r="AN153" s="190">
        <v>54505.677007258957</v>
      </c>
      <c r="AO153" s="190">
        <v>54505.677007258957</v>
      </c>
      <c r="AQ153" s="190">
        <f t="shared" si="10"/>
        <v>54505.677007258957</v>
      </c>
      <c r="AR153" s="190">
        <f t="shared" si="11"/>
        <v>54505.677007258957</v>
      </c>
      <c r="AS153" s="190">
        <f t="shared" si="12"/>
        <v>54505.677007258957</v>
      </c>
      <c r="AT153" s="190">
        <f t="shared" si="13"/>
        <v>54505.677007258957</v>
      </c>
    </row>
    <row r="154" spans="1:46" x14ac:dyDescent="0.3">
      <c r="A154" s="38">
        <v>2039</v>
      </c>
      <c r="B154" s="166">
        <f>SCRS!AC32/(1+SCRS!$DU$27)^MAX(Outputs!A155-2021,0)</f>
        <v>56844.780620105652</v>
      </c>
      <c r="D154" s="190">
        <v>57482.055900574822</v>
      </c>
      <c r="E154" s="166">
        <v>64389.348333344496</v>
      </c>
      <c r="F154" s="190">
        <v>57482.055900574822</v>
      </c>
      <c r="G154" s="190">
        <v>57482.055900574822</v>
      </c>
      <c r="H154" s="190">
        <v>57482.055900574822</v>
      </c>
      <c r="J154" s="190">
        <v>57482.055900574822</v>
      </c>
      <c r="K154" s="166">
        <v>64389.348333344496</v>
      </c>
      <c r="L154" s="190">
        <v>57482.055900574822</v>
      </c>
      <c r="M154" s="190">
        <v>57482.055900574822</v>
      </c>
      <c r="N154" s="190">
        <v>57482.055900574822</v>
      </c>
      <c r="P154" s="190">
        <v>52667.801162871845</v>
      </c>
      <c r="Q154" s="190">
        <v>52667.801162871845</v>
      </c>
      <c r="R154" s="190">
        <v>52667.801162871845</v>
      </c>
      <c r="S154" s="190">
        <v>52667.801162871845</v>
      </c>
      <c r="U154" s="190">
        <v>52667.801162871845</v>
      </c>
      <c r="V154" s="190">
        <v>52667.801162871845</v>
      </c>
      <c r="W154" s="190">
        <v>52667.801162871845</v>
      </c>
      <c r="X154" s="190">
        <v>52667.801162871845</v>
      </c>
      <c r="Z154" s="190">
        <v>54253.905988593397</v>
      </c>
      <c r="AA154" s="166">
        <v>60582.696751612792</v>
      </c>
      <c r="AB154" s="190">
        <v>54253.905988593397</v>
      </c>
      <c r="AC154" s="190">
        <v>54253.905988593397</v>
      </c>
      <c r="AD154" s="190">
        <v>54253.905988593397</v>
      </c>
      <c r="AF154" s="190">
        <v>54253.905988593397</v>
      </c>
      <c r="AG154" s="166">
        <v>60582.696751612792</v>
      </c>
      <c r="AH154" s="190">
        <v>54253.905988593397</v>
      </c>
      <c r="AI154" s="190">
        <v>54253.905988593397</v>
      </c>
      <c r="AJ154" s="190">
        <v>54253.905988593397</v>
      </c>
      <c r="AL154" s="190">
        <v>54083.758438666846</v>
      </c>
      <c r="AM154" s="190">
        <v>54083.758438666846</v>
      </c>
      <c r="AN154" s="190">
        <v>54083.758438666846</v>
      </c>
      <c r="AO154" s="190">
        <v>54083.758438666846</v>
      </c>
      <c r="AQ154" s="190">
        <f t="shared" si="10"/>
        <v>54083.758438666846</v>
      </c>
      <c r="AR154" s="190">
        <f t="shared" si="11"/>
        <v>54083.758438666846</v>
      </c>
      <c r="AS154" s="190">
        <f t="shared" si="12"/>
        <v>54083.758438666846</v>
      </c>
      <c r="AT154" s="190">
        <f t="shared" si="13"/>
        <v>54083.758438666846</v>
      </c>
    </row>
    <row r="155" spans="1:46" x14ac:dyDescent="0.3">
      <c r="A155" s="38">
        <v>2040</v>
      </c>
      <c r="B155" s="166">
        <f>SCRS!AC33/(1+SCRS!$DU$27)^MAX(Outputs!A156-2021,0)</f>
        <v>56755.477393899797</v>
      </c>
      <c r="D155" s="190">
        <v>57424.458765433832</v>
      </c>
      <c r="E155" s="166">
        <v>64324.830077351515</v>
      </c>
      <c r="F155" s="190">
        <v>57424.458765433832</v>
      </c>
      <c r="G155" s="190">
        <v>57424.458765433832</v>
      </c>
      <c r="H155" s="190">
        <v>57424.458765433832</v>
      </c>
      <c r="J155" s="190">
        <v>57424.458765433832</v>
      </c>
      <c r="K155" s="166">
        <v>64324.830077351515</v>
      </c>
      <c r="L155" s="190">
        <v>57424.458765433832</v>
      </c>
      <c r="M155" s="190">
        <v>57424.458765433832</v>
      </c>
      <c r="N155" s="190">
        <v>57424.458765433832</v>
      </c>
      <c r="P155" s="190">
        <v>52028.148268985686</v>
      </c>
      <c r="Q155" s="190">
        <v>52028.148268985686</v>
      </c>
      <c r="R155" s="190">
        <v>52028.148268985686</v>
      </c>
      <c r="S155" s="190">
        <v>52028.148268985686</v>
      </c>
      <c r="U155" s="190">
        <v>52028.148268985686</v>
      </c>
      <c r="V155" s="190">
        <v>52028.148268985686</v>
      </c>
      <c r="W155" s="190">
        <v>52028.148268985686</v>
      </c>
      <c r="X155" s="190">
        <v>52028.148268985686</v>
      </c>
      <c r="Z155" s="190">
        <v>53806.017240579</v>
      </c>
      <c r="AA155" s="166">
        <v>60057.944545527564</v>
      </c>
      <c r="AB155" s="190">
        <v>53806.017240579</v>
      </c>
      <c r="AC155" s="190">
        <v>53806.017240579</v>
      </c>
      <c r="AD155" s="190">
        <v>53806.017240579</v>
      </c>
      <c r="AF155" s="190">
        <v>53806.017240579</v>
      </c>
      <c r="AG155" s="166">
        <v>60057.944545527564</v>
      </c>
      <c r="AH155" s="190">
        <v>53806.017240579</v>
      </c>
      <c r="AI155" s="190">
        <v>53806.017240579</v>
      </c>
      <c r="AJ155" s="190">
        <v>53806.017240579</v>
      </c>
      <c r="AL155" s="190">
        <v>53615.298414999845</v>
      </c>
      <c r="AM155" s="190">
        <v>53615.298414999845</v>
      </c>
      <c r="AN155" s="190">
        <v>53615.298414999845</v>
      </c>
      <c r="AO155" s="190">
        <v>53615.298414999845</v>
      </c>
      <c r="AQ155" s="190">
        <f t="shared" si="10"/>
        <v>53615.298414999845</v>
      </c>
      <c r="AR155" s="190">
        <f t="shared" si="11"/>
        <v>53615.298414999845</v>
      </c>
      <c r="AS155" s="190">
        <f t="shared" si="12"/>
        <v>53615.298414999845</v>
      </c>
      <c r="AT155" s="190">
        <f t="shared" si="13"/>
        <v>53615.298414999845</v>
      </c>
    </row>
    <row r="156" spans="1:46" x14ac:dyDescent="0.3">
      <c r="A156" s="38">
        <v>2041</v>
      </c>
      <c r="B156" s="166">
        <f>SCRS!AC34/(1+SCRS!$DU$27)^MAX(Outputs!A157-2021,0)</f>
        <v>56669.851104250221</v>
      </c>
      <c r="D156" s="190">
        <v>57373.24307683589</v>
      </c>
      <c r="E156" s="166">
        <v>64267.460090116387</v>
      </c>
      <c r="F156" s="190">
        <v>57373.24307683589</v>
      </c>
      <c r="G156" s="190">
        <v>57373.24307683589</v>
      </c>
      <c r="H156" s="190">
        <v>57373.24307683589</v>
      </c>
      <c r="J156" s="190">
        <v>57373.24307683589</v>
      </c>
      <c r="K156" s="166">
        <v>64267.460090116387</v>
      </c>
      <c r="L156" s="190">
        <v>57373.24307683589</v>
      </c>
      <c r="M156" s="190">
        <v>57373.24307683589</v>
      </c>
      <c r="N156" s="190">
        <v>57373.24307683589</v>
      </c>
      <c r="P156" s="190">
        <v>51362.420138250818</v>
      </c>
      <c r="Q156" s="190">
        <v>51362.420138250818</v>
      </c>
      <c r="R156" s="190">
        <v>51362.420138250818</v>
      </c>
      <c r="S156" s="190">
        <v>51362.420138250818</v>
      </c>
      <c r="U156" s="190">
        <v>51362.420138250818</v>
      </c>
      <c r="V156" s="190">
        <v>51362.420138250818</v>
      </c>
      <c r="W156" s="190">
        <v>51362.420138250818</v>
      </c>
      <c r="X156" s="190">
        <v>51362.420138250818</v>
      </c>
      <c r="Z156" s="190">
        <v>53342.74643772628</v>
      </c>
      <c r="AA156" s="166">
        <v>59514.676971375273</v>
      </c>
      <c r="AB156" s="190">
        <v>53342.74643772628</v>
      </c>
      <c r="AC156" s="190">
        <v>53342.74643772628</v>
      </c>
      <c r="AD156" s="190">
        <v>53342.74643772628</v>
      </c>
      <c r="AF156" s="190">
        <v>53342.74643772628</v>
      </c>
      <c r="AG156" s="166">
        <v>59514.676971375273</v>
      </c>
      <c r="AH156" s="190">
        <v>53342.74643772628</v>
      </c>
      <c r="AI156" s="190">
        <v>53342.74643772628</v>
      </c>
      <c r="AJ156" s="190">
        <v>53342.74643772628</v>
      </c>
      <c r="AL156" s="190">
        <v>53130.30923783467</v>
      </c>
      <c r="AM156" s="190">
        <v>53130.30923783467</v>
      </c>
      <c r="AN156" s="190">
        <v>53130.30923783467</v>
      </c>
      <c r="AO156" s="190">
        <v>53130.30923783467</v>
      </c>
      <c r="AQ156" s="190">
        <f t="shared" si="10"/>
        <v>53130.30923783467</v>
      </c>
      <c r="AR156" s="190">
        <f t="shared" si="11"/>
        <v>53130.30923783467</v>
      </c>
      <c r="AS156" s="190">
        <f t="shared" si="12"/>
        <v>53130.30923783467</v>
      </c>
      <c r="AT156" s="190">
        <f t="shared" si="13"/>
        <v>53130.30923783467</v>
      </c>
    </row>
    <row r="157" spans="1:46" x14ac:dyDescent="0.3">
      <c r="A157" s="38">
        <v>2042</v>
      </c>
      <c r="B157" s="166">
        <f>SCRS!AC35/(1+SCRS!$DU$27)^MAX(Outputs!A158-2021,0)</f>
        <v>56616.790134771887</v>
      </c>
      <c r="D157" s="190">
        <v>57358.535319543684</v>
      </c>
      <c r="E157" s="166">
        <v>64250.984985100513</v>
      </c>
      <c r="F157" s="190">
        <v>57358.535319543684</v>
      </c>
      <c r="G157" s="190">
        <v>57358.535319543684</v>
      </c>
      <c r="H157" s="190">
        <v>57358.535319543684</v>
      </c>
      <c r="J157" s="190">
        <v>57358.535319543684</v>
      </c>
      <c r="K157" s="166">
        <v>64250.984985100513</v>
      </c>
      <c r="L157" s="190">
        <v>57358.535319543684</v>
      </c>
      <c r="M157" s="190">
        <v>57358.535319543684</v>
      </c>
      <c r="N157" s="190">
        <v>57358.535319543684</v>
      </c>
      <c r="P157" s="190">
        <v>50706.568425722304</v>
      </c>
      <c r="Q157" s="190">
        <v>50706.568425722304</v>
      </c>
      <c r="R157" s="190">
        <v>50706.568425722304</v>
      </c>
      <c r="S157" s="190">
        <v>50706.568425722304</v>
      </c>
      <c r="U157" s="190">
        <v>50706.568425722304</v>
      </c>
      <c r="V157" s="190">
        <v>50706.568425722304</v>
      </c>
      <c r="W157" s="190">
        <v>50706.568425722304</v>
      </c>
      <c r="X157" s="190">
        <v>50706.568425722304</v>
      </c>
      <c r="Z157" s="190">
        <v>52898.126073929365</v>
      </c>
      <c r="AA157" s="166">
        <v>58991.246629403562</v>
      </c>
      <c r="AB157" s="190">
        <v>52898.126073929365</v>
      </c>
      <c r="AC157" s="190">
        <v>52898.126073929365</v>
      </c>
      <c r="AD157" s="190">
        <v>52898.126073929365</v>
      </c>
      <c r="AF157" s="190">
        <v>52898.126073929365</v>
      </c>
      <c r="AG157" s="166">
        <v>58991.246629403562</v>
      </c>
      <c r="AH157" s="190">
        <v>52898.126073929365</v>
      </c>
      <c r="AI157" s="190">
        <v>52898.126073929365</v>
      </c>
      <c r="AJ157" s="190">
        <v>52898.126073929365</v>
      </c>
      <c r="AL157" s="190">
        <v>52663.029276846239</v>
      </c>
      <c r="AM157" s="190">
        <v>52663.029276846239</v>
      </c>
      <c r="AN157" s="190">
        <v>52663.029276846239</v>
      </c>
      <c r="AO157" s="190">
        <v>52663.029276846239</v>
      </c>
      <c r="AQ157" s="190">
        <f t="shared" si="10"/>
        <v>52663.029276846239</v>
      </c>
      <c r="AR157" s="190">
        <f t="shared" si="11"/>
        <v>52663.029276846239</v>
      </c>
      <c r="AS157" s="190">
        <f t="shared" si="12"/>
        <v>52663.029276846239</v>
      </c>
      <c r="AT157" s="190">
        <f t="shared" si="13"/>
        <v>52663.029276846239</v>
      </c>
    </row>
    <row r="158" spans="1:46" x14ac:dyDescent="0.3">
      <c r="A158" s="38">
        <v>2043</v>
      </c>
      <c r="B158" s="166">
        <f>SCRS!AC36/(1+SCRS!$DU$27)^MAX(Outputs!A159-2021,0)</f>
        <v>56628.12574185164</v>
      </c>
      <c r="D158" s="190">
        <v>57413.723497718653</v>
      </c>
      <c r="E158" s="166">
        <v>64312.804813440285</v>
      </c>
      <c r="F158" s="190">
        <v>57413.723497718653</v>
      </c>
      <c r="G158" s="190">
        <v>57413.723497718653</v>
      </c>
      <c r="H158" s="190">
        <v>57413.723497718653</v>
      </c>
      <c r="J158" s="190">
        <v>57413.723497718653</v>
      </c>
      <c r="K158" s="166">
        <v>64312.804813440285</v>
      </c>
      <c r="L158" s="190">
        <v>57413.723497718653</v>
      </c>
      <c r="M158" s="190">
        <v>57413.723497718653</v>
      </c>
      <c r="N158" s="190">
        <v>57413.723497718653</v>
      </c>
      <c r="P158" s="190">
        <v>50089.947755269066</v>
      </c>
      <c r="Q158" s="190">
        <v>50089.947755269066</v>
      </c>
      <c r="R158" s="190">
        <v>50089.947755269066</v>
      </c>
      <c r="S158" s="190">
        <v>50089.947755269066</v>
      </c>
      <c r="U158" s="190">
        <v>50089.947755269066</v>
      </c>
      <c r="V158" s="190">
        <v>50089.947755269066</v>
      </c>
      <c r="W158" s="190">
        <v>50089.947755269066</v>
      </c>
      <c r="X158" s="190">
        <v>50089.947755269066</v>
      </c>
      <c r="Z158" s="190">
        <v>52502.839610913608</v>
      </c>
      <c r="AA158" s="166">
        <v>58521.864359893378</v>
      </c>
      <c r="AB158" s="190">
        <v>52502.839610913608</v>
      </c>
      <c r="AC158" s="190">
        <v>52502.839610913608</v>
      </c>
      <c r="AD158" s="190">
        <v>52502.839610913608</v>
      </c>
      <c r="AF158" s="190">
        <v>52502.839610913608</v>
      </c>
      <c r="AG158" s="166">
        <v>58521.864359893378</v>
      </c>
      <c r="AH158" s="190">
        <v>52502.839610913608</v>
      </c>
      <c r="AI158" s="190">
        <v>52502.839610913608</v>
      </c>
      <c r="AJ158" s="190">
        <v>52502.839610913608</v>
      </c>
      <c r="AL158" s="190">
        <v>52243.999444224828</v>
      </c>
      <c r="AM158" s="190">
        <v>52243.999444224828</v>
      </c>
      <c r="AN158" s="190">
        <v>52243.999444224828</v>
      </c>
      <c r="AO158" s="190">
        <v>52243.999444224828</v>
      </c>
      <c r="AQ158" s="190">
        <f t="shared" si="10"/>
        <v>52243.999444224828</v>
      </c>
      <c r="AR158" s="190">
        <f t="shared" si="11"/>
        <v>52243.999444224828</v>
      </c>
      <c r="AS158" s="190">
        <f t="shared" si="12"/>
        <v>52243.999444224828</v>
      </c>
      <c r="AT158" s="190">
        <f t="shared" si="13"/>
        <v>52243.999444224828</v>
      </c>
    </row>
    <row r="159" spans="1:46" x14ac:dyDescent="0.3">
      <c r="A159" s="38">
        <v>2044</v>
      </c>
      <c r="B159" s="166">
        <f>SCRS!AC37/(1+SCRS!$DU$27)^MAX(Outputs!A160-2021,0)</f>
        <v>56734.15508261232</v>
      </c>
      <c r="D159" s="190">
        <v>57570.556058598428</v>
      </c>
      <c r="E159" s="166">
        <v>64488.483053097647</v>
      </c>
      <c r="F159" s="190">
        <v>57570.556058598428</v>
      </c>
      <c r="G159" s="190">
        <v>57570.556058598428</v>
      </c>
      <c r="H159" s="190">
        <v>57570.556058598428</v>
      </c>
      <c r="J159" s="190">
        <v>57570.556058598428</v>
      </c>
      <c r="K159" s="166">
        <v>64488.483053097647</v>
      </c>
      <c r="L159" s="190">
        <v>57570.556058598428</v>
      </c>
      <c r="M159" s="190">
        <v>57570.556058598428</v>
      </c>
      <c r="N159" s="190">
        <v>57570.556058598428</v>
      </c>
      <c r="P159" s="190">
        <v>49549.765615744247</v>
      </c>
      <c r="Q159" s="190">
        <v>49549.765615744247</v>
      </c>
      <c r="R159" s="190">
        <v>49549.765615744247</v>
      </c>
      <c r="S159" s="190">
        <v>49549.765615744247</v>
      </c>
      <c r="U159" s="190">
        <v>49549.765615744247</v>
      </c>
      <c r="V159" s="190">
        <v>49549.765615744247</v>
      </c>
      <c r="W159" s="190">
        <v>49549.765615744247</v>
      </c>
      <c r="X159" s="190">
        <v>49549.765615744247</v>
      </c>
      <c r="Z159" s="190">
        <v>52192.296001160088</v>
      </c>
      <c r="AA159" s="166">
        <v>58146.410128099626</v>
      </c>
      <c r="AB159" s="190">
        <v>52192.296001160088</v>
      </c>
      <c r="AC159" s="190">
        <v>52192.296001160088</v>
      </c>
      <c r="AD159" s="190">
        <v>52192.296001160088</v>
      </c>
      <c r="AF159" s="190">
        <v>52192.296001160088</v>
      </c>
      <c r="AG159" s="166">
        <v>58146.410128099626</v>
      </c>
      <c r="AH159" s="190">
        <v>52192.296001160088</v>
      </c>
      <c r="AI159" s="190">
        <v>52192.296001160088</v>
      </c>
      <c r="AJ159" s="190">
        <v>52192.296001160088</v>
      </c>
      <c r="AL159" s="190">
        <v>51908.821628348422</v>
      </c>
      <c r="AM159" s="190">
        <v>51908.821628348422</v>
      </c>
      <c r="AN159" s="190">
        <v>51908.821628348422</v>
      </c>
      <c r="AO159" s="190">
        <v>51908.821628348422</v>
      </c>
      <c r="AQ159" s="190">
        <f t="shared" si="10"/>
        <v>51908.821628348422</v>
      </c>
      <c r="AR159" s="190">
        <f t="shared" si="11"/>
        <v>51908.821628348422</v>
      </c>
      <c r="AS159" s="190">
        <f t="shared" si="12"/>
        <v>51908.821628348422</v>
      </c>
      <c r="AT159" s="190">
        <f t="shared" si="13"/>
        <v>51908.821628348422</v>
      </c>
    </row>
    <row r="160" spans="1:46" x14ac:dyDescent="0.3">
      <c r="A160" s="38">
        <v>2045</v>
      </c>
      <c r="B160" s="166">
        <f>SCRS!AC38/(1+SCRS!$DU$27)^MAX(Outputs!A161-2021,0)</f>
        <v>56964.83061931323</v>
      </c>
      <c r="D160" s="190">
        <v>57860.498108750195</v>
      </c>
      <c r="E160" s="166">
        <v>64813.265793923696</v>
      </c>
      <c r="F160" s="190">
        <v>57860.498108750195</v>
      </c>
      <c r="G160" s="190">
        <v>57860.498108750195</v>
      </c>
      <c r="H160" s="190">
        <v>57860.498108750195</v>
      </c>
      <c r="J160" s="190">
        <v>57860.498108750195</v>
      </c>
      <c r="K160" s="166">
        <v>64813.265793923696</v>
      </c>
      <c r="L160" s="190">
        <v>57860.498108750195</v>
      </c>
      <c r="M160" s="190">
        <v>57860.498108750195</v>
      </c>
      <c r="N160" s="190">
        <v>57860.498108750195</v>
      </c>
      <c r="P160" s="190">
        <v>49122.410756992831</v>
      </c>
      <c r="Q160" s="190">
        <v>49122.410756992831</v>
      </c>
      <c r="R160" s="190">
        <v>49122.410756992831</v>
      </c>
      <c r="S160" s="190">
        <v>49122.410756992831</v>
      </c>
      <c r="U160" s="190">
        <v>49122.410756992831</v>
      </c>
      <c r="V160" s="190">
        <v>49122.410756992831</v>
      </c>
      <c r="W160" s="190">
        <v>49122.410756992831</v>
      </c>
      <c r="X160" s="190">
        <v>49122.410756992831</v>
      </c>
      <c r="Z160" s="190">
        <v>52001.261850529183</v>
      </c>
      <c r="AA160" s="166">
        <v>57904.023169436463</v>
      </c>
      <c r="AB160" s="190">
        <v>52001.261850529183</v>
      </c>
      <c r="AC160" s="190">
        <v>52001.261850529183</v>
      </c>
      <c r="AD160" s="190">
        <v>52001.261850529183</v>
      </c>
      <c r="AF160" s="190">
        <v>52001.261850529183</v>
      </c>
      <c r="AG160" s="166">
        <v>57904.023169436463</v>
      </c>
      <c r="AH160" s="190">
        <v>52001.261850529183</v>
      </c>
      <c r="AI160" s="190">
        <v>52001.261850529183</v>
      </c>
      <c r="AJ160" s="190">
        <v>52001.261850529183</v>
      </c>
      <c r="AL160" s="190">
        <v>51692.436448686167</v>
      </c>
      <c r="AM160" s="190">
        <v>51692.436448686167</v>
      </c>
      <c r="AN160" s="190">
        <v>51692.436448686167</v>
      </c>
      <c r="AO160" s="190">
        <v>51692.436448686167</v>
      </c>
      <c r="AQ160" s="190">
        <f t="shared" si="10"/>
        <v>51692.436448686167</v>
      </c>
      <c r="AR160" s="190">
        <f t="shared" si="11"/>
        <v>51692.436448686167</v>
      </c>
      <c r="AS160" s="190">
        <f t="shared" si="12"/>
        <v>51692.436448686167</v>
      </c>
      <c r="AT160" s="190">
        <f t="shared" si="13"/>
        <v>51692.436448686167</v>
      </c>
    </row>
    <row r="161" spans="1:46" x14ac:dyDescent="0.3">
      <c r="A161" s="38">
        <v>2046</v>
      </c>
      <c r="B161" s="166">
        <f>SCRS!AC39/(1+SCRS!$DU$27)^MAX(Outputs!A162-2021,0)</f>
        <v>57351.6025724434</v>
      </c>
      <c r="D161" s="190">
        <v>58316.849633919759</v>
      </c>
      <c r="E161" s="166">
        <v>65324.454491965786</v>
      </c>
      <c r="F161" s="190">
        <v>58316.849633919759</v>
      </c>
      <c r="G161" s="190">
        <v>58316.849633919759</v>
      </c>
      <c r="H161" s="190">
        <v>58316.849633919759</v>
      </c>
      <c r="J161" s="190">
        <v>58316.849633919759</v>
      </c>
      <c r="K161" s="166">
        <v>65324.454491965786</v>
      </c>
      <c r="L161" s="190">
        <v>58316.849633919759</v>
      </c>
      <c r="M161" s="190">
        <v>58316.849633919759</v>
      </c>
      <c r="N161" s="190">
        <v>58316.849633919759</v>
      </c>
      <c r="P161" s="190">
        <v>48837.870631415455</v>
      </c>
      <c r="Q161" s="190">
        <v>48837.870631415455</v>
      </c>
      <c r="R161" s="190">
        <v>48837.870631415455</v>
      </c>
      <c r="S161" s="190">
        <v>48837.870631415455</v>
      </c>
      <c r="U161" s="190">
        <v>48837.870631415455</v>
      </c>
      <c r="V161" s="190">
        <v>48837.870631415455</v>
      </c>
      <c r="W161" s="190">
        <v>48837.870631415455</v>
      </c>
      <c r="X161" s="190">
        <v>48837.870631415455</v>
      </c>
      <c r="Z161" s="190">
        <v>51960.815958973835</v>
      </c>
      <c r="AA161" s="166">
        <v>57829.385705825676</v>
      </c>
      <c r="AB161" s="190">
        <v>51960.815958973835</v>
      </c>
      <c r="AC161" s="190">
        <v>51960.815958973835</v>
      </c>
      <c r="AD161" s="190">
        <v>51960.815958973835</v>
      </c>
      <c r="AF161" s="190">
        <v>51960.815958973835</v>
      </c>
      <c r="AG161" s="166">
        <v>57829.385705825676</v>
      </c>
      <c r="AH161" s="190">
        <v>51960.815958973835</v>
      </c>
      <c r="AI161" s="190">
        <v>51960.815958973835</v>
      </c>
      <c r="AJ161" s="190">
        <v>51960.815958973835</v>
      </c>
      <c r="AL161" s="190">
        <v>51625.80563215202</v>
      </c>
      <c r="AM161" s="190">
        <v>51625.80563215202</v>
      </c>
      <c r="AN161" s="190">
        <v>51625.80563215202</v>
      </c>
      <c r="AO161" s="190">
        <v>51625.80563215202</v>
      </c>
      <c r="AQ161" s="190">
        <f t="shared" si="10"/>
        <v>51625.80563215202</v>
      </c>
      <c r="AR161" s="190">
        <f t="shared" si="11"/>
        <v>51625.80563215202</v>
      </c>
      <c r="AS161" s="190">
        <f t="shared" si="12"/>
        <v>51625.80563215202</v>
      </c>
      <c r="AT161" s="190">
        <f t="shared" si="13"/>
        <v>51625.80563215202</v>
      </c>
    </row>
    <row r="162" spans="1:46" x14ac:dyDescent="0.3">
      <c r="A162" s="38">
        <v>2047</v>
      </c>
      <c r="B162" s="166">
        <f>SCRS!AC40/(1+SCRS!$DU$27)^MAX(Outputs!A163-2021,0)</f>
        <v>57922.369637435972</v>
      </c>
      <c r="D162" s="190">
        <v>58969.170904631224</v>
      </c>
      <c r="E162" s="166">
        <v>66055.161507695011</v>
      </c>
      <c r="F162" s="190">
        <v>58969.170904631224</v>
      </c>
      <c r="G162" s="190">
        <v>58969.170904631224</v>
      </c>
      <c r="H162" s="190">
        <v>58969.170904631224</v>
      </c>
      <c r="J162" s="190">
        <v>58969.170904631224</v>
      </c>
      <c r="K162" s="166">
        <v>66055.161507695011</v>
      </c>
      <c r="L162" s="190">
        <v>58969.170904631224</v>
      </c>
      <c r="M162" s="190">
        <v>58969.170904631224</v>
      </c>
      <c r="N162" s="190">
        <v>58969.170904631224</v>
      </c>
      <c r="P162" s="190">
        <v>48730.205575708358</v>
      </c>
      <c r="Q162" s="190">
        <v>48730.205575708358</v>
      </c>
      <c r="R162" s="190">
        <v>48730.205575708358</v>
      </c>
      <c r="S162" s="190">
        <v>48730.205575708358</v>
      </c>
      <c r="U162" s="190">
        <v>48730.205575708358</v>
      </c>
      <c r="V162" s="190">
        <v>48730.205575708358</v>
      </c>
      <c r="W162" s="190">
        <v>48730.205575708358</v>
      </c>
      <c r="X162" s="190">
        <v>48730.205575708358</v>
      </c>
      <c r="Z162" s="190">
        <v>52103.536070959381</v>
      </c>
      <c r="AA162" s="166">
        <v>57959.168319092569</v>
      </c>
      <c r="AB162" s="190">
        <v>52103.536070959381</v>
      </c>
      <c r="AC162" s="190">
        <v>52103.536070959381</v>
      </c>
      <c r="AD162" s="190">
        <v>52103.536070959381</v>
      </c>
      <c r="AF162" s="190">
        <v>52103.536070959381</v>
      </c>
      <c r="AG162" s="166">
        <v>57959.168319092569</v>
      </c>
      <c r="AH162" s="190">
        <v>52103.536070959381</v>
      </c>
      <c r="AI162" s="190">
        <v>52103.536070959381</v>
      </c>
      <c r="AJ162" s="190">
        <v>52103.536070959381</v>
      </c>
      <c r="AL162" s="190">
        <v>51741.665966568027</v>
      </c>
      <c r="AM162" s="190">
        <v>51741.665966568027</v>
      </c>
      <c r="AN162" s="190">
        <v>51741.665966568027</v>
      </c>
      <c r="AO162" s="190">
        <v>51741.665966568027</v>
      </c>
      <c r="AQ162" s="190">
        <f t="shared" si="10"/>
        <v>51741.665966568027</v>
      </c>
      <c r="AR162" s="190">
        <f t="shared" si="11"/>
        <v>51741.665966568027</v>
      </c>
      <c r="AS162" s="190">
        <f t="shared" si="12"/>
        <v>51741.665966568027</v>
      </c>
      <c r="AT162" s="190">
        <f t="shared" si="13"/>
        <v>51741.665966568027</v>
      </c>
    </row>
    <row r="163" spans="1:46" x14ac:dyDescent="0.3">
      <c r="A163" s="38">
        <v>2048</v>
      </c>
      <c r="B163" s="166">
        <f>SCRS!AC41/(1+SCRS!$DU$27)^MAX(Outputs!A164-2021,0)</f>
        <v>58704.436189426779</v>
      </c>
      <c r="D163" s="190">
        <v>59846.611538353776</v>
      </c>
      <c r="E163" s="166">
        <v>67038.039202680637</v>
      </c>
      <c r="F163" s="190">
        <v>59846.611538353776</v>
      </c>
      <c r="G163" s="190">
        <v>59846.611538353776</v>
      </c>
      <c r="H163" s="190">
        <v>59846.611538353776</v>
      </c>
      <c r="J163" s="190">
        <v>59846.611538353776</v>
      </c>
      <c r="K163" s="166">
        <v>67038.039202680637</v>
      </c>
      <c r="L163" s="190">
        <v>59846.611538353776</v>
      </c>
      <c r="M163" s="190">
        <v>59846.611538353776</v>
      </c>
      <c r="N163" s="190">
        <v>59846.611538353776</v>
      </c>
      <c r="P163" s="190">
        <v>48829.201576560408</v>
      </c>
      <c r="Q163" s="190">
        <v>48829.201576560408</v>
      </c>
      <c r="R163" s="190">
        <v>48829.201576560408</v>
      </c>
      <c r="S163" s="190">
        <v>48829.201576560408</v>
      </c>
      <c r="U163" s="190">
        <v>48829.201576560408</v>
      </c>
      <c r="V163" s="190">
        <v>48829.201576560408</v>
      </c>
      <c r="W163" s="190">
        <v>48829.201576560408</v>
      </c>
      <c r="X163" s="190">
        <v>48829.201576560408</v>
      </c>
      <c r="Z163" s="190">
        <v>52458.998514910789</v>
      </c>
      <c r="AA163" s="166">
        <v>58326.526550639719</v>
      </c>
      <c r="AB163" s="190">
        <v>52458.998514910789</v>
      </c>
      <c r="AC163" s="190">
        <v>52458.998514910789</v>
      </c>
      <c r="AD163" s="190">
        <v>52458.998514910789</v>
      </c>
      <c r="AF163" s="190">
        <v>52458.998514910789</v>
      </c>
      <c r="AG163" s="166">
        <v>58326.526550639719</v>
      </c>
      <c r="AH163" s="190">
        <v>52458.998514910789</v>
      </c>
      <c r="AI163" s="190">
        <v>52458.998514910789</v>
      </c>
      <c r="AJ163" s="190">
        <v>52458.998514910789</v>
      </c>
      <c r="AL163" s="190">
        <v>52069.616271205516</v>
      </c>
      <c r="AM163" s="190">
        <v>52069.616271205516</v>
      </c>
      <c r="AN163" s="190">
        <v>52069.616271205516</v>
      </c>
      <c r="AO163" s="190">
        <v>52069.616271205516</v>
      </c>
      <c r="AQ163" s="190">
        <f t="shared" si="10"/>
        <v>52069.616271205516</v>
      </c>
      <c r="AR163" s="190">
        <f t="shared" si="11"/>
        <v>52069.616271205516</v>
      </c>
      <c r="AS163" s="190">
        <f t="shared" si="12"/>
        <v>52069.616271205516</v>
      </c>
      <c r="AT163" s="190">
        <f t="shared" si="13"/>
        <v>52069.616271205516</v>
      </c>
    </row>
    <row r="164" spans="1:46" x14ac:dyDescent="0.3">
      <c r="A164" s="38">
        <v>2049</v>
      </c>
      <c r="B164" s="166">
        <f>SCRS!AC42/(1+SCRS!$DU$27)^MAX(Outputs!A165-2021,0)</f>
        <v>59723.027222324061</v>
      </c>
      <c r="D164" s="190">
        <v>60976.289299511089</v>
      </c>
      <c r="E164" s="166">
        <v>68303.46392919714</v>
      </c>
      <c r="F164" s="190">
        <v>60976.289299511089</v>
      </c>
      <c r="G164" s="190">
        <v>60976.289299511089</v>
      </c>
      <c r="H164" s="190">
        <v>60976.289299511089</v>
      </c>
      <c r="J164" s="190">
        <v>60976.289299511089</v>
      </c>
      <c r="K164" s="166">
        <v>68303.46392919714</v>
      </c>
      <c r="L164" s="190">
        <v>60976.289299511089</v>
      </c>
      <c r="M164" s="190">
        <v>60976.289299511089</v>
      </c>
      <c r="N164" s="190">
        <v>60976.289299511089</v>
      </c>
      <c r="P164" s="190">
        <v>49162.675546272025</v>
      </c>
      <c r="Q164" s="190">
        <v>49162.675546272025</v>
      </c>
      <c r="R164" s="190">
        <v>49162.675546272025</v>
      </c>
      <c r="S164" s="190">
        <v>49162.675546272025</v>
      </c>
      <c r="U164" s="190">
        <v>49162.675546272025</v>
      </c>
      <c r="V164" s="190">
        <v>49162.675546272025</v>
      </c>
      <c r="W164" s="190">
        <v>49162.675546272025</v>
      </c>
      <c r="X164" s="190">
        <v>49162.675546272025</v>
      </c>
      <c r="Z164" s="190">
        <v>53054.789861802237</v>
      </c>
      <c r="AA164" s="166">
        <v>58962.389571924628</v>
      </c>
      <c r="AB164" s="190">
        <v>53054.789861802237</v>
      </c>
      <c r="AC164" s="190">
        <v>53054.789861802237</v>
      </c>
      <c r="AD164" s="190">
        <v>53054.789861802237</v>
      </c>
      <c r="AF164" s="190">
        <v>53054.789861802237</v>
      </c>
      <c r="AG164" s="166">
        <v>58962.389571924628</v>
      </c>
      <c r="AH164" s="190">
        <v>53054.789861802237</v>
      </c>
      <c r="AI164" s="190">
        <v>53054.789861802237</v>
      </c>
      <c r="AJ164" s="190">
        <v>53054.789861802237</v>
      </c>
      <c r="AL164" s="190">
        <v>52637.26782663646</v>
      </c>
      <c r="AM164" s="190">
        <v>52637.26782663646</v>
      </c>
      <c r="AN164" s="190">
        <v>52637.26782663646</v>
      </c>
      <c r="AO164" s="190">
        <v>52637.26782663646</v>
      </c>
      <c r="AQ164" s="190">
        <f t="shared" si="10"/>
        <v>52637.26782663646</v>
      </c>
      <c r="AR164" s="190">
        <f t="shared" si="11"/>
        <v>52637.26782663646</v>
      </c>
      <c r="AS164" s="190">
        <f t="shared" si="12"/>
        <v>52637.26782663646</v>
      </c>
      <c r="AT164" s="190">
        <f t="shared" si="13"/>
        <v>52637.26782663646</v>
      </c>
    </row>
    <row r="165" spans="1:46" x14ac:dyDescent="0.3">
      <c r="A165" s="38">
        <v>2050</v>
      </c>
      <c r="B165" s="166">
        <f>SCRS!AC43/(1+SCRS!$DU$27)^MAX(Outputs!A166-2021,0)</f>
        <v>61001.001006893828</v>
      </c>
      <c r="D165" s="190">
        <v>62382.995321871764</v>
      </c>
      <c r="E165" s="166">
        <v>69879.205830862295</v>
      </c>
      <c r="F165" s="190">
        <v>62382.995321871764</v>
      </c>
      <c r="G165" s="190">
        <v>62382.995321871764</v>
      </c>
      <c r="H165" s="190">
        <v>62382.995321871764</v>
      </c>
      <c r="J165" s="190">
        <v>62382.995321871764</v>
      </c>
      <c r="K165" s="166">
        <v>69879.205830862295</v>
      </c>
      <c r="L165" s="190">
        <v>62382.995321871764</v>
      </c>
      <c r="M165" s="190">
        <v>62382.995321871764</v>
      </c>
      <c r="N165" s="190">
        <v>62382.995321871764</v>
      </c>
      <c r="P165" s="190">
        <v>49756.184065030102</v>
      </c>
      <c r="Q165" s="190">
        <v>49756.184065030102</v>
      </c>
      <c r="R165" s="190">
        <v>49756.184065030102</v>
      </c>
      <c r="S165" s="190">
        <v>49756.184065030102</v>
      </c>
      <c r="U165" s="190">
        <v>49756.184065030102</v>
      </c>
      <c r="V165" s="190">
        <v>49756.184065030102</v>
      </c>
      <c r="W165" s="190">
        <v>49756.184065030102</v>
      </c>
      <c r="X165" s="190">
        <v>49756.184065030102</v>
      </c>
      <c r="Z165" s="190">
        <v>53916.214507770528</v>
      </c>
      <c r="AA165" s="166">
        <v>59895.132768285286</v>
      </c>
      <c r="AB165" s="190">
        <v>53916.214507770528</v>
      </c>
      <c r="AC165" s="190">
        <v>53916.214507770528</v>
      </c>
      <c r="AD165" s="190">
        <v>53916.214507770528</v>
      </c>
      <c r="AF165" s="190">
        <v>53916.214507770528</v>
      </c>
      <c r="AG165" s="166">
        <v>59895.132768285286</v>
      </c>
      <c r="AH165" s="190">
        <v>53916.214507770528</v>
      </c>
      <c r="AI165" s="190">
        <v>53916.214507770528</v>
      </c>
      <c r="AJ165" s="190">
        <v>53916.214507770528</v>
      </c>
      <c r="AL165" s="190">
        <v>53469.952081748241</v>
      </c>
      <c r="AM165" s="190">
        <v>53469.952081748241</v>
      </c>
      <c r="AN165" s="190">
        <v>53469.952081748241</v>
      </c>
      <c r="AO165" s="190">
        <v>53469.952081748241</v>
      </c>
      <c r="AQ165" s="190">
        <f t="shared" si="10"/>
        <v>53469.952081748241</v>
      </c>
      <c r="AR165" s="190">
        <f t="shared" si="11"/>
        <v>53469.952081748241</v>
      </c>
      <c r="AS165" s="190">
        <f t="shared" si="12"/>
        <v>53469.952081748241</v>
      </c>
      <c r="AT165" s="190">
        <f t="shared" si="13"/>
        <v>53469.952081748241</v>
      </c>
    </row>
    <row r="166" spans="1:46" x14ac:dyDescent="0.3">
      <c r="AL166" s="190"/>
      <c r="AM166" s="190"/>
      <c r="AN166" s="190"/>
      <c r="AO166" s="190"/>
      <c r="AQ166" s="190"/>
      <c r="AR166" s="190"/>
      <c r="AS166" s="190"/>
      <c r="AT166" s="190"/>
    </row>
    <row r="167" spans="1:46" x14ac:dyDescent="0.3">
      <c r="A167" s="38"/>
      <c r="B167" s="38"/>
      <c r="D167" s="38"/>
      <c r="F167" s="38"/>
      <c r="G167" s="38"/>
      <c r="H167" s="38"/>
      <c r="J167" s="38"/>
      <c r="L167" s="38"/>
      <c r="M167" s="38"/>
      <c r="N167" s="38"/>
      <c r="P167" s="38"/>
      <c r="Q167" s="38"/>
      <c r="R167" s="38"/>
      <c r="S167" s="38"/>
      <c r="U167" s="38"/>
      <c r="V167" s="38"/>
      <c r="W167" s="38"/>
      <c r="X167" s="38"/>
      <c r="Z167" s="38"/>
      <c r="AB167" s="38"/>
      <c r="AC167" s="38"/>
      <c r="AD167" s="38"/>
      <c r="AF167" s="38"/>
      <c r="AH167" s="38"/>
      <c r="AI167" s="38"/>
      <c r="AJ167" s="38"/>
      <c r="AL167" s="38"/>
      <c r="AM167" s="38"/>
      <c r="AN167" s="38"/>
      <c r="AO167" s="38"/>
      <c r="AQ167" s="38"/>
      <c r="AR167" s="38"/>
      <c r="AS167" s="38"/>
      <c r="AT167" s="38"/>
    </row>
    <row r="168" spans="1:46" x14ac:dyDescent="0.3">
      <c r="A168" s="38"/>
      <c r="B168" s="38" t="s">
        <v>303</v>
      </c>
      <c r="D168" s="38" t="s">
        <v>303</v>
      </c>
      <c r="E168" s="38" t="s">
        <v>303</v>
      </c>
      <c r="F168" s="38" t="s">
        <v>303</v>
      </c>
      <c r="G168" s="38" t="s">
        <v>303</v>
      </c>
      <c r="H168" s="38" t="s">
        <v>303</v>
      </c>
      <c r="J168" s="38" t="s">
        <v>303</v>
      </c>
      <c r="K168" s="38" t="s">
        <v>303</v>
      </c>
      <c r="L168" s="38" t="s">
        <v>303</v>
      </c>
      <c r="M168" s="38" t="s">
        <v>303</v>
      </c>
      <c r="N168" s="38" t="s">
        <v>303</v>
      </c>
      <c r="P168" s="38" t="s">
        <v>303</v>
      </c>
      <c r="Q168" s="38" t="s">
        <v>303</v>
      </c>
      <c r="R168" s="38" t="s">
        <v>303</v>
      </c>
      <c r="S168" s="38" t="s">
        <v>303</v>
      </c>
      <c r="U168" s="38" t="s">
        <v>303</v>
      </c>
      <c r="V168" s="38" t="s">
        <v>303</v>
      </c>
      <c r="W168" s="38" t="s">
        <v>303</v>
      </c>
      <c r="X168" s="38" t="s">
        <v>303</v>
      </c>
      <c r="Z168" s="38" t="s">
        <v>303</v>
      </c>
      <c r="AA168" s="38" t="s">
        <v>303</v>
      </c>
      <c r="AB168" s="38" t="s">
        <v>303</v>
      </c>
      <c r="AC168" s="38" t="s">
        <v>303</v>
      </c>
      <c r="AD168" s="38" t="s">
        <v>303</v>
      </c>
      <c r="AF168" s="38" t="s">
        <v>303</v>
      </c>
      <c r="AG168" s="38" t="s">
        <v>303</v>
      </c>
      <c r="AH168" s="38" t="s">
        <v>303</v>
      </c>
      <c r="AI168" s="38" t="s">
        <v>303</v>
      </c>
      <c r="AJ168" s="38" t="s">
        <v>303</v>
      </c>
      <c r="AL168" s="38" t="s">
        <v>303</v>
      </c>
      <c r="AM168" s="38" t="s">
        <v>303</v>
      </c>
      <c r="AN168" s="38" t="s">
        <v>303</v>
      </c>
      <c r="AO168" s="38" t="s">
        <v>303</v>
      </c>
      <c r="AQ168" s="38" t="s">
        <v>303</v>
      </c>
      <c r="AR168" s="38" t="s">
        <v>303</v>
      </c>
      <c r="AS168" s="38" t="s">
        <v>303</v>
      </c>
      <c r="AT168" s="38" t="s">
        <v>303</v>
      </c>
    </row>
    <row r="169" spans="1:46" x14ac:dyDescent="0.3">
      <c r="A169" s="38">
        <v>2021</v>
      </c>
      <c r="B169" s="166">
        <f>SCRS!AK14/(1+SCRS!$DU$27)^MAX(Outputs!A170-2021,0)</f>
        <v>33490.305999999997</v>
      </c>
      <c r="D169" s="190">
        <v>33149.493913374892</v>
      </c>
      <c r="E169" s="166">
        <v>33149.493913374892</v>
      </c>
      <c r="F169" s="190">
        <v>33149.493913374892</v>
      </c>
      <c r="G169" s="190">
        <v>33149.493913374892</v>
      </c>
      <c r="H169" s="190">
        <v>33149.493913374892</v>
      </c>
      <c r="J169" s="190">
        <v>33149.493913374892</v>
      </c>
      <c r="K169" s="166">
        <v>33149.493913374892</v>
      </c>
      <c r="L169" s="190">
        <v>33149.493913374892</v>
      </c>
      <c r="M169" s="190">
        <v>33149.493913374892</v>
      </c>
      <c r="N169" s="190">
        <v>33149.493913374892</v>
      </c>
      <c r="P169" s="190">
        <v>33110.800229524008</v>
      </c>
      <c r="Q169" s="190">
        <v>33110.800229524008</v>
      </c>
      <c r="R169" s="190">
        <v>33110.800229524008</v>
      </c>
      <c r="S169" s="190">
        <v>33110.800229524008</v>
      </c>
      <c r="U169" s="190">
        <v>33110.800229524008</v>
      </c>
      <c r="V169" s="190">
        <v>33110.800229524008</v>
      </c>
      <c r="W169" s="190">
        <v>33110.800229524008</v>
      </c>
      <c r="X169" s="190">
        <v>33110.800229524008</v>
      </c>
      <c r="Z169" s="190">
        <v>33110.800229524008</v>
      </c>
      <c r="AA169" s="166">
        <v>33110.800229524008</v>
      </c>
      <c r="AB169" s="190">
        <v>33110.800229524008</v>
      </c>
      <c r="AC169" s="190">
        <v>33110.800229524008</v>
      </c>
      <c r="AD169" s="190">
        <v>33110.800229524008</v>
      </c>
      <c r="AF169" s="190">
        <v>33110.800229524008</v>
      </c>
      <c r="AG169" s="166">
        <v>33110.800229524008</v>
      </c>
      <c r="AH169" s="190">
        <v>33110.800229524008</v>
      </c>
      <c r="AI169" s="190">
        <v>33110.800229524008</v>
      </c>
      <c r="AJ169" s="190">
        <v>33110.800229524008</v>
      </c>
      <c r="AL169" s="190">
        <v>33197.861018188501</v>
      </c>
      <c r="AM169" s="190">
        <v>33197.861018188501</v>
      </c>
      <c r="AN169" s="190">
        <v>33197.861018188501</v>
      </c>
      <c r="AO169" s="190">
        <v>33197.861018188501</v>
      </c>
      <c r="AQ169" s="190">
        <v>33197.861018188501</v>
      </c>
      <c r="AR169" s="190">
        <v>33197.861018188501</v>
      </c>
      <c r="AS169" s="190">
        <v>33197.861018188501</v>
      </c>
      <c r="AT169" s="190">
        <v>33197.861018188501</v>
      </c>
    </row>
    <row r="170" spans="1:46" x14ac:dyDescent="0.3">
      <c r="A170" s="38">
        <v>2022</v>
      </c>
      <c r="B170" s="166">
        <f>SCRS!AK15/(1+SCRS!$DU$27)^MAX(Outputs!A171-2021,0)</f>
        <v>32739.248543766738</v>
      </c>
      <c r="D170" s="190">
        <v>34200.331484685717</v>
      </c>
      <c r="E170" s="166">
        <v>33878.422002089035</v>
      </c>
      <c r="F170" s="190">
        <v>34301.496085495382</v>
      </c>
      <c r="G170" s="190">
        <v>34706.154488734064</v>
      </c>
      <c r="H170" s="190">
        <v>35211.977492782404</v>
      </c>
      <c r="J170" s="190">
        <v>24227.016096283234</v>
      </c>
      <c r="K170" s="166">
        <v>24227.016096283234</v>
      </c>
      <c r="L170" s="190">
        <v>24312.275733320705</v>
      </c>
      <c r="M170" s="190">
        <v>24653.314281470586</v>
      </c>
      <c r="N170" s="190">
        <v>25079.612466657938</v>
      </c>
      <c r="P170" s="190">
        <v>34124.286546607553</v>
      </c>
      <c r="Q170" s="190">
        <v>34225.451147417225</v>
      </c>
      <c r="R170" s="190">
        <v>34630.1095506559</v>
      </c>
      <c r="S170" s="190">
        <v>35135.932554704239</v>
      </c>
      <c r="U170" s="190">
        <v>24168.291963537591</v>
      </c>
      <c r="V170" s="190">
        <v>24253.551600575065</v>
      </c>
      <c r="W170" s="190">
        <v>24594.590148724947</v>
      </c>
      <c r="X170" s="190">
        <v>25020.888333912299</v>
      </c>
      <c r="Z170" s="190">
        <v>34300.402076656668</v>
      </c>
      <c r="AA170" s="166">
        <v>34080.307567987285</v>
      </c>
      <c r="AB170" s="190">
        <v>34401.56667746634</v>
      </c>
      <c r="AC170" s="190">
        <v>34806.225080705008</v>
      </c>
      <c r="AD170" s="190">
        <v>35312.048084753354</v>
      </c>
      <c r="AF170" s="190">
        <v>24316.718844565865</v>
      </c>
      <c r="AG170" s="166">
        <v>24403.16745454846</v>
      </c>
      <c r="AH170" s="190">
        <v>24401.978481603335</v>
      </c>
      <c r="AI170" s="190">
        <v>24743.017029753217</v>
      </c>
      <c r="AJ170" s="190">
        <v>25169.315214940569</v>
      </c>
      <c r="AL170" s="190">
        <v>34391.507254036631</v>
      </c>
      <c r="AM170" s="190">
        <v>34492.671854846303</v>
      </c>
      <c r="AN170" s="190">
        <v>34897.33025808497</v>
      </c>
      <c r="AO170" s="190">
        <v>35403.153262133317</v>
      </c>
      <c r="AQ170" s="190">
        <v>24381.429064013311</v>
      </c>
      <c r="AR170" s="190">
        <v>24466.688701050785</v>
      </c>
      <c r="AS170" s="190">
        <v>24807.727249200667</v>
      </c>
      <c r="AT170" s="190">
        <v>25234.025434388019</v>
      </c>
    </row>
    <row r="171" spans="1:46" x14ac:dyDescent="0.3">
      <c r="A171" s="38">
        <v>2023</v>
      </c>
      <c r="B171" s="166">
        <f>SCRS!AK16/(1+SCRS!$DU$27)^MAX(Outputs!A172-2021,0)</f>
        <v>33903.960240968561</v>
      </c>
      <c r="D171" s="190">
        <v>35417.086218931712</v>
      </c>
      <c r="E171" s="166">
        <v>34750.635658163374</v>
      </c>
      <c r="F171" s="190">
        <v>35522.950397774104</v>
      </c>
      <c r="G171" s="190">
        <v>35946.407113143672</v>
      </c>
      <c r="H171" s="190">
        <v>36475.728007355632</v>
      </c>
      <c r="J171" s="190">
        <v>25921.329183311787</v>
      </c>
      <c r="K171" s="166">
        <v>25921.329183311787</v>
      </c>
      <c r="L171" s="190">
        <v>26013.88487730845</v>
      </c>
      <c r="M171" s="190">
        <v>26384.107653295119</v>
      </c>
      <c r="N171" s="190">
        <v>26846.886123278458</v>
      </c>
      <c r="P171" s="190">
        <v>35265.518832829497</v>
      </c>
      <c r="Q171" s="190">
        <v>35371.383011671889</v>
      </c>
      <c r="R171" s="190">
        <v>35794.83972704145</v>
      </c>
      <c r="S171" s="190">
        <v>36324.160621253417</v>
      </c>
      <c r="U171" s="190">
        <v>25784.256702268744</v>
      </c>
      <c r="V171" s="190">
        <v>25876.812396265414</v>
      </c>
      <c r="W171" s="190">
        <v>26247.035172252079</v>
      </c>
      <c r="X171" s="190">
        <v>26709.813642235415</v>
      </c>
      <c r="Z171" s="190">
        <v>35449.815768920009</v>
      </c>
      <c r="AA171" s="166">
        <v>35444.16173696069</v>
      </c>
      <c r="AB171" s="190">
        <v>35555.679947762401</v>
      </c>
      <c r="AC171" s="190">
        <v>35979.136663131962</v>
      </c>
      <c r="AD171" s="190">
        <v>36508.457557343929</v>
      </c>
      <c r="AF171" s="190">
        <v>25945.385150133174</v>
      </c>
      <c r="AG171" s="166">
        <v>26608.080093211825</v>
      </c>
      <c r="AH171" s="190">
        <v>26037.940844129844</v>
      </c>
      <c r="AI171" s="190">
        <v>26408.163620116509</v>
      </c>
      <c r="AJ171" s="190">
        <v>26870.942090099848</v>
      </c>
      <c r="AL171" s="190">
        <v>35638.015117526476</v>
      </c>
      <c r="AM171" s="190">
        <v>35743.879296368868</v>
      </c>
      <c r="AN171" s="190">
        <v>36167.336011738429</v>
      </c>
      <c r="AO171" s="190">
        <v>36696.656905950389</v>
      </c>
      <c r="AQ171" s="190">
        <v>26110.214631240644</v>
      </c>
      <c r="AR171" s="190">
        <v>26202.770325237314</v>
      </c>
      <c r="AS171" s="190">
        <v>26572.993101223983</v>
      </c>
      <c r="AT171" s="190">
        <v>27035.771571207319</v>
      </c>
    </row>
    <row r="172" spans="1:46" x14ac:dyDescent="0.3">
      <c r="A172" s="38">
        <v>2024</v>
      </c>
      <c r="B172" s="166">
        <f>SCRS!AK17/(1+SCRS!$DU$27)^MAX(Outputs!A173-2021,0)</f>
        <v>35030.281163727239</v>
      </c>
      <c r="D172" s="190">
        <v>36809.579984157281</v>
      </c>
      <c r="E172" s="166">
        <v>35773.494175537817</v>
      </c>
      <c r="F172" s="190">
        <v>36920.362058838313</v>
      </c>
      <c r="G172" s="190">
        <v>37363.490357562456</v>
      </c>
      <c r="H172" s="190">
        <v>37917.400730967638</v>
      </c>
      <c r="J172" s="190">
        <v>27882.055232475777</v>
      </c>
      <c r="K172" s="166">
        <v>27882.055232475781</v>
      </c>
      <c r="L172" s="190">
        <v>27982.531340384136</v>
      </c>
      <c r="M172" s="190">
        <v>28384.435772017587</v>
      </c>
      <c r="N172" s="190">
        <v>28886.8163115594</v>
      </c>
      <c r="P172" s="190">
        <v>36531.178036175734</v>
      </c>
      <c r="Q172" s="190">
        <v>36641.960110856773</v>
      </c>
      <c r="R172" s="190">
        <v>37085.088409580901</v>
      </c>
      <c r="S172" s="190">
        <v>37638.998782986091</v>
      </c>
      <c r="U172" s="190">
        <v>27611.240711094251</v>
      </c>
      <c r="V172" s="190">
        <v>27711.716819002617</v>
      </c>
      <c r="W172" s="190">
        <v>28113.621250636064</v>
      </c>
      <c r="X172" s="190">
        <v>28616.001790177877</v>
      </c>
      <c r="Z172" s="190">
        <v>36724.036443624973</v>
      </c>
      <c r="AA172" s="166">
        <v>36762.178141442586</v>
      </c>
      <c r="AB172" s="190">
        <v>36834.818518306012</v>
      </c>
      <c r="AC172" s="190">
        <v>37277.946817030148</v>
      </c>
      <c r="AD172" s="190">
        <v>37831.85719043533</v>
      </c>
      <c r="AF172" s="190">
        <v>27786.157656942196</v>
      </c>
      <c r="AG172" s="166">
        <v>29041.483518567962</v>
      </c>
      <c r="AH172" s="190">
        <v>27886.633764850561</v>
      </c>
      <c r="AI172" s="190">
        <v>28288.538196484005</v>
      </c>
      <c r="AJ172" s="190">
        <v>28790.918736025818</v>
      </c>
      <c r="AL172" s="190">
        <v>37031.013947040956</v>
      </c>
      <c r="AM172" s="190">
        <v>37141.796021721995</v>
      </c>
      <c r="AN172" s="190">
        <v>37584.924320446138</v>
      </c>
      <c r="AO172" s="190">
        <v>38138.834693851313</v>
      </c>
      <c r="AQ172" s="190">
        <v>28077.165613830548</v>
      </c>
      <c r="AR172" s="190">
        <v>28177.641721738913</v>
      </c>
      <c r="AS172" s="190">
        <v>28579.546153372361</v>
      </c>
      <c r="AT172" s="190">
        <v>29081.92669291417</v>
      </c>
    </row>
    <row r="173" spans="1:46" x14ac:dyDescent="0.3">
      <c r="A173" s="38">
        <v>2025</v>
      </c>
      <c r="B173" s="166">
        <f>SCRS!AK18/(1+SCRS!$DU$27)^MAX(Outputs!A174-2021,0)</f>
        <v>36132.244530752898</v>
      </c>
      <c r="D173" s="190">
        <v>38261.583841148764</v>
      </c>
      <c r="E173" s="166">
        <v>36954.513128301674</v>
      </c>
      <c r="F173" s="190">
        <v>38377.512271377323</v>
      </c>
      <c r="G173" s="190">
        <v>38841.225992291591</v>
      </c>
      <c r="H173" s="190">
        <v>39420.868143434425</v>
      </c>
      <c r="J173" s="190">
        <v>30005.29579683518</v>
      </c>
      <c r="K173" s="166">
        <v>30134.029529973624</v>
      </c>
      <c r="L173" s="190">
        <v>30114.37010468679</v>
      </c>
      <c r="M173" s="190">
        <v>30550.66733609328</v>
      </c>
      <c r="N173" s="190">
        <v>31096.038875351383</v>
      </c>
      <c r="P173" s="190">
        <v>37815.161670785194</v>
      </c>
      <c r="Q173" s="190">
        <v>37931.090101013768</v>
      </c>
      <c r="R173" s="190">
        <v>38394.803821928013</v>
      </c>
      <c r="S173" s="190">
        <v>38974.445973070855</v>
      </c>
      <c r="U173" s="190">
        <v>29553.341573669259</v>
      </c>
      <c r="V173" s="190">
        <v>29662.415881520887</v>
      </c>
      <c r="W173" s="190">
        <v>30098.713112927366</v>
      </c>
      <c r="X173" s="190">
        <v>30644.084652185466</v>
      </c>
      <c r="Z173" s="190">
        <v>38017.120190313923</v>
      </c>
      <c r="AA173" s="166">
        <v>38048.0959518335</v>
      </c>
      <c r="AB173" s="190">
        <v>38133.04862054249</v>
      </c>
      <c r="AC173" s="190">
        <v>38596.762341456742</v>
      </c>
      <c r="AD173" s="190">
        <v>39176.404492599577</v>
      </c>
      <c r="AF173" s="190">
        <v>29852.916098709517</v>
      </c>
      <c r="AG173" s="166">
        <v>31752.009010124439</v>
      </c>
      <c r="AH173" s="190">
        <v>29954.529709679508</v>
      </c>
      <c r="AI173" s="190">
        <v>30360.984153559435</v>
      </c>
      <c r="AJ173" s="190">
        <v>30869.052208409357</v>
      </c>
      <c r="AL173" s="190">
        <v>38461.660762196487</v>
      </c>
      <c r="AM173" s="190">
        <v>38577.589192425054</v>
      </c>
      <c r="AN173" s="190">
        <v>39041.302913339321</v>
      </c>
      <c r="AO173" s="190">
        <v>39620.945064482141</v>
      </c>
      <c r="AQ173" s="190">
        <v>30184.872227036587</v>
      </c>
      <c r="AR173" s="190">
        <v>30293.946534888211</v>
      </c>
      <c r="AS173" s="190">
        <v>30730.243766294694</v>
      </c>
      <c r="AT173" s="190">
        <v>31275.615305552798</v>
      </c>
    </row>
    <row r="174" spans="1:46" x14ac:dyDescent="0.3">
      <c r="A174" s="38">
        <v>2026</v>
      </c>
      <c r="B174" s="166">
        <f>SCRS!AK19/(1+SCRS!$DU$27)^MAX(Outputs!A175-2021,0)</f>
        <v>37207.152787896666</v>
      </c>
      <c r="D174" s="190">
        <v>39776.080368140276</v>
      </c>
      <c r="E174" s="166">
        <v>38048.108216889334</v>
      </c>
      <c r="F174" s="190">
        <v>39897.394226667959</v>
      </c>
      <c r="G174" s="190">
        <v>40382.649660778734</v>
      </c>
      <c r="H174" s="190">
        <v>40989.218953417207</v>
      </c>
      <c r="J174" s="190">
        <v>30844.029614097672</v>
      </c>
      <c r="K174" s="166">
        <v>31230.931957471301</v>
      </c>
      <c r="L174" s="190">
        <v>30957.10420218834</v>
      </c>
      <c r="M174" s="190">
        <v>31409.402554551049</v>
      </c>
      <c r="N174" s="190">
        <v>31974.775495004444</v>
      </c>
      <c r="P174" s="190">
        <v>39118.956776790539</v>
      </c>
      <c r="Q174" s="190">
        <v>39240.270635318237</v>
      </c>
      <c r="R174" s="190">
        <v>39725.52606942899</v>
      </c>
      <c r="S174" s="190">
        <v>40332.095362067463</v>
      </c>
      <c r="U174" s="190">
        <v>30186.391004164299</v>
      </c>
      <c r="V174" s="190">
        <v>30299.465592254983</v>
      </c>
      <c r="W174" s="190">
        <v>30751.763944617687</v>
      </c>
      <c r="X174" s="190">
        <v>31317.136885071079</v>
      </c>
      <c r="Z174" s="190">
        <v>39330.766551905064</v>
      </c>
      <c r="AA174" s="166">
        <v>39300.216582362256</v>
      </c>
      <c r="AB174" s="190">
        <v>39452.080410432769</v>
      </c>
      <c r="AC174" s="190">
        <v>39937.33584454353</v>
      </c>
      <c r="AD174" s="190">
        <v>40543.905137181988</v>
      </c>
      <c r="AF174" s="190">
        <v>30699.780328551074</v>
      </c>
      <c r="AG174" s="166">
        <v>33171.506911725373</v>
      </c>
      <c r="AH174" s="190">
        <v>30797.364578894634</v>
      </c>
      <c r="AI174" s="190">
        <v>31187.701580268826</v>
      </c>
      <c r="AJ174" s="190">
        <v>31675.62283198658</v>
      </c>
      <c r="AL174" s="190">
        <v>39932.7164620361</v>
      </c>
      <c r="AM174" s="190">
        <v>40054.030320563797</v>
      </c>
      <c r="AN174" s="190">
        <v>40539.285754674565</v>
      </c>
      <c r="AO174" s="190">
        <v>41145.855047313024</v>
      </c>
      <c r="AQ174" s="190">
        <v>31021.788046557314</v>
      </c>
      <c r="AR174" s="190">
        <v>31127.106613472548</v>
      </c>
      <c r="AS174" s="190">
        <v>31548.380881133435</v>
      </c>
      <c r="AT174" s="190">
        <v>32108.445030789619</v>
      </c>
    </row>
    <row r="175" spans="1:46" x14ac:dyDescent="0.3">
      <c r="A175" s="38">
        <v>2027</v>
      </c>
      <c r="B175" s="166">
        <f>SCRS!AK20/(1+SCRS!$DU$27)^MAX(Outputs!A176-2021,0)</f>
        <v>38223.787991555197</v>
      </c>
      <c r="D175" s="190">
        <v>41356.196226789572</v>
      </c>
      <c r="E175" s="166">
        <v>39177.096636063739</v>
      </c>
      <c r="F175" s="190">
        <v>41483.14569243713</v>
      </c>
      <c r="G175" s="190">
        <v>41990.943555027377</v>
      </c>
      <c r="H175" s="190">
        <v>42625.69088326519</v>
      </c>
      <c r="J175" s="190">
        <v>31708.809771556</v>
      </c>
      <c r="K175" s="166">
        <v>32492.861213934739</v>
      </c>
      <c r="L175" s="190">
        <v>31826.031349429948</v>
      </c>
      <c r="M175" s="190">
        <v>32294.917660925767</v>
      </c>
      <c r="N175" s="190">
        <v>32881.025550295541</v>
      </c>
      <c r="P175" s="190">
        <v>40444.202147043026</v>
      </c>
      <c r="Q175" s="190">
        <v>40571.151612690584</v>
      </c>
      <c r="R175" s="190">
        <v>41078.949475280817</v>
      </c>
      <c r="S175" s="190">
        <v>41713.696803518629</v>
      </c>
      <c r="U175" s="190">
        <v>30803.632119040874</v>
      </c>
      <c r="V175" s="190">
        <v>30920.853696914834</v>
      </c>
      <c r="W175" s="190">
        <v>31389.740008410645</v>
      </c>
      <c r="X175" s="190">
        <v>31975.847897780419</v>
      </c>
      <c r="Z175" s="190">
        <v>40666.786283653848</v>
      </c>
      <c r="AA175" s="166">
        <v>40491.538997173382</v>
      </c>
      <c r="AB175" s="190">
        <v>40793.735749301421</v>
      </c>
      <c r="AC175" s="190">
        <v>41301.533611891653</v>
      </c>
      <c r="AD175" s="190">
        <v>41936.280940129451</v>
      </c>
      <c r="AF175" s="190">
        <v>31575.335542109064</v>
      </c>
      <c r="AG175" s="166">
        <v>34619.710506849005</v>
      </c>
      <c r="AH175" s="190">
        <v>31668.75990673764</v>
      </c>
      <c r="AI175" s="190">
        <v>32042.457365251907</v>
      </c>
      <c r="AJ175" s="190">
        <v>32509.57918839475</v>
      </c>
      <c r="AL175" s="190">
        <v>41447.104517522428</v>
      </c>
      <c r="AM175" s="190">
        <v>41574.053983169993</v>
      </c>
      <c r="AN175" s="190">
        <v>42081.85184576024</v>
      </c>
      <c r="AO175" s="190">
        <v>42716.599173998031</v>
      </c>
      <c r="AQ175" s="190">
        <v>31884.547344162609</v>
      </c>
      <c r="AR175" s="190">
        <v>31985.427665721785</v>
      </c>
      <c r="AS175" s="190">
        <v>32388.948951958431</v>
      </c>
      <c r="AT175" s="190">
        <v>32946.919150182563</v>
      </c>
    </row>
    <row r="176" spans="1:46" x14ac:dyDescent="0.3">
      <c r="A176" s="38">
        <v>2028</v>
      </c>
      <c r="B176" s="166">
        <f>SCRS!AK21/(1+SCRS!$DU$27)^MAX(Outputs!A177-2021,0)</f>
        <v>39269.541070250758</v>
      </c>
      <c r="D176" s="190">
        <v>43005.208939906333</v>
      </c>
      <c r="E176" s="166">
        <v>40343.004548228382</v>
      </c>
      <c r="F176" s="190">
        <v>43138.055813493513</v>
      </c>
      <c r="G176" s="190">
        <v>43669.44330784223</v>
      </c>
      <c r="H176" s="190">
        <v>44333.677675778134</v>
      </c>
      <c r="J176" s="190">
        <v>32600.819632455077</v>
      </c>
      <c r="K176" s="166">
        <v>33927.984045163947</v>
      </c>
      <c r="L176" s="190">
        <v>32722.340290202155</v>
      </c>
      <c r="M176" s="190">
        <v>33208.422921190482</v>
      </c>
      <c r="N176" s="190">
        <v>33816.026209925891</v>
      </c>
      <c r="P176" s="190">
        <v>41792.632821706051</v>
      </c>
      <c r="Q176" s="190">
        <v>41925.47969529323</v>
      </c>
      <c r="R176" s="190">
        <v>42456.867189641933</v>
      </c>
      <c r="S176" s="190">
        <v>43121.101557577844</v>
      </c>
      <c r="U176" s="190">
        <v>31533.82682570145</v>
      </c>
      <c r="V176" s="190">
        <v>31526.757976584631</v>
      </c>
      <c r="W176" s="190">
        <v>32012.840607572954</v>
      </c>
      <c r="X176" s="190">
        <v>32620.443896308363</v>
      </c>
      <c r="Z176" s="190">
        <v>42027.099048590033</v>
      </c>
      <c r="AA176" s="166">
        <v>41695.920026332766</v>
      </c>
      <c r="AB176" s="190">
        <v>42159.945922177219</v>
      </c>
      <c r="AC176" s="190">
        <v>42691.333416525915</v>
      </c>
      <c r="AD176" s="190">
        <v>43355.567784461811</v>
      </c>
      <c r="AF176" s="190">
        <v>32555.040535801618</v>
      </c>
      <c r="AG176" s="166">
        <v>36162.517820981244</v>
      </c>
      <c r="AH176" s="190">
        <v>32644.158308174461</v>
      </c>
      <c r="AI176" s="190">
        <v>33000.629397665776</v>
      </c>
      <c r="AJ176" s="190">
        <v>33446.218259529931</v>
      </c>
      <c r="AL176" s="190">
        <v>43007.911072859322</v>
      </c>
      <c r="AM176" s="190">
        <v>43140.757946446509</v>
      </c>
      <c r="AN176" s="190">
        <v>43672.145440795226</v>
      </c>
      <c r="AO176" s="190">
        <v>44336.379808731101</v>
      </c>
      <c r="AQ176" s="190">
        <v>32850.809721672376</v>
      </c>
      <c r="AR176" s="190">
        <v>32947.089360238664</v>
      </c>
      <c r="AS176" s="190">
        <v>33332.207914503779</v>
      </c>
      <c r="AT176" s="190">
        <v>33866.571064669195</v>
      </c>
    </row>
    <row r="177" spans="1:46" x14ac:dyDescent="0.3">
      <c r="A177" s="38">
        <v>2029</v>
      </c>
      <c r="B177" s="166">
        <f>SCRS!AK22/(1+SCRS!$DU$27)^MAX(Outputs!A178-2021,0)</f>
        <v>40344.636176429958</v>
      </c>
      <c r="D177" s="190">
        <v>44726.553985088001</v>
      </c>
      <c r="E177" s="166">
        <v>41547.41975905023</v>
      </c>
      <c r="F177" s="190">
        <v>44865.572229330814</v>
      </c>
      <c r="G177" s="190">
        <v>45421.645206302092</v>
      </c>
      <c r="H177" s="190">
        <v>46116.736427516189</v>
      </c>
      <c r="J177" s="190">
        <v>33521.291631206994</v>
      </c>
      <c r="K177" s="166">
        <v>34897.129555384417</v>
      </c>
      <c r="L177" s="190">
        <v>33647.269036793201</v>
      </c>
      <c r="M177" s="190">
        <v>34151.178659138073</v>
      </c>
      <c r="N177" s="190">
        <v>34781.06568706916</v>
      </c>
      <c r="P177" s="190">
        <v>43166.082052358761</v>
      </c>
      <c r="Q177" s="190">
        <v>43305.10029660158</v>
      </c>
      <c r="R177" s="190">
        <v>43861.173273572844</v>
      </c>
      <c r="S177" s="190">
        <v>44556.264494786941</v>
      </c>
      <c r="U177" s="190">
        <v>32080.896364745659</v>
      </c>
      <c r="V177" s="190">
        <v>32117.415546661963</v>
      </c>
      <c r="W177" s="190">
        <v>32621.325169006825</v>
      </c>
      <c r="X177" s="190">
        <v>33251.212196937915</v>
      </c>
      <c r="Z177" s="190">
        <v>43413.738516319288</v>
      </c>
      <c r="AA177" s="166">
        <v>42915.466760917021</v>
      </c>
      <c r="AB177" s="190">
        <v>43552.756760562123</v>
      </c>
      <c r="AC177" s="190">
        <v>44108.829737533371</v>
      </c>
      <c r="AD177" s="190">
        <v>44803.920958747462</v>
      </c>
      <c r="AF177" s="190">
        <v>33505.473354362293</v>
      </c>
      <c r="AG177" s="166">
        <v>37679.324167668114</v>
      </c>
      <c r="AH177" s="190">
        <v>33589.926310681956</v>
      </c>
      <c r="AI177" s="190">
        <v>33927.738135960535</v>
      </c>
      <c r="AJ177" s="190">
        <v>34350.002917558784</v>
      </c>
      <c r="AL177" s="190">
        <v>44618.392562125424</v>
      </c>
      <c r="AM177" s="190">
        <v>44757.410806368243</v>
      </c>
      <c r="AN177" s="190">
        <v>45313.483783339521</v>
      </c>
      <c r="AO177" s="190">
        <v>46008.575004553597</v>
      </c>
      <c r="AQ177" s="190">
        <v>33786.825830438436</v>
      </c>
      <c r="AR177" s="190">
        <v>33878.13181956912</v>
      </c>
      <c r="AS177" s="190">
        <v>34243.355776091834</v>
      </c>
      <c r="AT177" s="190">
        <v>34750.766581320095</v>
      </c>
    </row>
    <row r="178" spans="1:46" x14ac:dyDescent="0.3">
      <c r="A178" s="38">
        <v>2030</v>
      </c>
      <c r="B178" s="166">
        <f>SCRS!AK23/(1+SCRS!$DU$27)^MAX(Outputs!A179-2021,0)</f>
        <v>41450.500363128696</v>
      </c>
      <c r="D178" s="190">
        <v>46523.832218950316</v>
      </c>
      <c r="E178" s="166">
        <v>42791.994064287624</v>
      </c>
      <c r="F178" s="190">
        <v>46669.308523439133</v>
      </c>
      <c r="G178" s="190">
        <v>47251.2137413944</v>
      </c>
      <c r="H178" s="190">
        <v>47978.595263838492</v>
      </c>
      <c r="J178" s="190">
        <v>34471.509159139634</v>
      </c>
      <c r="K178" s="166">
        <v>35897.80568689324</v>
      </c>
      <c r="L178" s="190">
        <v>34602.106762974719</v>
      </c>
      <c r="M178" s="190">
        <v>35124.497178315127</v>
      </c>
      <c r="N178" s="190">
        <v>35777.485197490627</v>
      </c>
      <c r="P178" s="190">
        <v>44566.484745520531</v>
      </c>
      <c r="Q178" s="190">
        <v>44711.96105000934</v>
      </c>
      <c r="R178" s="190">
        <v>45293.8662679646</v>
      </c>
      <c r="S178" s="190">
        <v>46021.247790408692</v>
      </c>
      <c r="U178" s="190">
        <v>32612.676430821524</v>
      </c>
      <c r="V178" s="190">
        <v>32693.109337273308</v>
      </c>
      <c r="W178" s="190">
        <v>33215.499752613701</v>
      </c>
      <c r="X178" s="190">
        <v>33868.487771789209</v>
      </c>
      <c r="Z178" s="190">
        <v>44828.857876682778</v>
      </c>
      <c r="AA178" s="166">
        <v>44152.340419356857</v>
      </c>
      <c r="AB178" s="190">
        <v>44974.334181171609</v>
      </c>
      <c r="AC178" s="190">
        <v>45556.239399126855</v>
      </c>
      <c r="AD178" s="190">
        <v>46283.620921570946</v>
      </c>
      <c r="AF178" s="190">
        <v>34449.124663101429</v>
      </c>
      <c r="AG178" s="166">
        <v>39189.57282571432</v>
      </c>
      <c r="AH178" s="190">
        <v>34528.615464518705</v>
      </c>
      <c r="AI178" s="190">
        <v>34846.57867018773</v>
      </c>
      <c r="AJ178" s="190">
        <v>35244.03267727403</v>
      </c>
      <c r="AL178" s="190">
        <v>46281.983857915264</v>
      </c>
      <c r="AM178" s="190">
        <v>46427.460162404081</v>
      </c>
      <c r="AN178" s="190">
        <v>47009.365380359348</v>
      </c>
      <c r="AO178" s="190">
        <v>47736.746902803417</v>
      </c>
      <c r="AQ178" s="190">
        <v>34715.188678483122</v>
      </c>
      <c r="AR178" s="190">
        <v>34801.209792744223</v>
      </c>
      <c r="AS178" s="190">
        <v>35145.294249788647</v>
      </c>
      <c r="AT178" s="190">
        <v>35624.109820126061</v>
      </c>
    </row>
    <row r="179" spans="1:46" x14ac:dyDescent="0.3">
      <c r="A179" s="38">
        <v>2031</v>
      </c>
      <c r="B179" s="166">
        <f>SCRS!AK24/(1+SCRS!$DU$27)^MAX(Outputs!A180-2021,0)</f>
        <v>42589.055117092212</v>
      </c>
      <c r="D179" s="190">
        <v>48401.261423951924</v>
      </c>
      <c r="E179" s="166">
        <v>44078.887381795314</v>
      </c>
      <c r="F179" s="190">
        <v>48553.495796375428</v>
      </c>
      <c r="G179" s="190">
        <v>49162.433286069441</v>
      </c>
      <c r="H179" s="190">
        <v>49923.60514818698</v>
      </c>
      <c r="J179" s="190">
        <v>35453.250218512308</v>
      </c>
      <c r="K179" s="166">
        <v>37063.295820432817</v>
      </c>
      <c r="L179" s="190">
        <v>35588.637465519831</v>
      </c>
      <c r="M179" s="190">
        <v>36130.186453549984</v>
      </c>
      <c r="N179" s="190">
        <v>36807.12268858766</v>
      </c>
      <c r="P179" s="190">
        <v>45985.120194034891</v>
      </c>
      <c r="Q179" s="190">
        <v>46137.354566458394</v>
      </c>
      <c r="R179" s="190">
        <v>46746.292056152408</v>
      </c>
      <c r="S179" s="190">
        <v>47507.463918269939</v>
      </c>
      <c r="U179" s="190">
        <v>33119.343755132344</v>
      </c>
      <c r="V179" s="190">
        <v>33243.471590988374</v>
      </c>
      <c r="W179" s="190">
        <v>33785.020579018514</v>
      </c>
      <c r="X179" s="190">
        <v>34461.956814056204</v>
      </c>
      <c r="Z179" s="190">
        <v>46263.973062613644</v>
      </c>
      <c r="AA179" s="166">
        <v>45401.863555922871</v>
      </c>
      <c r="AB179" s="190">
        <v>46416.207435037169</v>
      </c>
      <c r="AC179" s="190">
        <v>47025.144924731168</v>
      </c>
      <c r="AD179" s="190">
        <v>47786.316786848693</v>
      </c>
      <c r="AF179" s="190">
        <v>35404.301263544738</v>
      </c>
      <c r="AG179" s="166">
        <v>40706.644241437767</v>
      </c>
      <c r="AH179" s="190">
        <v>35478.593385439337</v>
      </c>
      <c r="AI179" s="190">
        <v>35775.761873017655</v>
      </c>
      <c r="AJ179" s="190">
        <v>36147.222482490572</v>
      </c>
      <c r="AL179" s="190">
        <v>47995.883755963077</v>
      </c>
      <c r="AM179" s="190">
        <v>48148.118128386581</v>
      </c>
      <c r="AN179" s="190">
        <v>48757.055618080602</v>
      </c>
      <c r="AO179" s="190">
        <v>49518.227480198111</v>
      </c>
      <c r="AQ179" s="190">
        <v>35654.356788038654</v>
      </c>
      <c r="AR179" s="190">
        <v>35734.843351096533</v>
      </c>
      <c r="AS179" s="190">
        <v>36056.789603328027</v>
      </c>
      <c r="AT179" s="190">
        <v>36505.680293058424</v>
      </c>
    </row>
    <row r="180" spans="1:46" x14ac:dyDescent="0.3">
      <c r="A180" s="38">
        <v>2032</v>
      </c>
      <c r="B180" s="166">
        <f>SCRS!AK25/(1+SCRS!$DU$27)^MAX(Outputs!A181-2021,0)</f>
        <v>43761.511685458929</v>
      </c>
      <c r="D180" s="190">
        <v>50362.426651563052</v>
      </c>
      <c r="E180" s="166">
        <v>45409.514058292458</v>
      </c>
      <c r="F180" s="190">
        <v>50521.733036397425</v>
      </c>
      <c r="G180" s="190">
        <v>51158.958575734934</v>
      </c>
      <c r="H180" s="190">
        <v>51955.490499906831</v>
      </c>
      <c r="J180" s="190">
        <v>36467.533233764356</v>
      </c>
      <c r="K180" s="166">
        <v>38136.626962894668</v>
      </c>
      <c r="L180" s="190">
        <v>36607.885783229372</v>
      </c>
      <c r="M180" s="190">
        <v>37169.295981089475</v>
      </c>
      <c r="N180" s="190">
        <v>37871.058728414602</v>
      </c>
      <c r="P180" s="190">
        <v>47434.575739398242</v>
      </c>
      <c r="Q180" s="190">
        <v>47593.882124232608</v>
      </c>
      <c r="R180" s="190">
        <v>48231.107663570117</v>
      </c>
      <c r="S180" s="190">
        <v>49027.639587742007</v>
      </c>
      <c r="U180" s="190">
        <v>33611.306524167405</v>
      </c>
      <c r="V180" s="190">
        <v>33779.412671694838</v>
      </c>
      <c r="W180" s="190">
        <v>34340.822869554933</v>
      </c>
      <c r="X180" s="190">
        <v>35042.585616880067</v>
      </c>
      <c r="Z180" s="190">
        <v>47731.926856431441</v>
      </c>
      <c r="AA180" s="166">
        <v>46673.169394337208</v>
      </c>
      <c r="AB180" s="190">
        <v>47891.233241265836</v>
      </c>
      <c r="AC180" s="190">
        <v>48528.458780603316</v>
      </c>
      <c r="AD180" s="190">
        <v>49324.990704775206</v>
      </c>
      <c r="AF180" s="190">
        <v>36398.800494494179</v>
      </c>
      <c r="AG180" s="166">
        <v>42258.625687060441</v>
      </c>
      <c r="AH180" s="190">
        <v>36467.716533449609</v>
      </c>
      <c r="AI180" s="190">
        <v>36743.380689271267</v>
      </c>
      <c r="AJ180" s="190">
        <v>37087.960884048356</v>
      </c>
      <c r="AL180" s="190">
        <v>49770.236875488416</v>
      </c>
      <c r="AM180" s="190">
        <v>49929.543260322789</v>
      </c>
      <c r="AN180" s="190">
        <v>50566.768799660298</v>
      </c>
      <c r="AO180" s="190">
        <v>51363.300723832166</v>
      </c>
      <c r="AQ180" s="190">
        <v>36632.312500710461</v>
      </c>
      <c r="AR180" s="190">
        <v>36707.076368421775</v>
      </c>
      <c r="AS180" s="190">
        <v>37006.131839267007</v>
      </c>
      <c r="AT180" s="190">
        <v>37424.08029493592</v>
      </c>
    </row>
    <row r="181" spans="1:46" x14ac:dyDescent="0.3">
      <c r="A181" s="38">
        <v>2033</v>
      </c>
      <c r="B181" s="166">
        <f>SCRS!AK26/(1+SCRS!$DU$27)^MAX(Outputs!A182-2021,0)</f>
        <v>44970.041280640027</v>
      </c>
      <c r="D181" s="190">
        <v>52412.027530215222</v>
      </c>
      <c r="E181" s="166">
        <v>46786.283905167009</v>
      </c>
      <c r="F181" s="190">
        <v>52578.734456154372</v>
      </c>
      <c r="G181" s="190">
        <v>53245.562159910987</v>
      </c>
      <c r="H181" s="190">
        <v>54079.09678960676</v>
      </c>
      <c r="J181" s="190">
        <v>37516.357573626876</v>
      </c>
      <c r="K181" s="166">
        <v>39246.665009204502</v>
      </c>
      <c r="L181" s="190">
        <v>37661.857527106498</v>
      </c>
      <c r="M181" s="190">
        <v>38243.857341025039</v>
      </c>
      <c r="N181" s="190">
        <v>38971.357108423217</v>
      </c>
      <c r="P181" s="190">
        <v>48906.620901458635</v>
      </c>
      <c r="Q181" s="190">
        <v>49073.327827397785</v>
      </c>
      <c r="R181" s="190">
        <v>49740.155531154385</v>
      </c>
      <c r="S181" s="190">
        <v>50573.690160850165</v>
      </c>
      <c r="U181" s="190">
        <v>34079.070972699563</v>
      </c>
      <c r="V181" s="190">
        <v>34290.884379362797</v>
      </c>
      <c r="W181" s="190">
        <v>34872.88419328133</v>
      </c>
      <c r="X181" s="190">
        <v>35600.383960679515</v>
      </c>
      <c r="Z181" s="190">
        <v>49224.826121040271</v>
      </c>
      <c r="AA181" s="166">
        <v>47962.168117814537</v>
      </c>
      <c r="AB181" s="190">
        <v>49391.533046979443</v>
      </c>
      <c r="AC181" s="190">
        <v>50058.360750736028</v>
      </c>
      <c r="AD181" s="190">
        <v>50891.895380431786</v>
      </c>
      <c r="AF181" s="190">
        <v>37432.32724946065</v>
      </c>
      <c r="AG181" s="166">
        <v>43841.933442182875</v>
      </c>
      <c r="AH181" s="190">
        <v>37495.679749786083</v>
      </c>
      <c r="AI181" s="190">
        <v>37749.089751087733</v>
      </c>
      <c r="AJ181" s="190">
        <v>38065.852252714823</v>
      </c>
      <c r="AL181" s="190">
        <v>51603.040056414146</v>
      </c>
      <c r="AM181" s="190">
        <v>51769.746982353303</v>
      </c>
      <c r="AN181" s="190">
        <v>52436.574686109903</v>
      </c>
      <c r="AO181" s="190">
        <v>53270.109315805654</v>
      </c>
      <c r="AQ181" s="190">
        <v>37648.730371235797</v>
      </c>
      <c r="AR181" s="190">
        <v>37717.572758078553</v>
      </c>
      <c r="AS181" s="190">
        <v>37992.942305449578</v>
      </c>
      <c r="AT181" s="190">
        <v>38378.879345237438</v>
      </c>
    </row>
    <row r="182" spans="1:46" x14ac:dyDescent="0.3">
      <c r="A182" s="38">
        <v>2034</v>
      </c>
      <c r="B182" s="166">
        <f>SCRS!AK27/(1+SCRS!$DU$27)^MAX(Outputs!A183-2021,0)</f>
        <v>46216.494201840469</v>
      </c>
      <c r="D182" s="190">
        <v>54554.546655502214</v>
      </c>
      <c r="E182" s="166">
        <v>48211.261799347973</v>
      </c>
      <c r="F182" s="190">
        <v>54728.997912964202</v>
      </c>
      <c r="G182" s="190">
        <v>55291.817189298563</v>
      </c>
      <c r="H182" s="190">
        <v>56164.073476608559</v>
      </c>
      <c r="J182" s="190">
        <v>38601.362619462838</v>
      </c>
      <c r="K182" s="166">
        <v>40395.128762946748</v>
      </c>
      <c r="L182" s="190">
        <v>38752.198757055412</v>
      </c>
      <c r="M182" s="190">
        <v>39355.543307425738</v>
      </c>
      <c r="N182" s="190">
        <v>40109.723995388638</v>
      </c>
      <c r="P182" s="190">
        <v>50403.507299537676</v>
      </c>
      <c r="Q182" s="190">
        <v>50577.958556999671</v>
      </c>
      <c r="R182" s="190">
        <v>51275.763586847665</v>
      </c>
      <c r="S182" s="190">
        <v>52148.019874157668</v>
      </c>
      <c r="U182" s="190">
        <v>34523.0875562285</v>
      </c>
      <c r="V182" s="190">
        <v>34778.297470113102</v>
      </c>
      <c r="W182" s="190">
        <v>35381.642020483414</v>
      </c>
      <c r="X182" s="190">
        <v>36135.822708446329</v>
      </c>
      <c r="Z182" s="190">
        <v>50745.21914152908</v>
      </c>
      <c r="AA182" s="166">
        <v>49271.463711323981</v>
      </c>
      <c r="AB182" s="190">
        <v>50919.670398991097</v>
      </c>
      <c r="AC182" s="190">
        <v>51617.475428839061</v>
      </c>
      <c r="AD182" s="190">
        <v>52489.731716149057</v>
      </c>
      <c r="AF182" s="190">
        <v>38509.169766528837</v>
      </c>
      <c r="AG182" s="166">
        <v>45459.695301710599</v>
      </c>
      <c r="AH182" s="190">
        <v>38566.760628181211</v>
      </c>
      <c r="AI182" s="190">
        <v>38797.124074790634</v>
      </c>
      <c r="AJ182" s="190">
        <v>39085.078383052423</v>
      </c>
      <c r="AL182" s="190">
        <v>53363.682824543845</v>
      </c>
      <c r="AM182" s="190">
        <v>53538.134082005839</v>
      </c>
      <c r="AN182" s="190">
        <v>54235.939111853833</v>
      </c>
      <c r="AO182" s="190">
        <v>55108.1953991638</v>
      </c>
      <c r="AQ182" s="190">
        <v>38707.866344010981</v>
      </c>
      <c r="AR182" s="190">
        <v>38770.577162054215</v>
      </c>
      <c r="AS182" s="190">
        <v>39021.420434227177</v>
      </c>
      <c r="AT182" s="190">
        <v>39374.217599635398</v>
      </c>
    </row>
    <row r="183" spans="1:46" x14ac:dyDescent="0.3">
      <c r="A183" s="38">
        <v>2035</v>
      </c>
      <c r="B183" s="166">
        <f>SCRS!AK28/(1+SCRS!$DU$27)^MAX(Outputs!A184-2021,0)</f>
        <v>47502.184080730629</v>
      </c>
      <c r="D183" s="190">
        <v>56658.047514800426</v>
      </c>
      <c r="E183" s="166">
        <v>49685.939921089433</v>
      </c>
      <c r="F183" s="190">
        <v>56840.602864907371</v>
      </c>
      <c r="G183" s="190">
        <v>57293.591910930554</v>
      </c>
      <c r="H183" s="190">
        <v>58206.368661465211</v>
      </c>
      <c r="J183" s="190">
        <v>39723.599450988469</v>
      </c>
      <c r="K183" s="166">
        <v>41583.151638854419</v>
      </c>
      <c r="L183" s="190">
        <v>39879.967476267804</v>
      </c>
      <c r="M183" s="190">
        <v>40505.439577385208</v>
      </c>
      <c r="N183" s="190">
        <v>41287.279703781962</v>
      </c>
      <c r="P183" s="190">
        <v>51937.738818194099</v>
      </c>
      <c r="Q183" s="190">
        <v>52120.294168301029</v>
      </c>
      <c r="R183" s="190">
        <v>52680.142817890744</v>
      </c>
      <c r="S183" s="190">
        <v>53592.919568425423</v>
      </c>
      <c r="U183" s="190">
        <v>34953.390731545354</v>
      </c>
      <c r="V183" s="190">
        <v>35252.196193593503</v>
      </c>
      <c r="W183" s="190">
        <v>35877.668294710893</v>
      </c>
      <c r="X183" s="190">
        <v>36659.508421107654</v>
      </c>
      <c r="Z183" s="190">
        <v>52169.906584988588</v>
      </c>
      <c r="AA183" s="166">
        <v>50610.034827326679</v>
      </c>
      <c r="AB183" s="190">
        <v>52352.461935095547</v>
      </c>
      <c r="AC183" s="190">
        <v>53082.683335523245</v>
      </c>
      <c r="AD183" s="190">
        <v>53995.460086057916</v>
      </c>
      <c r="AF183" s="190">
        <v>39637.525063990557</v>
      </c>
      <c r="AG183" s="166">
        <v>47121.438183974504</v>
      </c>
      <c r="AH183" s="190">
        <v>39689.144927301844</v>
      </c>
      <c r="AI183" s="190">
        <v>39895.624380546949</v>
      </c>
      <c r="AJ183" s="190">
        <v>40153.723697103342</v>
      </c>
      <c r="AL183" s="190">
        <v>55054.1373197059</v>
      </c>
      <c r="AM183" s="190">
        <v>55236.692669812823</v>
      </c>
      <c r="AN183" s="190">
        <v>55966.914070240557</v>
      </c>
      <c r="AO183" s="190">
        <v>56879.690820775191</v>
      </c>
      <c r="AQ183" s="190">
        <v>39817.883285194759</v>
      </c>
      <c r="AR183" s="190">
        <v>39874.240492439239</v>
      </c>
      <c r="AS183" s="190">
        <v>40099.669321417139</v>
      </c>
      <c r="AT183" s="190">
        <v>40418.133916120169</v>
      </c>
    </row>
    <row r="184" spans="1:46" x14ac:dyDescent="0.3">
      <c r="A184" s="38">
        <v>2036</v>
      </c>
      <c r="B184" s="166">
        <f>SCRS!AK29/(1+SCRS!$DU$27)^MAX(Outputs!A185-2021,0)</f>
        <v>48829.688841708121</v>
      </c>
      <c r="D184" s="190">
        <v>58719.718370448376</v>
      </c>
      <c r="E184" s="166">
        <v>51213.131956700083</v>
      </c>
      <c r="F184" s="190">
        <v>58910.754286941694</v>
      </c>
      <c r="G184" s="190">
        <v>59247.813586802593</v>
      </c>
      <c r="H184" s="190">
        <v>58316.160035201239</v>
      </c>
      <c r="J184" s="190">
        <v>40885.42447669321</v>
      </c>
      <c r="K184" s="166">
        <v>42813.175400055472</v>
      </c>
      <c r="L184" s="190">
        <v>41047.527270625826</v>
      </c>
      <c r="M184" s="190">
        <v>41695.93844635634</v>
      </c>
      <c r="N184" s="190">
        <v>42506.452416019471</v>
      </c>
      <c r="P184" s="190">
        <v>53332.765225283831</v>
      </c>
      <c r="Q184" s="190">
        <v>53523.801141777149</v>
      </c>
      <c r="R184" s="190">
        <v>53940.266763072745</v>
      </c>
      <c r="S184" s="190">
        <v>54895.446345539356</v>
      </c>
      <c r="U184" s="190">
        <v>35361.362436729083</v>
      </c>
      <c r="V184" s="190">
        <v>35703.392115631053</v>
      </c>
      <c r="W184" s="190">
        <v>36351.803291361553</v>
      </c>
      <c r="X184" s="190">
        <v>37162.317261024691</v>
      </c>
      <c r="Z184" s="190">
        <v>53483.674354863957</v>
      </c>
      <c r="AA184" s="166">
        <v>51974.831697616799</v>
      </c>
      <c r="AB184" s="190">
        <v>53674.710271357297</v>
      </c>
      <c r="AC184" s="190">
        <v>54438.853937330532</v>
      </c>
      <c r="AD184" s="190">
        <v>55394.033519797136</v>
      </c>
      <c r="AF184" s="190">
        <v>40818.490099323382</v>
      </c>
      <c r="AG184" s="166">
        <v>48824.700872724214</v>
      </c>
      <c r="AH184" s="190">
        <v>40863.917718701239</v>
      </c>
      <c r="AI184" s="190">
        <v>41045.628196212645</v>
      </c>
      <c r="AJ184" s="190">
        <v>41272.766293101908</v>
      </c>
      <c r="AL184" s="190">
        <v>56665.079480191562</v>
      </c>
      <c r="AM184" s="190">
        <v>56856.115396684872</v>
      </c>
      <c r="AN184" s="190">
        <v>55778.155968556646</v>
      </c>
      <c r="AO184" s="190">
        <v>56733.335551023221</v>
      </c>
      <c r="AQ184" s="190">
        <v>40979.842112259066</v>
      </c>
      <c r="AR184" s="190">
        <v>41029.611049111969</v>
      </c>
      <c r="AS184" s="190">
        <v>41228.686796523587</v>
      </c>
      <c r="AT184" s="190">
        <v>41511.558239329868</v>
      </c>
    </row>
    <row r="185" spans="1:46" x14ac:dyDescent="0.3">
      <c r="A185" s="38">
        <v>2037</v>
      </c>
      <c r="B185" s="166">
        <f>SCRS!AK30/(1+SCRS!$DU$27)^MAX(Outputs!A186-2021,0)</f>
        <v>50201.134304769977</v>
      </c>
      <c r="D185" s="190">
        <v>58831.645510095834</v>
      </c>
      <c r="E185" s="166">
        <v>52795.161552350437</v>
      </c>
      <c r="F185" s="190">
        <v>59031.555955717202</v>
      </c>
      <c r="G185" s="190">
        <v>59384.273267063087</v>
      </c>
      <c r="H185" s="190">
        <v>58354.176371285947</v>
      </c>
      <c r="J185" s="190">
        <v>30138.357559106571</v>
      </c>
      <c r="K185" s="166">
        <v>31571.209101165565</v>
      </c>
      <c r="L185" s="190">
        <v>30258.844721344994</v>
      </c>
      <c r="M185" s="190">
        <v>30740.793370298725</v>
      </c>
      <c r="N185" s="190">
        <v>31343.229181490882</v>
      </c>
      <c r="P185" s="190">
        <v>54585.544157501761</v>
      </c>
      <c r="Q185" s="190">
        <v>54785.454603123129</v>
      </c>
      <c r="R185" s="190">
        <v>55052.882027850013</v>
      </c>
      <c r="S185" s="190">
        <v>56052.434255956883</v>
      </c>
      <c r="U185" s="190">
        <v>25512.374719391883</v>
      </c>
      <c r="V185" s="190">
        <v>25792.223778511699</v>
      </c>
      <c r="W185" s="190">
        <v>26274.172427465423</v>
      </c>
      <c r="X185" s="190">
        <v>26876.608238657587</v>
      </c>
      <c r="Z185" s="190">
        <v>54680.866858511035</v>
      </c>
      <c r="AA185" s="166">
        <v>53368.881540721362</v>
      </c>
      <c r="AB185" s="190">
        <v>54880.777304132433</v>
      </c>
      <c r="AC185" s="190">
        <v>55680.419086617876</v>
      </c>
      <c r="AD185" s="190">
        <v>55149.357675525236</v>
      </c>
      <c r="AF185" s="190">
        <v>30120.652239596111</v>
      </c>
      <c r="AG185" s="166">
        <v>36254.525461321762</v>
      </c>
      <c r="AH185" s="190">
        <v>30147.565582967727</v>
      </c>
      <c r="AI185" s="190">
        <v>30255.21895645417</v>
      </c>
      <c r="AJ185" s="190">
        <v>30389.785673312235</v>
      </c>
      <c r="AL185" s="190">
        <v>56479.449780779061</v>
      </c>
      <c r="AM185" s="190">
        <v>56679.360226400415</v>
      </c>
      <c r="AN185" s="190">
        <v>55517.625766055724</v>
      </c>
      <c r="AO185" s="190">
        <v>56447.107146044851</v>
      </c>
      <c r="AQ185" s="190">
        <v>30218.879591306209</v>
      </c>
      <c r="AR185" s="190">
        <v>30248.53757171641</v>
      </c>
      <c r="AS185" s="190">
        <v>30367.169493357207</v>
      </c>
      <c r="AT185" s="190">
        <v>30537.370414150864</v>
      </c>
    </row>
    <row r="186" spans="1:46" x14ac:dyDescent="0.3">
      <c r="A186" s="38">
        <v>2038</v>
      </c>
      <c r="B186" s="166">
        <f>SCRS!AK31/(1+SCRS!$DU$27)^MAX(Outputs!A187-2021,0)</f>
        <v>51618.748141579897</v>
      </c>
      <c r="D186" s="190">
        <v>58835.427837118797</v>
      </c>
      <c r="E186" s="166">
        <v>54434.446456325895</v>
      </c>
      <c r="F186" s="190">
        <v>59029.959881439267</v>
      </c>
      <c r="G186" s="190">
        <v>59373.198255348572</v>
      </c>
      <c r="H186" s="190">
        <v>58368.992706540186</v>
      </c>
      <c r="J186" s="190">
        <v>32413.543387230391</v>
      </c>
      <c r="K186" s="166">
        <v>33969.010586922799</v>
      </c>
      <c r="L186" s="190">
        <v>32544.341186824182</v>
      </c>
      <c r="M186" s="190">
        <v>33067.532385199374</v>
      </c>
      <c r="N186" s="190">
        <v>33721.521383168372</v>
      </c>
      <c r="P186" s="190">
        <v>55692.91307216826</v>
      </c>
      <c r="Q186" s="190">
        <v>55902.110311106997</v>
      </c>
      <c r="R186" s="190">
        <v>54753.590468312403</v>
      </c>
      <c r="S186" s="190">
        <v>55799.576663006141</v>
      </c>
      <c r="U186" s="190">
        <v>26728.205641778481</v>
      </c>
      <c r="V186" s="190">
        <v>27060.893478638129</v>
      </c>
      <c r="W186" s="190">
        <v>27584.084677013318</v>
      </c>
      <c r="X186" s="190">
        <v>28238.073674982319</v>
      </c>
      <c r="Z186" s="190">
        <v>55755.571939083842</v>
      </c>
      <c r="AA186" s="166">
        <v>54795.385417690304</v>
      </c>
      <c r="AB186" s="190">
        <v>55964.769178022609</v>
      </c>
      <c r="AC186" s="190">
        <v>55421.833588755551</v>
      </c>
      <c r="AD186" s="190">
        <v>54855.192108258852</v>
      </c>
      <c r="AF186" s="190">
        <v>32451.711899545619</v>
      </c>
      <c r="AG186" s="166">
        <v>39298.361126251293</v>
      </c>
      <c r="AH186" s="190">
        <v>32472.636107993294</v>
      </c>
      <c r="AI186" s="190">
        <v>32556.332941783967</v>
      </c>
      <c r="AJ186" s="190">
        <v>32660.953984022315</v>
      </c>
      <c r="AL186" s="190">
        <v>56149.485697407741</v>
      </c>
      <c r="AM186" s="190">
        <v>56344.017741728188</v>
      </c>
      <c r="AN186" s="190">
        <v>55211.850540014711</v>
      </c>
      <c r="AO186" s="190">
        <v>56113.925946398202</v>
      </c>
      <c r="AQ186" s="190">
        <v>32532.094603555521</v>
      </c>
      <c r="AR186" s="190">
        <v>32555.415669078717</v>
      </c>
      <c r="AS186" s="190">
        <v>32648.699931171526</v>
      </c>
      <c r="AT186" s="190">
        <v>32785.009246661139</v>
      </c>
    </row>
    <row r="187" spans="1:46" x14ac:dyDescent="0.3">
      <c r="A187" s="38">
        <v>2039</v>
      </c>
      <c r="B187" s="166">
        <f>SCRS!AK32/(1+SCRS!$DU$27)^MAX(Outputs!A188-2021,0)</f>
        <v>53084.864665238514</v>
      </c>
      <c r="D187" s="190">
        <v>58814.582885349526</v>
      </c>
      <c r="E187" s="166">
        <v>56133.502100805337</v>
      </c>
      <c r="F187" s="190">
        <v>59003.379107321241</v>
      </c>
      <c r="G187" s="190">
        <v>59336.504334009449</v>
      </c>
      <c r="H187" s="190">
        <v>58359.915005820949</v>
      </c>
      <c r="J187" s="190">
        <v>34883.069382985268</v>
      </c>
      <c r="K187" s="166">
        <v>36571.645022749151</v>
      </c>
      <c r="L187" s="190">
        <v>35025.060148314464</v>
      </c>
      <c r="M187" s="190">
        <v>35593.023209631305</v>
      </c>
      <c r="N187" s="190">
        <v>36302.977036277349</v>
      </c>
      <c r="P187" s="190">
        <v>55398.174701052601</v>
      </c>
      <c r="Q187" s="190">
        <v>55617.090149135198</v>
      </c>
      <c r="R187" s="190">
        <v>54402.885806284037</v>
      </c>
      <c r="S187" s="190">
        <v>55420.7307325574</v>
      </c>
      <c r="U187" s="190">
        <v>28024.07644934197</v>
      </c>
      <c r="V187" s="190">
        <v>28412.013151963329</v>
      </c>
      <c r="W187" s="190">
        <v>28979.976213280159</v>
      </c>
      <c r="X187" s="190">
        <v>29689.930039926217</v>
      </c>
      <c r="Z187" s="190">
        <v>55475.383092418328</v>
      </c>
      <c r="AA187" s="166">
        <v>56257.665019861037</v>
      </c>
      <c r="AB187" s="190">
        <v>55694.29854050096</v>
      </c>
      <c r="AC187" s="190">
        <v>55068.539926615005</v>
      </c>
      <c r="AD187" s="190">
        <v>54516.120964202237</v>
      </c>
      <c r="AF187" s="190">
        <v>35194.513115091373</v>
      </c>
      <c r="AG187" s="166">
        <v>42798.45764738469</v>
      </c>
      <c r="AH187" s="190">
        <v>35209.108274171282</v>
      </c>
      <c r="AI187" s="190">
        <v>35267.488910490894</v>
      </c>
      <c r="AJ187" s="190">
        <v>35340.464705890408</v>
      </c>
      <c r="AL187" s="190">
        <v>55772.24380909968</v>
      </c>
      <c r="AM187" s="190">
        <v>55961.040031071374</v>
      </c>
      <c r="AN187" s="190">
        <v>54860.436851872786</v>
      </c>
      <c r="AO187" s="190">
        <v>55733.317872106265</v>
      </c>
      <c r="AQ187" s="190">
        <v>35256.164681175454</v>
      </c>
      <c r="AR187" s="190">
        <v>35272.797452666637</v>
      </c>
      <c r="AS187" s="190">
        <v>35339.328538631373</v>
      </c>
      <c r="AT187" s="190">
        <v>35439.948054575121</v>
      </c>
    </row>
    <row r="188" spans="1:46" x14ac:dyDescent="0.3">
      <c r="A188" s="38">
        <v>2040</v>
      </c>
      <c r="B188" s="166">
        <f>SCRS!AK33/(1+SCRS!$DU$27)^MAX(Outputs!A189-2021,0)</f>
        <v>54601.929807588509</v>
      </c>
      <c r="D188" s="190">
        <v>58768.337852501965</v>
      </c>
      <c r="E188" s="166">
        <v>57894.945316597288</v>
      </c>
      <c r="F188" s="190">
        <v>58951.023953558171</v>
      </c>
      <c r="G188" s="190">
        <v>59278.070585436784</v>
      </c>
      <c r="H188" s="190">
        <v>58326.204328019005</v>
      </c>
      <c r="J188" s="190">
        <v>37564.000775183238</v>
      </c>
      <c r="K188" s="166">
        <v>39397.07555282423</v>
      </c>
      <c r="L188" s="190">
        <v>37718.142339501486</v>
      </c>
      <c r="M188" s="190">
        <v>38334.708596774544</v>
      </c>
      <c r="N188" s="190">
        <v>39105.41641836585</v>
      </c>
      <c r="P188" s="190">
        <v>54976.99422208123</v>
      </c>
      <c r="Q188" s="190">
        <v>55190.01995726215</v>
      </c>
      <c r="R188" s="190">
        <v>54004.258759573873</v>
      </c>
      <c r="S188" s="190">
        <v>54992.092292628797</v>
      </c>
      <c r="U188" s="190">
        <v>29408.984541729209</v>
      </c>
      <c r="V188" s="190">
        <v>29854.753909466501</v>
      </c>
      <c r="W188" s="190">
        <v>30471.320166739537</v>
      </c>
      <c r="X188" s="190">
        <v>31242.027988330858</v>
      </c>
      <c r="Z188" s="190">
        <v>55067.639806385392</v>
      </c>
      <c r="AA188" s="166">
        <v>57759.16907270877</v>
      </c>
      <c r="AB188" s="190">
        <v>55280.665541566355</v>
      </c>
      <c r="AC188" s="190">
        <v>54669.003021019933</v>
      </c>
      <c r="AD188" s="190">
        <v>54131.783083964045</v>
      </c>
      <c r="AF188" s="190">
        <v>38411.063787451516</v>
      </c>
      <c r="AG188" s="166">
        <v>46815.816351392685</v>
      </c>
      <c r="AH188" s="190">
        <v>38418.985292511534</v>
      </c>
      <c r="AI188" s="190">
        <v>38450.671312751576</v>
      </c>
      <c r="AJ188" s="190">
        <v>38490.278838051621</v>
      </c>
      <c r="AL188" s="190">
        <v>55347.248523335351</v>
      </c>
      <c r="AM188" s="190">
        <v>55529.934624391535</v>
      </c>
      <c r="AN188" s="190">
        <v>54462.98538833738</v>
      </c>
      <c r="AO188" s="190">
        <v>55304.795997432317</v>
      </c>
      <c r="AQ188" s="190">
        <v>38453.109780537212</v>
      </c>
      <c r="AR188" s="190">
        <v>38462.699621618813</v>
      </c>
      <c r="AS188" s="190">
        <v>38501.058985945223</v>
      </c>
      <c r="AT188" s="190">
        <v>38564.189799525302</v>
      </c>
    </row>
    <row r="189" spans="1:46" x14ac:dyDescent="0.3">
      <c r="A189" s="38">
        <v>2041</v>
      </c>
      <c r="B189" s="166">
        <f>SCRS!AK34/(1+SCRS!$DU$27)^MAX(Outputs!A190-2021,0)</f>
        <v>56201.707967079259</v>
      </c>
      <c r="D189" s="190">
        <v>58725.116024359253</v>
      </c>
      <c r="E189" s="166">
        <v>59750.606773936539</v>
      </c>
      <c r="F189" s="190">
        <v>58901.299369441229</v>
      </c>
      <c r="G189" s="190">
        <v>59228.222679137078</v>
      </c>
      <c r="H189" s="190">
        <v>58296.324497671958</v>
      </c>
      <c r="J189" s="190">
        <v>38674.028569634444</v>
      </c>
      <c r="K189" s="166">
        <v>40574.331028607005</v>
      </c>
      <c r="L189" s="190">
        <v>38833.823247558495</v>
      </c>
      <c r="M189" s="190">
        <v>39473.001959254761</v>
      </c>
      <c r="N189" s="190">
        <v>40271.975348875094</v>
      </c>
      <c r="P189" s="190">
        <v>54535.047420518211</v>
      </c>
      <c r="Q189" s="190">
        <v>54741.792042595225</v>
      </c>
      <c r="R189" s="190">
        <v>53586.661613515069</v>
      </c>
      <c r="S189" s="190">
        <v>54542.525320752931</v>
      </c>
      <c r="U189" s="190">
        <v>29503.721032366433</v>
      </c>
      <c r="V189" s="190">
        <v>29987.785422047822</v>
      </c>
      <c r="W189" s="190">
        <v>30626.964133744077</v>
      </c>
      <c r="X189" s="190">
        <v>31425.93752336442</v>
      </c>
      <c r="Z189" s="190">
        <v>54641.882333431255</v>
      </c>
      <c r="AA189" s="166">
        <v>59332.588485573702</v>
      </c>
      <c r="AB189" s="190">
        <v>54848.626955508313</v>
      </c>
      <c r="AC189" s="190">
        <v>54252.059442539823</v>
      </c>
      <c r="AD189" s="190">
        <v>53731.060566002379</v>
      </c>
      <c r="AF189" s="190">
        <v>40236.790333612917</v>
      </c>
      <c r="AG189" s="166">
        <v>49074.744892799143</v>
      </c>
      <c r="AH189" s="190">
        <v>40237.412325254933</v>
      </c>
      <c r="AI189" s="190">
        <v>40239.900291822982</v>
      </c>
      <c r="AJ189" s="190">
        <v>40243.010250033032</v>
      </c>
      <c r="AL189" s="190">
        <v>54903.258782437872</v>
      </c>
      <c r="AM189" s="190">
        <v>55086.519801906412</v>
      </c>
      <c r="AN189" s="190">
        <v>54048.340721026769</v>
      </c>
      <c r="AO189" s="190">
        <v>54857.113230863768</v>
      </c>
      <c r="AQ189" s="190">
        <v>40256.627642836385</v>
      </c>
      <c r="AR189" s="190">
        <v>40258.463977788575</v>
      </c>
      <c r="AS189" s="190">
        <v>40265.809317597334</v>
      </c>
      <c r="AT189" s="190">
        <v>40287.17701433102</v>
      </c>
    </row>
    <row r="190" spans="1:46" x14ac:dyDescent="0.3">
      <c r="A190" s="38">
        <v>2042</v>
      </c>
      <c r="B190" s="166">
        <f>SCRS!AK35/(1+SCRS!$DU$27)^MAX(Outputs!A191-2021,0)</f>
        <v>57916.76339449075</v>
      </c>
      <c r="D190" s="190">
        <v>58713.898714829338</v>
      </c>
      <c r="E190" s="166">
        <v>61590.300089460092</v>
      </c>
      <c r="F190" s="190">
        <v>58883.1674846143</v>
      </c>
      <c r="G190" s="190">
        <v>59216.160518994373</v>
      </c>
      <c r="H190" s="190">
        <v>58299.299102524878</v>
      </c>
      <c r="J190" s="190">
        <v>39883.184959518127</v>
      </c>
      <c r="K190" s="166">
        <v>41853.180662707287</v>
      </c>
      <c r="L190" s="190">
        <v>40048.840077952838</v>
      </c>
      <c r="M190" s="190">
        <v>40711.460551691751</v>
      </c>
      <c r="N190" s="190">
        <v>41539.736143865404</v>
      </c>
      <c r="P190" s="190">
        <v>54104.850875432487</v>
      </c>
      <c r="Q190" s="190">
        <v>54304.904502179576</v>
      </c>
      <c r="R190" s="190">
        <v>53182.699643738539</v>
      </c>
      <c r="S190" s="190">
        <v>54104.539151013443</v>
      </c>
      <c r="U190" s="190">
        <v>29644.171891251757</v>
      </c>
      <c r="V190" s="190">
        <v>30166.356084344083</v>
      </c>
      <c r="W190" s="190">
        <v>30828.976558082981</v>
      </c>
      <c r="X190" s="190">
        <v>31657.252150256641</v>
      </c>
      <c r="Z190" s="190">
        <v>54230.56222992987</v>
      </c>
      <c r="AA190" s="166">
        <v>60146.208084647864</v>
      </c>
      <c r="AB190" s="190">
        <v>54430.615856676988</v>
      </c>
      <c r="AC190" s="190">
        <v>53850.186359541942</v>
      </c>
      <c r="AD190" s="190">
        <v>53346.481845547285</v>
      </c>
      <c r="AF190" s="190">
        <v>40781.380315713337</v>
      </c>
      <c r="AG190" s="166">
        <v>49943.465237705917</v>
      </c>
      <c r="AH190" s="190">
        <v>40782.025118784775</v>
      </c>
      <c r="AI190" s="190">
        <v>40784.604331070477</v>
      </c>
      <c r="AJ190" s="190">
        <v>40787.828346427596</v>
      </c>
      <c r="AL190" s="190">
        <v>54473.884994944165</v>
      </c>
      <c r="AM190" s="190">
        <v>54665.659362505379</v>
      </c>
      <c r="AN190" s="190">
        <v>53648.992322592661</v>
      </c>
      <c r="AO190" s="190">
        <v>54425.462700007913</v>
      </c>
      <c r="AQ190" s="190">
        <v>41221.749170960444</v>
      </c>
      <c r="AR190" s="190">
        <v>41223.652853160267</v>
      </c>
      <c r="AS190" s="190">
        <v>41231.267581959568</v>
      </c>
      <c r="AT190" s="190">
        <v>41253.418935052679</v>
      </c>
    </row>
    <row r="191" spans="1:46" x14ac:dyDescent="0.3">
      <c r="A191" s="38">
        <v>2043</v>
      </c>
      <c r="B191" s="166">
        <f>SCRS!AK36/(1+SCRS!$DU$27)^MAX(Outputs!A192-2021,0)</f>
        <v>58032.803657690878</v>
      </c>
      <c r="D191" s="190">
        <v>58766.811815863599</v>
      </c>
      <c r="E191" s="166">
        <v>63441.894207073252</v>
      </c>
      <c r="F191" s="190">
        <v>58928.734119291476</v>
      </c>
      <c r="G191" s="190">
        <v>59274.190996215511</v>
      </c>
      <c r="H191" s="190">
        <v>58367.312961527241</v>
      </c>
      <c r="J191" s="190">
        <v>41225.649664654869</v>
      </c>
      <c r="K191" s="166">
        <v>43267.894599012332</v>
      </c>
      <c r="L191" s="190">
        <v>41397.380154181323</v>
      </c>
      <c r="M191" s="190">
        <v>42084.302112287187</v>
      </c>
      <c r="N191" s="190">
        <v>42942.954559919533</v>
      </c>
      <c r="P191" s="190">
        <v>53715.978922577138</v>
      </c>
      <c r="Q191" s="190">
        <v>53908.911592070363</v>
      </c>
      <c r="R191" s="190">
        <v>52822.045083626239</v>
      </c>
      <c r="S191" s="190">
        <v>53707.705639469299</v>
      </c>
      <c r="U191" s="190">
        <v>29853.53129411989</v>
      </c>
      <c r="V191" s="190">
        <v>30413.044816089845</v>
      </c>
      <c r="W191" s="190">
        <v>31099.966774195691</v>
      </c>
      <c r="X191" s="190">
        <v>31958.619221828045</v>
      </c>
      <c r="Z191" s="190">
        <v>53863.180655765449</v>
      </c>
      <c r="AA191" s="166">
        <v>59666.792654899662</v>
      </c>
      <c r="AB191" s="190">
        <v>54056.113325258717</v>
      </c>
      <c r="AC191" s="190">
        <v>53492.91711147577</v>
      </c>
      <c r="AD191" s="190">
        <v>53007.634293185045</v>
      </c>
      <c r="AF191" s="190">
        <v>41406.348715076681</v>
      </c>
      <c r="AG191" s="166">
        <v>50904.451421494421</v>
      </c>
      <c r="AH191" s="190">
        <v>41407.01716618253</v>
      </c>
      <c r="AI191" s="190">
        <v>41409.690970605836</v>
      </c>
      <c r="AJ191" s="190">
        <v>41413.033226134983</v>
      </c>
      <c r="AL191" s="190">
        <v>54096.735760468015</v>
      </c>
      <c r="AM191" s="190">
        <v>54297.296935629987</v>
      </c>
      <c r="AN191" s="190">
        <v>53294.50314851624</v>
      </c>
      <c r="AO191" s="190">
        <v>54045.933811884701</v>
      </c>
      <c r="AQ191" s="190">
        <v>42304.611556739015</v>
      </c>
      <c r="AR191" s="190">
        <v>42306.585056134427</v>
      </c>
      <c r="AS191" s="190">
        <v>42314.479053716102</v>
      </c>
      <c r="AT191" s="190">
        <v>42337.442803621911</v>
      </c>
    </row>
    <row r="192" spans="1:46" x14ac:dyDescent="0.3">
      <c r="A192" s="38">
        <v>2044</v>
      </c>
      <c r="B192" s="166">
        <f>SCRS!AK37/(1+SCRS!$DU$27)^MAX(Outputs!A193-2021,0)</f>
        <v>58146.468049195515</v>
      </c>
      <c r="D192" s="190">
        <v>58914.372166196139</v>
      </c>
      <c r="E192" s="166">
        <v>65331.103597218142</v>
      </c>
      <c r="F192" s="190">
        <v>59071.447403640224</v>
      </c>
      <c r="G192" s="190">
        <v>59432.952399541166</v>
      </c>
      <c r="H192" s="190">
        <v>58530.927722866967</v>
      </c>
      <c r="J192" s="190">
        <v>42733.70236892665</v>
      </c>
      <c r="K192" s="166">
        <v>44850.846261756895</v>
      </c>
      <c r="L192" s="190">
        <v>42911.73104266556</v>
      </c>
      <c r="M192" s="190">
        <v>43623.845737621283</v>
      </c>
      <c r="N192" s="190">
        <v>44513.98910631593</v>
      </c>
      <c r="P192" s="190">
        <v>53402.243557409267</v>
      </c>
      <c r="Q192" s="190">
        <v>53587.604299659062</v>
      </c>
      <c r="R192" s="190">
        <v>52538.612738398348</v>
      </c>
      <c r="S192" s="190">
        <v>53385.834570514831</v>
      </c>
      <c r="U192" s="190">
        <v>30162.719331427652</v>
      </c>
      <c r="V192" s="190">
        <v>30759.29827859017</v>
      </c>
      <c r="W192" s="190">
        <v>31471.412973545866</v>
      </c>
      <c r="X192" s="190">
        <v>32361.556342240528</v>
      </c>
      <c r="Z192" s="190">
        <v>53573.468073124401</v>
      </c>
      <c r="AA192" s="166">
        <v>59175.089139219737</v>
      </c>
      <c r="AB192" s="190">
        <v>53758.828815374232</v>
      </c>
      <c r="AC192" s="190">
        <v>53214.016299015035</v>
      </c>
      <c r="AD192" s="190">
        <v>52748.35332904278</v>
      </c>
      <c r="AF192" s="190">
        <v>42151.682185782949</v>
      </c>
      <c r="AG192" s="166">
        <v>51998.126067252677</v>
      </c>
      <c r="AH192" s="190">
        <v>42152.375152210516</v>
      </c>
      <c r="AI192" s="190">
        <v>42155.147017920754</v>
      </c>
      <c r="AJ192" s="190">
        <v>42158.611850058551</v>
      </c>
      <c r="AL192" s="190">
        <v>53805.981155486101</v>
      </c>
      <c r="AM192" s="190">
        <v>54015.4793225229</v>
      </c>
      <c r="AN192" s="190">
        <v>53018.669409086251</v>
      </c>
      <c r="AO192" s="190">
        <v>53752.664832956099</v>
      </c>
      <c r="AQ192" s="190">
        <v>43542.121326075641</v>
      </c>
      <c r="AR192" s="190">
        <v>43544.167203199497</v>
      </c>
      <c r="AS192" s="190">
        <v>43552.350711694926</v>
      </c>
      <c r="AT192" s="190">
        <v>43576.156652917576</v>
      </c>
    </row>
    <row r="193" spans="1:46" x14ac:dyDescent="0.3">
      <c r="A193" s="38">
        <v>2045</v>
      </c>
      <c r="B193" s="166">
        <f>SCRS!AK38/(1+SCRS!$DU$27)^MAX(Outputs!A194-2021,0)</f>
        <v>58381.451025031922</v>
      </c>
      <c r="D193" s="190">
        <v>59186.802787650646</v>
      </c>
      <c r="E193" s="166">
        <v>65666.236879341872</v>
      </c>
      <c r="F193" s="190">
        <v>59344.433941568488</v>
      </c>
      <c r="G193" s="190">
        <v>59722.732568085841</v>
      </c>
      <c r="H193" s="190">
        <v>58820.412559630538</v>
      </c>
      <c r="J193" s="190">
        <v>44439.042174370195</v>
      </c>
      <c r="K193" s="166">
        <v>46633.83193124066</v>
      </c>
      <c r="L193" s="190">
        <v>44623.600017072633</v>
      </c>
      <c r="M193" s="190">
        <v>45361.831387882477</v>
      </c>
      <c r="N193" s="190">
        <v>46284.620601394781</v>
      </c>
      <c r="P193" s="190">
        <v>53196.686455184987</v>
      </c>
      <c r="Q193" s="190">
        <v>53374.002320292973</v>
      </c>
      <c r="R193" s="190">
        <v>52365.564300050406</v>
      </c>
      <c r="S193" s="190">
        <v>53171.977754321873</v>
      </c>
      <c r="U193" s="190">
        <v>30612.598170128989</v>
      </c>
      <c r="V193" s="190">
        <v>31246.537107877339</v>
      </c>
      <c r="W193" s="190">
        <v>31984.768478687154</v>
      </c>
      <c r="X193" s="190">
        <v>32907.557692199465</v>
      </c>
      <c r="Z193" s="190">
        <v>53394.37585735324</v>
      </c>
      <c r="AA193" s="166">
        <v>58794.327315917537</v>
      </c>
      <c r="AB193" s="190">
        <v>53571.69172246127</v>
      </c>
      <c r="AC193" s="190">
        <v>53046.484479942701</v>
      </c>
      <c r="AD193" s="190">
        <v>52601.701135913427</v>
      </c>
      <c r="AF193" s="190">
        <v>43058.033588643033</v>
      </c>
      <c r="AG193" s="166">
        <v>53265.593993883049</v>
      </c>
      <c r="AH193" s="190">
        <v>43058.751969487261</v>
      </c>
      <c r="AI193" s="190">
        <v>43061.625492864143</v>
      </c>
      <c r="AJ193" s="190">
        <v>43065.217397085224</v>
      </c>
      <c r="AL193" s="190">
        <v>53634.893243612016</v>
      </c>
      <c r="AM193" s="190">
        <v>53853.473553637756</v>
      </c>
      <c r="AN193" s="190">
        <v>52854.510533064109</v>
      </c>
      <c r="AO193" s="190">
        <v>53578.922476863867</v>
      </c>
      <c r="AQ193" s="190">
        <v>44971.636942670884</v>
      </c>
      <c r="AR193" s="190">
        <v>44973.757851963092</v>
      </c>
      <c r="AS193" s="190">
        <v>44982.241489131942</v>
      </c>
      <c r="AT193" s="190">
        <v>45006.920508883544</v>
      </c>
    </row>
    <row r="194" spans="1:46" x14ac:dyDescent="0.3">
      <c r="A194" s="38">
        <v>2046</v>
      </c>
      <c r="B194" s="166">
        <f>SCRS!AK39/(1+SCRS!$DU$27)^MAX(Outputs!A195-2021,0)</f>
        <v>58768.998444504294</v>
      </c>
      <c r="D194" s="190">
        <v>59616.091293128164</v>
      </c>
      <c r="E194" s="166">
        <v>66104.618104075373</v>
      </c>
      <c r="F194" s="190">
        <v>59779.652160183883</v>
      </c>
      <c r="G194" s="190">
        <v>60175.524561527229</v>
      </c>
      <c r="H194" s="190">
        <v>59267.803393709684</v>
      </c>
      <c r="J194" s="190">
        <v>46374.82856130744</v>
      </c>
      <c r="K194" s="166">
        <v>48650.11183004357</v>
      </c>
      <c r="L194" s="190">
        <v>46566.15502904787</v>
      </c>
      <c r="M194" s="190">
        <v>47331.460900009661</v>
      </c>
      <c r="N194" s="190">
        <v>48288.093238711903</v>
      </c>
      <c r="P194" s="190">
        <v>53129.243148392023</v>
      </c>
      <c r="Q194" s="190">
        <v>53298.018189188202</v>
      </c>
      <c r="R194" s="190">
        <v>52332.949440961536</v>
      </c>
      <c r="S194" s="190">
        <v>53096.070496098037</v>
      </c>
      <c r="U194" s="190">
        <v>31228.472230988678</v>
      </c>
      <c r="V194" s="190">
        <v>31899.462585902358</v>
      </c>
      <c r="W194" s="190">
        <v>32664.768456864116</v>
      </c>
      <c r="X194" s="190">
        <v>33621.400795566376</v>
      </c>
      <c r="Z194" s="190">
        <v>53355.73982852215</v>
      </c>
      <c r="AA194" s="166">
        <v>58551.742791753386</v>
      </c>
      <c r="AB194" s="190">
        <v>53524.514869318373</v>
      </c>
      <c r="AC194" s="190">
        <v>53020.198230002723</v>
      </c>
      <c r="AD194" s="190">
        <v>52597.616453884737</v>
      </c>
      <c r="AF194" s="190">
        <v>44149.123928389185</v>
      </c>
      <c r="AG194" s="166">
        <v>54584.376569006563</v>
      </c>
      <c r="AH194" s="190">
        <v>44149.868655719147</v>
      </c>
      <c r="AI194" s="190">
        <v>44152.847565038937</v>
      </c>
      <c r="AJ194" s="190">
        <v>44156.571201688668</v>
      </c>
      <c r="AL194" s="190">
        <v>53613.536670456619</v>
      </c>
      <c r="AM194" s="190">
        <v>53841.322250617959</v>
      </c>
      <c r="AN194" s="190">
        <v>52831.920532248609</v>
      </c>
      <c r="AO194" s="190">
        <v>53554.762466957567</v>
      </c>
      <c r="AQ194" s="190">
        <v>46623.000557627827</v>
      </c>
      <c r="AR194" s="190">
        <v>46625.199250879406</v>
      </c>
      <c r="AS194" s="190">
        <v>46633.994023885745</v>
      </c>
      <c r="AT194" s="190">
        <v>46659.578142161241</v>
      </c>
    </row>
    <row r="195" spans="1:46" x14ac:dyDescent="0.3">
      <c r="A195" s="38">
        <v>2047</v>
      </c>
      <c r="B195" s="166">
        <f>SCRS!AK40/(1+SCRS!$DU$27)^MAX(Outputs!A196-2021,0)</f>
        <v>59336.791853397073</v>
      </c>
      <c r="D195" s="190">
        <v>60234.165214842877</v>
      </c>
      <c r="E195" s="166">
        <v>66730.507328964741</v>
      </c>
      <c r="F195" s="190">
        <v>60405.324263986768</v>
      </c>
      <c r="G195" s="190">
        <v>60819.586825783721</v>
      </c>
      <c r="H195" s="190">
        <v>59901.482352465828</v>
      </c>
      <c r="J195" s="190">
        <v>48570.241755407122</v>
      </c>
      <c r="K195" s="166">
        <v>50928.970620796157</v>
      </c>
      <c r="L195" s="190">
        <v>48768.585086267602</v>
      </c>
      <c r="M195" s="190">
        <v>49561.958409709659</v>
      </c>
      <c r="N195" s="190">
        <v>50553.675064012234</v>
      </c>
      <c r="P195" s="190">
        <v>53230.896949581038</v>
      </c>
      <c r="Q195" s="190">
        <v>53390.611282880986</v>
      </c>
      <c r="R195" s="190">
        <v>52471.86813642599</v>
      </c>
      <c r="S195" s="190">
        <v>53189.093059641273</v>
      </c>
      <c r="U195" s="190">
        <v>32048.851369583834</v>
      </c>
      <c r="V195" s="190">
        <v>32757.149604774888</v>
      </c>
      <c r="W195" s="190">
        <v>33550.522928216909</v>
      </c>
      <c r="X195" s="190">
        <v>34542.239582519498</v>
      </c>
      <c r="Z195" s="190">
        <v>53488.43409191387</v>
      </c>
      <c r="AA195" s="166">
        <v>58480.706658832998</v>
      </c>
      <c r="AB195" s="190">
        <v>53648.148425213876</v>
      </c>
      <c r="AC195" s="190">
        <v>53166.071434428581</v>
      </c>
      <c r="AD195" s="190">
        <v>52767.078264443197</v>
      </c>
      <c r="AF195" s="190">
        <v>45462.863263298634</v>
      </c>
      <c r="AG195" s="166">
        <v>55985.338928284327</v>
      </c>
      <c r="AH195" s="190">
        <v>45463.635303366849</v>
      </c>
      <c r="AI195" s="190">
        <v>45466.72346363969</v>
      </c>
      <c r="AJ195" s="190">
        <v>45470.583663980738</v>
      </c>
      <c r="AL195" s="190">
        <v>53772.85840603237</v>
      </c>
      <c r="AM195" s="190">
        <v>54009.947909093447</v>
      </c>
      <c r="AN195" s="190">
        <v>52993.087173734239</v>
      </c>
      <c r="AO195" s="190">
        <v>53712.529490544905</v>
      </c>
      <c r="AQ195" s="190">
        <v>48530.865771777811</v>
      </c>
      <c r="AR195" s="190">
        <v>48533.145101701208</v>
      </c>
      <c r="AS195" s="190">
        <v>48542.262421394815</v>
      </c>
      <c r="AT195" s="190">
        <v>48568.784832516605</v>
      </c>
    </row>
    <row r="196" spans="1:46" x14ac:dyDescent="0.3">
      <c r="A196" s="38">
        <v>2048</v>
      </c>
      <c r="B196" s="166">
        <f>SCRS!AK41/(1+SCRS!$DU$27)^MAX(Outputs!A197-2021,0)</f>
        <v>60111.909713956156</v>
      </c>
      <c r="D196" s="190">
        <v>61070.081383541736</v>
      </c>
      <c r="E196" s="166">
        <v>67571.495953150457</v>
      </c>
      <c r="F196" s="190">
        <v>61249.191586557834</v>
      </c>
      <c r="G196" s="190">
        <v>61682.698619440707</v>
      </c>
      <c r="H196" s="190">
        <v>60749.428214020001</v>
      </c>
      <c r="J196" s="190">
        <v>51053.74965316592</v>
      </c>
      <c r="K196" s="166">
        <v>53498.984467163347</v>
      </c>
      <c r="L196" s="190">
        <v>51259.367189314682</v>
      </c>
      <c r="M196" s="190">
        <v>52081.837333909869</v>
      </c>
      <c r="N196" s="190">
        <v>53109.925014653847</v>
      </c>
      <c r="P196" s="190">
        <v>53529.843025476788</v>
      </c>
      <c r="Q196" s="190">
        <v>53679.951713562907</v>
      </c>
      <c r="R196" s="190">
        <v>52810.637733120093</v>
      </c>
      <c r="S196" s="190">
        <v>53479.23748725545</v>
      </c>
      <c r="U196" s="190">
        <v>33101.112418758377</v>
      </c>
      <c r="V196" s="190">
        <v>33846.967488522656</v>
      </c>
      <c r="W196" s="190">
        <v>34669.437633117806</v>
      </c>
      <c r="X196" s="190">
        <v>35697.525313861806</v>
      </c>
      <c r="Z196" s="190">
        <v>53820.534563155226</v>
      </c>
      <c r="AA196" s="166">
        <v>58609.443502999304</v>
      </c>
      <c r="AB196" s="190">
        <v>53970.643251241396</v>
      </c>
      <c r="AC196" s="190">
        <v>53512.221679426453</v>
      </c>
      <c r="AD196" s="190">
        <v>53151.161273625134</v>
      </c>
      <c r="AF196" s="190">
        <v>47027.219193734491</v>
      </c>
      <c r="AG196" s="166">
        <v>57489.121705233229</v>
      </c>
      <c r="AH196" s="190">
        <v>47028.019548230637</v>
      </c>
      <c r="AI196" s="190">
        <v>47031.220966215202</v>
      </c>
      <c r="AJ196" s="190">
        <v>47035.222738695891</v>
      </c>
      <c r="AL196" s="190">
        <v>54142.608042046086</v>
      </c>
      <c r="AM196" s="190">
        <v>54389.071205010106</v>
      </c>
      <c r="AN196" s="190">
        <v>53357.96627344381</v>
      </c>
      <c r="AO196" s="190">
        <v>54079.329445417177</v>
      </c>
      <c r="AQ196" s="190">
        <v>50575.782861501284</v>
      </c>
      <c r="AR196" s="190">
        <v>50578.145785431654</v>
      </c>
      <c r="AS196" s="190">
        <v>50587.597481153141</v>
      </c>
      <c r="AT196" s="190">
        <v>50615.092596839306</v>
      </c>
    </row>
    <row r="197" spans="1:46" x14ac:dyDescent="0.3">
      <c r="A197" s="38">
        <v>2049</v>
      </c>
      <c r="B197" s="166">
        <f>SCRS!AK42/(1+SCRS!$DU$27)^MAX(Outputs!A198-2021,0)</f>
        <v>61119.342039764262</v>
      </c>
      <c r="D197" s="190">
        <v>62149.504002048954</v>
      </c>
      <c r="E197" s="166">
        <v>68653.234002221521</v>
      </c>
      <c r="F197" s="190">
        <v>62336.934727943553</v>
      </c>
      <c r="G197" s="190">
        <v>62790.580229346662</v>
      </c>
      <c r="H197" s="190">
        <v>61837.636803582944</v>
      </c>
      <c r="J197" s="190">
        <v>53851.531476252167</v>
      </c>
      <c r="K197" s="166">
        <v>56386.444828660264</v>
      </c>
      <c r="L197" s="190">
        <v>54064.689997834263</v>
      </c>
      <c r="M197" s="190">
        <v>54917.32408416277</v>
      </c>
      <c r="N197" s="190">
        <v>55983.116692073396</v>
      </c>
      <c r="P197" s="190">
        <v>54052.398684592306</v>
      </c>
      <c r="Q197" s="190">
        <v>54192.330564675387</v>
      </c>
      <c r="R197" s="190">
        <v>53390.35878035237</v>
      </c>
      <c r="S197" s="190">
        <v>54007.473170960591</v>
      </c>
      <c r="U197" s="190">
        <v>34402.49363589962</v>
      </c>
      <c r="V197" s="190">
        <v>35186.146521507537</v>
      </c>
      <c r="W197" s="190">
        <v>36038.780607836008</v>
      </c>
      <c r="X197" s="190">
        <v>37104.573215746655</v>
      </c>
      <c r="Z197" s="190">
        <v>54378.228715477366</v>
      </c>
      <c r="AA197" s="166">
        <v>58964.214819670698</v>
      </c>
      <c r="AB197" s="190">
        <v>54518.160595560497</v>
      </c>
      <c r="AC197" s="190">
        <v>54099.535374130021</v>
      </c>
      <c r="AD197" s="190">
        <v>53766.725930617809</v>
      </c>
      <c r="AF197" s="190">
        <v>48716.973575781369</v>
      </c>
      <c r="AG197" s="166">
        <v>59112.806487927228</v>
      </c>
      <c r="AH197" s="190">
        <v>48717.8032831319</v>
      </c>
      <c r="AI197" s="190">
        <v>48721.122112533987</v>
      </c>
      <c r="AJ197" s="190">
        <v>48725.270649286591</v>
      </c>
      <c r="AL197" s="190">
        <v>54747.720581361456</v>
      </c>
      <c r="AM197" s="190">
        <v>55003.593715415496</v>
      </c>
      <c r="AN197" s="190">
        <v>53953.228923160576</v>
      </c>
      <c r="AO197" s="190">
        <v>54681.489202964993</v>
      </c>
      <c r="AQ197" s="190">
        <v>52776.27531664972</v>
      </c>
      <c r="AR197" s="190">
        <v>52778.724900381945</v>
      </c>
      <c r="AS197" s="190">
        <v>52788.523235310822</v>
      </c>
      <c r="AT197" s="190">
        <v>52817.026729322875</v>
      </c>
    </row>
    <row r="198" spans="1:46" x14ac:dyDescent="0.3">
      <c r="A198" s="38">
        <v>2050</v>
      </c>
      <c r="B198" s="166">
        <f>SCRS!AK43/(1+SCRS!$DU$27)^MAX(Outputs!A199-2021,0)</f>
        <v>62381.716647751869</v>
      </c>
      <c r="D198" s="190">
        <v>63495.74907600935</v>
      </c>
      <c r="E198" s="166">
        <v>69999.183467102353</v>
      </c>
      <c r="F198" s="190">
        <v>63691.886852740136</v>
      </c>
      <c r="G198" s="190">
        <v>64166.606350540933</v>
      </c>
      <c r="H198" s="190">
        <v>63189.841122290396</v>
      </c>
      <c r="J198" s="190">
        <v>56987.203765815073</v>
      </c>
      <c r="K198" s="166">
        <v>59615.084600585316</v>
      </c>
      <c r="L198" s="190">
        <v>57208.179837088435</v>
      </c>
      <c r="M198" s="190">
        <v>57941.065150972296</v>
      </c>
      <c r="N198" s="190">
        <v>59045.945507339311</v>
      </c>
      <c r="P198" s="190">
        <v>54839.208979279843</v>
      </c>
      <c r="Q198" s="190">
        <v>54968.365438536697</v>
      </c>
      <c r="R198" s="190">
        <v>54224.440711944924</v>
      </c>
      <c r="S198" s="190">
        <v>54787.072262251582</v>
      </c>
      <c r="U198" s="190">
        <v>35974.887741239865</v>
      </c>
      <c r="V198" s="190">
        <v>36796.570967842374</v>
      </c>
      <c r="W198" s="190">
        <v>37680.475252935947</v>
      </c>
      <c r="X198" s="190">
        <v>38785.355609302977</v>
      </c>
      <c r="Z198" s="190">
        <v>55202.020615410998</v>
      </c>
      <c r="AA198" s="166">
        <v>59569.146574674283</v>
      </c>
      <c r="AB198" s="190">
        <v>55331.177074667903</v>
      </c>
      <c r="AC198" s="190">
        <v>54941.192689325821</v>
      </c>
      <c r="AD198" s="190">
        <v>54638.290753811219</v>
      </c>
      <c r="AF198" s="190">
        <v>50547.473341025841</v>
      </c>
      <c r="AG198" s="166">
        <v>59777.83166137142</v>
      </c>
      <c r="AH198" s="190">
        <v>50548.333477741304</v>
      </c>
      <c r="AI198" s="190">
        <v>50551.774024603132</v>
      </c>
      <c r="AJ198" s="190">
        <v>50556.0747081804</v>
      </c>
      <c r="AL198" s="190">
        <v>55612.238190492375</v>
      </c>
      <c r="AM198" s="190">
        <v>55877.519272095786</v>
      </c>
      <c r="AN198" s="190">
        <v>54803.34080881621</v>
      </c>
      <c r="AO198" s="190">
        <v>55542.888327988476</v>
      </c>
      <c r="AQ198" s="190">
        <v>53178.840576788163</v>
      </c>
      <c r="AR198" s="190">
        <v>53181.379998554577</v>
      </c>
      <c r="AS198" s="190">
        <v>53191.537685620206</v>
      </c>
      <c r="AT198" s="190">
        <v>53221.086540048353</v>
      </c>
    </row>
    <row r="199" spans="1:46" x14ac:dyDescent="0.3">
      <c r="AL199" s="190"/>
      <c r="AM199" s="190"/>
      <c r="AN199" s="190"/>
      <c r="AO199" s="190"/>
      <c r="AQ199" s="190"/>
      <c r="AR199" s="190"/>
      <c r="AS199" s="190"/>
      <c r="AT199" s="190"/>
    </row>
    <row r="200" spans="1:46" x14ac:dyDescent="0.3">
      <c r="A200" s="38"/>
      <c r="B200" s="38"/>
      <c r="D200" s="38"/>
      <c r="F200" s="38"/>
      <c r="G200" s="38"/>
      <c r="H200" s="38"/>
      <c r="J200" s="38"/>
      <c r="L200" s="38"/>
      <c r="M200" s="38"/>
      <c r="N200" s="38"/>
      <c r="P200" s="38"/>
      <c r="Q200" s="38"/>
      <c r="R200" s="38"/>
      <c r="S200" s="38"/>
      <c r="U200" s="38"/>
      <c r="V200" s="38"/>
      <c r="W200" s="38"/>
      <c r="X200" s="38"/>
      <c r="Z200" s="38"/>
      <c r="AB200" s="38"/>
      <c r="AC200" s="38"/>
      <c r="AD200" s="38"/>
      <c r="AF200" s="38"/>
      <c r="AH200" s="38"/>
      <c r="AI200" s="38"/>
      <c r="AJ200" s="38"/>
      <c r="AL200" s="38"/>
      <c r="AM200" s="38"/>
      <c r="AN200" s="38"/>
      <c r="AO200" s="38"/>
      <c r="AQ200" s="38"/>
      <c r="AR200" s="38"/>
      <c r="AS200" s="38"/>
      <c r="AT200" s="38"/>
    </row>
    <row r="201" spans="1:46" x14ac:dyDescent="0.3">
      <c r="A201" s="411" t="s">
        <v>304</v>
      </c>
      <c r="B201" s="37">
        <f>SCRS!DP51</f>
        <v>43098.044893129547</v>
      </c>
      <c r="C201" s="38"/>
      <c r="D201" s="190">
        <v>37895.312632856083</v>
      </c>
      <c r="E201" s="37">
        <v>58839.716965595515</v>
      </c>
      <c r="F201" s="190">
        <v>37886.655111135216</v>
      </c>
      <c r="G201" s="190">
        <v>37785.929143220768</v>
      </c>
      <c r="H201" s="190">
        <v>36998.54334523814</v>
      </c>
      <c r="J201" s="190">
        <v>72892.439407686295</v>
      </c>
      <c r="K201" s="37">
        <v>74260.015443730226</v>
      </c>
      <c r="L201" s="190">
        <v>72990.238918688759</v>
      </c>
      <c r="M201" s="190">
        <v>73234.754371014758</v>
      </c>
      <c r="N201" s="190">
        <v>73723.751926026991</v>
      </c>
      <c r="P201" s="190">
        <v>50070.536212095147</v>
      </c>
      <c r="Q201" s="190">
        <v>49991.165021246285</v>
      </c>
      <c r="R201" s="190">
        <v>49779.98018796336</v>
      </c>
      <c r="S201" s="190">
        <v>49342.064646098224</v>
      </c>
      <c r="U201" s="190">
        <v>72910.87871308146</v>
      </c>
      <c r="V201" s="190">
        <v>72883.781054019506</v>
      </c>
      <c r="W201" s="190">
        <v>73274.979098029289</v>
      </c>
      <c r="X201" s="190">
        <v>73763.976653041507</v>
      </c>
      <c r="Z201" s="190">
        <v>48351.365164745766</v>
      </c>
      <c r="AA201" s="37">
        <v>64228.535048247686</v>
      </c>
      <c r="AB201" s="190">
        <v>48271.993973896897</v>
      </c>
      <c r="AC201" s="190">
        <v>47766.928598723534</v>
      </c>
      <c r="AD201" s="190">
        <v>47271.648617712737</v>
      </c>
      <c r="AF201" s="190">
        <v>81294.607285107326</v>
      </c>
      <c r="AG201" s="37">
        <v>85041.829200121167</v>
      </c>
      <c r="AH201" s="190">
        <v>81261.737163715428</v>
      </c>
      <c r="AI201" s="190">
        <v>81130.256678147911</v>
      </c>
      <c r="AJ201" s="190">
        <v>80965.906071188525</v>
      </c>
      <c r="AL201" s="190">
        <f>SUM(AL37:AL66)</f>
        <v>38829.235645194494</v>
      </c>
      <c r="AM201" s="190">
        <f t="shared" ref="AM201:AO201" si="14">SUM(AM37:AM66)</f>
        <v>38876.542233433647</v>
      </c>
      <c r="AN201" s="190">
        <f t="shared" si="14"/>
        <v>38131.767208444537</v>
      </c>
      <c r="AO201" s="190">
        <f t="shared" si="14"/>
        <v>37919.955494469272</v>
      </c>
      <c r="AQ201" s="190">
        <f>SUM(AQ37:AQ66)</f>
        <v>74347.217652967156</v>
      </c>
      <c r="AR201" s="190">
        <f t="shared" ref="AR201:AT201" si="15">SUM(AR37:AR66)</f>
        <v>74313.226563329095</v>
      </c>
      <c r="AS201" s="190">
        <f t="shared" si="15"/>
        <v>74177.262204776853</v>
      </c>
      <c r="AT201" s="190">
        <f t="shared" si="15"/>
        <v>74005.890994465371</v>
      </c>
    </row>
    <row r="202" spans="1:46" x14ac:dyDescent="0.3">
      <c r="A202" s="38" t="s">
        <v>305</v>
      </c>
      <c r="B202" s="37">
        <f>SCRS!DP52</f>
        <v>-1380.7156408580465</v>
      </c>
      <c r="D202" s="190">
        <v>-1112.7537541375839</v>
      </c>
      <c r="E202" s="37">
        <v>-119.9776362400674</v>
      </c>
      <c r="F202" s="190">
        <v>-1308.8915308683681</v>
      </c>
      <c r="G202" s="190">
        <v>-1783.6110286691669</v>
      </c>
      <c r="H202" s="190">
        <v>-806.84580041862944</v>
      </c>
      <c r="J202" s="190">
        <v>5395.7915560566944</v>
      </c>
      <c r="K202" s="37">
        <v>10264.12123027698</v>
      </c>
      <c r="L202" s="190">
        <v>5174.8154847833284</v>
      </c>
      <c r="M202" s="190">
        <v>4441.930170899469</v>
      </c>
      <c r="N202" s="190">
        <v>3337.0498145324577</v>
      </c>
      <c r="P202" s="190">
        <v>-922.9944715093169</v>
      </c>
      <c r="Q202" s="190">
        <v>-1052.1509307661743</v>
      </c>
      <c r="R202" s="190">
        <v>-308.22620417439589</v>
      </c>
      <c r="S202" s="190">
        <v>-870.85775448105778</v>
      </c>
      <c r="U202" s="190">
        <v>17941.326766530659</v>
      </c>
      <c r="V202" s="190">
        <v>17119.643539928151</v>
      </c>
      <c r="W202" s="190">
        <v>16235.739254834582</v>
      </c>
      <c r="X202" s="190">
        <v>15130.858898467548</v>
      </c>
      <c r="Z202" s="190">
        <v>-1285.8061076404686</v>
      </c>
      <c r="AA202" s="37">
        <v>325.98619361100583</v>
      </c>
      <c r="AB202" s="190">
        <v>-1414.9625668973795</v>
      </c>
      <c r="AC202" s="190">
        <v>-1024.9781815552956</v>
      </c>
      <c r="AD202" s="190">
        <v>-722.07624604069156</v>
      </c>
      <c r="AF202" s="190">
        <v>3368.7411667446836</v>
      </c>
      <c r="AG202" s="37">
        <v>117.30110691386631</v>
      </c>
      <c r="AH202" s="190">
        <v>3367.8810300292203</v>
      </c>
      <c r="AI202" s="190">
        <v>3364.4404831673965</v>
      </c>
      <c r="AJ202" s="190">
        <v>3360.1397995901252</v>
      </c>
      <c r="AL202" s="190">
        <f>AL132</f>
        <v>-2142.2861087441343</v>
      </c>
      <c r="AM202" s="190">
        <f t="shared" ref="AM202:AO202" si="16">AM132</f>
        <v>-2407.567190347545</v>
      </c>
      <c r="AN202" s="190">
        <f t="shared" si="16"/>
        <v>-1333.3887270679697</v>
      </c>
      <c r="AO202" s="190">
        <f t="shared" si="16"/>
        <v>-2072.9362462402351</v>
      </c>
      <c r="AQ202" s="190">
        <f>AQ132</f>
        <v>291.11150496007758</v>
      </c>
      <c r="AR202" s="190">
        <f t="shared" ref="AR202:AT202" si="17">AR132</f>
        <v>288.57208319366327</v>
      </c>
      <c r="AS202" s="190">
        <f t="shared" si="17"/>
        <v>278.41439612803515</v>
      </c>
      <c r="AT202" s="190">
        <f t="shared" si="17"/>
        <v>248.86554169988813</v>
      </c>
    </row>
    <row r="203" spans="1:46" x14ac:dyDescent="0.3">
      <c r="A203" s="38" t="s">
        <v>306</v>
      </c>
      <c r="B203" s="37">
        <f>SCRS!DP53</f>
        <v>41717.329252271498</v>
      </c>
      <c r="C203" t="s">
        <v>308</v>
      </c>
      <c r="D203" s="415">
        <v>36782.558878718497</v>
      </c>
      <c r="E203" s="429">
        <v>58719.739329355449</v>
      </c>
      <c r="F203" s="415">
        <v>36577.763580266852</v>
      </c>
      <c r="G203" s="415">
        <v>36002.318114551599</v>
      </c>
      <c r="H203" s="415">
        <v>36191.697544819508</v>
      </c>
      <c r="J203" s="415">
        <v>78288.230963742986</v>
      </c>
      <c r="K203" s="429">
        <v>84524.136674007212</v>
      </c>
      <c r="L203" s="415">
        <v>78165.054403472081</v>
      </c>
      <c r="M203" s="415">
        <v>77676.684541914234</v>
      </c>
      <c r="N203" s="415">
        <v>77060.801740559444</v>
      </c>
      <c r="P203" s="190">
        <v>49147.541740585832</v>
      </c>
      <c r="Q203" s="190">
        <v>48939.014090480108</v>
      </c>
      <c r="R203" s="190">
        <v>49471.753983788964</v>
      </c>
      <c r="S203" s="190">
        <v>48471.20689161717</v>
      </c>
      <c r="U203" s="190">
        <v>90852.205479612123</v>
      </c>
      <c r="V203" s="190">
        <v>90003.424593947653</v>
      </c>
      <c r="W203" s="190">
        <v>89510.718352863871</v>
      </c>
      <c r="X203" s="190">
        <v>88894.835551509052</v>
      </c>
      <c r="Z203" s="190">
        <v>47065.559057105296</v>
      </c>
      <c r="AA203" s="37">
        <v>64554.521241858689</v>
      </c>
      <c r="AB203" s="190">
        <v>46857.031406999515</v>
      </c>
      <c r="AC203" s="190">
        <v>46741.950417168242</v>
      </c>
      <c r="AD203" s="190">
        <v>46549.572371672046</v>
      </c>
      <c r="AF203" s="190">
        <v>84663.348451852013</v>
      </c>
      <c r="AG203" s="37">
        <v>85159.130307035026</v>
      </c>
      <c r="AH203" s="190">
        <v>84629.618193744653</v>
      </c>
      <c r="AI203" s="190">
        <v>84494.6971613153</v>
      </c>
      <c r="AJ203" s="190">
        <v>84326.045870778646</v>
      </c>
      <c r="AL203" s="190">
        <f>AL201+AL202</f>
        <v>36686.94953645036</v>
      </c>
      <c r="AM203" s="190">
        <f t="shared" ref="AM203:AO203" si="18">AM201+AM202</f>
        <v>36468.975043086102</v>
      </c>
      <c r="AN203" s="190">
        <f t="shared" si="18"/>
        <v>36798.378481376567</v>
      </c>
      <c r="AO203" s="190">
        <f t="shared" si="18"/>
        <v>35847.019248229037</v>
      </c>
      <c r="AQ203" s="190">
        <f>SUM(AQ201:AQ202)</f>
        <v>74638.329157927234</v>
      </c>
      <c r="AR203" s="190">
        <f t="shared" ref="AR203:AT203" si="19">SUM(AR201:AR202)</f>
        <v>74601.798646522759</v>
      </c>
      <c r="AS203" s="190">
        <f t="shared" si="19"/>
        <v>74455.676600904888</v>
      </c>
      <c r="AT203" s="190">
        <f t="shared" si="19"/>
        <v>74254.756536165252</v>
      </c>
    </row>
    <row r="205" spans="1:46" x14ac:dyDescent="0.3">
      <c r="D205" s="190">
        <v>48351.365164745766</v>
      </c>
      <c r="E205" s="190">
        <v>64228.535048247686</v>
      </c>
      <c r="F205" s="190">
        <v>48271.993973896897</v>
      </c>
      <c r="G205" s="190">
        <v>47766.928598723534</v>
      </c>
      <c r="H205" s="190">
        <v>47271.648617712737</v>
      </c>
      <c r="J205" s="190">
        <v>81294.607285107326</v>
      </c>
      <c r="K205" s="190">
        <v>85041.829200121167</v>
      </c>
      <c r="L205" s="190">
        <v>81261.737163715428</v>
      </c>
      <c r="M205" s="190">
        <v>81130.256678147911</v>
      </c>
      <c r="N205" s="190">
        <v>80965.906071188525</v>
      </c>
    </row>
    <row r="206" spans="1:46" x14ac:dyDescent="0.3">
      <c r="B206" s="190"/>
      <c r="D206" s="190">
        <v>-1285.8061076404686</v>
      </c>
      <c r="E206" s="190">
        <v>325.98619361100583</v>
      </c>
      <c r="F206" s="190">
        <v>-1414.9625668973795</v>
      </c>
      <c r="G206" s="190">
        <v>-1024.9781815552956</v>
      </c>
      <c r="H206" s="190">
        <v>-722.07624604069156</v>
      </c>
      <c r="J206" s="190">
        <v>3368.7411667446836</v>
      </c>
      <c r="K206" s="190">
        <v>117.30110691386631</v>
      </c>
      <c r="L206" s="190">
        <v>3367.8810300292203</v>
      </c>
      <c r="M206" s="190">
        <v>3364.4404831673965</v>
      </c>
      <c r="N206" s="190">
        <v>3360.1397995901252</v>
      </c>
      <c r="O206" s="190"/>
      <c r="P206" s="190"/>
      <c r="Q206" s="190"/>
      <c r="R206" s="190"/>
      <c r="S206" s="190"/>
      <c r="T206" s="190"/>
      <c r="U206" s="190"/>
      <c r="V206" s="190"/>
      <c r="W206" s="190"/>
      <c r="X206" s="190"/>
      <c r="Y206" s="190"/>
      <c r="Z206" s="190"/>
      <c r="AA206" s="190"/>
      <c r="AB206" s="190"/>
      <c r="AC206" s="190"/>
      <c r="AD206" s="190"/>
      <c r="AE206" s="190"/>
      <c r="AF206" s="190"/>
      <c r="AG206" s="190"/>
      <c r="AH206" s="190"/>
      <c r="AI206" s="190"/>
      <c r="AJ206" s="190"/>
      <c r="AL206" s="190"/>
    </row>
    <row r="207" spans="1:46" x14ac:dyDescent="0.3">
      <c r="C207" t="s">
        <v>357</v>
      </c>
      <c r="D207" s="419">
        <v>47065.559057105296</v>
      </c>
      <c r="E207" s="419">
        <v>64554.521241858689</v>
      </c>
      <c r="F207" s="419">
        <v>46857.031406999515</v>
      </c>
      <c r="G207" s="419">
        <v>46741.950417168242</v>
      </c>
      <c r="H207" s="419">
        <v>46549.572371672046</v>
      </c>
      <c r="I207" s="425"/>
      <c r="J207" s="419">
        <v>84663.348451852013</v>
      </c>
      <c r="K207" s="419">
        <v>85159.130307035026</v>
      </c>
      <c r="L207" s="419">
        <v>84629.618193744653</v>
      </c>
      <c r="M207" s="419">
        <v>84494.6971613153</v>
      </c>
      <c r="N207" s="419">
        <v>84326.045870778646</v>
      </c>
      <c r="O207" s="425"/>
      <c r="P207" s="425"/>
      <c r="Q207" s="425"/>
      <c r="R207" s="425"/>
      <c r="S207" s="425"/>
      <c r="T207" s="425"/>
      <c r="U207" s="425"/>
      <c r="V207" s="425"/>
      <c r="W207" s="425"/>
      <c r="X207" s="425"/>
      <c r="Y207" s="425"/>
      <c r="Z207" s="425"/>
      <c r="AA207" s="425"/>
      <c r="AB207" s="425"/>
      <c r="AC207" s="425"/>
      <c r="AD207" s="425"/>
      <c r="AE207" s="425"/>
      <c r="AF207" s="425"/>
      <c r="AG207" s="425"/>
      <c r="AH207" s="425"/>
      <c r="AI207" s="425"/>
      <c r="AJ207" s="425"/>
    </row>
    <row r="208" spans="1:46" x14ac:dyDescent="0.3">
      <c r="D208" s="190"/>
      <c r="E208" s="190"/>
      <c r="F208" s="190"/>
      <c r="G208" s="190"/>
      <c r="H208" s="190"/>
      <c r="I208" s="190"/>
      <c r="J208" s="190"/>
      <c r="K208" s="190"/>
      <c r="L208" s="190"/>
      <c r="M208" s="190"/>
      <c r="N208" s="190"/>
      <c r="O208" s="190"/>
      <c r="P208" s="190"/>
      <c r="Q208" s="190"/>
      <c r="R208" s="190"/>
      <c r="S208" s="190"/>
      <c r="T208" s="190"/>
      <c r="U208" s="190"/>
      <c r="V208" s="190"/>
      <c r="W208" s="190"/>
      <c r="X208" s="190"/>
      <c r="Y208" s="190"/>
      <c r="Z208" s="190"/>
      <c r="AA208" s="190"/>
      <c r="AB208" s="190"/>
      <c r="AC208" s="190"/>
      <c r="AD208" s="190"/>
      <c r="AE208" s="190"/>
      <c r="AF208" s="190"/>
      <c r="AG208" s="190"/>
      <c r="AH208" s="190"/>
      <c r="AI208" s="190"/>
      <c r="AJ208" s="190"/>
    </row>
    <row r="209" spans="1:36" x14ac:dyDescent="0.3">
      <c r="B209" s="190"/>
      <c r="D209" s="190">
        <v>38829.235645194494</v>
      </c>
      <c r="E209" s="190"/>
      <c r="F209" s="190">
        <v>38876.542233433647</v>
      </c>
      <c r="G209" s="190">
        <v>38131.767208444537</v>
      </c>
      <c r="H209" s="190">
        <v>37919.955494469272</v>
      </c>
      <c r="J209" s="190">
        <v>74347.217652967156</v>
      </c>
      <c r="K209" s="190"/>
      <c r="L209" s="190">
        <v>74313.226563329095</v>
      </c>
      <c r="M209" s="190">
        <v>74177.262204776853</v>
      </c>
      <c r="N209" s="190">
        <v>74005.890994465371</v>
      </c>
      <c r="AH209" s="190"/>
    </row>
    <row r="210" spans="1:36" x14ac:dyDescent="0.3">
      <c r="D210" s="190">
        <v>-2142.2861087441343</v>
      </c>
      <c r="E210" s="190"/>
      <c r="F210" s="190">
        <v>-2407.567190347545</v>
      </c>
      <c r="G210" s="190">
        <v>-1333.3887270679697</v>
      </c>
      <c r="H210" s="190">
        <v>-2072.9362462402351</v>
      </c>
      <c r="I210" s="190"/>
      <c r="J210" s="190">
        <v>291.11150496007758</v>
      </c>
      <c r="K210" s="190"/>
      <c r="L210" s="190">
        <v>288.57208319366327</v>
      </c>
      <c r="M210" s="190">
        <v>278.41439612803515</v>
      </c>
      <c r="N210" s="190">
        <v>248.86554169988813</v>
      </c>
      <c r="O210" s="190"/>
      <c r="P210" s="190"/>
      <c r="Q210" s="190"/>
      <c r="R210" s="190"/>
      <c r="S210" s="190"/>
      <c r="T210" s="190"/>
      <c r="U210" s="190"/>
      <c r="V210" s="190"/>
      <c r="W210" s="190"/>
      <c r="X210" s="190"/>
      <c r="Y210" s="190"/>
      <c r="Z210" s="190"/>
      <c r="AA210" s="190"/>
      <c r="AB210" s="190"/>
      <c r="AC210" s="190"/>
      <c r="AD210" s="190"/>
      <c r="AE210" s="190"/>
      <c r="AF210" s="190"/>
      <c r="AG210" s="190"/>
      <c r="AH210" s="190"/>
      <c r="AI210" s="190"/>
      <c r="AJ210" s="190"/>
    </row>
    <row r="211" spans="1:36" x14ac:dyDescent="0.3">
      <c r="C211" t="s">
        <v>358</v>
      </c>
      <c r="D211" s="428">
        <v>36686.94953645036</v>
      </c>
      <c r="E211" s="428"/>
      <c r="F211" s="428">
        <v>36468.975043086102</v>
      </c>
      <c r="G211" s="428">
        <v>36798.378481376567</v>
      </c>
      <c r="H211" s="428">
        <v>35847.019248229037</v>
      </c>
      <c r="J211" s="428">
        <v>74638.329157927234</v>
      </c>
      <c r="K211" s="428"/>
      <c r="L211" s="428">
        <v>74601.798646522759</v>
      </c>
      <c r="M211" s="428">
        <v>74455.676600904888</v>
      </c>
      <c r="N211" s="428">
        <v>74254.756536165252</v>
      </c>
    </row>
    <row r="214" spans="1:36" x14ac:dyDescent="0.3">
      <c r="A214">
        <v>2021</v>
      </c>
      <c r="B214">
        <f>IF(B103&gt;0,B103,0)</f>
        <v>21507.689000000006</v>
      </c>
    </row>
    <row r="215" spans="1:36" x14ac:dyDescent="0.3">
      <c r="A215">
        <v>2022</v>
      </c>
      <c r="B215" s="38">
        <f t="shared" ref="B215:B243" si="20">IF(B104&gt;0,B104,0)</f>
        <v>22498.147976105778</v>
      </c>
    </row>
    <row r="216" spans="1:36" x14ac:dyDescent="0.3">
      <c r="A216" s="38">
        <v>2023</v>
      </c>
      <c r="B216" s="38">
        <f t="shared" si="20"/>
        <v>21559.974054738312</v>
      </c>
    </row>
    <row r="217" spans="1:36" x14ac:dyDescent="0.3">
      <c r="A217" s="38">
        <v>2024</v>
      </c>
      <c r="B217" s="38">
        <f t="shared" si="20"/>
        <v>20646.872807652777</v>
      </c>
    </row>
    <row r="218" spans="1:36" x14ac:dyDescent="0.3">
      <c r="A218" s="38">
        <v>2025</v>
      </c>
      <c r="B218" s="38">
        <f t="shared" si="20"/>
        <v>19744.200228258473</v>
      </c>
    </row>
    <row r="219" spans="1:36" x14ac:dyDescent="0.3">
      <c r="A219" s="38">
        <v>2026</v>
      </c>
      <c r="B219" s="38">
        <f t="shared" si="20"/>
        <v>18854.062022205711</v>
      </c>
    </row>
    <row r="220" spans="1:36" x14ac:dyDescent="0.3">
      <c r="A220" s="38">
        <v>2027</v>
      </c>
      <c r="B220" s="38">
        <f t="shared" si="20"/>
        <v>18007.058462633082</v>
      </c>
    </row>
    <row r="221" spans="1:36" x14ac:dyDescent="0.3">
      <c r="A221" s="38">
        <v>2028</v>
      </c>
      <c r="B221" s="38">
        <f t="shared" si="20"/>
        <v>17115.153943825982</v>
      </c>
    </row>
    <row r="222" spans="1:36" x14ac:dyDescent="0.3">
      <c r="A222" s="38">
        <v>2029</v>
      </c>
      <c r="B222" s="38">
        <f t="shared" si="20"/>
        <v>16177.451389704018</v>
      </c>
    </row>
    <row r="223" spans="1:36" x14ac:dyDescent="0.3">
      <c r="A223" s="38">
        <v>2030</v>
      </c>
      <c r="B223" s="38">
        <f t="shared" si="20"/>
        <v>15191.821279937272</v>
      </c>
    </row>
    <row r="224" spans="1:36" x14ac:dyDescent="0.3">
      <c r="A224" s="38">
        <v>2031</v>
      </c>
      <c r="B224" s="38">
        <f t="shared" si="20"/>
        <v>14156.03435415901</v>
      </c>
    </row>
    <row r="225" spans="1:2" x14ac:dyDescent="0.3">
      <c r="A225" s="38">
        <v>2032</v>
      </c>
      <c r="B225" s="38">
        <f t="shared" si="20"/>
        <v>13067.757221088108</v>
      </c>
    </row>
    <row r="226" spans="1:2" x14ac:dyDescent="0.3">
      <c r="A226" s="38">
        <v>2033</v>
      </c>
      <c r="B226" s="38">
        <f t="shared" si="20"/>
        <v>11924.547568997063</v>
      </c>
    </row>
    <row r="227" spans="1:2" x14ac:dyDescent="0.3">
      <c r="A227" s="38">
        <v>2034</v>
      </c>
      <c r="B227" s="38">
        <f t="shared" si="20"/>
        <v>10723.848875648404</v>
      </c>
    </row>
    <row r="228" spans="1:2" x14ac:dyDescent="0.3">
      <c r="A228" s="38">
        <v>2035</v>
      </c>
      <c r="B228" s="38">
        <f t="shared" si="20"/>
        <v>9462.9859288654316</v>
      </c>
    </row>
    <row r="229" spans="1:2" x14ac:dyDescent="0.3">
      <c r="A229" s="38">
        <v>2036</v>
      </c>
      <c r="B229" s="38">
        <f t="shared" si="20"/>
        <v>8139.159281771922</v>
      </c>
    </row>
    <row r="230" spans="1:2" x14ac:dyDescent="0.3">
      <c r="A230" s="38">
        <v>2037</v>
      </c>
      <c r="B230" s="38">
        <f t="shared" si="20"/>
        <v>6749.4394587931702</v>
      </c>
    </row>
    <row r="231" spans="1:2" x14ac:dyDescent="0.3">
      <c r="A231" s="38">
        <v>2038</v>
      </c>
      <c r="B231" s="38">
        <f t="shared" si="20"/>
        <v>5290.7609686599317</v>
      </c>
    </row>
    <row r="232" spans="1:2" x14ac:dyDescent="0.3">
      <c r="A232" s="38">
        <v>2039</v>
      </c>
      <c r="B232" s="38">
        <f t="shared" si="20"/>
        <v>3759.9159548671369</v>
      </c>
    </row>
    <row r="233" spans="1:2" x14ac:dyDescent="0.3">
      <c r="A233" s="38">
        <v>2040</v>
      </c>
      <c r="B233" s="38">
        <f t="shared" si="20"/>
        <v>2153.5475863112874</v>
      </c>
    </row>
    <row r="234" spans="1:2" x14ac:dyDescent="0.3">
      <c r="A234" s="38">
        <v>2041</v>
      </c>
      <c r="B234" s="38">
        <f t="shared" si="20"/>
        <v>468.14313717096235</v>
      </c>
    </row>
    <row r="235" spans="1:2" x14ac:dyDescent="0.3">
      <c r="A235" s="38">
        <v>2042</v>
      </c>
      <c r="B235" s="38">
        <f t="shared" si="20"/>
        <v>0</v>
      </c>
    </row>
    <row r="236" spans="1:2" x14ac:dyDescent="0.3">
      <c r="A236" s="38">
        <v>2043</v>
      </c>
      <c r="B236" s="38">
        <f t="shared" si="20"/>
        <v>0</v>
      </c>
    </row>
    <row r="237" spans="1:2" x14ac:dyDescent="0.3">
      <c r="A237" s="38">
        <v>2044</v>
      </c>
      <c r="B237" s="38">
        <f t="shared" si="20"/>
        <v>0</v>
      </c>
    </row>
    <row r="238" spans="1:2" x14ac:dyDescent="0.3">
      <c r="A238" s="38">
        <v>2045</v>
      </c>
      <c r="B238" s="38">
        <f t="shared" si="20"/>
        <v>0</v>
      </c>
    </row>
    <row r="239" spans="1:2" x14ac:dyDescent="0.3">
      <c r="A239" s="38">
        <v>2046</v>
      </c>
      <c r="B239" s="38">
        <f t="shared" si="20"/>
        <v>0</v>
      </c>
    </row>
    <row r="240" spans="1:2" x14ac:dyDescent="0.3">
      <c r="A240" s="38">
        <v>2047</v>
      </c>
      <c r="B240" s="38">
        <f t="shared" si="20"/>
        <v>0</v>
      </c>
    </row>
    <row r="241" spans="1:2" x14ac:dyDescent="0.3">
      <c r="A241" s="38">
        <v>2048</v>
      </c>
      <c r="B241" s="38">
        <f t="shared" si="20"/>
        <v>0</v>
      </c>
    </row>
    <row r="242" spans="1:2" x14ac:dyDescent="0.3">
      <c r="A242" s="38">
        <v>2049</v>
      </c>
      <c r="B242" s="38">
        <f t="shared" si="20"/>
        <v>0</v>
      </c>
    </row>
    <row r="243" spans="1:2" x14ac:dyDescent="0.3">
      <c r="A243" s="38">
        <v>2050</v>
      </c>
      <c r="B243" s="38">
        <f t="shared" si="20"/>
        <v>0</v>
      </c>
    </row>
  </sheetData>
  <mergeCells count="8">
    <mergeCell ref="AL1:AO1"/>
    <mergeCell ref="AQ1:AT1"/>
    <mergeCell ref="AF1:AJ1"/>
    <mergeCell ref="D1:H1"/>
    <mergeCell ref="J1:N1"/>
    <mergeCell ref="P1:S1"/>
    <mergeCell ref="U1:X1"/>
    <mergeCell ref="Z1:AD1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A1459-21BB-E346-8D18-B1C6DE9FF150}">
  <dimension ref="A1:O209"/>
  <sheetViews>
    <sheetView topLeftCell="J1" zoomScaleNormal="100" workbookViewId="0">
      <selection activeCell="O40" sqref="O40"/>
    </sheetView>
  </sheetViews>
  <sheetFormatPr defaultColWidth="11.44140625" defaultRowHeight="14.4" x14ac:dyDescent="0.3"/>
  <cols>
    <col min="1" max="1" width="26.6640625" customWidth="1"/>
    <col min="2" max="2" width="21.109375" customWidth="1"/>
    <col min="4" max="4" width="23" customWidth="1"/>
    <col min="5" max="5" width="35.33203125" style="38" customWidth="1"/>
    <col min="6" max="6" width="35" style="38" customWidth="1"/>
    <col min="7" max="7" width="20.33203125" customWidth="1"/>
    <col min="9" max="9" width="26.109375" bestFit="1" customWidth="1"/>
    <col min="10" max="10" width="35.109375" style="38" customWidth="1"/>
    <col min="11" max="11" width="35" customWidth="1"/>
    <col min="12" max="12" width="22.6640625" style="38" customWidth="1"/>
  </cols>
  <sheetData>
    <row r="1" spans="1:14" s="38" customFormat="1" ht="15" thickBot="1" x14ac:dyDescent="0.35">
      <c r="D1" s="446" t="s">
        <v>307</v>
      </c>
      <c r="E1" s="447"/>
      <c r="F1" s="447"/>
      <c r="G1" s="448"/>
      <c r="I1" s="446" t="s">
        <v>309</v>
      </c>
      <c r="J1" s="447"/>
      <c r="K1" s="447"/>
      <c r="L1" s="448"/>
      <c r="M1" s="412"/>
      <c r="N1" s="412"/>
    </row>
    <row r="2" spans="1:14" x14ac:dyDescent="0.3">
      <c r="A2" s="38"/>
      <c r="B2" s="38" t="s">
        <v>297</v>
      </c>
      <c r="D2" s="414" t="s">
        <v>308</v>
      </c>
      <c r="E2" s="414" t="s">
        <v>324</v>
      </c>
      <c r="F2" s="414" t="s">
        <v>332</v>
      </c>
      <c r="G2" s="414" t="s">
        <v>331</v>
      </c>
      <c r="I2" s="414" t="s">
        <v>308</v>
      </c>
      <c r="J2" s="414" t="s">
        <v>324</v>
      </c>
      <c r="K2" s="414" t="s">
        <v>332</v>
      </c>
      <c r="L2" s="414" t="s">
        <v>331</v>
      </c>
    </row>
    <row r="3" spans="1:14" x14ac:dyDescent="0.3">
      <c r="A3" s="38" t="s">
        <v>155</v>
      </c>
      <c r="B3" s="38" t="s">
        <v>298</v>
      </c>
      <c r="D3" s="38" t="s">
        <v>298</v>
      </c>
      <c r="E3" s="38" t="s">
        <v>298</v>
      </c>
      <c r="F3" s="38" t="s">
        <v>298</v>
      </c>
      <c r="G3" s="38" t="s">
        <v>298</v>
      </c>
      <c r="I3" s="38" t="s">
        <v>298</v>
      </c>
      <c r="J3" s="38" t="s">
        <v>298</v>
      </c>
      <c r="K3" s="38" t="s">
        <v>298</v>
      </c>
      <c r="L3" s="38" t="s">
        <v>298</v>
      </c>
    </row>
    <row r="4" spans="1:14" x14ac:dyDescent="0.3">
      <c r="A4" s="38">
        <v>2020</v>
      </c>
      <c r="B4" s="142">
        <f>SCRS!CZ13</f>
        <v>0.15805160795638792</v>
      </c>
      <c r="D4" s="142">
        <v>0.15805160795638792</v>
      </c>
      <c r="E4" s="142">
        <v>0.15805160795638792</v>
      </c>
      <c r="F4" s="142">
        <v>0.16097461568266105</v>
      </c>
      <c r="G4" s="142">
        <v>0.16097461568266105</v>
      </c>
      <c r="I4" s="142">
        <v>0.15805160795638792</v>
      </c>
      <c r="J4" s="142">
        <v>0.15805160795638792</v>
      </c>
      <c r="K4" s="142">
        <v>0.16097461568266105</v>
      </c>
      <c r="L4" s="142">
        <v>0.16097461568266105</v>
      </c>
    </row>
    <row r="5" spans="1:14" x14ac:dyDescent="0.3">
      <c r="A5" s="38">
        <v>2021</v>
      </c>
      <c r="B5" s="142">
        <f>SCRS!CZ14</f>
        <v>0.15858867863501119</v>
      </c>
      <c r="D5" s="142">
        <v>0.15560000000000004</v>
      </c>
      <c r="E5" s="142">
        <v>0.15560000000000004</v>
      </c>
      <c r="F5" s="142">
        <v>0.15560000000000004</v>
      </c>
      <c r="G5" s="142">
        <v>0.15560000000000004</v>
      </c>
      <c r="I5" s="142">
        <v>0.15560000000000004</v>
      </c>
      <c r="J5" s="142">
        <v>0.15560000000000004</v>
      </c>
      <c r="K5" s="142">
        <v>0.15560000000000004</v>
      </c>
      <c r="L5" s="142">
        <v>0.15560000000000004</v>
      </c>
    </row>
    <row r="6" spans="1:14" x14ac:dyDescent="0.3">
      <c r="A6" s="38">
        <v>2022</v>
      </c>
      <c r="B6" s="142">
        <f>SCRS!CZ15</f>
        <v>2.0563622522784729E-2</v>
      </c>
      <c r="D6" s="142">
        <v>0.16560000000000005</v>
      </c>
      <c r="E6" s="142">
        <v>0.16560000000000005</v>
      </c>
      <c r="F6" s="142">
        <v>0.16560000000000005</v>
      </c>
      <c r="G6" s="142">
        <v>0.17984284064740097</v>
      </c>
      <c r="I6" s="142">
        <v>0.16560000000000005</v>
      </c>
      <c r="J6" s="142">
        <v>0.16560000000000005</v>
      </c>
      <c r="K6" s="142">
        <v>0.16560000000000005</v>
      </c>
      <c r="L6" s="142">
        <v>0.17984284064740097</v>
      </c>
    </row>
    <row r="7" spans="1:14" x14ac:dyDescent="0.3">
      <c r="A7" s="38">
        <v>2023</v>
      </c>
      <c r="B7" s="142">
        <f>SCRS!CZ16</f>
        <v>0.18282002795512084</v>
      </c>
      <c r="D7" s="142">
        <v>0.17560000000000006</v>
      </c>
      <c r="E7" s="142">
        <v>0.17560000000000006</v>
      </c>
      <c r="F7" s="142">
        <v>0.17560000000000001</v>
      </c>
      <c r="G7" s="142">
        <v>0.18220845359621912</v>
      </c>
      <c r="I7" s="142">
        <v>0.17560000000000006</v>
      </c>
      <c r="J7" s="142">
        <v>0.17560000000000006</v>
      </c>
      <c r="K7" s="142">
        <v>0.17560000000000001</v>
      </c>
      <c r="L7" s="142">
        <v>0.19213111753310019</v>
      </c>
    </row>
    <row r="8" spans="1:14" x14ac:dyDescent="0.3">
      <c r="A8" s="38">
        <v>2024</v>
      </c>
      <c r="B8" s="142">
        <f>SCRS!CZ17</f>
        <v>0.17648913917760664</v>
      </c>
      <c r="D8" s="142">
        <v>0.18560000000000007</v>
      </c>
      <c r="E8" s="142">
        <v>0.18560000000000007</v>
      </c>
      <c r="F8" s="142">
        <v>0.1856000000000001</v>
      </c>
      <c r="G8" s="142">
        <v>0.18703983738215715</v>
      </c>
      <c r="I8" s="142">
        <v>0.18560000000000007</v>
      </c>
      <c r="J8" s="142">
        <v>0.18560000000000007</v>
      </c>
      <c r="K8" s="142">
        <v>0.1856000000000001</v>
      </c>
      <c r="L8" s="142">
        <v>0.20837076153185971</v>
      </c>
    </row>
    <row r="9" spans="1:14" x14ac:dyDescent="0.3">
      <c r="A9" s="38">
        <v>2025</v>
      </c>
      <c r="B9" s="142">
        <f>SCRS!CZ18</f>
        <v>0.17149827176461482</v>
      </c>
      <c r="D9" s="142">
        <v>0.18560000000000004</v>
      </c>
      <c r="E9" s="142">
        <v>0.18560000000000004</v>
      </c>
      <c r="F9" s="142">
        <v>0.18558885067673878</v>
      </c>
      <c r="G9" s="142">
        <v>0.19130711149595053</v>
      </c>
      <c r="I9" s="142">
        <v>0.19560000000000005</v>
      </c>
      <c r="J9" s="142">
        <v>0.19560000000000005</v>
      </c>
      <c r="K9" s="142">
        <v>0.19558847598391696</v>
      </c>
      <c r="L9" s="142">
        <v>0.22182717981450237</v>
      </c>
    </row>
    <row r="10" spans="1:14" x14ac:dyDescent="0.3">
      <c r="A10" s="38">
        <v>2026</v>
      </c>
      <c r="B10" s="142">
        <f>SCRS!CZ19</f>
        <v>0.16641665727369651</v>
      </c>
      <c r="D10" s="142">
        <v>0.18559999999999999</v>
      </c>
      <c r="E10" s="142">
        <v>0.18559999999999999</v>
      </c>
      <c r="F10" s="142">
        <v>0.18556313859358817</v>
      </c>
      <c r="G10" s="142">
        <v>0.19483639986447332</v>
      </c>
      <c r="I10" s="142">
        <v>0.20560000000000006</v>
      </c>
      <c r="J10" s="142">
        <v>0.20560000000000006</v>
      </c>
      <c r="K10" s="142">
        <v>0.20556066481481217</v>
      </c>
      <c r="L10" s="142">
        <v>0.23593014154342656</v>
      </c>
    </row>
    <row r="11" spans="1:14" x14ac:dyDescent="0.3">
      <c r="A11" s="38">
        <v>2027</v>
      </c>
      <c r="B11" s="142">
        <f>SCRS!CZ20</f>
        <v>0.15895298789482601</v>
      </c>
      <c r="D11" s="142">
        <v>0.18560000000000007</v>
      </c>
      <c r="E11" s="142">
        <v>0.18560000000000007</v>
      </c>
      <c r="F11" s="142">
        <v>0.18552711429486388</v>
      </c>
      <c r="G11" s="142">
        <v>0.19550118714596754</v>
      </c>
      <c r="I11" s="142">
        <v>0.21560000000000007</v>
      </c>
      <c r="J11" s="142">
        <v>0.21560000000000007</v>
      </c>
      <c r="K11" s="142">
        <v>0.21552325150745566</v>
      </c>
      <c r="L11" s="142">
        <v>0.24280190742347785</v>
      </c>
    </row>
    <row r="12" spans="1:14" x14ac:dyDescent="0.3">
      <c r="A12" s="38">
        <v>2028</v>
      </c>
      <c r="B12" s="142">
        <f>SCRS!CZ21</f>
        <v>0.15878990813951055</v>
      </c>
      <c r="D12" s="142">
        <v>0.18560000000000007</v>
      </c>
      <c r="E12" s="142">
        <v>0.18560000000000007</v>
      </c>
      <c r="F12" s="142">
        <v>0.18548064551752125</v>
      </c>
      <c r="G12" s="142">
        <v>0.19612433086706554</v>
      </c>
      <c r="I12" s="142">
        <v>0.18560000000000007</v>
      </c>
      <c r="J12" s="142">
        <v>0.18560000000000007</v>
      </c>
      <c r="K12" s="142">
        <v>0.22547749259564173</v>
      </c>
      <c r="L12" s="142">
        <v>0.24086361650881796</v>
      </c>
    </row>
    <row r="13" spans="1:14" x14ac:dyDescent="0.3">
      <c r="A13" s="38">
        <v>2029</v>
      </c>
      <c r="B13" s="142">
        <f>SCRS!CZ22</f>
        <v>0.15853044248512896</v>
      </c>
      <c r="D13" s="142">
        <v>0.18560000000000001</v>
      </c>
      <c r="E13" s="142">
        <v>0.18560000000000001</v>
      </c>
      <c r="F13" s="142">
        <v>0.18542341149614361</v>
      </c>
      <c r="G13" s="142">
        <v>0.19677846957153466</v>
      </c>
      <c r="I13" s="142">
        <v>0.18560000000000001</v>
      </c>
      <c r="J13" s="142">
        <v>0.18560000000000001</v>
      </c>
      <c r="K13" s="142">
        <v>0.18542396668322927</v>
      </c>
      <c r="L13" s="142">
        <v>0.2403717331693577</v>
      </c>
    </row>
    <row r="14" spans="1:14" x14ac:dyDescent="0.3">
      <c r="A14" s="38">
        <v>2030</v>
      </c>
      <c r="B14" s="142">
        <f>SCRS!CZ23</f>
        <v>0.15827074107387581</v>
      </c>
      <c r="D14" s="142">
        <v>0.18560000000000007</v>
      </c>
      <c r="E14" s="142">
        <v>0.18560000000000007</v>
      </c>
      <c r="F14" s="142">
        <v>0.18535500224844495</v>
      </c>
      <c r="G14" s="142">
        <v>0.19746025213608887</v>
      </c>
      <c r="I14" s="142">
        <v>0.19560000000000008</v>
      </c>
      <c r="J14" s="142">
        <v>0.19560000000000008</v>
      </c>
      <c r="K14" s="142">
        <v>0.18536361288238529</v>
      </c>
      <c r="L14" s="142">
        <v>0.24126777546278147</v>
      </c>
    </row>
    <row r="15" spans="1:14" x14ac:dyDescent="0.3">
      <c r="A15" s="38">
        <v>2031</v>
      </c>
      <c r="B15" s="142">
        <f>SCRS!CZ24</f>
        <v>0.15801087481287909</v>
      </c>
      <c r="D15" s="142">
        <v>0.18560000000000001</v>
      </c>
      <c r="E15" s="142">
        <v>0.18560000000000001</v>
      </c>
      <c r="F15" s="142">
        <v>0.18527504885926721</v>
      </c>
      <c r="G15" s="142">
        <v>0.19863827198408968</v>
      </c>
      <c r="I15" s="142">
        <v>0.20560000000000006</v>
      </c>
      <c r="J15" s="142">
        <v>0.20560000000000006</v>
      </c>
      <c r="K15" s="142">
        <v>0.19529826225965799</v>
      </c>
      <c r="L15" s="142">
        <v>0.24393314581461009</v>
      </c>
    </row>
    <row r="16" spans="1:14" x14ac:dyDescent="0.3">
      <c r="A16" s="38">
        <v>2032</v>
      </c>
      <c r="B16" s="142">
        <f>SCRS!CZ25</f>
        <v>0.15775089427353214</v>
      </c>
      <c r="D16" s="142">
        <v>0.18560000000000004</v>
      </c>
      <c r="E16" s="142">
        <v>0.18560000000000004</v>
      </c>
      <c r="F16" s="142">
        <v>0.18518322753250682</v>
      </c>
      <c r="G16" s="142">
        <v>0.19936595576721119</v>
      </c>
      <c r="I16" s="142">
        <v>0.18560000000000004</v>
      </c>
      <c r="J16" s="142">
        <v>0.18560000000000004</v>
      </c>
      <c r="K16" s="142">
        <v>0.20522638651214301</v>
      </c>
      <c r="L16" s="142">
        <v>0.24624599781167153</v>
      </c>
    </row>
    <row r="17" spans="1:12" x14ac:dyDescent="0.3">
      <c r="A17" s="38">
        <v>2033</v>
      </c>
      <c r="B17" s="142">
        <f>SCRS!CZ26</f>
        <v>0.15749084543351638</v>
      </c>
      <c r="D17" s="142">
        <v>0.18560000000000004</v>
      </c>
      <c r="E17" s="142">
        <v>0.18560000000000004</v>
      </c>
      <c r="F17" s="142">
        <v>0.1850745838911097</v>
      </c>
      <c r="G17" s="142">
        <v>0.20058123270197636</v>
      </c>
      <c r="I17" s="142">
        <v>0.18560000000000004</v>
      </c>
      <c r="J17" s="142">
        <v>0.18560000000000004</v>
      </c>
      <c r="K17" s="142">
        <v>0.21514381512166789</v>
      </c>
      <c r="L17" s="142">
        <v>0.24906419933620969</v>
      </c>
    </row>
    <row r="18" spans="1:12" x14ac:dyDescent="0.3">
      <c r="A18" s="38">
        <v>2034</v>
      </c>
      <c r="B18" s="142">
        <f>SCRS!CZ27</f>
        <v>0.15723079153731584</v>
      </c>
      <c r="D18" s="142">
        <v>0.1856000000000001</v>
      </c>
      <c r="E18" s="142">
        <v>0.1856000000000001</v>
      </c>
      <c r="F18" s="142">
        <v>0.18495367454581341</v>
      </c>
      <c r="G18" s="142">
        <v>0.20181254548960861</v>
      </c>
      <c r="I18" s="142">
        <v>0.1856000000000001</v>
      </c>
      <c r="J18" s="142">
        <v>0.1856000000000001</v>
      </c>
      <c r="K18" s="142">
        <v>0.18505587388009243</v>
      </c>
      <c r="L18" s="142">
        <v>0.25195766253379742</v>
      </c>
    </row>
    <row r="19" spans="1:12" x14ac:dyDescent="0.3">
      <c r="A19" s="38">
        <v>2035</v>
      </c>
      <c r="B19" s="142">
        <f>SCRS!CZ28</f>
        <v>0.15697073036066361</v>
      </c>
      <c r="D19" s="142">
        <v>0.1856000000000001</v>
      </c>
      <c r="E19" s="142">
        <v>0.1856000000000001</v>
      </c>
      <c r="F19" s="142">
        <v>0.1848235644683292</v>
      </c>
      <c r="G19" s="142">
        <v>0.20259088012689155</v>
      </c>
      <c r="I19" s="142">
        <v>0.18560000000000007</v>
      </c>
      <c r="J19" s="142">
        <v>0.18560000000000007</v>
      </c>
      <c r="K19" s="142">
        <v>0.18496665529069253</v>
      </c>
      <c r="L19" s="142">
        <v>0.25449931295448452</v>
      </c>
    </row>
    <row r="20" spans="1:12" x14ac:dyDescent="0.3">
      <c r="A20" s="38">
        <v>2036</v>
      </c>
      <c r="B20" s="142">
        <f>SCRS!CZ29</f>
        <v>0.15671066216513804</v>
      </c>
      <c r="D20" s="142">
        <v>0.18560000000000004</v>
      </c>
      <c r="E20" s="142">
        <v>0.18560000000000004</v>
      </c>
      <c r="F20" s="142">
        <v>0.18468654498191545</v>
      </c>
      <c r="G20" s="142">
        <v>0.20385993433745353</v>
      </c>
      <c r="I20" s="142">
        <v>0.18560000000000004</v>
      </c>
      <c r="J20" s="142">
        <v>0.18560000000000004</v>
      </c>
      <c r="K20" s="142">
        <v>0.1948802039168937</v>
      </c>
      <c r="L20" s="142">
        <v>0.25755389805310125</v>
      </c>
    </row>
    <row r="21" spans="1:12" x14ac:dyDescent="0.3">
      <c r="A21" s="38">
        <v>2037</v>
      </c>
      <c r="B21" s="142">
        <f>SCRS!CZ30</f>
        <v>0.15645058899978082</v>
      </c>
      <c r="D21" s="142">
        <v>0.18560000000000001</v>
      </c>
      <c r="E21" s="142">
        <v>0.18560000000000001</v>
      </c>
      <c r="F21" s="142">
        <v>0.1845442569804244</v>
      </c>
      <c r="G21" s="142">
        <v>0.20514544685660022</v>
      </c>
      <c r="I21" s="142">
        <v>0.18560000000000007</v>
      </c>
      <c r="J21" s="142">
        <v>0.18560000000000007</v>
      </c>
      <c r="K21" s="142">
        <v>0.20479707605764758</v>
      </c>
      <c r="L21" s="142">
        <v>0.26068799812123294</v>
      </c>
    </row>
    <row r="22" spans="1:12" x14ac:dyDescent="0.3">
      <c r="A22" s="38">
        <v>2038</v>
      </c>
      <c r="B22" s="142">
        <f>SCRS!CZ31</f>
        <v>0.15619050880279034</v>
      </c>
      <c r="D22" s="142">
        <v>0.18560000000000004</v>
      </c>
      <c r="E22" s="142">
        <v>0.18560000000000004</v>
      </c>
      <c r="F22" s="142">
        <v>0.1843911701012293</v>
      </c>
      <c r="G22" s="142">
        <v>0.20644209816466369</v>
      </c>
      <c r="I22" s="142">
        <v>0.18560000000000004</v>
      </c>
      <c r="J22" s="142">
        <v>0.18560000000000004</v>
      </c>
      <c r="K22" s="142">
        <v>0.21525712564350674</v>
      </c>
      <c r="L22" s="142">
        <v>0.27618487347249737</v>
      </c>
    </row>
    <row r="23" spans="1:12" x14ac:dyDescent="0.3">
      <c r="A23" s="38">
        <v>2039</v>
      </c>
      <c r="B23" s="142">
        <f>SCRS!CZ32</f>
        <v>0.15593042195774071</v>
      </c>
      <c r="D23" s="142">
        <v>0.18560000000000004</v>
      </c>
      <c r="E23" s="142">
        <v>0.18560000000000004</v>
      </c>
      <c r="F23" s="142">
        <v>0.18422723930379098</v>
      </c>
      <c r="G23" s="142">
        <v>0.20774803802969039</v>
      </c>
      <c r="I23" s="142">
        <v>0.18560000000000001</v>
      </c>
      <c r="J23" s="142">
        <v>0.18560000000000001</v>
      </c>
      <c r="K23" s="142">
        <v>0.18573320371259205</v>
      </c>
      <c r="L23" s="142">
        <v>0.29306739563758505</v>
      </c>
    </row>
    <row r="24" spans="1:12" x14ac:dyDescent="0.3">
      <c r="A24" s="38">
        <v>2040</v>
      </c>
      <c r="B24" s="142">
        <f>SCRS!CZ33</f>
        <v>0.15567032856049465</v>
      </c>
      <c r="D24" s="142">
        <v>0.17560000000000006</v>
      </c>
      <c r="E24" s="142">
        <v>0.17560000000000006</v>
      </c>
      <c r="F24" s="142">
        <v>0.18405245725689667</v>
      </c>
      <c r="G24" s="142">
        <v>0.21056870835424951</v>
      </c>
      <c r="I24" s="142">
        <v>0.18560000000000007</v>
      </c>
      <c r="J24" s="142">
        <v>0.18560000000000007</v>
      </c>
      <c r="K24" s="142">
        <v>0.18603065673076752</v>
      </c>
      <c r="L24" s="142">
        <v>0.30660742244943345</v>
      </c>
    </row>
    <row r="25" spans="1:12" x14ac:dyDescent="0.3">
      <c r="A25" s="38">
        <v>2041</v>
      </c>
      <c r="B25" s="142">
        <f>SCRS!CZ34</f>
        <v>0.1554102287081652</v>
      </c>
      <c r="D25" s="142">
        <v>0.16560000000000002</v>
      </c>
      <c r="E25" s="142">
        <v>0.16560000000000002</v>
      </c>
      <c r="F25" s="142">
        <v>0.18386678336530185</v>
      </c>
      <c r="G25" s="142">
        <v>0.21306947421915662</v>
      </c>
      <c r="I25" s="142">
        <v>0.18560000000000001</v>
      </c>
      <c r="J25" s="142">
        <v>0.18560000000000001</v>
      </c>
      <c r="K25" s="142">
        <v>0.19614029251942922</v>
      </c>
      <c r="L25" s="142">
        <v>0.31686658834769549</v>
      </c>
    </row>
    <row r="26" spans="1:12" x14ac:dyDescent="0.3">
      <c r="A26" s="38">
        <v>2042</v>
      </c>
      <c r="B26" s="142">
        <f>SCRS!CZ35</f>
        <v>0.15515012287986191</v>
      </c>
      <c r="D26" s="142">
        <v>0.15560000000000002</v>
      </c>
      <c r="E26" s="142">
        <v>2.8762328092903865E-2</v>
      </c>
      <c r="F26" s="142">
        <v>0.18367012257047741</v>
      </c>
      <c r="G26" s="142">
        <v>5.6108211309029023E-2</v>
      </c>
      <c r="I26" s="142">
        <v>0.18560000000000004</v>
      </c>
      <c r="J26" s="142">
        <v>0.18560000000000004</v>
      </c>
      <c r="K26" s="142">
        <v>0.20618805278246194</v>
      </c>
      <c r="L26" s="142">
        <v>0.17344143162158518</v>
      </c>
    </row>
    <row r="27" spans="1:12" x14ac:dyDescent="0.3">
      <c r="A27" s="38">
        <v>2043</v>
      </c>
      <c r="B27" s="142">
        <f>SCRS!CZ36</f>
        <v>2.3182824267667615E-2</v>
      </c>
      <c r="D27" s="142">
        <v>0.14560000000000001</v>
      </c>
      <c r="E27" s="142">
        <v>2.9097480565371439E-2</v>
      </c>
      <c r="F27" s="142">
        <v>0.17346580275194981</v>
      </c>
      <c r="G27" s="142">
        <v>5.6484333621948012E-2</v>
      </c>
      <c r="I27" s="142">
        <v>0.18560000000000001</v>
      </c>
      <c r="J27" s="142">
        <v>0.18560000000000001</v>
      </c>
      <c r="K27" s="142">
        <v>0.21574289485326259</v>
      </c>
      <c r="L27" s="142">
        <v>0.15962192481320781</v>
      </c>
    </row>
    <row r="28" spans="1:12" x14ac:dyDescent="0.3">
      <c r="A28" s="38">
        <v>2044</v>
      </c>
      <c r="B28" s="142">
        <f>SCRS!CZ37</f>
        <v>1.5530042541245953E-2</v>
      </c>
      <c r="D28" s="142">
        <v>0.1356</v>
      </c>
      <c r="E28" s="142">
        <v>3.2812206857198947E-2</v>
      </c>
      <c r="F28" s="142">
        <v>0.16325599214806813</v>
      </c>
      <c r="G28" s="142">
        <v>5.7748846705615531E-2</v>
      </c>
      <c r="I28" s="142">
        <v>0.18560000000000001</v>
      </c>
      <c r="J28" s="142">
        <v>0.18560000000000001</v>
      </c>
      <c r="K28" s="142">
        <v>0.18540019057049009</v>
      </c>
      <c r="L28" s="142">
        <v>0.14387208523769754</v>
      </c>
    </row>
    <row r="29" spans="1:12" x14ac:dyDescent="0.3">
      <c r="A29" s="38">
        <v>2045</v>
      </c>
      <c r="B29" s="142">
        <f>SCRS!CZ38</f>
        <v>1.5274245144441739E-2</v>
      </c>
      <c r="D29" s="142">
        <v>0.12559999999999999</v>
      </c>
      <c r="E29" s="142">
        <v>3.6561823959373935E-2</v>
      </c>
      <c r="F29" s="142">
        <v>0.1530381530220889</v>
      </c>
      <c r="G29" s="142">
        <v>5.8560385636584222E-2</v>
      </c>
      <c r="I29" s="142">
        <v>0.18560000000000004</v>
      </c>
      <c r="J29" s="142">
        <v>0.18560000000000004</v>
      </c>
      <c r="K29" s="142">
        <v>0.18516187153754857</v>
      </c>
      <c r="L29" s="142">
        <v>0.13189933545481669</v>
      </c>
    </row>
    <row r="30" spans="1:12" x14ac:dyDescent="0.3">
      <c r="A30" s="38">
        <v>2046</v>
      </c>
      <c r="B30" s="142">
        <f>SCRS!CZ39</f>
        <v>1.5017074924379004E-2</v>
      </c>
      <c r="D30" s="142">
        <v>0.11560000000000001</v>
      </c>
      <c r="E30" s="142">
        <v>4.035016442197488E-2</v>
      </c>
      <c r="F30" s="142">
        <v>6.0480160164612953E-2</v>
      </c>
      <c r="G30" s="142">
        <v>5.9421728656223749E-2</v>
      </c>
      <c r="I30" s="142">
        <v>0.18560000000000001</v>
      </c>
      <c r="J30" s="142">
        <v>0.18560000000000001</v>
      </c>
      <c r="K30" s="142">
        <v>0.19503931354874784</v>
      </c>
      <c r="L30" s="142">
        <v>0.12509332698420941</v>
      </c>
    </row>
    <row r="31" spans="1:12" x14ac:dyDescent="0.3">
      <c r="A31" s="38">
        <v>2047</v>
      </c>
      <c r="B31" s="142">
        <f>SCRS!CZ40</f>
        <v>1.4758321357923543E-2</v>
      </c>
      <c r="D31" s="142">
        <v>0.1056</v>
      </c>
      <c r="E31" s="142">
        <v>4.4182305205808042E-2</v>
      </c>
      <c r="F31" s="142">
        <v>5.6467912388881582E-2</v>
      </c>
      <c r="G31" s="142">
        <v>5.9927331116083803E-2</v>
      </c>
      <c r="I31" s="142">
        <v>0.18560000000000001</v>
      </c>
      <c r="J31" s="142">
        <v>0.18560000000000001</v>
      </c>
      <c r="K31" s="142">
        <v>0.20492518661437209</v>
      </c>
      <c r="L31" s="142">
        <v>0.12150836567785021</v>
      </c>
    </row>
    <row r="32" spans="1:12" x14ac:dyDescent="0.3">
      <c r="A32" s="38">
        <v>2048</v>
      </c>
      <c r="B32" s="142">
        <f>SCRS!CZ41</f>
        <v>1.4498117968061237E-2</v>
      </c>
      <c r="D32" s="142">
        <v>9.5600000000000004E-2</v>
      </c>
      <c r="E32" s="142">
        <v>4.8062574471430156E-2</v>
      </c>
      <c r="F32" s="142">
        <v>5.7028256831143653E-2</v>
      </c>
      <c r="G32" s="142">
        <v>6.0304633443923082E-2</v>
      </c>
      <c r="I32" s="142">
        <v>0.18560000000000007</v>
      </c>
      <c r="J32" s="142">
        <v>0.18560000000000007</v>
      </c>
      <c r="K32" s="142">
        <v>0.18441043015322939</v>
      </c>
      <c r="L32" s="142">
        <v>0.12639443293513763</v>
      </c>
    </row>
    <row r="33" spans="1:15" x14ac:dyDescent="0.3">
      <c r="A33" s="38">
        <v>2049</v>
      </c>
      <c r="B33" s="142">
        <f>SCRS!CZ42</f>
        <v>1.423660375128896E-2</v>
      </c>
      <c r="D33" s="142">
        <v>8.5600000000000023E-2</v>
      </c>
      <c r="E33" s="142">
        <v>5.1995881738351055E-2</v>
      </c>
      <c r="F33" s="142">
        <v>5.746856846607349E-2</v>
      </c>
      <c r="G33" s="142">
        <v>6.0562791728197667E-2</v>
      </c>
      <c r="I33" s="142">
        <v>0.18560000000000004</v>
      </c>
      <c r="J33" s="142">
        <v>0.18560000000000004</v>
      </c>
      <c r="K33" s="142">
        <v>0.18389321693671931</v>
      </c>
      <c r="L33" s="142">
        <v>0.12988203127992382</v>
      </c>
      <c r="O33" t="s">
        <v>315</v>
      </c>
    </row>
    <row r="34" spans="1:15" x14ac:dyDescent="0.3">
      <c r="A34" s="38">
        <v>2050</v>
      </c>
      <c r="B34" s="142">
        <f>SCRS!CZ43</f>
        <v>1.3974938408564695E-2</v>
      </c>
      <c r="D34" s="142">
        <v>7.5600000000000014E-2</v>
      </c>
      <c r="E34" s="142">
        <v>5.5986097549609155E-2</v>
      </c>
      <c r="F34" s="142">
        <v>5.7792260243789681E-2</v>
      </c>
      <c r="G34" s="142">
        <v>6.0705846269913606E-2</v>
      </c>
      <c r="I34" s="142">
        <v>0.18560000000000007</v>
      </c>
      <c r="J34" s="142">
        <v>0.18560000000000007</v>
      </c>
      <c r="K34" s="142">
        <v>0.19351754884731079</v>
      </c>
      <c r="L34" s="142">
        <v>0.13217680603098902</v>
      </c>
      <c r="O34" s="186" t="s">
        <v>316</v>
      </c>
    </row>
    <row r="35" spans="1:15" x14ac:dyDescent="0.3">
      <c r="A35" s="38"/>
      <c r="B35" s="38"/>
      <c r="D35" s="38"/>
      <c r="G35" s="38"/>
      <c r="I35" s="38"/>
      <c r="K35" s="38"/>
      <c r="O35" s="186" t="s">
        <v>317</v>
      </c>
    </row>
    <row r="36" spans="1:15" x14ac:dyDescent="0.3">
      <c r="A36" s="38"/>
      <c r="B36" s="38" t="s">
        <v>299</v>
      </c>
      <c r="D36" s="38" t="s">
        <v>299</v>
      </c>
      <c r="E36" s="38" t="s">
        <v>299</v>
      </c>
      <c r="F36" s="38" t="s">
        <v>299</v>
      </c>
      <c r="G36" s="38" t="s">
        <v>299</v>
      </c>
      <c r="I36" s="38" t="s">
        <v>299</v>
      </c>
      <c r="J36" s="38" t="s">
        <v>299</v>
      </c>
      <c r="K36" s="38" t="s">
        <v>299</v>
      </c>
      <c r="L36" s="38" t="s">
        <v>299</v>
      </c>
      <c r="O36" s="186" t="s">
        <v>318</v>
      </c>
    </row>
    <row r="37" spans="1:15" x14ac:dyDescent="0.3">
      <c r="A37" s="38">
        <v>2020</v>
      </c>
      <c r="B37" s="166">
        <f>SCRS!DB14</f>
        <v>1849.4589499999997</v>
      </c>
      <c r="D37" s="190">
        <v>1846.4809637440005</v>
      </c>
      <c r="E37" s="190">
        <v>1846.4809637440005</v>
      </c>
      <c r="F37" s="190">
        <v>1846.4809637440005</v>
      </c>
      <c r="G37" s="190">
        <v>1846.4809637440005</v>
      </c>
      <c r="I37" s="190">
        <v>1846.4809637440005</v>
      </c>
      <c r="J37" s="190">
        <v>1846.4809637440005</v>
      </c>
      <c r="K37" s="190">
        <v>1846.4809637440005</v>
      </c>
      <c r="L37" s="190">
        <v>1846.4809637440005</v>
      </c>
      <c r="O37" s="186" t="s">
        <v>321</v>
      </c>
    </row>
    <row r="38" spans="1:15" x14ac:dyDescent="0.3">
      <c r="A38" s="38">
        <v>2021</v>
      </c>
      <c r="B38" s="166">
        <f>SCRS!DB15</f>
        <v>240.86808828869457</v>
      </c>
      <c r="D38" s="190">
        <v>1979.5637049665729</v>
      </c>
      <c r="E38" s="190">
        <v>1979.5637049665729</v>
      </c>
      <c r="F38" s="190">
        <v>1979.5637049665731</v>
      </c>
      <c r="G38" s="190">
        <v>2149.8210141526688</v>
      </c>
      <c r="I38" s="190">
        <v>1979.5637049665729</v>
      </c>
      <c r="J38" s="190">
        <v>1979.5637049665729</v>
      </c>
      <c r="K38" s="190">
        <v>1979.5637049665731</v>
      </c>
      <c r="L38" s="190">
        <v>2149.8210141526688</v>
      </c>
      <c r="O38" s="186" t="s">
        <v>322</v>
      </c>
    </row>
    <row r="39" spans="1:15" x14ac:dyDescent="0.3">
      <c r="A39" s="38">
        <v>2022</v>
      </c>
      <c r="B39" s="166">
        <f>SCRS!DB16</f>
        <v>2150.8520640628694</v>
      </c>
      <c r="D39" s="190">
        <v>2114.499416450481</v>
      </c>
      <c r="E39" s="190">
        <v>2114.499416450481</v>
      </c>
      <c r="F39" s="190">
        <v>2114.4994164504806</v>
      </c>
      <c r="G39" s="190">
        <v>2194.0755626511946</v>
      </c>
      <c r="I39" s="190">
        <v>2114.499416450481</v>
      </c>
      <c r="J39" s="190">
        <v>2114.499416450481</v>
      </c>
      <c r="K39" s="190">
        <v>2114.4994164504806</v>
      </c>
      <c r="L39" s="190">
        <v>2313.5599994630925</v>
      </c>
      <c r="O39" s="186" t="s">
        <v>323</v>
      </c>
    </row>
    <row r="40" spans="1:15" x14ac:dyDescent="0.3">
      <c r="A40" s="38">
        <v>2023</v>
      </c>
      <c r="B40" s="166">
        <f>SCRS!DB17</f>
        <v>2085.508101750273</v>
      </c>
      <c r="D40" s="190">
        <v>2251.3081210575583</v>
      </c>
      <c r="E40" s="190">
        <v>2251.3081210575583</v>
      </c>
      <c r="F40" s="190">
        <v>2251.3081210575583</v>
      </c>
      <c r="G40" s="190">
        <v>2268.773194287367</v>
      </c>
      <c r="I40" s="190">
        <v>2251.3081210575583</v>
      </c>
      <c r="J40" s="190">
        <v>2251.3081210575583</v>
      </c>
      <c r="K40" s="190">
        <v>2251.3081210575583</v>
      </c>
      <c r="L40" s="190">
        <v>2527.5150195453848</v>
      </c>
      <c r="O40" s="186" t="s">
        <v>334</v>
      </c>
    </row>
    <row r="41" spans="1:15" x14ac:dyDescent="0.3">
      <c r="A41" s="38">
        <v>2024</v>
      </c>
      <c r="B41" s="166">
        <f>SCRS!DB18</f>
        <v>2035.451559347194</v>
      </c>
      <c r="D41" s="190">
        <v>2267.8213835592028</v>
      </c>
      <c r="E41" s="190">
        <v>2267.8213835592028</v>
      </c>
      <c r="F41" s="190">
        <v>2267.6851514810555</v>
      </c>
      <c r="G41" s="190">
        <v>2337.5558096845962</v>
      </c>
      <c r="I41" s="190">
        <v>2390.0100356906255</v>
      </c>
      <c r="J41" s="190">
        <v>2390.0100356906255</v>
      </c>
      <c r="K41" s="190">
        <v>2389.869225291392</v>
      </c>
      <c r="L41" s="190">
        <v>2710.4764107648743</v>
      </c>
    </row>
    <row r="42" spans="1:15" x14ac:dyDescent="0.3">
      <c r="A42" s="38">
        <v>2025</v>
      </c>
      <c r="B42" s="166">
        <f>SCRS!DB19</f>
        <v>1983.8322434603597</v>
      </c>
      <c r="D42" s="190">
        <v>2284.4557702356756</v>
      </c>
      <c r="E42" s="190">
        <v>2284.4557702356756</v>
      </c>
      <c r="F42" s="190">
        <v>2284.002061978259</v>
      </c>
      <c r="G42" s="190">
        <v>2398.1419069091671</v>
      </c>
      <c r="I42" s="190">
        <v>2530.6255730627968</v>
      </c>
      <c r="J42" s="190">
        <v>2530.6255730627968</v>
      </c>
      <c r="K42" s="190">
        <v>2530.1414163237032</v>
      </c>
      <c r="L42" s="190">
        <v>2903.9438212359937</v>
      </c>
    </row>
    <row r="43" spans="1:15" x14ac:dyDescent="0.3">
      <c r="A43" s="38">
        <v>2026</v>
      </c>
      <c r="B43" s="166">
        <f>SCRS!DB20</f>
        <v>1903.1980021789595</v>
      </c>
      <c r="D43" s="190">
        <v>2301.2121695283586</v>
      </c>
      <c r="E43" s="190">
        <v>2301.2121695283586</v>
      </c>
      <c r="F43" s="190">
        <v>2300.308476254414</v>
      </c>
      <c r="G43" s="190">
        <v>2423.9747360858914</v>
      </c>
      <c r="I43" s="190">
        <v>2673.1753434822958</v>
      </c>
      <c r="J43" s="190">
        <v>2673.1753434822958</v>
      </c>
      <c r="K43" s="190">
        <v>2672.2237563861954</v>
      </c>
      <c r="L43" s="190">
        <v>3010.4456042435609</v>
      </c>
    </row>
    <row r="44" spans="1:15" x14ac:dyDescent="0.3">
      <c r="A44" s="38">
        <v>2027</v>
      </c>
      <c r="B44" s="166">
        <f>SCRS!DB21</f>
        <v>1909.6127321295205</v>
      </c>
      <c r="D44" s="190">
        <v>2318.0914763953151</v>
      </c>
      <c r="E44" s="190">
        <v>2318.0914763953151</v>
      </c>
      <c r="F44" s="190">
        <v>2316.6007726857042</v>
      </c>
      <c r="G44" s="190">
        <v>2449.5373906071068</v>
      </c>
      <c r="I44" s="190">
        <v>2318.0914763953151</v>
      </c>
      <c r="J44" s="190">
        <v>2318.0914763953151</v>
      </c>
      <c r="K44" s="190">
        <v>2816.1500738412965</v>
      </c>
      <c r="L44" s="190">
        <v>3008.3184073428911</v>
      </c>
    </row>
    <row r="45" spans="1:15" x14ac:dyDescent="0.3">
      <c r="A45" s="38">
        <v>2028</v>
      </c>
      <c r="B45" s="166">
        <f>SCRS!DB22</f>
        <v>1914.8828205688858</v>
      </c>
      <c r="D45" s="190">
        <v>2335.0945923590948</v>
      </c>
      <c r="E45" s="190">
        <v>2335.0945923590948</v>
      </c>
      <c r="F45" s="190">
        <v>2332.8728743610995</v>
      </c>
      <c r="G45" s="190">
        <v>2475.73459153658</v>
      </c>
      <c r="I45" s="190">
        <v>2335.0945923590948</v>
      </c>
      <c r="J45" s="190">
        <v>2335.0945923590948</v>
      </c>
      <c r="K45" s="190">
        <v>2332.8798593522715</v>
      </c>
      <c r="L45" s="190">
        <v>3024.1957665934824</v>
      </c>
    </row>
    <row r="46" spans="1:15" x14ac:dyDescent="0.3">
      <c r="A46" s="38">
        <v>2029</v>
      </c>
      <c r="B46" s="166">
        <f>SCRS!DB23</f>
        <v>1920.1594493252321</v>
      </c>
      <c r="D46" s="190">
        <v>2352.2224255548836</v>
      </c>
      <c r="E46" s="190">
        <v>2352.2224255548836</v>
      </c>
      <c r="F46" s="190">
        <v>2349.1174190601719</v>
      </c>
      <c r="G46" s="190">
        <v>2502.5346618008061</v>
      </c>
      <c r="I46" s="190">
        <v>2478.9585476214183</v>
      </c>
      <c r="J46" s="190">
        <v>2478.9585476214183</v>
      </c>
      <c r="K46" s="190">
        <v>2349.2265468955848</v>
      </c>
      <c r="L46" s="190">
        <v>3057.734224177234</v>
      </c>
    </row>
    <row r="47" spans="1:15" x14ac:dyDescent="0.3">
      <c r="A47" s="38">
        <v>2030</v>
      </c>
      <c r="B47" s="166">
        <f>SCRS!DB24</f>
        <v>1925.4434253437219</v>
      </c>
      <c r="D47" s="190">
        <v>2369.4758907790019</v>
      </c>
      <c r="E47" s="190">
        <v>2369.4758907790019</v>
      </c>
      <c r="F47" s="190">
        <v>2365.3273784209873</v>
      </c>
      <c r="G47" s="190">
        <v>2535.9299377818024</v>
      </c>
      <c r="I47" s="190">
        <v>2624.8073445267401</v>
      </c>
      <c r="J47" s="190">
        <v>2624.8073445267401</v>
      </c>
      <c r="K47" s="190">
        <v>2493.2894608582665</v>
      </c>
      <c r="L47" s="190">
        <v>3114.1902369051586</v>
      </c>
    </row>
    <row r="48" spans="1:15" x14ac:dyDescent="0.3">
      <c r="A48" s="38">
        <v>2031</v>
      </c>
      <c r="B48" s="166">
        <f>SCRS!DB25</f>
        <v>1930.73532120347</v>
      </c>
      <c r="D48" s="190">
        <v>2386.8559095377727</v>
      </c>
      <c r="E48" s="190">
        <v>2386.8559095377727</v>
      </c>
      <c r="F48" s="190">
        <v>2381.4961259872944</v>
      </c>
      <c r="G48" s="190">
        <v>2563.8890607953349</v>
      </c>
      <c r="I48" s="190">
        <v>2386.8559095377727</v>
      </c>
      <c r="J48" s="190">
        <v>2386.8559095377727</v>
      </c>
      <c r="K48" s="190">
        <v>2639.2554603426265</v>
      </c>
      <c r="L48" s="190">
        <v>3166.7764820949005</v>
      </c>
    </row>
    <row r="49" spans="1:12" x14ac:dyDescent="0.3">
      <c r="A49" s="38">
        <v>2032</v>
      </c>
      <c r="B49" s="166">
        <f>SCRS!DB26</f>
        <v>1936.035663319645</v>
      </c>
      <c r="D49" s="190">
        <v>2404.3634100967297</v>
      </c>
      <c r="E49" s="190">
        <v>2404.3634100967297</v>
      </c>
      <c r="F49" s="190">
        <v>2397.5568838720997</v>
      </c>
      <c r="G49" s="190">
        <v>2598.4384518358265</v>
      </c>
      <c r="I49" s="190">
        <v>2404.3634100967297</v>
      </c>
      <c r="J49" s="190">
        <v>2404.3634100967297</v>
      </c>
      <c r="K49" s="190">
        <v>2787.0900699738881</v>
      </c>
      <c r="L49" s="190">
        <v>3226.5131877641197</v>
      </c>
    </row>
    <row r="50" spans="1:12" x14ac:dyDescent="0.3">
      <c r="A50" s="38">
        <v>2033</v>
      </c>
      <c r="B50" s="166">
        <f>SCRS!DB27</f>
        <v>1941.3452007303495</v>
      </c>
      <c r="D50" s="190">
        <v>2421.9993275302027</v>
      </c>
      <c r="E50" s="190">
        <v>2421.9993275302027</v>
      </c>
      <c r="F50" s="190">
        <v>2413.5650612834042</v>
      </c>
      <c r="G50" s="190">
        <v>2633.5659992618007</v>
      </c>
      <c r="I50" s="190">
        <v>2421.9993275302027</v>
      </c>
      <c r="J50" s="190">
        <v>2421.9993275302027</v>
      </c>
      <c r="K50" s="190">
        <v>2414.8987181740176</v>
      </c>
      <c r="L50" s="190">
        <v>3287.9379807270407</v>
      </c>
    </row>
    <row r="51" spans="1:12" x14ac:dyDescent="0.3">
      <c r="A51" s="38">
        <v>2034</v>
      </c>
      <c r="B51" s="166">
        <f>SCRS!DB28</f>
        <v>1946.6638838530419</v>
      </c>
      <c r="D51" s="190">
        <v>2439.7646037712552</v>
      </c>
      <c r="E51" s="190">
        <v>2439.7646037712552</v>
      </c>
      <c r="F51" s="190">
        <v>2429.5581386458193</v>
      </c>
      <c r="G51" s="190">
        <v>2663.1145386877979</v>
      </c>
      <c r="I51" s="190">
        <v>2439.7646037712552</v>
      </c>
      <c r="J51" s="190">
        <v>2439.7646037712552</v>
      </c>
      <c r="K51" s="190">
        <v>2431.4391080613718</v>
      </c>
      <c r="L51" s="190">
        <v>3345.4656003796031</v>
      </c>
    </row>
    <row r="52" spans="1:12" x14ac:dyDescent="0.3">
      <c r="A52" s="38">
        <v>2035</v>
      </c>
      <c r="B52" s="166">
        <f>SCRS!DB29</f>
        <v>1951.9916932104024</v>
      </c>
      <c r="D52" s="190">
        <v>2457.6601876619975</v>
      </c>
      <c r="E52" s="190">
        <v>2457.6601876619975</v>
      </c>
      <c r="F52" s="190">
        <v>2445.5644870630395</v>
      </c>
      <c r="G52" s="190">
        <v>2699.4528258650234</v>
      </c>
      <c r="I52" s="190">
        <v>2457.6601876619975</v>
      </c>
      <c r="J52" s="190">
        <v>2457.6601876619975</v>
      </c>
      <c r="K52" s="190">
        <v>2580.5458972521615</v>
      </c>
      <c r="L52" s="190">
        <v>3410.4523783527134</v>
      </c>
    </row>
    <row r="53" spans="1:12" x14ac:dyDescent="0.3">
      <c r="A53" s="38">
        <v>2036</v>
      </c>
      <c r="B53" s="166">
        <f>SCRS!DB30</f>
        <v>1957.3286313661338</v>
      </c>
      <c r="D53" s="190">
        <v>2475.6870350042618</v>
      </c>
      <c r="E53" s="190">
        <v>2475.6870350042618</v>
      </c>
      <c r="F53" s="190">
        <v>2461.604657278725</v>
      </c>
      <c r="G53" s="190">
        <v>2736.400447591815</v>
      </c>
      <c r="I53" s="190">
        <v>2475.6870350042623</v>
      </c>
      <c r="J53" s="190">
        <v>2475.6870350042623</v>
      </c>
      <c r="K53" s="190">
        <v>2731.753588376615</v>
      </c>
      <c r="L53" s="190">
        <v>3477.2731526398261</v>
      </c>
    </row>
    <row r="54" spans="1:12" x14ac:dyDescent="0.3">
      <c r="A54" s="38">
        <v>2037</v>
      </c>
      <c r="B54" s="166">
        <f>SCRS!DB31</f>
        <v>1962.6746492972338</v>
      </c>
      <c r="D54" s="190">
        <v>2493.8461086106504</v>
      </c>
      <c r="E54" s="190">
        <v>2493.8461086106504</v>
      </c>
      <c r="F54" s="190">
        <v>2477.603459154715</v>
      </c>
      <c r="G54" s="190">
        <v>2773.8945213435577</v>
      </c>
      <c r="I54" s="190">
        <v>2493.8461086106504</v>
      </c>
      <c r="J54" s="190">
        <v>2493.8461086106504</v>
      </c>
      <c r="K54" s="190">
        <v>2892.3391440558889</v>
      </c>
      <c r="L54" s="190">
        <v>3711.0052368885363</v>
      </c>
    </row>
    <row r="55" spans="1:12" x14ac:dyDescent="0.3">
      <c r="A55" s="38">
        <v>2038</v>
      </c>
      <c r="B55" s="166">
        <f>SCRS!DB32</f>
        <v>1968.0297280067291</v>
      </c>
      <c r="D55" s="190">
        <v>2512.1383783559613</v>
      </c>
      <c r="E55" s="190">
        <v>2512.1383783559613</v>
      </c>
      <c r="F55" s="190">
        <v>2493.5577488880444</v>
      </c>
      <c r="G55" s="190">
        <v>2811.9171301860933</v>
      </c>
      <c r="I55" s="190">
        <v>2512.1383783559609</v>
      </c>
      <c r="J55" s="190">
        <v>2512.1383783559609</v>
      </c>
      <c r="K55" s="190">
        <v>2513.9413210205189</v>
      </c>
      <c r="L55" s="190">
        <v>3966.734116519438</v>
      </c>
    </row>
    <row r="56" spans="1:12" x14ac:dyDescent="0.3">
      <c r="A56" s="38">
        <v>2039</v>
      </c>
      <c r="B56" s="166">
        <f>SCRS!DB33</f>
        <v>1973.3938445482256</v>
      </c>
      <c r="D56" s="190">
        <v>2394.2197338782885</v>
      </c>
      <c r="E56" s="190">
        <v>2394.2197338782885</v>
      </c>
      <c r="F56" s="190">
        <v>2509.464836180251</v>
      </c>
      <c r="G56" s="190">
        <v>2871.0008933884169</v>
      </c>
      <c r="I56" s="190">
        <v>2530.564821228988</v>
      </c>
      <c r="J56" s="190">
        <v>2530.564821228988</v>
      </c>
      <c r="K56" s="190">
        <v>2536.4366141864534</v>
      </c>
      <c r="L56" s="190">
        <v>4180.4415796240901</v>
      </c>
    </row>
    <row r="57" spans="1:12" x14ac:dyDescent="0.3">
      <c r="A57" s="38">
        <v>2040</v>
      </c>
      <c r="B57" s="166">
        <f>SCRS!DB34</f>
        <v>1978.7669756228563</v>
      </c>
      <c r="D57" s="190">
        <v>2274.4360742527292</v>
      </c>
      <c r="E57" s="190">
        <v>2274.4360742527292</v>
      </c>
      <c r="F57" s="190">
        <v>2525.321527432694</v>
      </c>
      <c r="G57" s="190">
        <v>2926.4063918243455</v>
      </c>
      <c r="I57" s="190">
        <v>2549.1264213847012</v>
      </c>
      <c r="J57" s="190">
        <v>2549.1264213847012</v>
      </c>
      <c r="K57" s="190">
        <v>2693.8922519364282</v>
      </c>
      <c r="L57" s="190">
        <v>4352.009657387609</v>
      </c>
    </row>
    <row r="58" spans="1:12" x14ac:dyDescent="0.3">
      <c r="A58" s="38">
        <v>2041</v>
      </c>
      <c r="B58" s="166">
        <f>SCRS!DB35</f>
        <v>1984.1491024460911</v>
      </c>
      <c r="D58" s="190">
        <v>2152.7663840658633</v>
      </c>
      <c r="E58" s="190">
        <v>397.93427407375736</v>
      </c>
      <c r="F58" s="190">
        <v>2541.1238150834224</v>
      </c>
      <c r="G58" s="190">
        <v>776.27166565643813</v>
      </c>
      <c r="I58" s="190">
        <v>2567.8241701968141</v>
      </c>
      <c r="J58" s="190">
        <v>2567.8241701968141</v>
      </c>
      <c r="K58" s="190">
        <v>2852.6652238180072</v>
      </c>
      <c r="L58" s="190">
        <v>2399.6072210745924</v>
      </c>
    </row>
    <row r="59" spans="1:12" x14ac:dyDescent="0.3">
      <c r="A59" s="38">
        <v>2042</v>
      </c>
      <c r="B59" s="166">
        <f>SCRS!DB36</f>
        <v>297.78008604262942</v>
      </c>
      <c r="D59" s="190">
        <v>2029.1894399506566</v>
      </c>
      <c r="E59" s="190">
        <v>405.52404046992575</v>
      </c>
      <c r="F59" s="190">
        <v>2417.5479061594788</v>
      </c>
      <c r="G59" s="190">
        <v>787.20750898562324</v>
      </c>
      <c r="I59" s="190">
        <v>2586.6590663107277</v>
      </c>
      <c r="J59" s="190">
        <v>2586.6590663107277</v>
      </c>
      <c r="K59" s="190">
        <v>3006.7527745922071</v>
      </c>
      <c r="L59" s="190">
        <v>2224.6093696123553</v>
      </c>
    </row>
    <row r="60" spans="1:12" x14ac:dyDescent="0.3">
      <c r="A60" s="38">
        <v>2043</v>
      </c>
      <c r="B60" s="166">
        <f>SCRS!DB37</f>
        <v>200.35910370115488</v>
      </c>
      <c r="D60" s="190">
        <v>1903.6838086664629</v>
      </c>
      <c r="E60" s="190">
        <v>460.64946106684613</v>
      </c>
      <c r="F60" s="190">
        <v>2291.9453460181162</v>
      </c>
      <c r="G60" s="190">
        <v>810.73410355930605</v>
      </c>
      <c r="I60" s="190">
        <v>2605.6321156968702</v>
      </c>
      <c r="J60" s="190">
        <v>2605.6321156968702</v>
      </c>
      <c r="K60" s="190">
        <v>2602.826997881406</v>
      </c>
      <c r="L60" s="190">
        <v>2019.8153332307231</v>
      </c>
    </row>
    <row r="61" spans="1:12" x14ac:dyDescent="0.3">
      <c r="A61" s="38">
        <v>2044</v>
      </c>
      <c r="B61" s="166">
        <f>SCRS!DB38</f>
        <v>197.92621440503527</v>
      </c>
      <c r="D61" s="190">
        <v>1776.2278451620473</v>
      </c>
      <c r="E61" s="190">
        <v>517.05517345981593</v>
      </c>
      <c r="F61" s="190">
        <v>2164.2565984872981</v>
      </c>
      <c r="G61" s="190">
        <v>828.15754451535429</v>
      </c>
      <c r="I61" s="190">
        <v>2624.7443317044272</v>
      </c>
      <c r="J61" s="190">
        <v>2624.7443317044272</v>
      </c>
      <c r="K61" s="190">
        <v>2618.5483446442017</v>
      </c>
      <c r="L61" s="190">
        <v>1865.312678289929</v>
      </c>
    </row>
    <row r="62" spans="1:12" x14ac:dyDescent="0.3">
      <c r="A62" s="38">
        <v>2045</v>
      </c>
      <c r="B62" s="166">
        <f>SCRS!DB39</f>
        <v>195.45016268480543</v>
      </c>
      <c r="D62" s="190">
        <v>1646.7996906214842</v>
      </c>
      <c r="E62" s="190">
        <v>574.81521009199173</v>
      </c>
      <c r="F62" s="190">
        <v>861.58052809534956</v>
      </c>
      <c r="G62" s="190">
        <v>846.5024599244208</v>
      </c>
      <c r="I62" s="190">
        <v>2643.9967351154623</v>
      </c>
      <c r="J62" s="190">
        <v>2643.9967351154623</v>
      </c>
      <c r="K62" s="190">
        <v>2778.4661004420814</v>
      </c>
      <c r="L62" s="190">
        <v>1782.0385136367493</v>
      </c>
    </row>
    <row r="63" spans="1:12" x14ac:dyDescent="0.3">
      <c r="A63" s="38">
        <v>2046</v>
      </c>
      <c r="B63" s="166">
        <f>SCRS!DB40</f>
        <v>192.92778505525339</v>
      </c>
      <c r="D63" s="190">
        <v>1515.377270492784</v>
      </c>
      <c r="E63" s="190">
        <v>634.0233055573533</v>
      </c>
      <c r="F63" s="190">
        <v>810.32377790046428</v>
      </c>
      <c r="G63" s="190">
        <v>859.96700241106396</v>
      </c>
      <c r="I63" s="190">
        <v>2663.3903541994387</v>
      </c>
      <c r="J63" s="190">
        <v>2663.3903541994387</v>
      </c>
      <c r="K63" s="190">
        <v>2940.7099426790865</v>
      </c>
      <c r="L63" s="190">
        <v>1743.664919724808</v>
      </c>
    </row>
    <row r="64" spans="1:12" x14ac:dyDescent="0.3">
      <c r="A64" s="38">
        <v>2047</v>
      </c>
      <c r="B64" s="166">
        <f>SCRS!DB41</f>
        <v>190.36038378054707</v>
      </c>
      <c r="D64" s="190">
        <v>1381.9382924991062</v>
      </c>
      <c r="E64" s="190">
        <v>694.76477090124808</v>
      </c>
      <c r="F64" s="190">
        <v>824.36748817396597</v>
      </c>
      <c r="G64" s="190">
        <v>871.72889300501629</v>
      </c>
      <c r="I64" s="190">
        <v>2682.9262247681404</v>
      </c>
      <c r="J64" s="190">
        <v>2682.9262247681404</v>
      </c>
      <c r="K64" s="190">
        <v>2665.7304912654758</v>
      </c>
      <c r="L64" s="190">
        <v>1827.0847994955741</v>
      </c>
    </row>
    <row r="65" spans="1:12" x14ac:dyDescent="0.3">
      <c r="A65" s="38">
        <v>2048</v>
      </c>
      <c r="B65" s="166">
        <f>SCRS!DB42</f>
        <v>187.74936069843596</v>
      </c>
      <c r="D65" s="190">
        <v>1246.4602446323947</v>
      </c>
      <c r="E65" s="190">
        <v>757.13550784418351</v>
      </c>
      <c r="F65" s="190">
        <v>836.82576996373223</v>
      </c>
      <c r="G65" s="190">
        <v>881.88215178913572</v>
      </c>
      <c r="I65" s="190">
        <v>2702.6053902309868</v>
      </c>
      <c r="J65" s="190">
        <v>2702.6053902309868</v>
      </c>
      <c r="K65" s="190">
        <v>2677.7521515091257</v>
      </c>
      <c r="L65" s="190">
        <v>1891.2708934874552</v>
      </c>
    </row>
    <row r="66" spans="1:12" x14ac:dyDescent="0.3">
      <c r="A66" s="38">
        <v>2049</v>
      </c>
      <c r="B66" s="166">
        <f>SCRS!DB43</f>
        <v>185.10966670178703</v>
      </c>
      <c r="D66" s="190">
        <v>1108.9203931293023</v>
      </c>
      <c r="E66" s="190">
        <v>821.21858868370418</v>
      </c>
      <c r="F66" s="190">
        <v>847.71185118219819</v>
      </c>
      <c r="G66" s="190">
        <v>890.44908612274571</v>
      </c>
      <c r="I66" s="190">
        <v>2722.4289016507742</v>
      </c>
      <c r="J66" s="190">
        <v>2722.4289016507742</v>
      </c>
      <c r="K66" s="190">
        <v>2838.5655601214125</v>
      </c>
      <c r="L66" s="190">
        <v>1938.8036469108447</v>
      </c>
    </row>
    <row r="67" spans="1:12" x14ac:dyDescent="0.3">
      <c r="A67" s="38">
        <v>2050</v>
      </c>
      <c r="B67" s="166">
        <f>SCRS!DB44</f>
        <v>182.44227769255841</v>
      </c>
      <c r="D67" s="190">
        <v>969.29578042924027</v>
      </c>
      <c r="E67" s="190">
        <v>887.09656485538494</v>
      </c>
      <c r="F67" s="190">
        <v>857.11500810084431</v>
      </c>
      <c r="G67" s="190">
        <v>897.4380296488506</v>
      </c>
      <c r="I67" s="190">
        <v>2742.3978177998019</v>
      </c>
      <c r="J67" s="190">
        <v>2742.3978177998019</v>
      </c>
      <c r="K67" s="190">
        <v>3003.7661952153353</v>
      </c>
      <c r="L67" s="190">
        <v>1970.5423239862148</v>
      </c>
    </row>
    <row r="68" spans="1:12" x14ac:dyDescent="0.3">
      <c r="A68" s="38"/>
      <c r="B68" s="38"/>
      <c r="D68" s="38"/>
      <c r="G68" s="38"/>
      <c r="I68" s="38"/>
      <c r="K68" s="38"/>
    </row>
    <row r="69" spans="1:12" x14ac:dyDescent="0.3">
      <c r="A69" s="38"/>
      <c r="B69" s="38" t="s">
        <v>300</v>
      </c>
      <c r="D69" s="38" t="s">
        <v>300</v>
      </c>
      <c r="E69" s="38" t="s">
        <v>300</v>
      </c>
      <c r="F69" s="38" t="s">
        <v>300</v>
      </c>
      <c r="G69" s="38" t="s">
        <v>300</v>
      </c>
      <c r="I69" s="38" t="s">
        <v>300</v>
      </c>
      <c r="J69" s="38" t="s">
        <v>300</v>
      </c>
      <c r="K69" s="38" t="s">
        <v>300</v>
      </c>
      <c r="L69" s="38" t="s">
        <v>300</v>
      </c>
    </row>
    <row r="70" spans="1:12" x14ac:dyDescent="0.3">
      <c r="A70" s="38">
        <v>2020</v>
      </c>
      <c r="B70" s="177">
        <f>SCRS!AR13</f>
        <v>0.50502860621178003</v>
      </c>
      <c r="D70" s="407">
        <v>0.50502860621178003</v>
      </c>
      <c r="E70" s="407">
        <v>0.50502860621178003</v>
      </c>
      <c r="F70" s="407">
        <v>0.50502860621178003</v>
      </c>
      <c r="G70" s="407">
        <v>0.50502860621178003</v>
      </c>
      <c r="I70" s="407">
        <v>0.50502860621178003</v>
      </c>
      <c r="J70" s="407">
        <v>0.50502860621178003</v>
      </c>
      <c r="K70" s="407">
        <v>0.50502860621178003</v>
      </c>
      <c r="L70" s="407">
        <v>0.50502860621178003</v>
      </c>
    </row>
    <row r="71" spans="1:12" x14ac:dyDescent="0.3">
      <c r="A71" s="38">
        <v>2021</v>
      </c>
      <c r="B71" s="177">
        <f>SCRS!AR14</f>
        <v>0.60893685306164336</v>
      </c>
      <c r="D71" s="407">
        <v>0.50042503368811031</v>
      </c>
      <c r="E71" s="407">
        <v>0.50042503368811031</v>
      </c>
      <c r="F71" s="407">
        <v>0.49978342905740286</v>
      </c>
      <c r="G71" s="407">
        <v>0.49978342905740286</v>
      </c>
      <c r="I71" s="407">
        <v>0.35398639039373803</v>
      </c>
      <c r="J71" s="407">
        <v>0.35398639039373803</v>
      </c>
      <c r="K71" s="407">
        <v>0.35344565798835242</v>
      </c>
      <c r="L71" s="407">
        <v>0.35344565798835242</v>
      </c>
    </row>
    <row r="72" spans="1:12" x14ac:dyDescent="0.3">
      <c r="A72" s="38">
        <v>2022</v>
      </c>
      <c r="B72" s="177">
        <f>SCRS!AR15</f>
        <v>0.59270078979895946</v>
      </c>
      <c r="D72" s="407">
        <v>0.51205246972500129</v>
      </c>
      <c r="E72" s="407">
        <v>0.51205246972500129</v>
      </c>
      <c r="F72" s="407">
        <v>0.51074173271756007</v>
      </c>
      <c r="G72" s="407">
        <v>0.51392626572142075</v>
      </c>
      <c r="I72" s="407">
        <v>0.37323392970000002</v>
      </c>
      <c r="J72" s="407">
        <v>0.37323392970000002</v>
      </c>
      <c r="K72" s="407">
        <v>0.37199524392250194</v>
      </c>
      <c r="L72" s="407">
        <v>0.37523875477019963</v>
      </c>
    </row>
    <row r="73" spans="1:12" x14ac:dyDescent="0.3">
      <c r="A73" s="38">
        <v>2023</v>
      </c>
      <c r="B73" s="177">
        <f>SCRS!AR16</f>
        <v>0.6112793957278444</v>
      </c>
      <c r="D73" s="407">
        <v>0.5264830703607104</v>
      </c>
      <c r="E73" s="407">
        <v>0.5264830703607104</v>
      </c>
      <c r="F73" s="407">
        <v>0.52400257841207776</v>
      </c>
      <c r="G73" s="407">
        <v>0.52880114197853711</v>
      </c>
      <c r="I73" s="407">
        <v>0.39634208835286966</v>
      </c>
      <c r="J73" s="407">
        <v>0.39634208835286966</v>
      </c>
      <c r="K73" s="407">
        <v>0.39381980278695827</v>
      </c>
      <c r="L73" s="407">
        <v>0.40109925196143953</v>
      </c>
    </row>
    <row r="74" spans="1:12" x14ac:dyDescent="0.3">
      <c r="A74" s="38">
        <v>2024</v>
      </c>
      <c r="B74" s="177">
        <f>SCRS!AR17</f>
        <v>0.62916795606567844</v>
      </c>
      <c r="D74" s="407">
        <v>0.54385509526441544</v>
      </c>
      <c r="E74" s="407">
        <v>0.54385509526441544</v>
      </c>
      <c r="F74" s="407">
        <v>0.53955228142721767</v>
      </c>
      <c r="G74" s="407">
        <v>0.54487832182852525</v>
      </c>
      <c r="I74" s="407">
        <v>0.42364981993392703</v>
      </c>
      <c r="J74" s="407">
        <v>0.42364981993392703</v>
      </c>
      <c r="K74" s="407">
        <v>0.41906980614433781</v>
      </c>
      <c r="L74" s="407">
        <v>0.43215912889738634</v>
      </c>
    </row>
    <row r="75" spans="1:12" x14ac:dyDescent="0.3">
      <c r="A75" s="38">
        <v>2025</v>
      </c>
      <c r="B75" s="177">
        <f>SCRS!AR18</f>
        <v>0.64664537421067292</v>
      </c>
      <c r="D75" s="407">
        <v>0.56206319999946086</v>
      </c>
      <c r="E75" s="407">
        <v>0.56206319999946086</v>
      </c>
      <c r="F75" s="407">
        <v>0.55543639564177361</v>
      </c>
      <c r="G75" s="407">
        <v>0.5622837919290431</v>
      </c>
      <c r="I75" s="407">
        <v>0.43495611502167364</v>
      </c>
      <c r="J75" s="407">
        <v>0.43495611502167364</v>
      </c>
      <c r="K75" s="407">
        <v>0.42795588067820051</v>
      </c>
      <c r="L75" s="407">
        <v>0.44738128700993524</v>
      </c>
    </row>
    <row r="76" spans="1:12" x14ac:dyDescent="0.3">
      <c r="A76" s="38">
        <v>2026</v>
      </c>
      <c r="B76" s="177">
        <f>SCRS!AR19</f>
        <v>0.66368795100015987</v>
      </c>
      <c r="D76" s="407">
        <v>0.58115798044933609</v>
      </c>
      <c r="E76" s="407">
        <v>0.58115798044933609</v>
      </c>
      <c r="F76" s="407">
        <v>0.57170187132114159</v>
      </c>
      <c r="G76" s="407">
        <v>0.58095409504438156</v>
      </c>
      <c r="I76" s="407">
        <v>0.44896295278565507</v>
      </c>
      <c r="J76" s="407">
        <v>0.44896295278565507</v>
      </c>
      <c r="K76" s="407">
        <v>0.43901566041842033</v>
      </c>
      <c r="L76" s="407">
        <v>0.46511600457923846</v>
      </c>
    </row>
    <row r="77" spans="1:12" x14ac:dyDescent="0.3">
      <c r="A77" s="38">
        <v>2027</v>
      </c>
      <c r="B77" s="177">
        <f>SCRS!AR20</f>
        <v>0.67976547396803677</v>
      </c>
      <c r="D77" s="407">
        <v>0.6011935665657151</v>
      </c>
      <c r="E77" s="407">
        <v>0.6011935665657151</v>
      </c>
      <c r="F77" s="407">
        <v>0.58839936548806482</v>
      </c>
      <c r="G77" s="407">
        <v>0.60033973093048199</v>
      </c>
      <c r="I77" s="407">
        <v>0.46578764292651653</v>
      </c>
      <c r="J77" s="407">
        <v>0.46578764292651653</v>
      </c>
      <c r="K77" s="407">
        <v>0.4523746630215833</v>
      </c>
      <c r="L77" s="407">
        <v>0.48475403466932776</v>
      </c>
    </row>
    <row r="78" spans="1:12" x14ac:dyDescent="0.3">
      <c r="A78" s="38">
        <v>2028</v>
      </c>
      <c r="B78" s="177">
        <f>SCRS!AR21</f>
        <v>0.6964574528681392</v>
      </c>
      <c r="D78" s="407">
        <v>0.62222792618096912</v>
      </c>
      <c r="E78" s="407">
        <v>0.62222792618096912</v>
      </c>
      <c r="F78" s="407">
        <v>0.60558256237482533</v>
      </c>
      <c r="G78" s="407">
        <v>0.62050690589152335</v>
      </c>
      <c r="I78" s="407">
        <v>0.4735728579460497</v>
      </c>
      <c r="J78" s="407">
        <v>0.4735728579460497</v>
      </c>
      <c r="K78" s="407">
        <v>0.46817227855248295</v>
      </c>
      <c r="L78" s="407">
        <v>0.5044145204573629</v>
      </c>
    </row>
    <row r="79" spans="1:12" x14ac:dyDescent="0.3">
      <c r="A79" s="38">
        <v>2029</v>
      </c>
      <c r="B79" s="177">
        <f>SCRS!AR22</f>
        <v>0.71378531674408696</v>
      </c>
      <c r="D79" s="407">
        <v>0.64432320039608015</v>
      </c>
      <c r="E79" s="407">
        <v>0.64432320039608015</v>
      </c>
      <c r="F79" s="407">
        <v>0.62330855977850774</v>
      </c>
      <c r="G79" s="407">
        <v>0.64154357028774545</v>
      </c>
      <c r="I79" s="407">
        <v>0.4817078835426083</v>
      </c>
      <c r="J79" s="407">
        <v>0.4817078835426083</v>
      </c>
      <c r="K79" s="407">
        <v>0.47194191904277771</v>
      </c>
      <c r="L79" s="407">
        <v>0.52447506479610506</v>
      </c>
    </row>
    <row r="80" spans="1:12" x14ac:dyDescent="0.3">
      <c r="A80" s="38">
        <v>2030</v>
      </c>
      <c r="B80" s="177">
        <f>SCRS!AR23</f>
        <v>0.73179381001242871</v>
      </c>
      <c r="D80" s="407">
        <v>0.66754607452970938</v>
      </c>
      <c r="E80" s="407">
        <v>0.66754607452970938</v>
      </c>
      <c r="F80" s="407">
        <v>0.64163831925246817</v>
      </c>
      <c r="G80" s="407">
        <v>0.66354360414012203</v>
      </c>
      <c r="I80" s="407">
        <v>0.49348175733972999</v>
      </c>
      <c r="J80" s="407">
        <v>0.49348175733972999</v>
      </c>
      <c r="K80" s="407">
        <v>0.47562100696787213</v>
      </c>
      <c r="L80" s="407">
        <v>0.54532077378428789</v>
      </c>
    </row>
    <row r="81" spans="1:12" x14ac:dyDescent="0.3">
      <c r="A81" s="38">
        <v>2031</v>
      </c>
      <c r="B81" s="177">
        <f>SCRS!AR24</f>
        <v>0.75053287454360462</v>
      </c>
      <c r="D81" s="407">
        <v>0.69197042658099817</v>
      </c>
      <c r="E81" s="407">
        <v>0.69197042658099817</v>
      </c>
      <c r="F81" s="407">
        <v>0.66050139171118649</v>
      </c>
      <c r="G81" s="407">
        <v>0.68658482527819131</v>
      </c>
      <c r="I81" s="407">
        <v>0.50906562232652353</v>
      </c>
      <c r="J81" s="407">
        <v>0.50906562232652353</v>
      </c>
      <c r="K81" s="407">
        <v>0.48217281586599647</v>
      </c>
      <c r="L81" s="407">
        <v>0.56731649349794655</v>
      </c>
    </row>
    <row r="82" spans="1:12" x14ac:dyDescent="0.3">
      <c r="A82" s="38">
        <v>2032</v>
      </c>
      <c r="B82" s="177">
        <f>SCRS!AR25</f>
        <v>0.77005234322867333</v>
      </c>
      <c r="D82" s="407">
        <v>0.71767097511592204</v>
      </c>
      <c r="E82" s="407">
        <v>0.71767097511592204</v>
      </c>
      <c r="F82" s="407">
        <v>0.68010116687179401</v>
      </c>
      <c r="G82" s="407">
        <v>0.71080271782564386</v>
      </c>
      <c r="I82" s="407">
        <v>0.51873207825546264</v>
      </c>
      <c r="J82" s="407">
        <v>0.51873207825546264</v>
      </c>
      <c r="K82" s="407">
        <v>0.49183583857186836</v>
      </c>
      <c r="L82" s="407">
        <v>0.59062659392392336</v>
      </c>
    </row>
    <row r="83" spans="1:12" x14ac:dyDescent="0.3">
      <c r="A83" s="38">
        <v>2033</v>
      </c>
      <c r="B83" s="177">
        <f>SCRS!AR26</f>
        <v>0.79040981207348815</v>
      </c>
      <c r="D83" s="407">
        <v>0.74473281184630891</v>
      </c>
      <c r="E83" s="407">
        <v>0.74473281184630891</v>
      </c>
      <c r="F83" s="407">
        <v>0.70037982666145859</v>
      </c>
      <c r="G83" s="407">
        <v>0.73629728864187793</v>
      </c>
      <c r="I83" s="407">
        <v>0.52886348158717278</v>
      </c>
      <c r="J83" s="407">
        <v>0.52886348158717278</v>
      </c>
      <c r="K83" s="407">
        <v>0.50461784912476448</v>
      </c>
      <c r="L83" s="407">
        <v>0.61536246923393678</v>
      </c>
    </row>
    <row r="84" spans="1:12" x14ac:dyDescent="0.3">
      <c r="A84" s="38">
        <v>2034</v>
      </c>
      <c r="B84" s="177">
        <f>SCRS!AR27</f>
        <v>0.8116651868244884</v>
      </c>
      <c r="D84" s="407">
        <v>0.77324485627940742</v>
      </c>
      <c r="E84" s="407">
        <v>0.77324485627940742</v>
      </c>
      <c r="F84" s="407">
        <v>0.72141771725469139</v>
      </c>
      <c r="G84" s="407">
        <v>0.76320336343430972</v>
      </c>
      <c r="I84" s="407">
        <v>0.53948975760966167</v>
      </c>
      <c r="J84" s="407">
        <v>0.53948975760966167</v>
      </c>
      <c r="K84" s="407">
        <v>0.50848286077565397</v>
      </c>
      <c r="L84" s="407">
        <v>0.64168192748731334</v>
      </c>
    </row>
    <row r="85" spans="1:12" x14ac:dyDescent="0.3">
      <c r="A85" s="38">
        <v>2035</v>
      </c>
      <c r="B85" s="177">
        <f>SCRS!AR28</f>
        <v>0.83388119569780361</v>
      </c>
      <c r="D85" s="407">
        <v>0.80330076977616094</v>
      </c>
      <c r="E85" s="407">
        <v>0.80330076977616094</v>
      </c>
      <c r="F85" s="407">
        <v>0.74343183827494286</v>
      </c>
      <c r="G85" s="407">
        <v>0.79167936585542942</v>
      </c>
      <c r="I85" s="407">
        <v>0.55063814517103415</v>
      </c>
      <c r="J85" s="407">
        <v>0.55063814517103415</v>
      </c>
      <c r="K85" s="407">
        <v>0.51236497543774684</v>
      </c>
      <c r="L85" s="407">
        <v>0.66977665165753997</v>
      </c>
    </row>
    <row r="86" spans="1:12" x14ac:dyDescent="0.3">
      <c r="A86" s="38">
        <v>2036</v>
      </c>
      <c r="B86" s="177">
        <f>SCRS!AR29</f>
        <v>0.85712964980211137</v>
      </c>
      <c r="D86" s="407">
        <v>0.83500612696971643</v>
      </c>
      <c r="E86" s="407">
        <v>0.83500612696971643</v>
      </c>
      <c r="F86" s="407">
        <v>0.76639230413840254</v>
      </c>
      <c r="G86" s="407">
        <v>0.82187190504795249</v>
      </c>
      <c r="I86" s="407">
        <v>0.40213222641820007</v>
      </c>
      <c r="J86" s="407">
        <v>0.40213222641820007</v>
      </c>
      <c r="K86" s="407">
        <v>0.37039681712806161</v>
      </c>
      <c r="L86" s="407">
        <v>0.50202697011997388</v>
      </c>
    </row>
    <row r="87" spans="1:12" x14ac:dyDescent="0.3">
      <c r="A87" s="38">
        <v>2037</v>
      </c>
      <c r="B87" s="177">
        <f>SCRS!AR30</f>
        <v>0.88148601475352573</v>
      </c>
      <c r="D87" s="407">
        <v>0.86847222436131211</v>
      </c>
      <c r="E87" s="407">
        <v>0.86847222436131211</v>
      </c>
      <c r="F87" s="407">
        <v>0.79040426400095631</v>
      </c>
      <c r="G87" s="407">
        <v>0.85395752114351764</v>
      </c>
      <c r="I87" s="407">
        <v>0.42806283607095325</v>
      </c>
      <c r="J87" s="407">
        <v>0.42806283607095325</v>
      </c>
      <c r="K87" s="407">
        <v>0.39199143360619254</v>
      </c>
      <c r="L87" s="407">
        <v>0.55053702642616309</v>
      </c>
    </row>
    <row r="88" spans="1:12" x14ac:dyDescent="0.3">
      <c r="A88" s="38">
        <v>2038</v>
      </c>
      <c r="B88" s="177">
        <f>SCRS!AR31</f>
        <v>0.90703203996345916</v>
      </c>
      <c r="D88" s="407">
        <v>0.9038192411758682</v>
      </c>
      <c r="E88" s="407">
        <v>0.9038192411758682</v>
      </c>
      <c r="F88" s="407">
        <v>0.81558094770368494</v>
      </c>
      <c r="G88" s="407">
        <v>0.8881287909036828</v>
      </c>
      <c r="I88" s="407">
        <v>0.45634649791310561</v>
      </c>
      <c r="J88" s="407">
        <v>0.45634649791310561</v>
      </c>
      <c r="K88" s="407">
        <v>0.41855354855960708</v>
      </c>
      <c r="L88" s="407">
        <v>0.60757241376203242</v>
      </c>
    </row>
    <row r="89" spans="1:12" x14ac:dyDescent="0.3">
      <c r="A89" s="38">
        <v>2039</v>
      </c>
      <c r="B89" s="177">
        <f>SCRS!AR32</f>
        <v>0.9338564435670057</v>
      </c>
      <c r="D89" s="407">
        <v>0.94117711887562727</v>
      </c>
      <c r="E89" s="407">
        <v>0.94117711887562727</v>
      </c>
      <c r="F89" s="407">
        <v>0.84204640842348555</v>
      </c>
      <c r="G89" s="407">
        <v>0.92459755551847256</v>
      </c>
      <c r="I89" s="407">
        <v>0.48721640828359625</v>
      </c>
      <c r="J89" s="407">
        <v>0.48721640828359625</v>
      </c>
      <c r="K89" s="407">
        <v>0.43813713887968608</v>
      </c>
      <c r="L89" s="407">
        <v>0.67454638444888282</v>
      </c>
    </row>
    <row r="90" spans="1:12" x14ac:dyDescent="0.3">
      <c r="A90" s="38">
        <v>2040</v>
      </c>
      <c r="B90" s="177">
        <f>SCRS!AR33</f>
        <v>0.96205568721825685</v>
      </c>
      <c r="D90" s="407">
        <v>0.97717904161063607</v>
      </c>
      <c r="E90" s="407">
        <v>0.97717904161063607</v>
      </c>
      <c r="F90" s="407">
        <v>0.86993699912810352</v>
      </c>
      <c r="G90" s="407">
        <v>0.96354304984896244</v>
      </c>
      <c r="I90" s="407">
        <v>0.49727570841468921</v>
      </c>
      <c r="J90" s="407">
        <v>0.49727570841468921</v>
      </c>
      <c r="K90" s="407">
        <v>0.43831228625187452</v>
      </c>
      <c r="L90" s="407">
        <v>0.71823170739947162</v>
      </c>
    </row>
    <row r="91" spans="1:12" x14ac:dyDescent="0.3">
      <c r="A91" s="38">
        <v>2041</v>
      </c>
      <c r="B91" s="177">
        <f>SCRS!AR34</f>
        <v>0.99173911474886778</v>
      </c>
      <c r="D91" s="407">
        <v>1.0117271366962937</v>
      </c>
      <c r="E91" s="407">
        <v>1.0117271366962937</v>
      </c>
      <c r="F91" s="407">
        <v>0.89944403485441515</v>
      </c>
      <c r="G91" s="407">
        <v>1.0052002550974277</v>
      </c>
      <c r="I91" s="407">
        <v>0.50814326800108567</v>
      </c>
      <c r="J91" s="407">
        <v>0.50814326800108567</v>
      </c>
      <c r="K91" s="407">
        <v>0.44171518643885643</v>
      </c>
      <c r="L91" s="407">
        <v>0.7672468089717509</v>
      </c>
    </row>
    <row r="92" spans="1:12" x14ac:dyDescent="0.3">
      <c r="A92" s="38">
        <v>2042</v>
      </c>
      <c r="B92" s="177">
        <f>SCRS!AR35</f>
        <v>1.0229609141850744</v>
      </c>
      <c r="D92" s="407">
        <v>1.0446439318275824</v>
      </c>
      <c r="E92" s="407">
        <v>1.0129971605307331</v>
      </c>
      <c r="F92" s="407">
        <v>0.93083091826812758</v>
      </c>
      <c r="G92" s="407">
        <v>1.00683312065262</v>
      </c>
      <c r="I92" s="407">
        <v>0.52007753066054774</v>
      </c>
      <c r="J92" s="407">
        <v>0.52007753066054774</v>
      </c>
      <c r="K92" s="407">
        <v>0.44893222420275652</v>
      </c>
      <c r="L92" s="407">
        <v>0.78080626625855132</v>
      </c>
    </row>
    <row r="93" spans="1:12" x14ac:dyDescent="0.3">
      <c r="A93" s="38">
        <v>2043</v>
      </c>
      <c r="B93" s="177">
        <f>SCRS!AR36</f>
        <v>1.0248053047392507</v>
      </c>
      <c r="D93" s="407">
        <v>1.0756739283920655</v>
      </c>
      <c r="E93" s="407">
        <v>1.0133356919451852</v>
      </c>
      <c r="F93" s="407">
        <v>0.96095102144842792</v>
      </c>
      <c r="G93" s="407">
        <v>1.0079334888815119</v>
      </c>
      <c r="I93" s="407">
        <v>0.53332885464981528</v>
      </c>
      <c r="J93" s="407">
        <v>0.53332885464981528</v>
      </c>
      <c r="K93" s="407">
        <v>0.46018437317039396</v>
      </c>
      <c r="L93" s="407">
        <v>0.79148253561482185</v>
      </c>
    </row>
    <row r="94" spans="1:12" x14ac:dyDescent="0.3">
      <c r="A94" s="38">
        <v>2044</v>
      </c>
      <c r="B94" s="177">
        <f>SCRS!AR37</f>
        <v>1.0248935225090898</v>
      </c>
      <c r="D94" s="407">
        <v>1.1044978193874571</v>
      </c>
      <c r="E94" s="407">
        <v>1.0135134370349475</v>
      </c>
      <c r="F94" s="407">
        <v>0.98973171787513181</v>
      </c>
      <c r="G94" s="407">
        <v>1.0088883868711254</v>
      </c>
      <c r="I94" s="407">
        <v>0.54809027868141369</v>
      </c>
      <c r="J94" s="407">
        <v>0.54809027868141369</v>
      </c>
      <c r="K94" s="407">
        <v>0.46374242397674881</v>
      </c>
      <c r="L94" s="407">
        <v>0.79868473740847901</v>
      </c>
    </row>
    <row r="95" spans="1:12" x14ac:dyDescent="0.3">
      <c r="A95" s="38">
        <v>2045</v>
      </c>
      <c r="B95" s="177">
        <f>SCRS!AR38</f>
        <v>1.0248683335018713</v>
      </c>
      <c r="D95" s="407">
        <v>1.1307492537247037</v>
      </c>
      <c r="E95" s="407">
        <v>1.0135043091196128</v>
      </c>
      <c r="F95" s="407">
        <v>1.0170009411749816</v>
      </c>
      <c r="G95" s="407">
        <v>1.0096522773585739</v>
      </c>
      <c r="I95" s="407">
        <v>0.56449879456063379</v>
      </c>
      <c r="J95" s="407">
        <v>0.56449879456063379</v>
      </c>
      <c r="K95" s="407">
        <v>0.46888997065536719</v>
      </c>
      <c r="L95" s="407">
        <v>0.80337173727922484</v>
      </c>
    </row>
    <row r="96" spans="1:12" x14ac:dyDescent="0.3">
      <c r="A96" s="38">
        <v>2046</v>
      </c>
      <c r="B96" s="177">
        <f>SCRS!AR39</f>
        <v>1.024714145873614</v>
      </c>
      <c r="D96" s="407">
        <v>1.1540295672785357</v>
      </c>
      <c r="E96" s="407">
        <v>1.0132835816212042</v>
      </c>
      <c r="F96" s="407">
        <v>1.01909982134529</v>
      </c>
      <c r="G96" s="407">
        <v>1.0101907804121197</v>
      </c>
      <c r="I96" s="407">
        <v>0.58263915630054819</v>
      </c>
      <c r="J96" s="407">
        <v>0.58263915630054819</v>
      </c>
      <c r="K96" s="407">
        <v>0.47893066624266128</v>
      </c>
      <c r="L96" s="407">
        <v>0.80673720159249485</v>
      </c>
    </row>
    <row r="97" spans="1:15" x14ac:dyDescent="0.3">
      <c r="A97" s="38">
        <v>2047</v>
      </c>
      <c r="B97" s="177">
        <f>SCRS!AR40</f>
        <v>1.0244192740182188</v>
      </c>
      <c r="D97" s="407">
        <v>1.1739488194285059</v>
      </c>
      <c r="E97" s="407">
        <v>1.0128335059206464</v>
      </c>
      <c r="F97" s="407">
        <v>1.0195387252851154</v>
      </c>
      <c r="G97" s="407">
        <v>1.010462615360926</v>
      </c>
      <c r="I97" s="407">
        <v>0.60249575010188894</v>
      </c>
      <c r="J97" s="407">
        <v>0.60249575010188894</v>
      </c>
      <c r="K97" s="407">
        <v>0.49425721040418169</v>
      </c>
      <c r="L97" s="407">
        <v>0.80974533426089501</v>
      </c>
    </row>
    <row r="98" spans="1:15" x14ac:dyDescent="0.3">
      <c r="A98" s="38">
        <v>2048</v>
      </c>
      <c r="B98" s="177">
        <f>SCRS!AR41</f>
        <v>1.0239755905326773</v>
      </c>
      <c r="D98" s="407">
        <v>1.1901478888866492</v>
      </c>
      <c r="E98" s="407">
        <v>1.0121425991555493</v>
      </c>
      <c r="F98" s="407">
        <v>1.0196297513155435</v>
      </c>
      <c r="G98" s="407">
        <v>1.0104359858795515</v>
      </c>
      <c r="I98" s="407">
        <v>0.62397415015442925</v>
      </c>
      <c r="J98" s="407">
        <v>0.62397415015442925</v>
      </c>
      <c r="K98" s="407">
        <v>0.50570353519823263</v>
      </c>
      <c r="L98" s="407">
        <v>0.8147489124975581</v>
      </c>
    </row>
    <row r="99" spans="1:15" x14ac:dyDescent="0.3">
      <c r="A99" s="38">
        <v>2049</v>
      </c>
      <c r="B99" s="177">
        <f>SCRS!AR42</f>
        <v>1.023379839944186</v>
      </c>
      <c r="D99" s="407">
        <v>1.2023324450866673</v>
      </c>
      <c r="E99" s="407">
        <v>1.0112080216755066</v>
      </c>
      <c r="F99" s="407">
        <v>1.0193453149261305</v>
      </c>
      <c r="G99" s="407">
        <v>1.0100895648095911</v>
      </c>
      <c r="I99" s="407">
        <v>0.64689279833773794</v>
      </c>
      <c r="J99" s="407">
        <v>0.64689279833773794</v>
      </c>
      <c r="K99" s="407">
        <v>0.51923721845583226</v>
      </c>
      <c r="L99" s="407">
        <v>0.82134735846206575</v>
      </c>
    </row>
    <row r="100" spans="1:15" x14ac:dyDescent="0.3">
      <c r="A100" s="38">
        <v>2050</v>
      </c>
      <c r="B100" s="177">
        <f>SCRS!AR43</f>
        <v>1.0226343112091227</v>
      </c>
      <c r="D100" s="407">
        <v>1.210299680894354</v>
      </c>
      <c r="E100" s="407">
        <v>1.0100360402350026</v>
      </c>
      <c r="F100" s="407">
        <v>1.0186707912188995</v>
      </c>
      <c r="G100" s="407">
        <v>1.0094133204681499</v>
      </c>
      <c r="I100" s="407">
        <v>0.67099183962244957</v>
      </c>
      <c r="J100" s="407">
        <v>0.67099183962244957</v>
      </c>
      <c r="K100" s="407">
        <v>0.53778061755720563</v>
      </c>
      <c r="L100" s="407">
        <v>0.82912983120778061</v>
      </c>
    </row>
    <row r="101" spans="1:15" x14ac:dyDescent="0.3">
      <c r="A101" s="38"/>
      <c r="B101" s="38"/>
      <c r="D101" s="38"/>
      <c r="G101" s="38"/>
      <c r="I101" s="38"/>
      <c r="K101" s="38"/>
    </row>
    <row r="102" spans="1:15" x14ac:dyDescent="0.3">
      <c r="A102" s="38"/>
      <c r="B102" s="38" t="s">
        <v>301</v>
      </c>
      <c r="D102" s="38" t="s">
        <v>301</v>
      </c>
      <c r="E102" s="38" t="s">
        <v>301</v>
      </c>
      <c r="F102" s="38" t="s">
        <v>301</v>
      </c>
      <c r="G102" s="38" t="s">
        <v>301</v>
      </c>
      <c r="I102" s="38" t="s">
        <v>301</v>
      </c>
      <c r="J102" s="38" t="s">
        <v>301</v>
      </c>
      <c r="K102" s="38" t="s">
        <v>301</v>
      </c>
      <c r="L102" s="38" t="s">
        <v>301</v>
      </c>
    </row>
    <row r="103" spans="1:15" x14ac:dyDescent="0.3">
      <c r="A103" s="38">
        <v>2020</v>
      </c>
      <c r="B103" s="166">
        <f>SCRS!AP13/(1+SCRS!$DU$27)^MAX(Outputs!A103-2021,0)</f>
        <v>25768.827000000001</v>
      </c>
      <c r="D103" s="190">
        <v>25768.827000000001</v>
      </c>
      <c r="E103" s="190">
        <v>25768.827000000001</v>
      </c>
      <c r="F103" s="190">
        <v>25768.827000000001</v>
      </c>
      <c r="G103" s="190">
        <v>25768.827000000001</v>
      </c>
      <c r="I103" s="190">
        <v>25768.827000000001</v>
      </c>
      <c r="J103" s="190">
        <v>25768.827000000001</v>
      </c>
      <c r="K103" s="190">
        <v>25768.827000000001</v>
      </c>
      <c r="L103" s="190">
        <v>25768.827000000001</v>
      </c>
      <c r="M103" s="190">
        <f>E136-E169</f>
        <v>25768.827000000001</v>
      </c>
      <c r="N103" s="190">
        <f>I136-I169</f>
        <v>25768.827000000001</v>
      </c>
      <c r="O103" s="190">
        <f>L136-L169</f>
        <v>25768.827000000001</v>
      </c>
    </row>
    <row r="104" spans="1:15" x14ac:dyDescent="0.3">
      <c r="A104" s="38">
        <v>2021</v>
      </c>
      <c r="B104" s="166">
        <f>SCRS!AP14/(1+SCRS!$DU$27)^MAX(Outputs!A104-2021,0)</f>
        <v>21507.689000000006</v>
      </c>
      <c r="D104" s="190">
        <v>27481.767523016861</v>
      </c>
      <c r="E104" s="190">
        <v>27481.767523016861</v>
      </c>
      <c r="F104" s="190">
        <v>27517.062384632856</v>
      </c>
      <c r="G104" s="190">
        <v>27517.062384632856</v>
      </c>
      <c r="I104" s="190">
        <v>35537.40085691266</v>
      </c>
      <c r="J104" s="190">
        <v>35537.40085691266</v>
      </c>
      <c r="K104" s="190">
        <v>35567.146707403677</v>
      </c>
      <c r="L104" s="190">
        <v>35567.146707403677</v>
      </c>
      <c r="M104" s="190">
        <f t="shared" ref="M104:M133" si="0">E137-E170</f>
        <v>27481.767523016861</v>
      </c>
      <c r="N104" s="190">
        <f t="shared" ref="N104:N133" si="1">I137-I170</f>
        <v>35537.40085691266</v>
      </c>
      <c r="O104" s="190">
        <f t="shared" ref="O104:O133" si="2">L137-L170</f>
        <v>35567.146707403677</v>
      </c>
    </row>
    <row r="105" spans="1:15" x14ac:dyDescent="0.3">
      <c r="A105" s="38">
        <v>2022</v>
      </c>
      <c r="B105" s="166">
        <f>SCRS!AP15/(1+SCRS!$DU$27)^MAX(Outputs!A105-2021,0)</f>
        <v>22498.147976105778</v>
      </c>
      <c r="D105" s="190">
        <v>26985.161663062692</v>
      </c>
      <c r="E105" s="190">
        <v>26985.161663062692</v>
      </c>
      <c r="F105" s="190">
        <v>27057.649887408505</v>
      </c>
      <c r="G105" s="190">
        <v>26881.534357359389</v>
      </c>
      <c r="I105" s="190">
        <v>34662.300109267751</v>
      </c>
      <c r="J105" s="190">
        <v>34662.300109267751</v>
      </c>
      <c r="K105" s="190">
        <v>34730.803655000804</v>
      </c>
      <c r="L105" s="190">
        <v>34551.426449153092</v>
      </c>
      <c r="M105" s="190">
        <f t="shared" si="0"/>
        <v>26985.161663062689</v>
      </c>
      <c r="N105" s="190">
        <f t="shared" si="1"/>
        <v>34662.300109267744</v>
      </c>
      <c r="O105" s="190">
        <f t="shared" si="2"/>
        <v>34551.426449153085</v>
      </c>
    </row>
    <row r="106" spans="1:15" x14ac:dyDescent="0.3">
      <c r="A106" s="38">
        <v>2023</v>
      </c>
      <c r="B106" s="166">
        <f>SCRS!AP16/(1+SCRS!$DU$27)^MAX(Outputs!A106-2021,0)</f>
        <v>21559.974054738312</v>
      </c>
      <c r="D106" s="190">
        <v>26317.910671491558</v>
      </c>
      <c r="E106" s="190">
        <v>26317.910671491558</v>
      </c>
      <c r="F106" s="190">
        <v>26446.709373179357</v>
      </c>
      <c r="G106" s="190">
        <v>26180.098231405686</v>
      </c>
      <c r="I106" s="190">
        <v>33551.102400859367</v>
      </c>
      <c r="J106" s="190">
        <v>33551.102400859367</v>
      </c>
      <c r="K106" s="190">
        <v>33679.744419600094</v>
      </c>
      <c r="L106" s="190">
        <v>33275.29374826642</v>
      </c>
      <c r="M106" s="190">
        <f t="shared" si="0"/>
        <v>26289.505584420098</v>
      </c>
      <c r="N106" s="190">
        <f t="shared" si="1"/>
        <v>33522.697313787896</v>
      </c>
      <c r="O106" s="190">
        <f t="shared" si="2"/>
        <v>33265.935405566721</v>
      </c>
    </row>
    <row r="107" spans="1:15" x14ac:dyDescent="0.3">
      <c r="A107" s="38">
        <v>2024</v>
      </c>
      <c r="B107" s="166">
        <f>SCRS!AP17/(1+SCRS!$DU$27)^MAX(Outputs!A107-2021,0)</f>
        <v>20646.872807652777</v>
      </c>
      <c r="D107" s="190">
        <v>25470.654594082895</v>
      </c>
      <c r="E107" s="190">
        <v>25470.654594082895</v>
      </c>
      <c r="F107" s="190">
        <v>25681.697081335646</v>
      </c>
      <c r="G107" s="190">
        <v>25384.6345686723</v>
      </c>
      <c r="I107" s="190">
        <v>32182.791497386232</v>
      </c>
      <c r="J107" s="190">
        <v>32182.791497386232</v>
      </c>
      <c r="K107" s="190">
        <v>32401.666165806928</v>
      </c>
      <c r="L107" s="190">
        <v>31671.602776665619</v>
      </c>
      <c r="M107" s="190">
        <f t="shared" si="0"/>
        <v>25376.00755160032</v>
      </c>
      <c r="N107" s="190">
        <f t="shared" si="1"/>
        <v>32088.144454903657</v>
      </c>
      <c r="O107" s="190">
        <f t="shared" si="2"/>
        <v>31640.420353009016</v>
      </c>
    </row>
    <row r="108" spans="1:15" x14ac:dyDescent="0.3">
      <c r="A108" s="38">
        <v>2025</v>
      </c>
      <c r="B108" s="166">
        <f>SCRS!AP18/(1+SCRS!$DU$27)^MAX(Outputs!A108-2021,0)</f>
        <v>19744.200228258473</v>
      </c>
      <c r="D108" s="190">
        <v>24559.940930131255</v>
      </c>
      <c r="E108" s="190">
        <v>24559.940930131255</v>
      </c>
      <c r="F108" s="190">
        <v>24874.984774475932</v>
      </c>
      <c r="G108" s="190">
        <v>24491.847520951727</v>
      </c>
      <c r="I108" s="190">
        <v>31688.235466812766</v>
      </c>
      <c r="J108" s="190">
        <v>31688.235466812766</v>
      </c>
      <c r="K108" s="190">
        <v>32007.993049723762</v>
      </c>
      <c r="L108" s="190">
        <v>30921.069419442625</v>
      </c>
      <c r="M108" s="190">
        <f t="shared" si="0"/>
        <v>24370.090110979658</v>
      </c>
      <c r="N108" s="190">
        <f t="shared" si="1"/>
        <v>31498.384647661172</v>
      </c>
      <c r="O108" s="190">
        <f t="shared" si="2"/>
        <v>30858.521150431163</v>
      </c>
    </row>
    <row r="109" spans="1:15" x14ac:dyDescent="0.3">
      <c r="A109" s="38">
        <v>2026</v>
      </c>
      <c r="B109" s="166">
        <f>SCRS!AP19/(1+SCRS!$DU$27)^MAX(Outputs!A109-2021,0)</f>
        <v>18854.062022205711</v>
      </c>
      <c r="D109" s="190">
        <v>23583.147340472879</v>
      </c>
      <c r="E109" s="190">
        <v>23583.147340472879</v>
      </c>
      <c r="F109" s="190">
        <v>24025.359898527538</v>
      </c>
      <c r="G109" s="190">
        <v>23506.356919228492</v>
      </c>
      <c r="I109" s="190">
        <v>31026.466466894413</v>
      </c>
      <c r="J109" s="190">
        <v>31026.466466894413</v>
      </c>
      <c r="K109" s="190">
        <v>31468.385578660902</v>
      </c>
      <c r="L109" s="190">
        <v>30004.288212946583</v>
      </c>
      <c r="M109" s="190">
        <f t="shared" si="0"/>
        <v>23269.003593343255</v>
      </c>
      <c r="N109" s="190">
        <f t="shared" si="1"/>
        <v>30712.32271976479</v>
      </c>
      <c r="O109" s="190">
        <f t="shared" si="2"/>
        <v>29900.790384011532</v>
      </c>
    </row>
    <row r="110" spans="1:15" x14ac:dyDescent="0.3">
      <c r="A110" s="38">
        <v>2027</v>
      </c>
      <c r="B110" s="166">
        <f>SCRS!AP20/(1+SCRS!$DU$27)^MAX(Outputs!A110-2021,0)</f>
        <v>18007.058462633082</v>
      </c>
      <c r="D110" s="190">
        <v>22537.503970564838</v>
      </c>
      <c r="E110" s="190">
        <v>22537.503970564838</v>
      </c>
      <c r="F110" s="190">
        <v>23131.472306974956</v>
      </c>
      <c r="G110" s="190">
        <v>22460.437790971493</v>
      </c>
      <c r="I110" s="190">
        <v>30189.61608765609</v>
      </c>
      <c r="J110" s="190">
        <v>30189.61608765609</v>
      </c>
      <c r="K110" s="190">
        <v>30775.900848488025</v>
      </c>
      <c r="L110" s="190">
        <v>28956.218185765269</v>
      </c>
      <c r="M110" s="190">
        <f t="shared" si="0"/>
        <v>22069.877075867407</v>
      </c>
      <c r="N110" s="190">
        <f t="shared" si="1"/>
        <v>29721.989192958659</v>
      </c>
      <c r="O110" s="190">
        <f t="shared" si="2"/>
        <v>28802.153784372451</v>
      </c>
    </row>
    <row r="111" spans="1:15" x14ac:dyDescent="0.3">
      <c r="A111" s="38">
        <v>2028</v>
      </c>
      <c r="B111" s="166">
        <f>SCRS!AP21/(1+SCRS!$DU$27)^MAX(Outputs!A111-2021,0)</f>
        <v>17115.153943825982</v>
      </c>
      <c r="D111" s="190">
        <v>21420.087223557341</v>
      </c>
      <c r="E111" s="190">
        <v>21420.087223557341</v>
      </c>
      <c r="F111" s="190">
        <v>22191.891510431291</v>
      </c>
      <c r="G111" s="190">
        <v>21352.173535026464</v>
      </c>
      <c r="I111" s="190">
        <v>29848.991180447534</v>
      </c>
      <c r="J111" s="190">
        <v>29848.991180447534</v>
      </c>
      <c r="K111" s="190">
        <v>29923.279172608938</v>
      </c>
      <c r="L111" s="190">
        <v>27884.109948016398</v>
      </c>
      <c r="M111" s="190">
        <f t="shared" si="0"/>
        <v>20769.713936099506</v>
      </c>
      <c r="N111" s="190">
        <f t="shared" si="1"/>
        <v>29198.617892989696</v>
      </c>
      <c r="O111" s="190">
        <f t="shared" si="2"/>
        <v>27669.837902609543</v>
      </c>
    </row>
    <row r="112" spans="1:15" x14ac:dyDescent="0.3">
      <c r="A112" s="38">
        <v>2029</v>
      </c>
      <c r="B112" s="166">
        <f>SCRS!AP22/(1+SCRS!$DU$27)^MAX(Outputs!A112-2021,0)</f>
        <v>16177.451389704018</v>
      </c>
      <c r="D112" s="190">
        <v>20227.813263013519</v>
      </c>
      <c r="E112" s="190">
        <v>20227.813263013519</v>
      </c>
      <c r="F112" s="190">
        <v>21205.106564765851</v>
      </c>
      <c r="G112" s="190">
        <v>20178.602376535164</v>
      </c>
      <c r="I112" s="190">
        <v>29475.96289402913</v>
      </c>
      <c r="J112" s="190">
        <v>29475.96289402913</v>
      </c>
      <c r="K112" s="190">
        <v>29725.995027918794</v>
      </c>
      <c r="L112" s="190">
        <v>26768.744517456773</v>
      </c>
      <c r="M112" s="190">
        <f t="shared" si="0"/>
        <v>19365.38722886637</v>
      </c>
      <c r="N112" s="190">
        <f t="shared" si="1"/>
        <v>28613.536859881977</v>
      </c>
      <c r="O112" s="190">
        <f t="shared" si="2"/>
        <v>26484.60955387124</v>
      </c>
    </row>
    <row r="113" spans="1:15" x14ac:dyDescent="0.3">
      <c r="A113" s="38">
        <v>2030</v>
      </c>
      <c r="B113" s="166">
        <f>SCRS!AP23/(1+SCRS!$DU$27)^MAX(Outputs!A113-2021,0)</f>
        <v>15191.821279937272</v>
      </c>
      <c r="D113" s="190">
        <v>18957.431228787551</v>
      </c>
      <c r="E113" s="190">
        <v>18957.431228787551</v>
      </c>
      <c r="F113" s="190">
        <v>20169.524589178272</v>
      </c>
      <c r="G113" s="190">
        <v>18936.638357444826</v>
      </c>
      <c r="I113" s="190">
        <v>28883.054209015474</v>
      </c>
      <c r="J113" s="190">
        <v>28883.054209015474</v>
      </c>
      <c r="K113" s="190">
        <v>29513.409391171052</v>
      </c>
      <c r="L113" s="190">
        <v>25590.525790080635</v>
      </c>
      <c r="M113" s="190">
        <f t="shared" si="0"/>
        <v>17853.634874252326</v>
      </c>
      <c r="N113" s="190">
        <f t="shared" si="1"/>
        <v>27779.257854480249</v>
      </c>
      <c r="O113" s="190">
        <f t="shared" si="2"/>
        <v>25226.868937685351</v>
      </c>
    </row>
    <row r="114" spans="1:15" x14ac:dyDescent="0.3">
      <c r="A114" s="38">
        <v>2031</v>
      </c>
      <c r="B114" s="166">
        <f>SCRS!AP24/(1+SCRS!$DU$27)^MAX(Outputs!A114-2021,0)</f>
        <v>14156.03435415901</v>
      </c>
      <c r="D114" s="190">
        <v>17605.52889325222</v>
      </c>
      <c r="E114" s="190">
        <v>17605.52889325222</v>
      </c>
      <c r="F114" s="190">
        <v>19089.497373113762</v>
      </c>
      <c r="G114" s="190">
        <v>17622.865038245571</v>
      </c>
      <c r="I114" s="190">
        <v>28059.511542627752</v>
      </c>
      <c r="J114" s="190">
        <v>28059.511542627752</v>
      </c>
      <c r="K114" s="190">
        <v>29116.645635388519</v>
      </c>
      <c r="L114" s="190">
        <v>24329.144388521374</v>
      </c>
      <c r="M114" s="190">
        <f t="shared" si="0"/>
        <v>16223.328468046915</v>
      </c>
      <c r="N114" s="190">
        <f t="shared" si="1"/>
        <v>26677.31111742245</v>
      </c>
      <c r="O114" s="190">
        <f t="shared" si="2"/>
        <v>23873.764504411101</v>
      </c>
    </row>
    <row r="115" spans="1:15" x14ac:dyDescent="0.3">
      <c r="A115" s="38">
        <v>2032</v>
      </c>
      <c r="B115" s="166">
        <f>SCRS!AP25/(1+SCRS!$DU$27)^MAX(Outputs!A115-2021,0)</f>
        <v>13067.757221088108</v>
      </c>
      <c r="D115" s="190">
        <v>16168.490242664333</v>
      </c>
      <c r="E115" s="190">
        <v>16168.490242664333</v>
      </c>
      <c r="F115" s="190">
        <v>17957.537203642452</v>
      </c>
      <c r="G115" s="190">
        <v>16234.10408551561</v>
      </c>
      <c r="I115" s="190">
        <v>27561.373472064606</v>
      </c>
      <c r="J115" s="190">
        <v>27561.373472064606</v>
      </c>
      <c r="K115" s="190">
        <v>28525.820945230713</v>
      </c>
      <c r="L115" s="190">
        <v>22980.196888829465</v>
      </c>
      <c r="M115" s="190">
        <f t="shared" si="0"/>
        <v>14478.504159771859</v>
      </c>
      <c r="N115" s="190">
        <f t="shared" si="1"/>
        <v>25871.387389172134</v>
      </c>
      <c r="O115" s="190">
        <f t="shared" si="2"/>
        <v>22423.413912539152</v>
      </c>
    </row>
    <row r="116" spans="1:15" x14ac:dyDescent="0.3">
      <c r="A116" s="38">
        <v>2033</v>
      </c>
      <c r="B116" s="166">
        <f>SCRS!AP26/(1+SCRS!$DU$27)^MAX(Outputs!A116-2021,0)</f>
        <v>11924.547568997063</v>
      </c>
      <c r="D116" s="190">
        <v>14642.535669299094</v>
      </c>
      <c r="E116" s="190">
        <v>14642.535669299094</v>
      </c>
      <c r="F116" s="190">
        <v>16777.982622884752</v>
      </c>
      <c r="G116" s="190">
        <v>14766.694309915605</v>
      </c>
      <c r="I116" s="190">
        <v>27025.146968029778</v>
      </c>
      <c r="J116" s="190">
        <v>27025.146968029778</v>
      </c>
      <c r="K116" s="190">
        <v>27740.165244750664</v>
      </c>
      <c r="L116" s="190">
        <v>21538.742653387872</v>
      </c>
      <c r="M116" s="190">
        <f t="shared" si="0"/>
        <v>12608.206861229599</v>
      </c>
      <c r="N116" s="190">
        <f t="shared" si="1"/>
        <v>24990.818159960283</v>
      </c>
      <c r="O116" s="190">
        <f t="shared" si="2"/>
        <v>20868.512489970526</v>
      </c>
    </row>
    <row r="117" spans="1:15" x14ac:dyDescent="0.3">
      <c r="A117" s="38">
        <v>2034</v>
      </c>
      <c r="B117" s="166">
        <f>SCRS!AP27/(1+SCRS!$DU$27)^MAX(Outputs!A117-2021,0)</f>
        <v>10723.848875648404</v>
      </c>
      <c r="D117" s="190">
        <v>13023.677641806335</v>
      </c>
      <c r="E117" s="190">
        <v>13023.677641806335</v>
      </c>
      <c r="F117" s="190">
        <v>15549.251069687009</v>
      </c>
      <c r="G117" s="190">
        <v>13216.958085534789</v>
      </c>
      <c r="I117" s="190">
        <v>26449.397571470403</v>
      </c>
      <c r="J117" s="190">
        <v>26449.397571470403</v>
      </c>
      <c r="K117" s="190">
        <v>27434.348399826111</v>
      </c>
      <c r="L117" s="190">
        <v>19999.755969405447</v>
      </c>
      <c r="M117" s="190">
        <f t="shared" si="0"/>
        <v>10608.709324596937</v>
      </c>
      <c r="N117" s="190">
        <f t="shared" si="1"/>
        <v>24034.429254261009</v>
      </c>
      <c r="O117" s="190">
        <f t="shared" si="2"/>
        <v>19204.120276949747</v>
      </c>
    </row>
    <row r="118" spans="1:15" x14ac:dyDescent="0.3">
      <c r="A118" s="38">
        <v>2035</v>
      </c>
      <c r="B118" s="166">
        <f>SCRS!AP28/(1+SCRS!$DU$27)^MAX(Outputs!A118-2021,0)</f>
        <v>9462.9859288654316</v>
      </c>
      <c r="D118" s="190">
        <v>11307.704469877583</v>
      </c>
      <c r="E118" s="190">
        <v>11307.704469877583</v>
      </c>
      <c r="F118" s="190">
        <v>14263.430671987186</v>
      </c>
      <c r="G118" s="190">
        <v>11581.198940224143</v>
      </c>
      <c r="I118" s="190">
        <v>25832.592474610279</v>
      </c>
      <c r="J118" s="190">
        <v>25832.592474610279</v>
      </c>
      <c r="K118" s="190">
        <v>27109.163971521681</v>
      </c>
      <c r="L118" s="190">
        <v>18358.154042517548</v>
      </c>
      <c r="M118" s="190">
        <f t="shared" si="0"/>
        <v>8482.9059360641259</v>
      </c>
      <c r="N118" s="190">
        <f t="shared" si="1"/>
        <v>23007.793940796826</v>
      </c>
      <c r="O118" s="190">
        <f t="shared" si="2"/>
        <v>17427.495647754171</v>
      </c>
    </row>
    <row r="119" spans="1:15" x14ac:dyDescent="0.3">
      <c r="A119" s="38">
        <v>2036</v>
      </c>
      <c r="B119" s="166">
        <f>SCRS!AP29/(1+SCRS!$DU$27)^MAX(Outputs!A119-2021,0)</f>
        <v>8139.159281771922</v>
      </c>
      <c r="D119" s="190">
        <v>9490.2241834296747</v>
      </c>
      <c r="E119" s="190">
        <v>9490.2241834296747</v>
      </c>
      <c r="F119" s="190">
        <v>12924.5537957047</v>
      </c>
      <c r="G119" s="190">
        <v>9855.0954721033831</v>
      </c>
      <c r="I119" s="190">
        <v>34388.54485401314</v>
      </c>
      <c r="J119" s="190">
        <v>34388.54485401314</v>
      </c>
      <c r="K119" s="190">
        <v>34833.356739224466</v>
      </c>
      <c r="L119" s="190">
        <v>27550.801311389863</v>
      </c>
      <c r="M119" s="190">
        <f t="shared" si="0"/>
        <v>6220.089833561593</v>
      </c>
      <c r="N119" s="190">
        <f t="shared" si="1"/>
        <v>31118.410504145057</v>
      </c>
      <c r="O119" s="190">
        <f t="shared" si="2"/>
        <v>26473.422536132457</v>
      </c>
    </row>
    <row r="120" spans="1:15" x14ac:dyDescent="0.3">
      <c r="A120" s="38">
        <v>2037</v>
      </c>
      <c r="B120" s="166">
        <f>SCRS!AP30/(1+SCRS!$DU$27)^MAX(Outputs!A120-2021,0)</f>
        <v>6749.4394587931702</v>
      </c>
      <c r="D120" s="190">
        <v>7566.6062664492283</v>
      </c>
      <c r="E120" s="190">
        <v>7566.6062664492283</v>
      </c>
      <c r="F120" s="190">
        <v>11530.638426812618</v>
      </c>
      <c r="G120" s="190">
        <v>8034.3381539842403</v>
      </c>
      <c r="I120" s="190">
        <v>32902.733339677856</v>
      </c>
      <c r="J120" s="190">
        <v>32902.733339677856</v>
      </c>
      <c r="K120" s="190">
        <v>33448.805177619048</v>
      </c>
      <c r="L120" s="190">
        <v>24726.624374379426</v>
      </c>
      <c r="M120" s="190">
        <f t="shared" si="0"/>
        <v>3816.0857040020564</v>
      </c>
      <c r="N120" s="190">
        <f t="shared" si="1"/>
        <v>29152.212777230681</v>
      </c>
      <c r="O120" s="190">
        <f t="shared" si="2"/>
        <v>23490.977511641195</v>
      </c>
    </row>
    <row r="121" spans="1:15" x14ac:dyDescent="0.3">
      <c r="A121" s="38">
        <v>2038</v>
      </c>
      <c r="B121" s="166">
        <f>SCRS!AP31/(1+SCRS!$DU$27)^MAX(Outputs!A121-2021,0)</f>
        <v>5290.7609686599317</v>
      </c>
      <c r="D121" s="190">
        <v>5531.9871687793739</v>
      </c>
      <c r="E121" s="190">
        <v>5531.9871687793739</v>
      </c>
      <c r="F121" s="190">
        <v>10079.686601212865</v>
      </c>
      <c r="G121" s="190">
        <v>6114.4806534295494</v>
      </c>
      <c r="I121" s="190">
        <v>31269.083697976504</v>
      </c>
      <c r="J121" s="190">
        <v>31269.083697976504</v>
      </c>
      <c r="K121" s="190">
        <v>31779.785943643528</v>
      </c>
      <c r="L121" s="190">
        <v>21448.690000822571</v>
      </c>
      <c r="M121" s="190">
        <f t="shared" si="0"/>
        <v>1266.5580623795177</v>
      </c>
      <c r="N121" s="190">
        <f t="shared" si="1"/>
        <v>27003.654591576644</v>
      </c>
      <c r="O121" s="190">
        <f t="shared" si="2"/>
        <v>20043.401320011726</v>
      </c>
    </row>
    <row r="122" spans="1:15" x14ac:dyDescent="0.3">
      <c r="A122" s="38">
        <v>2039</v>
      </c>
      <c r="B122" s="166">
        <f>SCRS!AP32/(1+SCRS!$DU$27)^MAX(Outputs!A122-2021,0)</f>
        <v>3759.9159548671369</v>
      </c>
      <c r="D122" s="190">
        <v>3381.2601410240591</v>
      </c>
      <c r="E122" s="190">
        <v>3381.2601410240591</v>
      </c>
      <c r="F122" s="190">
        <v>8569.5993079528962</v>
      </c>
      <c r="G122" s="190">
        <v>4090.8771342109253</v>
      </c>
      <c r="I122" s="190">
        <v>29475.855083939856</v>
      </c>
      <c r="J122" s="190">
        <v>29475.855083939856</v>
      </c>
      <c r="K122" s="190">
        <v>30483.254845703617</v>
      </c>
      <c r="L122" s="190">
        <v>17657.129861758127</v>
      </c>
      <c r="M122" s="190">
        <v>0</v>
      </c>
      <c r="N122" s="190">
        <f t="shared" si="1"/>
        <v>24661.600346236879</v>
      </c>
      <c r="O122" s="190">
        <f t="shared" si="2"/>
        <v>16071.025036036575</v>
      </c>
    </row>
    <row r="123" spans="1:15" x14ac:dyDescent="0.3">
      <c r="A123" s="38">
        <v>2040</v>
      </c>
      <c r="B123" s="166">
        <f>SCRS!AP33/(1+SCRS!$DU$27)^MAX(Outputs!A123-2021,0)</f>
        <v>2153.5475863112874</v>
      </c>
      <c r="D123" s="190">
        <v>1310.4811840177078</v>
      </c>
      <c r="E123" s="190">
        <v>1310.4811840177078</v>
      </c>
      <c r="F123" s="190">
        <v>6998.1720672747051</v>
      </c>
      <c r="G123" s="190">
        <v>1961.6032883656542</v>
      </c>
      <c r="I123" s="190">
        <v>28868.670352522615</v>
      </c>
      <c r="J123" s="190">
        <v>28868.670352522615</v>
      </c>
      <c r="K123" s="190">
        <v>30222.178809753044</v>
      </c>
      <c r="L123" s="190">
        <v>15160.829609512537</v>
      </c>
      <c r="M123" s="190">
        <f t="shared" si="0"/>
        <v>-4085.82931243044</v>
      </c>
      <c r="N123" s="190">
        <f t="shared" si="1"/>
        <v>23472.359856074469</v>
      </c>
      <c r="O123" s="190">
        <f t="shared" si="2"/>
        <v>13382.960637919219</v>
      </c>
    </row>
    <row r="124" spans="1:15" x14ac:dyDescent="0.3">
      <c r="A124" s="38">
        <v>2041</v>
      </c>
      <c r="B124" s="166">
        <f>SCRS!AP34/(1+SCRS!$DU$27)^MAX(Outputs!A124-2021,0)</f>
        <v>468.14313717096235</v>
      </c>
      <c r="D124" s="190">
        <v>-672.82386427173572</v>
      </c>
      <c r="E124" s="190">
        <v>-672.82386427173572</v>
      </c>
      <c r="F124" s="190">
        <v>5363.9313515617732</v>
      </c>
      <c r="G124" s="190">
        <v>-277.39588907358382</v>
      </c>
      <c r="I124" s="190">
        <v>28219.415843951836</v>
      </c>
      <c r="J124" s="190">
        <v>28219.415843951836</v>
      </c>
      <c r="K124" s="190">
        <v>29780.44524982537</v>
      </c>
      <c r="L124" s="190">
        <v>12415.694451591558</v>
      </c>
      <c r="M124" s="190">
        <f t="shared" si="0"/>
        <v>-6683.6468028568124</v>
      </c>
      <c r="N124" s="190">
        <f t="shared" si="1"/>
        <v>22208.592905366764</v>
      </c>
      <c r="O124" s="190">
        <f t="shared" si="2"/>
        <v>10435.368152116098</v>
      </c>
    </row>
    <row r="125" spans="1:15" x14ac:dyDescent="0.3">
      <c r="A125" s="38">
        <v>2042</v>
      </c>
      <c r="B125" s="166">
        <f>SCRS!AP35/(1+SCRS!$DU$27)^MAX(Outputs!A125-2021,0)</f>
        <v>-1299.9732597188683</v>
      </c>
      <c r="D125" s="190">
        <v>-2560.7105405356897</v>
      </c>
      <c r="E125" s="190">
        <v>-745.49809135583735</v>
      </c>
      <c r="F125" s="190">
        <v>3658.9148058705123</v>
      </c>
      <c r="G125" s="190">
        <v>-361.4592777606573</v>
      </c>
      <c r="I125" s="190">
        <v>27527.649908249594</v>
      </c>
      <c r="J125" s="190">
        <v>27527.649908249594</v>
      </c>
      <c r="K125" s="190">
        <v>29150.452679402428</v>
      </c>
      <c r="L125" s="190">
        <v>11594.937762070458</v>
      </c>
      <c r="M125" s="190">
        <f t="shared" si="0"/>
        <v>-7397.4649851772192</v>
      </c>
      <c r="N125" s="190">
        <f t="shared" si="1"/>
        <v>20875.68301442821</v>
      </c>
      <c r="O125" s="190">
        <f t="shared" si="2"/>
        <v>9403.3801138634008</v>
      </c>
    </row>
    <row r="126" spans="1:15" x14ac:dyDescent="0.3">
      <c r="A126" s="38">
        <v>2043</v>
      </c>
      <c r="B126" s="166">
        <f>SCRS!AP36/(1+SCRS!$DU$27)^MAX(Outputs!A126-2021,0)</f>
        <v>-1404.6779158392319</v>
      </c>
      <c r="D126" s="190">
        <v>-4344.722000688208</v>
      </c>
      <c r="E126" s="190">
        <v>-765.65172999161575</v>
      </c>
      <c r="F126" s="190">
        <v>2050.1822578631941</v>
      </c>
      <c r="G126" s="190">
        <v>-416.53069430098247</v>
      </c>
      <c r="I126" s="190">
        <v>26793.328103499174</v>
      </c>
      <c r="J126" s="190">
        <v>26793.328103499174</v>
      </c>
      <c r="K126" s="190">
        <v>28341.853274899597</v>
      </c>
      <c r="L126" s="190">
        <v>10947.7589886894</v>
      </c>
      <c r="M126" s="190">
        <f t="shared" si="0"/>
        <v>-8089.4274724412026</v>
      </c>
      <c r="N126" s="190">
        <f t="shared" si="1"/>
        <v>19469.552361049591</v>
      </c>
      <c r="O126" s="190">
        <f t="shared" si="2"/>
        <v>8534.867133044856</v>
      </c>
    </row>
    <row r="127" spans="1:15" x14ac:dyDescent="0.3">
      <c r="A127" s="38">
        <v>2044</v>
      </c>
      <c r="B127" s="166">
        <f>SCRS!AP37/(1+SCRS!$DU$27)^MAX(Outputs!A127-2021,0)</f>
        <v>-1412.3129665831977</v>
      </c>
      <c r="D127" s="190">
        <v>-6015.9975690468918</v>
      </c>
      <c r="E127" s="190">
        <v>-777.97608436477958</v>
      </c>
      <c r="F127" s="190">
        <v>535.92522008454239</v>
      </c>
      <c r="G127" s="190">
        <v>-463.90531855059527</v>
      </c>
      <c r="I127" s="190">
        <v>26016.693944597268</v>
      </c>
      <c r="J127" s="190">
        <v>26016.693944597268</v>
      </c>
      <c r="K127" s="190">
        <v>27988.514140670133</v>
      </c>
      <c r="L127" s="190">
        <v>10507.105774727936</v>
      </c>
      <c r="M127" s="190">
        <f t="shared" si="0"/>
        <v>-8798.7665272189624</v>
      </c>
      <c r="N127" s="190">
        <f t="shared" si="1"/>
        <v>17995.903501743083</v>
      </c>
      <c r="O127" s="190">
        <f t="shared" si="2"/>
        <v>7864.5753893121</v>
      </c>
    </row>
    <row r="128" spans="1:15" x14ac:dyDescent="0.3">
      <c r="A128" s="38">
        <v>2045</v>
      </c>
      <c r="B128" s="166">
        <f>SCRS!AP38/(1+SCRS!$DU$27)^MAX(Outputs!A128-2021,0)</f>
        <v>-1416.6204057186878</v>
      </c>
      <c r="D128" s="190">
        <v>-7565.2169478587148</v>
      </c>
      <c r="E128" s="190">
        <v>-781.36605227533812</v>
      </c>
      <c r="F128" s="190">
        <v>-884.07039374565784</v>
      </c>
      <c r="G128" s="190">
        <v>-501.93060237713911</v>
      </c>
      <c r="I128" s="190">
        <v>25198.316673682883</v>
      </c>
      <c r="J128" s="190">
        <v>25198.316673682883</v>
      </c>
      <c r="K128" s="190">
        <v>27618.391707392486</v>
      </c>
      <c r="L128" s="190">
        <v>10224.917776957673</v>
      </c>
      <c r="M128" s="190">
        <f t="shared" si="0"/>
        <v>-9519.4534040327053</v>
      </c>
      <c r="N128" s="190">
        <f t="shared" si="1"/>
        <v>16460.229321925515</v>
      </c>
      <c r="O128" s="190">
        <f t="shared" si="2"/>
        <v>7346.0666834213262</v>
      </c>
    </row>
    <row r="129" spans="1:15" x14ac:dyDescent="0.3">
      <c r="A129" s="38">
        <v>2046</v>
      </c>
      <c r="B129" s="166">
        <f>SCRS!AP39/(1+SCRS!$DU$27)^MAX(Outputs!A129-2021,0)</f>
        <v>-1417.3958720608969</v>
      </c>
      <c r="D129" s="190">
        <v>-8982.5191141600917</v>
      </c>
      <c r="E129" s="190">
        <v>-774.65663200366259</v>
      </c>
      <c r="F129" s="190">
        <v>-992.44230177189627</v>
      </c>
      <c r="G129" s="190">
        <v>-529.52126547246371</v>
      </c>
      <c r="I129" s="190">
        <v>24339.169565106822</v>
      </c>
      <c r="J129" s="190">
        <v>24339.169565106822</v>
      </c>
      <c r="K129" s="190">
        <v>27075.187753230188</v>
      </c>
      <c r="L129" s="190">
        <v>10042.092699768635</v>
      </c>
      <c r="M129" s="190">
        <f t="shared" si="0"/>
        <v>-10253.635634507969</v>
      </c>
      <c r="N129" s="190">
        <f t="shared" si="1"/>
        <v>14860.190562602518</v>
      </c>
      <c r="O129" s="190">
        <f t="shared" si="2"/>
        <v>6919.1473722102528</v>
      </c>
    </row>
    <row r="130" spans="1:15" x14ac:dyDescent="0.3">
      <c r="A130" s="38">
        <v>2047</v>
      </c>
      <c r="B130" s="166">
        <f>SCRS!AP40/(1+SCRS!$DU$27)^MAX(Outputs!A130-2021,0)</f>
        <v>-1414.4222159610995</v>
      </c>
      <c r="D130" s="190">
        <v>-10257.617661538401</v>
      </c>
      <c r="E130" s="190">
        <v>-756.78120394019288</v>
      </c>
      <c r="F130" s="190">
        <v>-1018.0366776735752</v>
      </c>
      <c r="G130" s="190">
        <v>-545.1392568545823</v>
      </c>
      <c r="I130" s="190">
        <v>23440.496047558947</v>
      </c>
      <c r="J130" s="190">
        <v>23440.496047558947</v>
      </c>
      <c r="K130" s="190">
        <v>26350.987680333343</v>
      </c>
      <c r="L130" s="190">
        <v>9912.9408390057797</v>
      </c>
      <c r="M130" s="190">
        <f t="shared" si="0"/>
        <v>-10995.746532863064</v>
      </c>
      <c r="N130" s="190">
        <f t="shared" si="1"/>
        <v>13201.530718636081</v>
      </c>
      <c r="O130" s="190">
        <f t="shared" si="2"/>
        <v>6539.6103437547572</v>
      </c>
    </row>
    <row r="131" spans="1:15" x14ac:dyDescent="0.3">
      <c r="A131" s="38">
        <v>2048</v>
      </c>
      <c r="B131" s="166">
        <f>SCRS!AP41/(1+SCRS!$DU$27)^MAX(Outputs!A131-2021,0)</f>
        <v>-1407.4735245293812</v>
      </c>
      <c r="D131" s="190">
        <v>-11379.706841037356</v>
      </c>
      <c r="E131" s="190">
        <v>-726.69341472809526</v>
      </c>
      <c r="F131" s="190">
        <v>-1029.7570951101677</v>
      </c>
      <c r="G131" s="190">
        <v>-547.46136775702723</v>
      </c>
      <c r="I131" s="190">
        <v>22503.872964087219</v>
      </c>
      <c r="J131" s="190">
        <v>22503.872964087219</v>
      </c>
      <c r="K131" s="190">
        <v>25930.297512961566</v>
      </c>
      <c r="L131" s="190">
        <v>9718.0865241762094</v>
      </c>
      <c r="M131" s="190">
        <f t="shared" si="0"/>
        <v>-11744.103376521467</v>
      </c>
      <c r="N131" s="190">
        <f t="shared" si="1"/>
        <v>11486.463002293851</v>
      </c>
      <c r="O131" s="190">
        <f t="shared" si="2"/>
        <v>6088.2895858258271</v>
      </c>
    </row>
    <row r="132" spans="1:15" x14ac:dyDescent="0.3">
      <c r="A132" s="38">
        <v>2049</v>
      </c>
      <c r="B132" s="166">
        <f>SCRS!AP42/(1+SCRS!$DU$27)^MAX(Outputs!A132-2021,0)</f>
        <v>-1396.3148174401956</v>
      </c>
      <c r="D132" s="190">
        <v>-12337.481706282062</v>
      </c>
      <c r="E132" s="190">
        <v>-683.42357216088294</v>
      </c>
      <c r="F132" s="190">
        <v>-1026.3616182162359</v>
      </c>
      <c r="G132" s="190">
        <v>-535.29974076988537</v>
      </c>
      <c r="I132" s="190">
        <v>21531.166882298894</v>
      </c>
      <c r="J132" s="190">
        <v>21531.166882298894</v>
      </c>
      <c r="K132" s="190">
        <v>25506.768348201353</v>
      </c>
      <c r="L132" s="190">
        <v>9478.3783550509852</v>
      </c>
      <c r="M132" s="190">
        <f t="shared" si="0"/>
        <v>-12497.03732539995</v>
      </c>
      <c r="N132" s="190">
        <f t="shared" si="1"/>
        <v>9717.5531290598301</v>
      </c>
      <c r="O132" s="190">
        <f t="shared" si="2"/>
        <v>5586.2640395207782</v>
      </c>
    </row>
    <row r="133" spans="1:15" x14ac:dyDescent="0.3">
      <c r="A133" s="38">
        <v>2050</v>
      </c>
      <c r="B133" s="166">
        <f>SCRS!AP43/(1+SCRS!$DU$27)^MAX(Outputs!A133-2021,0)</f>
        <v>-1380.7156408580465</v>
      </c>
      <c r="D133" s="190">
        <v>-13119.124009423616</v>
      </c>
      <c r="E133" s="190">
        <v>-626.07825103028836</v>
      </c>
      <c r="F133" s="190">
        <v>-1006.6583843879772</v>
      </c>
      <c r="G133" s="190">
        <v>-507.53060559115403</v>
      </c>
      <c r="I133" s="190">
        <v>20524.514529690365</v>
      </c>
      <c r="J133" s="190">
        <v>20524.514529690365</v>
      </c>
      <c r="K133" s="190">
        <v>24921.119373434922</v>
      </c>
      <c r="L133" s="190">
        <v>9212.6726735802604</v>
      </c>
      <c r="M133" s="190">
        <f t="shared" si="0"/>
        <v>-13252.889507871951</v>
      </c>
      <c r="N133" s="190">
        <f t="shared" si="1"/>
        <v>7897.7032728487029</v>
      </c>
      <c r="O133" s="190">
        <f t="shared" si="2"/>
        <v>5052.6422308398323</v>
      </c>
    </row>
    <row r="134" spans="1:15" x14ac:dyDescent="0.3">
      <c r="A134" s="38"/>
      <c r="B134" s="38"/>
      <c r="D134" s="38"/>
      <c r="G134" s="38"/>
      <c r="I134" s="38"/>
      <c r="K134" s="38"/>
    </row>
    <row r="135" spans="1:15" x14ac:dyDescent="0.3">
      <c r="A135" s="38"/>
      <c r="B135" s="38" t="s">
        <v>302</v>
      </c>
      <c r="D135" s="38" t="s">
        <v>302</v>
      </c>
      <c r="E135" s="38" t="s">
        <v>302</v>
      </c>
      <c r="F135" s="38" t="s">
        <v>302</v>
      </c>
      <c r="G135" s="38" t="s">
        <v>302</v>
      </c>
      <c r="I135" s="38" t="s">
        <v>302</v>
      </c>
      <c r="J135" s="38" t="s">
        <v>302</v>
      </c>
      <c r="K135" s="38" t="s">
        <v>302</v>
      </c>
      <c r="L135" s="38" t="s">
        <v>302</v>
      </c>
    </row>
    <row r="136" spans="1:15" x14ac:dyDescent="0.3">
      <c r="A136" s="38">
        <v>2020</v>
      </c>
      <c r="B136" s="166">
        <f>SCRS!AD13/(1+SCRS!$DU$27)^MAX(Outputs!A136-2021,0)</f>
        <v>52061.245000000003</v>
      </c>
      <c r="D136" s="190">
        <v>52061.245000000003</v>
      </c>
      <c r="E136" s="190">
        <v>52061.245000000003</v>
      </c>
      <c r="F136" s="190">
        <v>52061.245000000003</v>
      </c>
      <c r="G136" s="190">
        <v>52061.245000000003</v>
      </c>
      <c r="I136" s="190">
        <v>52061.245000000003</v>
      </c>
      <c r="J136" s="190">
        <v>52061.245000000003</v>
      </c>
      <c r="K136" s="190">
        <v>52061.245000000003</v>
      </c>
      <c r="L136" s="190">
        <v>52061.245000000003</v>
      </c>
    </row>
    <row r="137" spans="1:15" x14ac:dyDescent="0.3">
      <c r="A137" s="38">
        <v>2021</v>
      </c>
      <c r="B137" s="166">
        <f>SCRS!AD14/(1+SCRS!$DU$27)^MAX(Outputs!A137-2021,0)</f>
        <v>54997.995000000003</v>
      </c>
      <c r="D137" s="190">
        <v>55010.297505299168</v>
      </c>
      <c r="E137" s="190">
        <v>55010.297505299168</v>
      </c>
      <c r="F137" s="190">
        <v>55010.297505299168</v>
      </c>
      <c r="G137" s="190">
        <v>55010.297505299168</v>
      </c>
      <c r="I137" s="190">
        <v>55010.297505299168</v>
      </c>
      <c r="J137" s="190">
        <v>55010.297505299168</v>
      </c>
      <c r="K137" s="190">
        <v>55010.297505299168</v>
      </c>
      <c r="L137" s="190">
        <v>55010.297505299168</v>
      </c>
    </row>
    <row r="138" spans="1:15" x14ac:dyDescent="0.3">
      <c r="A138" s="38">
        <v>2022</v>
      </c>
      <c r="B138" s="166">
        <f>SCRS!AD15/(1+SCRS!$DU$27)^MAX(Outputs!A138-2021,0)</f>
        <v>55237.39651987252</v>
      </c>
      <c r="D138" s="190">
        <v>55303.408642839786</v>
      </c>
      <c r="E138" s="190">
        <v>55303.408642839786</v>
      </c>
      <c r="F138" s="190">
        <v>55303.408642839786</v>
      </c>
      <c r="G138" s="190">
        <v>55303.408642839786</v>
      </c>
      <c r="I138" s="190">
        <v>55303.408642839786</v>
      </c>
      <c r="J138" s="190">
        <v>55303.408642839786</v>
      </c>
      <c r="K138" s="190">
        <v>55303.408642839786</v>
      </c>
      <c r="L138" s="190">
        <v>55303.408642839786</v>
      </c>
    </row>
    <row r="139" spans="1:15" x14ac:dyDescent="0.3">
      <c r="A139" s="38">
        <v>2023</v>
      </c>
      <c r="B139" s="166">
        <f>SCRS!AD16/(1+SCRS!$DU$27)^MAX(Outputs!A139-2021,0)</f>
        <v>55432.526848060879</v>
      </c>
      <c r="D139" s="190">
        <v>55551.256429022003</v>
      </c>
      <c r="E139" s="190">
        <v>55551.256429022003</v>
      </c>
      <c r="F139" s="190">
        <v>55551.256429022003</v>
      </c>
      <c r="G139" s="190">
        <v>55551.256429022003</v>
      </c>
      <c r="I139" s="190">
        <v>55551.256429022003</v>
      </c>
      <c r="J139" s="190">
        <v>55551.256429022003</v>
      </c>
      <c r="K139" s="190">
        <v>55551.256429022003</v>
      </c>
      <c r="L139" s="190">
        <v>55551.256429022003</v>
      </c>
    </row>
    <row r="140" spans="1:15" x14ac:dyDescent="0.3">
      <c r="A140" s="38">
        <v>2024</v>
      </c>
      <c r="B140" s="166">
        <f>SCRS!AD17/(1+SCRS!$DU$27)^MAX(Outputs!A140-2021,0)</f>
        <v>55572.499918875823</v>
      </c>
      <c r="D140" s="190">
        <v>55744.307486336671</v>
      </c>
      <c r="E140" s="190">
        <v>55744.307486336671</v>
      </c>
      <c r="F140" s="190">
        <v>55744.307486336671</v>
      </c>
      <c r="G140" s="190">
        <v>55744.307486336671</v>
      </c>
      <c r="I140" s="190">
        <v>55744.307486336671</v>
      </c>
      <c r="J140" s="190">
        <v>55744.307486336671</v>
      </c>
      <c r="K140" s="190">
        <v>55744.307486336671</v>
      </c>
      <c r="L140" s="190">
        <v>55744.307486336671</v>
      </c>
    </row>
    <row r="141" spans="1:15" x14ac:dyDescent="0.3">
      <c r="A141" s="38">
        <v>2025</v>
      </c>
      <c r="B141" s="166">
        <f>SCRS!AD18/(1+SCRS!$DU$27)^MAX(Outputs!A141-2021,0)</f>
        <v>55666.533994511301</v>
      </c>
      <c r="D141" s="190">
        <v>55891.165734152484</v>
      </c>
      <c r="E141" s="190">
        <v>55891.165734152484</v>
      </c>
      <c r="F141" s="190">
        <v>55891.165734152484</v>
      </c>
      <c r="G141" s="190">
        <v>55891.165734152484</v>
      </c>
      <c r="I141" s="190">
        <v>55891.165734152484</v>
      </c>
      <c r="J141" s="190">
        <v>55891.165734152484</v>
      </c>
      <c r="K141" s="190">
        <v>55891.165734152484</v>
      </c>
      <c r="L141" s="190">
        <v>55891.165734152484</v>
      </c>
    </row>
    <row r="142" spans="1:15" x14ac:dyDescent="0.3">
      <c r="A142" s="38">
        <v>2026</v>
      </c>
      <c r="B142" s="166">
        <f>SCRS!AD19/(1+SCRS!$DU$27)^MAX(Outputs!A142-2021,0)</f>
        <v>55713.872678408545</v>
      </c>
      <c r="D142" s="190">
        <v>55991.446999885244</v>
      </c>
      <c r="E142" s="190">
        <v>55991.446999885244</v>
      </c>
      <c r="F142" s="190">
        <v>55991.446999885244</v>
      </c>
      <c r="G142" s="190">
        <v>55991.446999885244</v>
      </c>
      <c r="I142" s="190">
        <v>55991.446999885244</v>
      </c>
      <c r="J142" s="190">
        <v>55991.446999885244</v>
      </c>
      <c r="K142" s="190">
        <v>55991.446999885244</v>
      </c>
      <c r="L142" s="190">
        <v>55991.446999885244</v>
      </c>
    </row>
    <row r="143" spans="1:15" x14ac:dyDescent="0.3">
      <c r="A143" s="38">
        <v>2027</v>
      </c>
      <c r="B143" s="166">
        <f>SCRS!AD20/(1+SCRS!$DU$27)^MAX(Outputs!A143-2021,0)</f>
        <v>55713.745224678409</v>
      </c>
      <c r="D143" s="190">
        <v>56044.761274382981</v>
      </c>
      <c r="E143" s="190">
        <v>56044.761274382981</v>
      </c>
      <c r="F143" s="190">
        <v>56044.761274382981</v>
      </c>
      <c r="G143" s="190">
        <v>56044.761274382981</v>
      </c>
      <c r="I143" s="190">
        <v>56044.761274382981</v>
      </c>
      <c r="J143" s="190">
        <v>56044.761274382981</v>
      </c>
      <c r="K143" s="190">
        <v>56044.761274382981</v>
      </c>
      <c r="L143" s="190">
        <v>56044.761274382981</v>
      </c>
    </row>
    <row r="144" spans="1:15" x14ac:dyDescent="0.3">
      <c r="A144" s="38">
        <v>2028</v>
      </c>
      <c r="B144" s="166">
        <f>SCRS!AD21/(1+SCRS!$DU$27)^MAX(Outputs!A144-2021,0)</f>
        <v>55665.366059412787</v>
      </c>
      <c r="D144" s="190">
        <v>56050.713711944052</v>
      </c>
      <c r="E144" s="190">
        <v>56050.713711944052</v>
      </c>
      <c r="F144" s="190">
        <v>56050.713711944052</v>
      </c>
      <c r="G144" s="190">
        <v>56050.713711944052</v>
      </c>
      <c r="I144" s="190">
        <v>56050.713711944052</v>
      </c>
      <c r="J144" s="190">
        <v>56050.713711944052</v>
      </c>
      <c r="K144" s="190">
        <v>56050.713711944052</v>
      </c>
      <c r="L144" s="190">
        <v>56050.713711944052</v>
      </c>
    </row>
    <row r="145" spans="1:12" x14ac:dyDescent="0.3">
      <c r="A145" s="38">
        <v>2029</v>
      </c>
      <c r="B145" s="166">
        <f>SCRS!AD22/(1+SCRS!$DU$27)^MAX(Outputs!A145-2021,0)</f>
        <v>55567.934281131718</v>
      </c>
      <c r="D145" s="190">
        <v>56008.9057073078</v>
      </c>
      <c r="E145" s="190">
        <v>56008.9057073078</v>
      </c>
      <c r="F145" s="190">
        <v>56008.9057073078</v>
      </c>
      <c r="G145" s="190">
        <v>56008.9057073078</v>
      </c>
      <c r="I145" s="190">
        <v>56008.9057073078</v>
      </c>
      <c r="J145" s="190">
        <v>56008.9057073078</v>
      </c>
      <c r="K145" s="190">
        <v>56008.9057073078</v>
      </c>
      <c r="L145" s="190">
        <v>56008.9057073078</v>
      </c>
    </row>
    <row r="146" spans="1:12" x14ac:dyDescent="0.3">
      <c r="A146" s="38">
        <v>2030</v>
      </c>
      <c r="B146" s="166">
        <f>SCRS!AD23/(1+SCRS!$DU$27)^MAX(Outputs!A146-2021,0)</f>
        <v>55420.633139405647</v>
      </c>
      <c r="D146" s="190">
        <v>55918.93604957249</v>
      </c>
      <c r="E146" s="190">
        <v>55918.93604957249</v>
      </c>
      <c r="F146" s="190">
        <v>55918.93604957249</v>
      </c>
      <c r="G146" s="190">
        <v>55918.93604957249</v>
      </c>
      <c r="I146" s="190">
        <v>55918.93604957249</v>
      </c>
      <c r="J146" s="190">
        <v>55918.93604957249</v>
      </c>
      <c r="K146" s="190">
        <v>55918.93604957249</v>
      </c>
      <c r="L146" s="190">
        <v>55918.93604957249</v>
      </c>
    </row>
    <row r="147" spans="1:12" x14ac:dyDescent="0.3">
      <c r="A147" s="38">
        <v>2031</v>
      </c>
      <c r="B147" s="166">
        <f>SCRS!AD24/(1+SCRS!$DU$27)^MAX(Outputs!A147-2021,0)</f>
        <v>55214.355348713107</v>
      </c>
      <c r="D147" s="190">
        <v>55773.119753432322</v>
      </c>
      <c r="E147" s="190">
        <v>55773.119753432322</v>
      </c>
      <c r="F147" s="190">
        <v>55773.119753432322</v>
      </c>
      <c r="G147" s="190">
        <v>55773.119753432322</v>
      </c>
      <c r="I147" s="190">
        <v>55773.119753432322</v>
      </c>
      <c r="J147" s="190">
        <v>55773.119753432322</v>
      </c>
      <c r="K147" s="190">
        <v>55773.119753432322</v>
      </c>
      <c r="L147" s="190">
        <v>55773.119753432322</v>
      </c>
    </row>
    <row r="148" spans="1:12" x14ac:dyDescent="0.3">
      <c r="A148" s="38">
        <v>2032</v>
      </c>
      <c r="B148" s="166">
        <f>SCRS!AD25/(1+SCRS!$DU$27)^MAX(Outputs!A148-2021,0)</f>
        <v>54956.420801283333</v>
      </c>
      <c r="D148" s="190">
        <v>55578.26768344624</v>
      </c>
      <c r="E148" s="190">
        <v>55578.26768344624</v>
      </c>
      <c r="F148" s="190">
        <v>55578.26768344624</v>
      </c>
      <c r="G148" s="190">
        <v>55578.26768344624</v>
      </c>
      <c r="I148" s="190">
        <v>55578.26768344624</v>
      </c>
      <c r="J148" s="190">
        <v>55578.26768344624</v>
      </c>
      <c r="K148" s="190">
        <v>55578.26768344624</v>
      </c>
      <c r="L148" s="190">
        <v>55578.26768344624</v>
      </c>
    </row>
    <row r="149" spans="1:12" x14ac:dyDescent="0.3">
      <c r="A149" s="38">
        <v>2033</v>
      </c>
      <c r="B149" s="166">
        <f>SCRS!AD26/(1+SCRS!$DU$27)^MAX(Outputs!A149-2021,0)</f>
        <v>54638.248568578529</v>
      </c>
      <c r="D149" s="190">
        <v>55327.276399424401</v>
      </c>
      <c r="E149" s="190">
        <v>55327.276399424401</v>
      </c>
      <c r="F149" s="190">
        <v>55327.276399424401</v>
      </c>
      <c r="G149" s="190">
        <v>55327.276399424401</v>
      </c>
      <c r="I149" s="190">
        <v>55327.276399424401</v>
      </c>
      <c r="J149" s="190">
        <v>55327.276399424401</v>
      </c>
      <c r="K149" s="190">
        <v>55327.276399424401</v>
      </c>
      <c r="L149" s="190">
        <v>55327.276399424401</v>
      </c>
    </row>
    <row r="150" spans="1:12" x14ac:dyDescent="0.3">
      <c r="A150" s="38">
        <v>2034</v>
      </c>
      <c r="B150" s="166">
        <f>SCRS!AD27/(1+SCRS!$DU$27)^MAX(Outputs!A150-2021,0)</f>
        <v>54259.163305868991</v>
      </c>
      <c r="D150" s="190">
        <v>55020.013875979981</v>
      </c>
      <c r="E150" s="190">
        <v>55020.013875979981</v>
      </c>
      <c r="F150" s="190">
        <v>55020.013875979981</v>
      </c>
      <c r="G150" s="190">
        <v>55020.013875979981</v>
      </c>
      <c r="I150" s="190">
        <v>55020.013875979981</v>
      </c>
      <c r="J150" s="190">
        <v>55020.013875979981</v>
      </c>
      <c r="K150" s="190">
        <v>55020.013875979981</v>
      </c>
      <c r="L150" s="190">
        <v>55020.013875979981</v>
      </c>
    </row>
    <row r="151" spans="1:12" x14ac:dyDescent="0.3">
      <c r="A151" s="38">
        <v>2035</v>
      </c>
      <c r="B151" s="166">
        <f>SCRS!AD28/(1+SCRS!$DU$27)^MAX(Outputs!A151-2021,0)</f>
        <v>53825.626027531951</v>
      </c>
      <c r="D151" s="190">
        <v>54662.485259873407</v>
      </c>
      <c r="E151" s="190">
        <v>54662.485259873407</v>
      </c>
      <c r="F151" s="190">
        <v>54662.485259873407</v>
      </c>
      <c r="G151" s="190">
        <v>54662.485259873407</v>
      </c>
      <c r="I151" s="190">
        <v>54662.485259873407</v>
      </c>
      <c r="J151" s="190">
        <v>54662.485259873407</v>
      </c>
      <c r="K151" s="190">
        <v>54662.485259873407</v>
      </c>
      <c r="L151" s="190">
        <v>54662.485259873407</v>
      </c>
    </row>
    <row r="152" spans="1:12" x14ac:dyDescent="0.3">
      <c r="A152" s="38">
        <v>2036</v>
      </c>
      <c r="B152" s="166">
        <f>SCRS!AD29/(1+SCRS!$DU$27)^MAX(Outputs!A152-2021,0)</f>
        <v>53329.862864669252</v>
      </c>
      <c r="D152" s="190">
        <v>54248.511701235919</v>
      </c>
      <c r="E152" s="190">
        <v>54248.511701235919</v>
      </c>
      <c r="F152" s="190">
        <v>54248.511701235919</v>
      </c>
      <c r="G152" s="190">
        <v>54248.511701235919</v>
      </c>
      <c r="I152" s="190">
        <v>54248.511701235919</v>
      </c>
      <c r="J152" s="190">
        <v>54248.511701235919</v>
      </c>
      <c r="K152" s="190">
        <v>54248.511701235919</v>
      </c>
      <c r="L152" s="190">
        <v>54248.511701235919</v>
      </c>
    </row>
    <row r="153" spans="1:12" x14ac:dyDescent="0.3">
      <c r="A153" s="38">
        <v>2037</v>
      </c>
      <c r="B153" s="166">
        <f>SCRS!AD30/(1+SCRS!$DU$27)^MAX(Outputs!A153-2021,0)</f>
        <v>52771.195234991952</v>
      </c>
      <c r="D153" s="190">
        <v>53778.060223675158</v>
      </c>
      <c r="E153" s="190">
        <v>53778.060223675158</v>
      </c>
      <c r="F153" s="190">
        <v>53778.060223675158</v>
      </c>
      <c r="G153" s="190">
        <v>53778.060223675158</v>
      </c>
      <c r="I153" s="190">
        <v>53778.060223675158</v>
      </c>
      <c r="J153" s="190">
        <v>53778.060223675158</v>
      </c>
      <c r="K153" s="190">
        <v>53778.060223675158</v>
      </c>
      <c r="L153" s="190">
        <v>53778.060223675158</v>
      </c>
    </row>
    <row r="154" spans="1:12" x14ac:dyDescent="0.3">
      <c r="A154" s="38">
        <v>2038</v>
      </c>
      <c r="B154" s="166">
        <f>SCRS!AD31/(1+SCRS!$DU$27)^MAX(Outputs!A154-2021,0)</f>
        <v>52148.944169047827</v>
      </c>
      <c r="D154" s="190">
        <v>53251.139034788415</v>
      </c>
      <c r="E154" s="190">
        <v>53251.139034788415</v>
      </c>
      <c r="F154" s="190">
        <v>53251.139034788415</v>
      </c>
      <c r="G154" s="190">
        <v>53251.139034788415</v>
      </c>
      <c r="I154" s="190">
        <v>53251.139034788415</v>
      </c>
      <c r="J154" s="190">
        <v>53251.139034788415</v>
      </c>
      <c r="K154" s="190">
        <v>53251.139034788415</v>
      </c>
      <c r="L154" s="190">
        <v>53251.139034788415</v>
      </c>
    </row>
    <row r="155" spans="1:12" x14ac:dyDescent="0.3">
      <c r="A155" s="38">
        <v>2039</v>
      </c>
      <c r="B155" s="166">
        <f>SCRS!AD32/(1+SCRS!$DU$27)^MAX(Outputs!A155-2021,0)</f>
        <v>51462.430568955177</v>
      </c>
      <c r="D155" s="190">
        <v>52667.801162871845</v>
      </c>
      <c r="E155" s="190">
        <v>52667.801162871845</v>
      </c>
      <c r="F155" s="190">
        <v>52667.801162871845</v>
      </c>
      <c r="G155" s="190">
        <v>52667.801162871845</v>
      </c>
      <c r="I155" s="190">
        <v>52667.801162871845</v>
      </c>
      <c r="J155" s="190">
        <v>52667.801162871845</v>
      </c>
      <c r="K155" s="190">
        <v>52667.801162871845</v>
      </c>
      <c r="L155" s="190">
        <v>52667.801162871845</v>
      </c>
    </row>
    <row r="156" spans="1:12" x14ac:dyDescent="0.3">
      <c r="A156" s="38">
        <v>2040</v>
      </c>
      <c r="B156" s="166">
        <f>SCRS!AD33/(1+SCRS!$DU$27)^MAX(Outputs!A156-2021,0)</f>
        <v>50710.975481169735</v>
      </c>
      <c r="D156" s="190">
        <v>52028.148268985686</v>
      </c>
      <c r="E156" s="190">
        <v>52028.148268985686</v>
      </c>
      <c r="F156" s="190">
        <v>52028.148268985686</v>
      </c>
      <c r="G156" s="190">
        <v>52028.148268985686</v>
      </c>
      <c r="I156" s="190">
        <v>52028.148268985686</v>
      </c>
      <c r="J156" s="190">
        <v>52028.148268985686</v>
      </c>
      <c r="K156" s="190">
        <v>52028.148268985686</v>
      </c>
      <c r="L156" s="190">
        <v>52028.148268985686</v>
      </c>
    </row>
    <row r="157" spans="1:12" x14ac:dyDescent="0.3">
      <c r="A157" s="38">
        <v>2041</v>
      </c>
      <c r="B157" s="166">
        <f>SCRS!AD34/(1+SCRS!$DU$27)^MAX(Outputs!A157-2021,0)</f>
        <v>49923.102019395614</v>
      </c>
      <c r="D157" s="190">
        <v>51362.420138250818</v>
      </c>
      <c r="E157" s="190">
        <v>51362.420138250818</v>
      </c>
      <c r="F157" s="190">
        <v>51362.420138250818</v>
      </c>
      <c r="G157" s="190">
        <v>51362.420138250818</v>
      </c>
      <c r="I157" s="190">
        <v>51362.420138250818</v>
      </c>
      <c r="J157" s="190">
        <v>51362.420138250818</v>
      </c>
      <c r="K157" s="190">
        <v>51362.420138250818</v>
      </c>
      <c r="L157" s="190">
        <v>51362.420138250818</v>
      </c>
    </row>
    <row r="158" spans="1:12" x14ac:dyDescent="0.3">
      <c r="A158" s="38">
        <v>2042</v>
      </c>
      <c r="B158" s="166">
        <f>SCRS!AD35/(1+SCRS!$DU$27)^MAX(Outputs!A158-2021,0)</f>
        <v>49134.048365158931</v>
      </c>
      <c r="D158" s="190">
        <v>50706.568425722304</v>
      </c>
      <c r="E158" s="190">
        <v>50706.568425722304</v>
      </c>
      <c r="F158" s="190">
        <v>50706.568425722304</v>
      </c>
      <c r="G158" s="190">
        <v>50706.568425722304</v>
      </c>
      <c r="I158" s="190">
        <v>50706.568425722304</v>
      </c>
      <c r="J158" s="190">
        <v>50706.568425722304</v>
      </c>
      <c r="K158" s="190">
        <v>50706.568425722304</v>
      </c>
      <c r="L158" s="190">
        <v>50706.568425722304</v>
      </c>
    </row>
    <row r="159" spans="1:12" x14ac:dyDescent="0.3">
      <c r="A159" s="38">
        <v>2043</v>
      </c>
      <c r="B159" s="166">
        <f>SCRS!AD36/(1+SCRS!$DU$27)^MAX(Outputs!A159-2021,0)</f>
        <v>48369.990341036915</v>
      </c>
      <c r="D159" s="190">
        <v>50089.947755269066</v>
      </c>
      <c r="E159" s="190">
        <v>50089.947755269066</v>
      </c>
      <c r="F159" s="190">
        <v>50089.947755269066</v>
      </c>
      <c r="G159" s="190">
        <v>50089.947755269066</v>
      </c>
      <c r="I159" s="190">
        <v>50089.947755269066</v>
      </c>
      <c r="J159" s="190">
        <v>50089.947755269066</v>
      </c>
      <c r="K159" s="190">
        <v>50089.947755269066</v>
      </c>
      <c r="L159" s="190">
        <v>50089.947755269066</v>
      </c>
    </row>
    <row r="160" spans="1:12" x14ac:dyDescent="0.3">
      <c r="A160" s="38">
        <v>2044</v>
      </c>
      <c r="B160" s="166">
        <f>SCRS!AD37/(1+SCRS!$DU$27)^MAX(Outputs!A160-2021,0)</f>
        <v>47667.149345476013</v>
      </c>
      <c r="D160" s="190">
        <v>49549.765615744247</v>
      </c>
      <c r="E160" s="190">
        <v>49549.765615744247</v>
      </c>
      <c r="F160" s="190">
        <v>49549.765615744247</v>
      </c>
      <c r="G160" s="190">
        <v>49549.765615744247</v>
      </c>
      <c r="I160" s="190">
        <v>49549.765615744247</v>
      </c>
      <c r="J160" s="190">
        <v>49549.765615744247</v>
      </c>
      <c r="K160" s="190">
        <v>49549.765615744247</v>
      </c>
      <c r="L160" s="190">
        <v>49549.765615744247</v>
      </c>
    </row>
    <row r="161" spans="1:12" x14ac:dyDescent="0.3">
      <c r="A161" s="38">
        <v>2045</v>
      </c>
      <c r="B161" s="166">
        <f>SCRS!AD38/(1+SCRS!$DU$27)^MAX(Outputs!A161-2021,0)</f>
        <v>47060.925066943229</v>
      </c>
      <c r="D161" s="190">
        <v>49122.410756992831</v>
      </c>
      <c r="E161" s="190">
        <v>49122.410756992831</v>
      </c>
      <c r="F161" s="190">
        <v>49122.410756992831</v>
      </c>
      <c r="G161" s="190">
        <v>49122.410756992831</v>
      </c>
      <c r="I161" s="190">
        <v>49122.410756992831</v>
      </c>
      <c r="J161" s="190">
        <v>49122.410756992831</v>
      </c>
      <c r="K161" s="190">
        <v>49122.410756992831</v>
      </c>
      <c r="L161" s="190">
        <v>49122.410756992831</v>
      </c>
    </row>
    <row r="162" spans="1:12" x14ac:dyDescent="0.3">
      <c r="A162" s="38">
        <v>2046</v>
      </c>
      <c r="B162" s="166">
        <f>SCRS!AD39/(1+SCRS!$DU$27)^MAX(Outputs!A162-2021,0)</f>
        <v>46577.703838619324</v>
      </c>
      <c r="D162" s="190">
        <v>48837.870631415455</v>
      </c>
      <c r="E162" s="190">
        <v>48837.870631415455</v>
      </c>
      <c r="F162" s="190">
        <v>48837.870631415455</v>
      </c>
      <c r="G162" s="190">
        <v>48837.870631415455</v>
      </c>
      <c r="I162" s="190">
        <v>48837.870631415455</v>
      </c>
      <c r="J162" s="190">
        <v>48837.870631415455</v>
      </c>
      <c r="K162" s="190">
        <v>48837.870631415455</v>
      </c>
      <c r="L162" s="190">
        <v>48837.870631415455</v>
      </c>
    </row>
    <row r="163" spans="1:12" x14ac:dyDescent="0.3">
      <c r="A163" s="38">
        <v>2047</v>
      </c>
      <c r="B163" s="166">
        <f>SCRS!AD40/(1+SCRS!$DU$27)^MAX(Outputs!A163-2021,0)</f>
        <v>46250.364235258057</v>
      </c>
      <c r="D163" s="190">
        <v>48730.205575708358</v>
      </c>
      <c r="E163" s="190">
        <v>48730.205575708358</v>
      </c>
      <c r="F163" s="190">
        <v>48730.205575708358</v>
      </c>
      <c r="G163" s="190">
        <v>48730.205575708358</v>
      </c>
      <c r="I163" s="190">
        <v>48730.205575708358</v>
      </c>
      <c r="J163" s="190">
        <v>48730.205575708358</v>
      </c>
      <c r="K163" s="190">
        <v>48730.205575708358</v>
      </c>
      <c r="L163" s="190">
        <v>48730.205575708358</v>
      </c>
    </row>
    <row r="164" spans="1:12" x14ac:dyDescent="0.3">
      <c r="A164" s="38">
        <v>2048</v>
      </c>
      <c r="B164" s="166">
        <f>SCRS!AD41/(1+SCRS!$DU$27)^MAX(Outputs!A164-2021,0)</f>
        <v>46106.175794463714</v>
      </c>
      <c r="D164" s="190">
        <v>48829.201576560408</v>
      </c>
      <c r="E164" s="190">
        <v>48829.201576560408</v>
      </c>
      <c r="F164" s="190">
        <v>48829.201576560408</v>
      </c>
      <c r="G164" s="190">
        <v>48829.201576560408</v>
      </c>
      <c r="I164" s="190">
        <v>48829.201576560408</v>
      </c>
      <c r="J164" s="190">
        <v>48829.201576560408</v>
      </c>
      <c r="K164" s="190">
        <v>48829.201576560408</v>
      </c>
      <c r="L164" s="190">
        <v>48829.201576560408</v>
      </c>
    </row>
    <row r="165" spans="1:12" x14ac:dyDescent="0.3">
      <c r="A165" s="38">
        <v>2049</v>
      </c>
      <c r="B165" s="166">
        <f>SCRS!AD42/(1+SCRS!$DU$27)^MAX(Outputs!A165-2021,0)</f>
        <v>46170.343087640613</v>
      </c>
      <c r="D165" s="190">
        <v>49162.675546272025</v>
      </c>
      <c r="E165" s="190">
        <v>49162.675546272025</v>
      </c>
      <c r="F165" s="190">
        <v>49162.675546272025</v>
      </c>
      <c r="G165" s="190">
        <v>49162.675546272025</v>
      </c>
      <c r="I165" s="190">
        <v>49162.675546272025</v>
      </c>
      <c r="J165" s="190">
        <v>49162.675546272025</v>
      </c>
      <c r="K165" s="190">
        <v>49162.675546272025</v>
      </c>
      <c r="L165" s="190">
        <v>49162.675546272025</v>
      </c>
    </row>
    <row r="166" spans="1:12" x14ac:dyDescent="0.3">
      <c r="A166" s="38">
        <v>2050</v>
      </c>
      <c r="B166" s="166">
        <f>SCRS!AD43/(1+SCRS!$DU$27)^MAX(Outputs!A166-2021,0)</f>
        <v>46465.719186599395</v>
      </c>
      <c r="D166" s="190">
        <v>49756.184065030102</v>
      </c>
      <c r="E166" s="190">
        <v>49756.184065030102</v>
      </c>
      <c r="F166" s="190">
        <v>49756.184065030102</v>
      </c>
      <c r="G166" s="190">
        <v>49756.184065030102</v>
      </c>
      <c r="I166" s="190">
        <v>49756.184065030102</v>
      </c>
      <c r="J166" s="190">
        <v>49756.184065030102</v>
      </c>
      <c r="K166" s="190">
        <v>49756.184065030102</v>
      </c>
      <c r="L166" s="190">
        <v>49756.184065030102</v>
      </c>
    </row>
    <row r="167" spans="1:12" x14ac:dyDescent="0.3">
      <c r="A167" s="38"/>
      <c r="B167" s="38"/>
      <c r="D167" s="38"/>
      <c r="G167" s="38"/>
      <c r="I167" s="38"/>
      <c r="K167" s="38"/>
    </row>
    <row r="168" spans="1:12" x14ac:dyDescent="0.3">
      <c r="A168" s="38"/>
      <c r="B168" s="38" t="s">
        <v>303</v>
      </c>
      <c r="D168" s="38" t="s">
        <v>303</v>
      </c>
      <c r="E168" s="38" t="s">
        <v>303</v>
      </c>
      <c r="F168" s="38" t="s">
        <v>303</v>
      </c>
      <c r="G168" s="38" t="s">
        <v>303</v>
      </c>
      <c r="I168" s="38" t="s">
        <v>303</v>
      </c>
      <c r="J168" s="38" t="s">
        <v>303</v>
      </c>
      <c r="K168" s="38" t="s">
        <v>303</v>
      </c>
      <c r="L168" s="38" t="s">
        <v>303</v>
      </c>
    </row>
    <row r="169" spans="1:12" x14ac:dyDescent="0.3">
      <c r="A169" s="38">
        <v>2020</v>
      </c>
      <c r="B169" s="166">
        <f>SCRS!AK13/(1+SCRS!$DU$27)^MAX(Outputs!A169-2021,0)</f>
        <v>26292.418000000001</v>
      </c>
      <c r="D169" s="190">
        <v>26292.418000000001</v>
      </c>
      <c r="E169" s="190">
        <v>26292.418000000001</v>
      </c>
      <c r="F169" s="190">
        <v>26292.418000000001</v>
      </c>
      <c r="G169" s="190">
        <v>26292.418000000001</v>
      </c>
      <c r="I169" s="190">
        <v>26292.418000000001</v>
      </c>
      <c r="J169" s="190">
        <v>26292.418000000001</v>
      </c>
      <c r="K169" s="190">
        <v>26292.418000000001</v>
      </c>
      <c r="L169" s="190">
        <v>26292.418000000001</v>
      </c>
    </row>
    <row r="170" spans="1:12" x14ac:dyDescent="0.3">
      <c r="A170" s="38">
        <v>2021</v>
      </c>
      <c r="B170" s="166">
        <f>SCRS!AK14/(1+SCRS!$DU$27)^MAX(Outputs!A170-2021,0)</f>
        <v>33490.305999999997</v>
      </c>
      <c r="D170" s="190">
        <v>27528.529982282307</v>
      </c>
      <c r="E170" s="190">
        <v>27528.529982282307</v>
      </c>
      <c r="F170" s="190">
        <v>27493.235120666312</v>
      </c>
      <c r="G170" s="190">
        <v>27493.235120666312</v>
      </c>
      <c r="I170" s="190">
        <v>19472.896648386504</v>
      </c>
      <c r="J170" s="190">
        <v>19472.896648386504</v>
      </c>
      <c r="K170" s="190">
        <v>19443.150797895487</v>
      </c>
      <c r="L170" s="190">
        <v>19443.150797895487</v>
      </c>
    </row>
    <row r="171" spans="1:12" x14ac:dyDescent="0.3">
      <c r="A171" s="38">
        <v>2022</v>
      </c>
      <c r="B171" s="166">
        <f>SCRS!AK15/(1+SCRS!$DU$27)^MAX(Outputs!A171-2021,0)</f>
        <v>32739.248543766738</v>
      </c>
      <c r="D171" s="190">
        <v>28318.246979777097</v>
      </c>
      <c r="E171" s="190">
        <v>28318.246979777097</v>
      </c>
      <c r="F171" s="190">
        <v>28245.758755431285</v>
      </c>
      <c r="G171" s="190">
        <v>28421.874285480397</v>
      </c>
      <c r="I171" s="190">
        <v>20641.108533572038</v>
      </c>
      <c r="J171" s="190">
        <v>20641.108533572038</v>
      </c>
      <c r="K171" s="190">
        <v>20572.604987838989</v>
      </c>
      <c r="L171" s="190">
        <v>20751.982193686701</v>
      </c>
    </row>
    <row r="172" spans="1:12" x14ac:dyDescent="0.3">
      <c r="A172" s="38">
        <v>2023</v>
      </c>
      <c r="B172" s="166">
        <f>SCRS!AK16/(1+SCRS!$DU$27)^MAX(Outputs!A172-2021,0)</f>
        <v>33903.960240968561</v>
      </c>
      <c r="D172" s="190">
        <v>29261.750844601906</v>
      </c>
      <c r="E172" s="190">
        <v>29261.750844601906</v>
      </c>
      <c r="F172" s="190">
        <v>29113.905398542345</v>
      </c>
      <c r="G172" s="190">
        <v>29380.516540316014</v>
      </c>
      <c r="I172" s="190">
        <v>22028.559115234104</v>
      </c>
      <c r="J172" s="190">
        <v>22028.559115234104</v>
      </c>
      <c r="K172" s="190">
        <v>21880.870352121601</v>
      </c>
      <c r="L172" s="190">
        <v>22285.321023455283</v>
      </c>
    </row>
    <row r="173" spans="1:12" x14ac:dyDescent="0.3">
      <c r="A173" s="38">
        <v>2024</v>
      </c>
      <c r="B173" s="166">
        <f>SCRS!AK17/(1+SCRS!$DU$27)^MAX(Outputs!A173-2021,0)</f>
        <v>35030.281163727239</v>
      </c>
      <c r="D173" s="190">
        <v>30368.299934736351</v>
      </c>
      <c r="E173" s="190">
        <v>30368.299934736351</v>
      </c>
      <c r="F173" s="190">
        <v>30093.792828657632</v>
      </c>
      <c r="G173" s="190">
        <v>30390.855341320977</v>
      </c>
      <c r="I173" s="190">
        <v>23656.163031433014</v>
      </c>
      <c r="J173" s="190">
        <v>23656.163031433014</v>
      </c>
      <c r="K173" s="190">
        <v>23373.823744186353</v>
      </c>
      <c r="L173" s="190">
        <v>24103.887133327655</v>
      </c>
    </row>
    <row r="174" spans="1:12" x14ac:dyDescent="0.3">
      <c r="A174" s="38">
        <v>2025</v>
      </c>
      <c r="B174" s="166">
        <f>SCRS!AK18/(1+SCRS!$DU$27)^MAX(Outputs!A174-2021,0)</f>
        <v>36132.244530752898</v>
      </c>
      <c r="D174" s="190">
        <v>31521.075623172826</v>
      </c>
      <c r="E174" s="190">
        <v>31521.075623172826</v>
      </c>
      <c r="F174" s="190">
        <v>31078.729228688018</v>
      </c>
      <c r="G174" s="190">
        <v>31461.866482212219</v>
      </c>
      <c r="I174" s="190">
        <v>24392.781086491312</v>
      </c>
      <c r="J174" s="190">
        <v>24392.781086491312</v>
      </c>
      <c r="K174" s="190">
        <v>23945.720953440188</v>
      </c>
      <c r="L174" s="190">
        <v>25032.644583721321</v>
      </c>
    </row>
    <row r="175" spans="1:12" x14ac:dyDescent="0.3">
      <c r="A175" s="38">
        <v>2026</v>
      </c>
      <c r="B175" s="166">
        <f>SCRS!AK19/(1+SCRS!$DU$27)^MAX(Outputs!A175-2021,0)</f>
        <v>37207.152787896666</v>
      </c>
      <c r="D175" s="190">
        <v>32722.443406541988</v>
      </c>
      <c r="E175" s="190">
        <v>32722.443406541988</v>
      </c>
      <c r="F175" s="190">
        <v>32069.58493029276</v>
      </c>
      <c r="G175" s="190">
        <v>32588.587909591806</v>
      </c>
      <c r="I175" s="190">
        <v>25279.124280120453</v>
      </c>
      <c r="J175" s="190">
        <v>25279.124280120453</v>
      </c>
      <c r="K175" s="190">
        <v>24626.559250159393</v>
      </c>
      <c r="L175" s="190">
        <v>26090.656615873711</v>
      </c>
    </row>
    <row r="176" spans="1:12" x14ac:dyDescent="0.3">
      <c r="A176" s="38">
        <v>2027</v>
      </c>
      <c r="B176" s="166">
        <f>SCRS!AK20/(1+SCRS!$DU$27)^MAX(Outputs!A176-2021,0)</f>
        <v>38223.787991555197</v>
      </c>
      <c r="D176" s="190">
        <v>33974.884198515574</v>
      </c>
      <c r="E176" s="190">
        <v>33974.884198515574</v>
      </c>
      <c r="F176" s="190">
        <v>33067.353368800847</v>
      </c>
      <c r="G176" s="190">
        <v>33738.38788480431</v>
      </c>
      <c r="I176" s="190">
        <v>26322.772081424322</v>
      </c>
      <c r="J176" s="190">
        <v>26322.772081424322</v>
      </c>
      <c r="K176" s="190">
        <v>25422.924827287781</v>
      </c>
      <c r="L176" s="190">
        <v>27242.60749001053</v>
      </c>
    </row>
    <row r="177" spans="1:12" x14ac:dyDescent="0.3">
      <c r="A177" s="38">
        <v>2028</v>
      </c>
      <c r="B177" s="166">
        <f>SCRS!AK21/(1+SCRS!$DU$27)^MAX(Outputs!A177-2021,0)</f>
        <v>39269.541070250758</v>
      </c>
      <c r="D177" s="190">
        <v>35280.999775844546</v>
      </c>
      <c r="E177" s="190">
        <v>35280.999775844546</v>
      </c>
      <c r="F177" s="190">
        <v>34073.094246919616</v>
      </c>
      <c r="G177" s="190">
        <v>34912.812222324443</v>
      </c>
      <c r="I177" s="190">
        <v>26852.095818954356</v>
      </c>
      <c r="J177" s="190">
        <v>26852.095818954356</v>
      </c>
      <c r="K177" s="190">
        <v>26341.706584741973</v>
      </c>
      <c r="L177" s="190">
        <v>28380.87580933451</v>
      </c>
    </row>
    <row r="178" spans="1:12" x14ac:dyDescent="0.3">
      <c r="A178" s="38">
        <v>2029</v>
      </c>
      <c r="B178" s="166">
        <f>SCRS!AK22/(1+SCRS!$DU$27)^MAX(Outputs!A178-2021,0)</f>
        <v>40344.636176429958</v>
      </c>
      <c r="D178" s="190">
        <v>36643.51847844143</v>
      </c>
      <c r="E178" s="190">
        <v>36643.51847844143</v>
      </c>
      <c r="F178" s="190">
        <v>35087.934106127483</v>
      </c>
      <c r="G178" s="190">
        <v>36114.438294358166</v>
      </c>
      <c r="I178" s="190">
        <v>27395.368847425823</v>
      </c>
      <c r="J178" s="190">
        <v>27395.368847425823</v>
      </c>
      <c r="K178" s="190">
        <v>26567.045642974532</v>
      </c>
      <c r="L178" s="190">
        <v>29524.29615343656</v>
      </c>
    </row>
    <row r="179" spans="1:12" x14ac:dyDescent="0.3">
      <c r="A179" s="38">
        <v>2030</v>
      </c>
      <c r="B179" s="166">
        <f>SCRS!AK23/(1+SCRS!$DU$27)^MAX(Outputs!A179-2021,0)</f>
        <v>41450.500363128696</v>
      </c>
      <c r="D179" s="190">
        <v>38065.301175320164</v>
      </c>
      <c r="E179" s="190">
        <v>38065.301175320164</v>
      </c>
      <c r="F179" s="190">
        <v>36113.068312789503</v>
      </c>
      <c r="G179" s="190">
        <v>37345.954544522952</v>
      </c>
      <c r="I179" s="190">
        <v>28139.678195092241</v>
      </c>
      <c r="J179" s="190">
        <v>28139.678195092241</v>
      </c>
      <c r="K179" s="190">
        <v>26769.183510796724</v>
      </c>
      <c r="L179" s="190">
        <v>30692.06711188714</v>
      </c>
    </row>
    <row r="180" spans="1:12" x14ac:dyDescent="0.3">
      <c r="A180" s="38">
        <v>2031</v>
      </c>
      <c r="B180" s="166">
        <f>SCRS!AK24/(1+SCRS!$DU$27)^MAX(Outputs!A180-2021,0)</f>
        <v>42589.055117092212</v>
      </c>
      <c r="D180" s="190">
        <v>39549.791285385407</v>
      </c>
      <c r="E180" s="190">
        <v>39549.791285385407</v>
      </c>
      <c r="F180" s="190">
        <v>37139.002264428833</v>
      </c>
      <c r="G180" s="190">
        <v>38605.634599297024</v>
      </c>
      <c r="I180" s="190">
        <v>29095.808636009871</v>
      </c>
      <c r="J180" s="190">
        <v>29095.808636009871</v>
      </c>
      <c r="K180" s="190">
        <v>27111.854002154076</v>
      </c>
      <c r="L180" s="190">
        <v>31899.355249021221</v>
      </c>
    </row>
    <row r="181" spans="1:12" x14ac:dyDescent="0.3">
      <c r="A181" s="38">
        <v>2032</v>
      </c>
      <c r="B181" s="166">
        <f>SCRS!AK25/(1+SCRS!$DU$27)^MAX(Outputs!A181-2021,0)</f>
        <v>43761.511685458929</v>
      </c>
      <c r="D181" s="190">
        <v>41099.763523674381</v>
      </c>
      <c r="E181" s="190">
        <v>41099.763523674381</v>
      </c>
      <c r="F181" s="190">
        <v>38177.513456094101</v>
      </c>
      <c r="G181" s="190">
        <v>39900.946574220943</v>
      </c>
      <c r="I181" s="190">
        <v>29706.880294274106</v>
      </c>
      <c r="J181" s="190">
        <v>29706.880294274106</v>
      </c>
      <c r="K181" s="190">
        <v>27609.229714505836</v>
      </c>
      <c r="L181" s="190">
        <v>33154.853770907088</v>
      </c>
    </row>
    <row r="182" spans="1:12" x14ac:dyDescent="0.3">
      <c r="A182" s="38">
        <v>2033</v>
      </c>
      <c r="B182" s="166">
        <f>SCRS!AK26/(1+SCRS!$DU$27)^MAX(Outputs!A182-2021,0)</f>
        <v>44970.041280640027</v>
      </c>
      <c r="D182" s="190">
        <v>42719.069538194803</v>
      </c>
      <c r="E182" s="190">
        <v>42719.069538194803</v>
      </c>
      <c r="F182" s="190">
        <v>39219.523939956991</v>
      </c>
      <c r="G182" s="190">
        <v>41230.812252926138</v>
      </c>
      <c r="I182" s="190">
        <v>30336.458239464118</v>
      </c>
      <c r="J182" s="190">
        <v>30336.458239464118</v>
      </c>
      <c r="K182" s="190">
        <v>28257.341318091083</v>
      </c>
      <c r="L182" s="190">
        <v>34458.763909453875</v>
      </c>
    </row>
    <row r="183" spans="1:12" x14ac:dyDescent="0.3">
      <c r="A183" s="38">
        <v>2034</v>
      </c>
      <c r="B183" s="166">
        <f>SCRS!AK27/(1+SCRS!$DU$27)^MAX(Outputs!A183-2021,0)</f>
        <v>46216.494201840469</v>
      </c>
      <c r="D183" s="190">
        <v>44411.304551383044</v>
      </c>
      <c r="E183" s="190">
        <v>44411.304551383044</v>
      </c>
      <c r="F183" s="190">
        <v>40266.398498748669</v>
      </c>
      <c r="G183" s="190">
        <v>42598.691482900889</v>
      </c>
      <c r="I183" s="190">
        <v>30985.584621718972</v>
      </c>
      <c r="J183" s="190">
        <v>30985.584621718972</v>
      </c>
      <c r="K183" s="190">
        <v>28381.301168609571</v>
      </c>
      <c r="L183" s="190">
        <v>35815.893599030234</v>
      </c>
    </row>
    <row r="184" spans="1:12" x14ac:dyDescent="0.3">
      <c r="A184" s="38">
        <v>2035</v>
      </c>
      <c r="B184" s="166">
        <f>SCRS!AK28/(1+SCRS!$DU$27)^MAX(Outputs!A184-2021,0)</f>
        <v>47502.184080730629</v>
      </c>
      <c r="D184" s="190">
        <v>46179.579323809281</v>
      </c>
      <c r="E184" s="190">
        <v>46179.579323809281</v>
      </c>
      <c r="F184" s="190">
        <v>41329.712982649602</v>
      </c>
      <c r="G184" s="190">
        <v>44011.944714412646</v>
      </c>
      <c r="I184" s="190">
        <v>31654.691319076581</v>
      </c>
      <c r="J184" s="190">
        <v>31654.691319076581</v>
      </c>
      <c r="K184" s="190">
        <v>28483.979683115107</v>
      </c>
      <c r="L184" s="190">
        <v>37234.989612119236</v>
      </c>
    </row>
    <row r="185" spans="1:12" x14ac:dyDescent="0.3">
      <c r="A185" s="38">
        <v>2036</v>
      </c>
      <c r="B185" s="166">
        <f>SCRS!AK29/(1+SCRS!$DU$27)^MAX(Outputs!A185-2021,0)</f>
        <v>48829.688841708121</v>
      </c>
      <c r="D185" s="190">
        <v>48028.421867674326</v>
      </c>
      <c r="E185" s="190">
        <v>48028.421867674326</v>
      </c>
      <c r="F185" s="190">
        <v>42401.33668078862</v>
      </c>
      <c r="G185" s="190">
        <v>45470.79500438994</v>
      </c>
      <c r="I185" s="190">
        <v>23130.101197090862</v>
      </c>
      <c r="J185" s="190">
        <v>23130.101197090862</v>
      </c>
      <c r="K185" s="190">
        <v>20492.533737268863</v>
      </c>
      <c r="L185" s="190">
        <v>27775.089165103462</v>
      </c>
    </row>
    <row r="186" spans="1:12" x14ac:dyDescent="0.3">
      <c r="A186" s="38">
        <v>2037</v>
      </c>
      <c r="B186" s="166">
        <f>SCRS!AK30/(1+SCRS!$DU$27)^MAX(Outputs!A186-2021,0)</f>
        <v>50201.134304769977</v>
      </c>
      <c r="D186" s="190">
        <v>49961.974519673102</v>
      </c>
      <c r="E186" s="190">
        <v>49961.974519673102</v>
      </c>
      <c r="F186" s="190">
        <v>43483.068659600765</v>
      </c>
      <c r="G186" s="190">
        <v>46979.368932429148</v>
      </c>
      <c r="I186" s="190">
        <v>24625.847446444477</v>
      </c>
      <c r="J186" s="190">
        <v>24625.847446444477</v>
      </c>
      <c r="K186" s="190">
        <v>21564.901908794338</v>
      </c>
      <c r="L186" s="190">
        <v>30287.082712033964</v>
      </c>
    </row>
    <row r="187" spans="1:12" x14ac:dyDescent="0.3">
      <c r="A187" s="38">
        <v>2038</v>
      </c>
      <c r="B187" s="166">
        <f>SCRS!AK31/(1+SCRS!$DU$27)^MAX(Outputs!A187-2021,0)</f>
        <v>51618.748141579897</v>
      </c>
      <c r="D187" s="190">
        <v>51984.580972408898</v>
      </c>
      <c r="E187" s="190">
        <v>51984.580972408898</v>
      </c>
      <c r="F187" s="190">
        <v>44576.741114386394</v>
      </c>
      <c r="G187" s="190">
        <v>48541.947062169704</v>
      </c>
      <c r="I187" s="190">
        <v>26247.484443211772</v>
      </c>
      <c r="J187" s="190">
        <v>26247.484443211772</v>
      </c>
      <c r="K187" s="190">
        <v>22876.641771955725</v>
      </c>
      <c r="L187" s="190">
        <v>33207.737714776689</v>
      </c>
    </row>
    <row r="188" spans="1:12" x14ac:dyDescent="0.3">
      <c r="A188" s="38">
        <v>2039</v>
      </c>
      <c r="B188" s="166">
        <f>SCRS!AK32/(1+SCRS!$DU$27)^MAX(Outputs!A188-2021,0)</f>
        <v>53084.864665238514</v>
      </c>
      <c r="D188" s="190">
        <v>54100.795759550761</v>
      </c>
      <c r="E188" s="190">
        <v>54100.795759550761</v>
      </c>
      <c r="F188" s="190">
        <v>45684.306680640497</v>
      </c>
      <c r="G188" s="190">
        <v>50163.028854382472</v>
      </c>
      <c r="I188" s="190">
        <v>28006.200816634966</v>
      </c>
      <c r="J188" s="190">
        <v>28006.200816634966</v>
      </c>
      <c r="K188" s="190">
        <v>23770.651142889779</v>
      </c>
      <c r="L188" s="190">
        <v>36596.77612683527</v>
      </c>
    </row>
    <row r="189" spans="1:12" x14ac:dyDescent="0.3">
      <c r="A189" s="38">
        <v>2040</v>
      </c>
      <c r="B189" s="166">
        <f>SCRS!AK33/(1+SCRS!$DU$27)^MAX(Outputs!A189-2021,0)</f>
        <v>54601.929807588509</v>
      </c>
      <c r="D189" s="190">
        <v>56113.977581416126</v>
      </c>
      <c r="E189" s="190">
        <v>56113.977581416126</v>
      </c>
      <c r="F189" s="190">
        <v>46807.845173304297</v>
      </c>
      <c r="G189" s="190">
        <v>51844.413952213348</v>
      </c>
      <c r="I189" s="190">
        <v>28555.788412911217</v>
      </c>
      <c r="J189" s="190">
        <v>28555.788412911217</v>
      </c>
      <c r="K189" s="190">
        <v>23583.838430825956</v>
      </c>
      <c r="L189" s="190">
        <v>38645.187631066467</v>
      </c>
    </row>
    <row r="190" spans="1:12" x14ac:dyDescent="0.3">
      <c r="A190" s="38">
        <v>2041</v>
      </c>
      <c r="B190" s="166">
        <f>SCRS!AK34/(1+SCRS!$DU$27)^MAX(Outputs!A190-2021,0)</f>
        <v>56201.707967079259</v>
      </c>
      <c r="D190" s="190">
        <v>58046.066941107631</v>
      </c>
      <c r="E190" s="190">
        <v>58046.066941107631</v>
      </c>
      <c r="F190" s="190">
        <v>47978.815086164504</v>
      </c>
      <c r="G190" s="190">
        <v>53620.142326799862</v>
      </c>
      <c r="I190" s="190">
        <v>29153.827232884054</v>
      </c>
      <c r="J190" s="190">
        <v>29153.827232884054</v>
      </c>
      <c r="K190" s="190">
        <v>23562.301187900906</v>
      </c>
      <c r="L190" s="190">
        <v>40927.05198613472</v>
      </c>
    </row>
    <row r="191" spans="1:12" x14ac:dyDescent="0.3">
      <c r="A191" s="38">
        <v>2042</v>
      </c>
      <c r="B191" s="166">
        <f>SCRS!AK35/(1+SCRS!$DU$27)^MAX(Outputs!A191-2021,0)</f>
        <v>57916.76339449075</v>
      </c>
      <c r="D191" s="190">
        <v>59919.245860079376</v>
      </c>
      <c r="E191" s="190">
        <v>58104.033410899523</v>
      </c>
      <c r="F191" s="190">
        <v>49239.211268058854</v>
      </c>
      <c r="G191" s="190">
        <v>53259.585351690024</v>
      </c>
      <c r="I191" s="190">
        <v>29830.885411294094</v>
      </c>
      <c r="J191" s="190">
        <v>29830.885411294094</v>
      </c>
      <c r="K191" s="190">
        <v>23747.673394526937</v>
      </c>
      <c r="L191" s="190">
        <v>41303.188311858903</v>
      </c>
    </row>
    <row r="192" spans="1:12" x14ac:dyDescent="0.3">
      <c r="A192" s="38">
        <v>2043</v>
      </c>
      <c r="B192" s="166">
        <f>SCRS!AK36/(1+SCRS!$DU$27)^MAX(Outputs!A192-2021,0)</f>
        <v>58032.803657690878</v>
      </c>
      <c r="D192" s="190">
        <v>61758.445498406858</v>
      </c>
      <c r="E192" s="190">
        <v>58179.375227710269</v>
      </c>
      <c r="F192" s="190">
        <v>50452.657353050417</v>
      </c>
      <c r="G192" s="190">
        <v>52919.370305214594</v>
      </c>
      <c r="I192" s="190">
        <v>30620.395394219475</v>
      </c>
      <c r="J192" s="190">
        <v>30620.395394219475</v>
      </c>
      <c r="K192" s="190">
        <v>24160.986336014012</v>
      </c>
      <c r="L192" s="190">
        <v>41555.08062222421</v>
      </c>
    </row>
    <row r="193" spans="1:12" x14ac:dyDescent="0.3">
      <c r="A193" s="38">
        <v>2044</v>
      </c>
      <c r="B193" s="166">
        <f>SCRS!AK37/(1+SCRS!$DU$27)^MAX(Outputs!A193-2021,0)</f>
        <v>58146.468049195515</v>
      </c>
      <c r="D193" s="190">
        <v>63586.55362764532</v>
      </c>
      <c r="E193" s="190">
        <v>58348.532142963209</v>
      </c>
      <c r="F193" s="190">
        <v>51656.370781075544</v>
      </c>
      <c r="G193" s="190">
        <v>52656.201319710679</v>
      </c>
      <c r="I193" s="190">
        <v>31553.862114001164</v>
      </c>
      <c r="J193" s="190">
        <v>31553.862114001164</v>
      </c>
      <c r="K193" s="190">
        <v>24203.781860489951</v>
      </c>
      <c r="L193" s="190">
        <v>41685.190226432147</v>
      </c>
    </row>
    <row r="194" spans="1:12" x14ac:dyDescent="0.3">
      <c r="A194" s="38">
        <v>2045</v>
      </c>
      <c r="B194" s="166">
        <f>SCRS!AK38/(1+SCRS!$DU$27)^MAX(Outputs!A194-2021,0)</f>
        <v>58381.451025031922</v>
      </c>
      <c r="D194" s="190">
        <v>65425.715056608911</v>
      </c>
      <c r="E194" s="190">
        <v>58641.864161025536</v>
      </c>
      <c r="F194" s="190">
        <v>52885.332244274839</v>
      </c>
      <c r="G194" s="190">
        <v>52503.192452906318</v>
      </c>
      <c r="I194" s="190">
        <v>32662.181435067316</v>
      </c>
      <c r="J194" s="190">
        <v>32662.181435067316</v>
      </c>
      <c r="K194" s="190">
        <v>24382.870143136694</v>
      </c>
      <c r="L194" s="190">
        <v>41776.344073571505</v>
      </c>
    </row>
    <row r="195" spans="1:12" x14ac:dyDescent="0.3">
      <c r="A195" s="38">
        <v>2046</v>
      </c>
      <c r="B195" s="166">
        <f>SCRS!AK39/(1+SCRS!$DU$27)^MAX(Outputs!A195-2021,0)</f>
        <v>58768.998444504294</v>
      </c>
      <c r="D195" s="190">
        <v>67299.368748079854</v>
      </c>
      <c r="E195" s="190">
        <v>59091.506265923425</v>
      </c>
      <c r="F195" s="190">
        <v>52953.25826074573</v>
      </c>
      <c r="G195" s="190">
        <v>52490.337224446295</v>
      </c>
      <c r="I195" s="190">
        <v>33977.680068812937</v>
      </c>
      <c r="J195" s="190">
        <v>33977.680068812937</v>
      </c>
      <c r="K195" s="190">
        <v>24885.628205743647</v>
      </c>
      <c r="L195" s="190">
        <v>41918.723259205202</v>
      </c>
    </row>
    <row r="196" spans="1:12" x14ac:dyDescent="0.3">
      <c r="A196" s="38">
        <v>2047</v>
      </c>
      <c r="B196" s="166">
        <f>SCRS!AK40/(1+SCRS!$DU$27)^MAX(Outputs!A196-2021,0)</f>
        <v>59336.791853397073</v>
      </c>
      <c r="D196" s="190">
        <v>69226.788566169635</v>
      </c>
      <c r="E196" s="190">
        <v>59725.952108571422</v>
      </c>
      <c r="F196" s="190">
        <v>53121.572748632956</v>
      </c>
      <c r="G196" s="190">
        <v>52648.675327813966</v>
      </c>
      <c r="I196" s="190">
        <v>35528.674857072278</v>
      </c>
      <c r="J196" s="190">
        <v>35528.674857072278</v>
      </c>
      <c r="K196" s="190">
        <v>25752.548390626042</v>
      </c>
      <c r="L196" s="190">
        <v>42190.595231953601</v>
      </c>
    </row>
    <row r="197" spans="1:12" x14ac:dyDescent="0.3">
      <c r="A197" s="38">
        <v>2048</v>
      </c>
      <c r="B197" s="166">
        <f>SCRS!AK41/(1+SCRS!$DU$27)^MAX(Outputs!A197-2021,0)</f>
        <v>60111.909713956156</v>
      </c>
      <c r="D197" s="190">
        <v>71226.31837939113</v>
      </c>
      <c r="E197" s="190">
        <v>60573.304953081875</v>
      </c>
      <c r="F197" s="190">
        <v>53488.755610020955</v>
      </c>
      <c r="G197" s="190">
        <v>53006.459882667812</v>
      </c>
      <c r="I197" s="190">
        <v>37342.738574266557</v>
      </c>
      <c r="J197" s="190">
        <v>37342.738574266557</v>
      </c>
      <c r="K197" s="190">
        <v>26528.701001949223</v>
      </c>
      <c r="L197" s="190">
        <v>42740.911990734581</v>
      </c>
    </row>
    <row r="198" spans="1:12" x14ac:dyDescent="0.3">
      <c r="A198" s="38">
        <v>2049</v>
      </c>
      <c r="B198" s="166">
        <f>SCRS!AK42/(1+SCRS!$DU$27)^MAX(Outputs!A198-2021,0)</f>
        <v>61119.342039764262</v>
      </c>
      <c r="D198" s="190">
        <v>73313.771005793154</v>
      </c>
      <c r="E198" s="190">
        <v>61659.712871671974</v>
      </c>
      <c r="F198" s="190">
        <v>54081.151480018467</v>
      </c>
      <c r="G198" s="190">
        <v>53590.089602572123</v>
      </c>
      <c r="I198" s="190">
        <v>39445.122417212195</v>
      </c>
      <c r="J198" s="190">
        <v>39445.122417212195</v>
      </c>
      <c r="K198" s="190">
        <v>27548.021513600881</v>
      </c>
      <c r="L198" s="190">
        <v>43576.411506751247</v>
      </c>
    </row>
    <row r="199" spans="1:12" x14ac:dyDescent="0.3">
      <c r="A199" s="38">
        <v>2050</v>
      </c>
      <c r="B199" s="166">
        <f>SCRS!AK43/(1+SCRS!$DU$27)^MAX(Outputs!A199-2021,0)</f>
        <v>62381.716647751869</v>
      </c>
      <c r="D199" s="190">
        <v>75502.119331295384</v>
      </c>
      <c r="E199" s="190">
        <v>63009.073572902053</v>
      </c>
      <c r="F199" s="190">
        <v>54922.872892158506</v>
      </c>
      <c r="G199" s="190">
        <v>54423.745113361678</v>
      </c>
      <c r="I199" s="190">
        <v>41858.480792181399</v>
      </c>
      <c r="J199" s="190">
        <v>41858.480792181399</v>
      </c>
      <c r="K199" s="190">
        <v>28995.095134335603</v>
      </c>
      <c r="L199" s="190">
        <v>44703.54183419027</v>
      </c>
    </row>
    <row r="200" spans="1:12" x14ac:dyDescent="0.3">
      <c r="A200" s="38"/>
      <c r="B200" s="38"/>
      <c r="D200" s="38"/>
      <c r="G200" s="38"/>
      <c r="I200" s="38"/>
      <c r="K200" s="38"/>
    </row>
    <row r="201" spans="1:12" x14ac:dyDescent="0.3">
      <c r="A201" s="411" t="s">
        <v>304</v>
      </c>
      <c r="B201" s="37">
        <f>SCRS!DP51</f>
        <v>43098.044893129547</v>
      </c>
      <c r="D201" s="190">
        <v>63442.560052550085</v>
      </c>
      <c r="E201" s="419">
        <v>53944.317015478817</v>
      </c>
      <c r="F201" s="415">
        <v>62538.742347310428</v>
      </c>
      <c r="G201" s="190">
        <v>60413.5404459903</v>
      </c>
      <c r="I201" s="386">
        <v>74014.828612413054</v>
      </c>
      <c r="J201" s="415">
        <v>74014.828612413054</v>
      </c>
      <c r="K201" s="190">
        <v>76979.242305500287</v>
      </c>
      <c r="L201" s="190">
        <v>83483.498216009248</v>
      </c>
    </row>
    <row r="202" spans="1:12" x14ac:dyDescent="0.3">
      <c r="A202" s="38" t="s">
        <v>305</v>
      </c>
      <c r="B202" s="37">
        <f>SCRS!DP52</f>
        <v>-1380.7156408580465</v>
      </c>
      <c r="D202" s="190">
        <v>-13119.124009423616</v>
      </c>
      <c r="E202" s="419">
        <v>-626.07825103028836</v>
      </c>
      <c r="F202" s="415">
        <v>-1006.6583843879772</v>
      </c>
      <c r="G202" s="190">
        <v>-507.53060559115403</v>
      </c>
      <c r="I202" s="386">
        <v>20524.514529690365</v>
      </c>
      <c r="J202" s="415">
        <v>20524.514529690365</v>
      </c>
      <c r="K202" s="190">
        <v>24921.119373434922</v>
      </c>
      <c r="L202" s="190">
        <v>9212.6726735802604</v>
      </c>
    </row>
    <row r="203" spans="1:12" x14ac:dyDescent="0.3">
      <c r="A203" s="38" t="s">
        <v>306</v>
      </c>
      <c r="B203" s="37">
        <f>SCRS!DP53</f>
        <v>41717.329252271498</v>
      </c>
      <c r="D203" s="190">
        <v>50323.436043126465</v>
      </c>
      <c r="E203" s="419">
        <v>53318.238764448528</v>
      </c>
      <c r="F203" s="415">
        <v>61532.08396292245</v>
      </c>
      <c r="G203" s="190">
        <v>59906.009840399143</v>
      </c>
      <c r="I203" s="386">
        <v>94539.343142103418</v>
      </c>
      <c r="J203" s="420">
        <v>94539.343142103418</v>
      </c>
      <c r="K203" s="190">
        <v>101900.36167893521</v>
      </c>
      <c r="L203" s="190">
        <v>92696.170889589514</v>
      </c>
    </row>
    <row r="206" spans="1:12" x14ac:dyDescent="0.3">
      <c r="J206" s="414"/>
      <c r="K206" s="414"/>
      <c r="L206" s="414"/>
    </row>
    <row r="207" spans="1:12" x14ac:dyDescent="0.3">
      <c r="I207" s="411"/>
      <c r="J207" s="386"/>
      <c r="K207" s="190"/>
      <c r="L207" s="190"/>
    </row>
    <row r="208" spans="1:12" x14ac:dyDescent="0.3">
      <c r="I208" s="38"/>
      <c r="J208" s="386"/>
      <c r="K208" s="190"/>
      <c r="L208" s="190"/>
    </row>
    <row r="209" spans="9:12" x14ac:dyDescent="0.3">
      <c r="I209" s="38"/>
      <c r="J209" s="421"/>
      <c r="K209" s="190"/>
      <c r="L209" s="190"/>
    </row>
  </sheetData>
  <mergeCells count="2">
    <mergeCell ref="D1:G1"/>
    <mergeCell ref="I1:L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0511B-FA5A-B244-B1CF-0240D765BA8E}">
  <dimension ref="A1:I32"/>
  <sheetViews>
    <sheetView workbookViewId="0">
      <selection activeCell="D2" sqref="D2:D31"/>
    </sheetView>
  </sheetViews>
  <sheetFormatPr defaultColWidth="11.44140625" defaultRowHeight="14.4" x14ac:dyDescent="0.3"/>
  <cols>
    <col min="5" max="5" width="16.109375" customWidth="1"/>
  </cols>
  <sheetData>
    <row r="1" spans="1:9" x14ac:dyDescent="0.3">
      <c r="A1" s="38" t="s">
        <v>155</v>
      </c>
      <c r="B1" s="38" t="s">
        <v>281</v>
      </c>
      <c r="C1" s="38" t="s">
        <v>282</v>
      </c>
      <c r="D1" s="38" t="s">
        <v>232</v>
      </c>
      <c r="E1" s="38" t="s">
        <v>283</v>
      </c>
      <c r="F1" s="38"/>
      <c r="G1" s="38"/>
      <c r="H1" s="38" t="s">
        <v>284</v>
      </c>
      <c r="I1" s="142">
        <v>0.12</v>
      </c>
    </row>
    <row r="2" spans="1:9" x14ac:dyDescent="0.3">
      <c r="A2" s="406">
        <v>2022</v>
      </c>
      <c r="B2" s="142">
        <f>SCRS!$DU$24</f>
        <v>7.0000000000000007E-2</v>
      </c>
      <c r="C2" s="142">
        <v>0.06</v>
      </c>
      <c r="D2" s="177">
        <f>-I1*2</f>
        <v>-0.24</v>
      </c>
      <c r="E2" s="407">
        <f>D2</f>
        <v>-0.24</v>
      </c>
      <c r="F2" s="38"/>
      <c r="G2" s="38"/>
      <c r="H2" s="38"/>
      <c r="I2" s="38"/>
    </row>
    <row r="3" spans="1:9" x14ac:dyDescent="0.3">
      <c r="A3" s="406">
        <f>A2+1</f>
        <v>2023</v>
      </c>
      <c r="B3" s="142">
        <f>SCRS!$DU$24</f>
        <v>7.0000000000000007E-2</v>
      </c>
      <c r="C3" s="142">
        <v>0.06</v>
      </c>
      <c r="D3" s="408">
        <v>0.11</v>
      </c>
      <c r="E3" s="407">
        <f>D3</f>
        <v>0.11</v>
      </c>
      <c r="F3" s="38"/>
      <c r="G3" s="38"/>
      <c r="H3" s="38"/>
      <c r="I3" s="38"/>
    </row>
    <row r="4" spans="1:9" x14ac:dyDescent="0.3">
      <c r="A4" s="406">
        <f t="shared" ref="A4:A32" si="0">A3+1</f>
        <v>2024</v>
      </c>
      <c r="B4" s="142">
        <f>SCRS!$DU$24</f>
        <v>7.0000000000000007E-2</v>
      </c>
      <c r="C4" s="142">
        <v>0.06</v>
      </c>
      <c r="D4" s="408">
        <v>0.11</v>
      </c>
      <c r="E4" s="407">
        <f>D4</f>
        <v>0.11</v>
      </c>
      <c r="F4" s="38"/>
      <c r="G4" s="38"/>
      <c r="H4" s="38"/>
      <c r="I4" s="38"/>
    </row>
    <row r="5" spans="1:9" x14ac:dyDescent="0.3">
      <c r="A5" s="406">
        <f t="shared" si="0"/>
        <v>2025</v>
      </c>
      <c r="B5" s="142">
        <f>SCRS!$DU$24</f>
        <v>7.0000000000000007E-2</v>
      </c>
      <c r="C5" s="142">
        <v>0.06</v>
      </c>
      <c r="D5" s="408">
        <v>0.11</v>
      </c>
      <c r="E5" s="407">
        <f>D5</f>
        <v>0.11</v>
      </c>
      <c r="F5" s="38"/>
      <c r="G5" s="38"/>
      <c r="H5" s="38"/>
      <c r="I5" s="38"/>
    </row>
    <row r="6" spans="1:9" x14ac:dyDescent="0.3">
      <c r="A6" s="406">
        <f t="shared" si="0"/>
        <v>2026</v>
      </c>
      <c r="B6" s="142">
        <f>SCRS!$DU$24</f>
        <v>7.0000000000000007E-2</v>
      </c>
      <c r="C6" s="142">
        <v>0.06</v>
      </c>
      <c r="D6" s="177">
        <v>0.06</v>
      </c>
      <c r="E6" s="177">
        <v>0.06</v>
      </c>
      <c r="F6" s="38"/>
      <c r="G6" s="38"/>
      <c r="H6" s="38"/>
      <c r="I6" s="38"/>
    </row>
    <row r="7" spans="1:9" x14ac:dyDescent="0.3">
      <c r="A7" s="406">
        <f t="shared" si="0"/>
        <v>2027</v>
      </c>
      <c r="B7" s="142">
        <f>SCRS!$DU$24</f>
        <v>7.0000000000000007E-2</v>
      </c>
      <c r="C7" s="142">
        <v>0.06</v>
      </c>
      <c r="D7" s="177">
        <v>0.06</v>
      </c>
      <c r="E7" s="177">
        <v>0.06</v>
      </c>
      <c r="F7" s="38"/>
      <c r="G7" s="38"/>
      <c r="H7" s="38"/>
      <c r="I7" s="38"/>
    </row>
    <row r="8" spans="1:9" x14ac:dyDescent="0.3">
      <c r="A8" s="406">
        <f t="shared" si="0"/>
        <v>2028</v>
      </c>
      <c r="B8" s="142">
        <f>SCRS!$DU$24</f>
        <v>7.0000000000000007E-2</v>
      </c>
      <c r="C8" s="142">
        <v>0.06</v>
      </c>
      <c r="D8" s="177">
        <v>0.06</v>
      </c>
      <c r="E8" s="177">
        <v>0.06</v>
      </c>
      <c r="F8" s="38"/>
      <c r="G8" s="38"/>
      <c r="H8" s="38"/>
      <c r="I8" s="38"/>
    </row>
    <row r="9" spans="1:9" x14ac:dyDescent="0.3">
      <c r="A9" s="406">
        <f t="shared" si="0"/>
        <v>2029</v>
      </c>
      <c r="B9" s="142">
        <f>SCRS!$DU$24</f>
        <v>7.0000000000000007E-2</v>
      </c>
      <c r="C9" s="142">
        <v>0.06</v>
      </c>
      <c r="D9" s="177">
        <v>0.06</v>
      </c>
      <c r="E9" s="177">
        <v>0.06</v>
      </c>
      <c r="F9" s="38"/>
      <c r="G9" s="38"/>
      <c r="H9" s="38"/>
      <c r="I9" s="38"/>
    </row>
    <row r="10" spans="1:9" x14ac:dyDescent="0.3">
      <c r="A10" s="406">
        <f t="shared" si="0"/>
        <v>2030</v>
      </c>
      <c r="B10" s="142">
        <f>SCRS!$DU$24</f>
        <v>7.0000000000000007E-2</v>
      </c>
      <c r="C10" s="142">
        <v>0.06</v>
      </c>
      <c r="D10" s="177">
        <v>0.06</v>
      </c>
      <c r="E10" s="177">
        <v>0.06</v>
      </c>
      <c r="F10" s="38"/>
      <c r="G10" s="38"/>
      <c r="H10" s="38"/>
      <c r="I10" s="38"/>
    </row>
    <row r="11" spans="1:9" x14ac:dyDescent="0.3">
      <c r="A11" s="406">
        <f t="shared" si="0"/>
        <v>2031</v>
      </c>
      <c r="B11" s="142">
        <f>SCRS!$DU$24</f>
        <v>7.0000000000000007E-2</v>
      </c>
      <c r="C11" s="142">
        <v>0.06</v>
      </c>
      <c r="D11" s="177">
        <v>0.06</v>
      </c>
      <c r="E11" s="177">
        <v>0.06</v>
      </c>
      <c r="F11" s="38"/>
      <c r="G11" s="38"/>
      <c r="H11" s="38"/>
      <c r="I11" s="38"/>
    </row>
    <row r="12" spans="1:9" x14ac:dyDescent="0.3">
      <c r="A12" s="406">
        <f t="shared" si="0"/>
        <v>2032</v>
      </c>
      <c r="B12" s="142">
        <f>SCRS!$DU$24</f>
        <v>7.0000000000000007E-2</v>
      </c>
      <c r="C12" s="142">
        <v>0.06</v>
      </c>
      <c r="D12" s="177">
        <v>0.06</v>
      </c>
      <c r="E12" s="177">
        <v>0.06</v>
      </c>
      <c r="F12" s="38"/>
      <c r="G12" s="38"/>
      <c r="H12" s="38"/>
      <c r="I12" s="38"/>
    </row>
    <row r="13" spans="1:9" x14ac:dyDescent="0.3">
      <c r="A13" s="406">
        <f t="shared" si="0"/>
        <v>2033</v>
      </c>
      <c r="B13" s="142">
        <f>SCRS!$DU$24</f>
        <v>7.0000000000000007E-2</v>
      </c>
      <c r="C13" s="142">
        <v>0.06</v>
      </c>
      <c r="D13" s="177">
        <v>0.06</v>
      </c>
      <c r="E13" s="177">
        <v>0.06</v>
      </c>
      <c r="F13" s="38"/>
      <c r="G13" s="38"/>
      <c r="H13" s="38"/>
      <c r="I13" s="38"/>
    </row>
    <row r="14" spans="1:9" x14ac:dyDescent="0.3">
      <c r="A14" s="406">
        <f t="shared" si="0"/>
        <v>2034</v>
      </c>
      <c r="B14" s="142">
        <f>SCRS!$DU$24</f>
        <v>7.0000000000000007E-2</v>
      </c>
      <c r="C14" s="142">
        <v>0.06</v>
      </c>
      <c r="D14" s="177">
        <v>0.06</v>
      </c>
      <c r="E14" s="177">
        <v>0.06</v>
      </c>
      <c r="F14" s="38"/>
      <c r="G14" s="38"/>
      <c r="H14" s="38"/>
      <c r="I14" s="38"/>
    </row>
    <row r="15" spans="1:9" x14ac:dyDescent="0.3">
      <c r="A15" s="406">
        <f t="shared" si="0"/>
        <v>2035</v>
      </c>
      <c r="B15" s="142">
        <f>SCRS!$DU$24</f>
        <v>7.0000000000000007E-2</v>
      </c>
      <c r="C15" s="142">
        <v>0.06</v>
      </c>
      <c r="D15" s="177">
        <v>0.06</v>
      </c>
      <c r="E15" s="177">
        <v>0.06</v>
      </c>
      <c r="F15" s="38"/>
      <c r="G15" s="38"/>
      <c r="H15" s="38"/>
      <c r="I15" s="38"/>
    </row>
    <row r="16" spans="1:9" x14ac:dyDescent="0.3">
      <c r="A16" s="406">
        <f t="shared" si="0"/>
        <v>2036</v>
      </c>
      <c r="B16" s="142">
        <f>SCRS!$DU$24</f>
        <v>7.0000000000000007E-2</v>
      </c>
      <c r="C16" s="142">
        <v>0.06</v>
      </c>
      <c r="D16" s="177">
        <v>0.06</v>
      </c>
      <c r="E16" s="177">
        <v>0.06</v>
      </c>
      <c r="F16" s="38"/>
      <c r="G16" s="38"/>
      <c r="H16" s="38"/>
      <c r="I16" s="38"/>
    </row>
    <row r="17" spans="1:9" x14ac:dyDescent="0.3">
      <c r="A17" s="406">
        <f t="shared" si="0"/>
        <v>2037</v>
      </c>
      <c r="B17" s="142">
        <f>SCRS!$DU$24</f>
        <v>7.0000000000000007E-2</v>
      </c>
      <c r="C17" s="142">
        <v>0.06</v>
      </c>
      <c r="D17" s="177">
        <v>0.06</v>
      </c>
      <c r="E17" s="407">
        <f>D2</f>
        <v>-0.24</v>
      </c>
      <c r="F17" s="38"/>
      <c r="G17" s="38"/>
      <c r="H17" s="38"/>
      <c r="I17" s="38"/>
    </row>
    <row r="18" spans="1:9" x14ac:dyDescent="0.3">
      <c r="A18" s="406">
        <f t="shared" si="0"/>
        <v>2038</v>
      </c>
      <c r="B18" s="142">
        <f>SCRS!$DU$24</f>
        <v>7.0000000000000007E-2</v>
      </c>
      <c r="C18" s="142">
        <v>0.06</v>
      </c>
      <c r="D18" s="177">
        <v>0.06</v>
      </c>
      <c r="E18" s="407">
        <f>D3</f>
        <v>0.11</v>
      </c>
      <c r="F18" s="38"/>
      <c r="G18" s="38"/>
      <c r="H18" s="38"/>
      <c r="I18" s="38"/>
    </row>
    <row r="19" spans="1:9" x14ac:dyDescent="0.3">
      <c r="A19" s="406">
        <f t="shared" si="0"/>
        <v>2039</v>
      </c>
      <c r="B19" s="142">
        <f>SCRS!$DU$24</f>
        <v>7.0000000000000007E-2</v>
      </c>
      <c r="C19" s="142">
        <v>0.06</v>
      </c>
      <c r="D19" s="177">
        <v>0.06</v>
      </c>
      <c r="E19" s="407">
        <f>D4</f>
        <v>0.11</v>
      </c>
      <c r="F19" s="38"/>
      <c r="G19" s="38"/>
      <c r="H19" s="38"/>
      <c r="I19" s="38"/>
    </row>
    <row r="20" spans="1:9" x14ac:dyDescent="0.3">
      <c r="A20" s="406">
        <f t="shared" si="0"/>
        <v>2040</v>
      </c>
      <c r="B20" s="142">
        <f>SCRS!$DU$24</f>
        <v>7.0000000000000007E-2</v>
      </c>
      <c r="C20" s="142">
        <v>0.06</v>
      </c>
      <c r="D20" s="177">
        <v>0.06</v>
      </c>
      <c r="E20" s="407">
        <f>D5</f>
        <v>0.11</v>
      </c>
      <c r="F20" s="38"/>
      <c r="G20" s="38"/>
      <c r="H20" s="38"/>
      <c r="I20" s="38"/>
    </row>
    <row r="21" spans="1:9" x14ac:dyDescent="0.3">
      <c r="A21" s="406">
        <f t="shared" si="0"/>
        <v>2041</v>
      </c>
      <c r="B21" s="142">
        <f>SCRS!$DU$24</f>
        <v>7.0000000000000007E-2</v>
      </c>
      <c r="C21" s="142">
        <v>0.06</v>
      </c>
      <c r="D21" s="177">
        <v>0.06</v>
      </c>
      <c r="E21" s="177">
        <v>0.06</v>
      </c>
      <c r="F21" s="38"/>
      <c r="G21" s="38"/>
      <c r="H21" s="38"/>
      <c r="I21" s="38"/>
    </row>
    <row r="22" spans="1:9" x14ac:dyDescent="0.3">
      <c r="A22" s="406">
        <f t="shared" si="0"/>
        <v>2042</v>
      </c>
      <c r="B22" s="142">
        <f>SCRS!$DU$24</f>
        <v>7.0000000000000007E-2</v>
      </c>
      <c r="C22" s="142">
        <v>0.06</v>
      </c>
      <c r="D22" s="177">
        <v>0.06</v>
      </c>
      <c r="E22" s="177">
        <v>0.06</v>
      </c>
      <c r="F22" s="38"/>
      <c r="G22" s="38"/>
      <c r="H22" s="38"/>
      <c r="I22" s="38"/>
    </row>
    <row r="23" spans="1:9" x14ac:dyDescent="0.3">
      <c r="A23" s="406">
        <f t="shared" si="0"/>
        <v>2043</v>
      </c>
      <c r="B23" s="142">
        <f>SCRS!$DU$24</f>
        <v>7.0000000000000007E-2</v>
      </c>
      <c r="C23" s="142">
        <v>0.06</v>
      </c>
      <c r="D23" s="177">
        <v>0.06</v>
      </c>
      <c r="E23" s="177">
        <v>0.06</v>
      </c>
      <c r="F23" s="38"/>
      <c r="G23" s="38"/>
      <c r="H23" s="38"/>
      <c r="I23" s="38"/>
    </row>
    <row r="24" spans="1:9" x14ac:dyDescent="0.3">
      <c r="A24" s="406">
        <f t="shared" si="0"/>
        <v>2044</v>
      </c>
      <c r="B24" s="142">
        <f>SCRS!$DU$24</f>
        <v>7.0000000000000007E-2</v>
      </c>
      <c r="C24" s="142">
        <v>0.06</v>
      </c>
      <c r="D24" s="177">
        <v>0.06</v>
      </c>
      <c r="E24" s="177">
        <v>0.06</v>
      </c>
      <c r="F24" s="38"/>
      <c r="G24" s="38"/>
      <c r="H24" s="38"/>
      <c r="I24" s="38"/>
    </row>
    <row r="25" spans="1:9" x14ac:dyDescent="0.3">
      <c r="A25" s="406">
        <f t="shared" si="0"/>
        <v>2045</v>
      </c>
      <c r="B25" s="142">
        <f>SCRS!$DU$24</f>
        <v>7.0000000000000007E-2</v>
      </c>
      <c r="C25" s="142">
        <v>0.06</v>
      </c>
      <c r="D25" s="177">
        <v>0.06</v>
      </c>
      <c r="E25" s="177">
        <v>0.06</v>
      </c>
      <c r="F25" s="38"/>
      <c r="G25" s="38"/>
      <c r="H25" s="38"/>
      <c r="I25" s="38"/>
    </row>
    <row r="26" spans="1:9" x14ac:dyDescent="0.3">
      <c r="A26" s="406">
        <f t="shared" si="0"/>
        <v>2046</v>
      </c>
      <c r="B26" s="142">
        <f>SCRS!$DU$24</f>
        <v>7.0000000000000007E-2</v>
      </c>
      <c r="C26" s="142">
        <v>0.06</v>
      </c>
      <c r="D26" s="177">
        <v>0.06</v>
      </c>
      <c r="E26" s="177">
        <v>0.06</v>
      </c>
      <c r="F26" s="38"/>
      <c r="G26" s="38"/>
      <c r="H26" s="38"/>
      <c r="I26" s="38"/>
    </row>
    <row r="27" spans="1:9" x14ac:dyDescent="0.3">
      <c r="A27" s="406">
        <f t="shared" si="0"/>
        <v>2047</v>
      </c>
      <c r="B27" s="142">
        <f>SCRS!$DU$24</f>
        <v>7.0000000000000007E-2</v>
      </c>
      <c r="C27" s="142">
        <v>0.06</v>
      </c>
      <c r="D27" s="177">
        <v>0.06</v>
      </c>
      <c r="E27" s="177">
        <v>0.06</v>
      </c>
      <c r="F27" s="38"/>
      <c r="G27" s="38"/>
      <c r="H27" s="38"/>
      <c r="I27" s="38"/>
    </row>
    <row r="28" spans="1:9" x14ac:dyDescent="0.3">
      <c r="A28" s="406">
        <f t="shared" si="0"/>
        <v>2048</v>
      </c>
      <c r="B28" s="142">
        <f>SCRS!$DU$24</f>
        <v>7.0000000000000007E-2</v>
      </c>
      <c r="C28" s="142">
        <v>0.06</v>
      </c>
      <c r="D28" s="177">
        <v>0.06</v>
      </c>
      <c r="E28" s="177">
        <v>0.06</v>
      </c>
      <c r="F28" s="38"/>
      <c r="G28" s="38"/>
      <c r="H28" s="38"/>
      <c r="I28" s="38"/>
    </row>
    <row r="29" spans="1:9" x14ac:dyDescent="0.3">
      <c r="A29" s="406">
        <f t="shared" si="0"/>
        <v>2049</v>
      </c>
      <c r="B29" s="142">
        <f>SCRS!$DU$24</f>
        <v>7.0000000000000007E-2</v>
      </c>
      <c r="C29" s="142">
        <v>0.06</v>
      </c>
      <c r="D29" s="177">
        <v>0.06</v>
      </c>
      <c r="E29" s="177">
        <v>0.06</v>
      </c>
      <c r="F29" s="38"/>
      <c r="G29" s="38"/>
      <c r="H29" s="38"/>
      <c r="I29" s="38"/>
    </row>
    <row r="30" spans="1:9" x14ac:dyDescent="0.3">
      <c r="A30" s="406">
        <f t="shared" si="0"/>
        <v>2050</v>
      </c>
      <c r="B30" s="142">
        <f>SCRS!$DU$24</f>
        <v>7.0000000000000007E-2</v>
      </c>
      <c r="C30" s="142">
        <v>0.06</v>
      </c>
      <c r="D30" s="177">
        <v>0.06</v>
      </c>
      <c r="E30" s="177">
        <v>0.06</v>
      </c>
      <c r="F30" s="38"/>
      <c r="G30" s="38"/>
      <c r="H30" s="38"/>
      <c r="I30" s="38"/>
    </row>
    <row r="31" spans="1:9" x14ac:dyDescent="0.3">
      <c r="A31" s="406">
        <f t="shared" si="0"/>
        <v>2051</v>
      </c>
      <c r="B31" s="142">
        <f>SCRS!$DU$24</f>
        <v>7.0000000000000007E-2</v>
      </c>
      <c r="C31" s="142">
        <v>0.06</v>
      </c>
      <c r="D31" s="177">
        <v>0.06</v>
      </c>
      <c r="E31" s="177">
        <v>0.06</v>
      </c>
      <c r="F31" s="38"/>
      <c r="G31" s="38"/>
      <c r="H31" s="38"/>
      <c r="I31" s="38"/>
    </row>
    <row r="32" spans="1:9" x14ac:dyDescent="0.3">
      <c r="A32" s="406">
        <f t="shared" si="0"/>
        <v>2052</v>
      </c>
      <c r="B32" s="142">
        <f>SCRS!$DU$24</f>
        <v>7.0000000000000007E-2</v>
      </c>
      <c r="C32" s="142">
        <v>0.06</v>
      </c>
      <c r="D32" s="177">
        <v>0.06</v>
      </c>
      <c r="E32" s="177">
        <v>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17"/>
  <sheetViews>
    <sheetView workbookViewId="0"/>
  </sheetViews>
  <sheetFormatPr defaultColWidth="8.77734375" defaultRowHeight="14.4" x14ac:dyDescent="0.3"/>
  <cols>
    <col min="2" max="4" width="13.33203125" bestFit="1" customWidth="1"/>
  </cols>
  <sheetData>
    <row r="3" spans="1:4" x14ac:dyDescent="0.3">
      <c r="B3" s="142">
        <v>6.5000000000000002E-2</v>
      </c>
      <c r="C3" s="142">
        <v>7.4999999999999997E-2</v>
      </c>
      <c r="D3" s="142">
        <v>8.5000000000000006E-2</v>
      </c>
    </row>
    <row r="4" spans="1:4" x14ac:dyDescent="0.3">
      <c r="A4" t="s">
        <v>116</v>
      </c>
      <c r="B4" s="232">
        <v>29014371</v>
      </c>
      <c r="C4" s="232">
        <v>22511608</v>
      </c>
      <c r="D4" s="232">
        <v>18565959</v>
      </c>
    </row>
    <row r="5" spans="1:4" x14ac:dyDescent="0.3">
      <c r="A5" t="s">
        <v>2</v>
      </c>
      <c r="B5" s="166">
        <f>C5</f>
        <v>25732829</v>
      </c>
      <c r="C5" s="232">
        <v>25732829</v>
      </c>
      <c r="D5" s="166">
        <f>C5</f>
        <v>25732829</v>
      </c>
    </row>
    <row r="6" spans="1:4" x14ac:dyDescent="0.3">
      <c r="A6" t="s">
        <v>117</v>
      </c>
      <c r="B6" s="166">
        <f>B4+B5</f>
        <v>54747200</v>
      </c>
      <c r="C6" s="166">
        <f>C4+C5</f>
        <v>48244437</v>
      </c>
      <c r="D6" s="166">
        <f>D4+D5</f>
        <v>44298788</v>
      </c>
    </row>
    <row r="7" spans="1:4" x14ac:dyDescent="0.3">
      <c r="B7" s="166"/>
      <c r="C7" s="166"/>
      <c r="D7" s="166"/>
    </row>
    <row r="8" spans="1:4" x14ac:dyDescent="0.3">
      <c r="B8" s="177">
        <f>B6/C6-1</f>
        <v>0.1347878305637602</v>
      </c>
      <c r="C8">
        <f>((B6/D6)^0.5-1)*100</f>
        <v>11.169341739983206</v>
      </c>
      <c r="D8" s="177">
        <f>D6/C6-1</f>
        <v>-8.1784538184164091E-2</v>
      </c>
    </row>
    <row r="9" spans="1:4" x14ac:dyDescent="0.3">
      <c r="C9" s="140">
        <f>((B6*D6)/(C6^2)-1)*100</f>
        <v>4.1979731904093542</v>
      </c>
    </row>
    <row r="11" spans="1:4" x14ac:dyDescent="0.3">
      <c r="B11" s="142">
        <v>6.25E-2</v>
      </c>
      <c r="C11" s="142">
        <v>7.2499999999999995E-2</v>
      </c>
      <c r="D11" s="142">
        <v>8.2500000000000004E-2</v>
      </c>
    </row>
    <row r="12" spans="1:4" x14ac:dyDescent="0.3">
      <c r="A12" s="38" t="s">
        <v>116</v>
      </c>
      <c r="B12" s="233">
        <f>B4/1000</f>
        <v>29014.370999999999</v>
      </c>
      <c r="C12" s="233">
        <f t="shared" ref="C12:D12" si="0">C4/1000</f>
        <v>22511.608</v>
      </c>
      <c r="D12" s="233">
        <f t="shared" si="0"/>
        <v>18565.958999999999</v>
      </c>
    </row>
    <row r="13" spans="1:4" x14ac:dyDescent="0.3">
      <c r="A13" s="38" t="s">
        <v>2</v>
      </c>
      <c r="B13" s="233">
        <f t="shared" ref="B13:D13" si="1">B5/1000</f>
        <v>25732.829000000002</v>
      </c>
      <c r="C13" s="233">
        <f t="shared" si="1"/>
        <v>25732.829000000002</v>
      </c>
      <c r="D13" s="233">
        <f t="shared" si="1"/>
        <v>25732.829000000002</v>
      </c>
    </row>
    <row r="14" spans="1:4" x14ac:dyDescent="0.3">
      <c r="A14" s="38" t="s">
        <v>117</v>
      </c>
      <c r="B14" s="233">
        <f t="shared" ref="B14:D14" si="2">B6/1000</f>
        <v>54747.199999999997</v>
      </c>
      <c r="C14" s="233">
        <f t="shared" si="2"/>
        <v>48244.436999999998</v>
      </c>
      <c r="D14" s="233">
        <f t="shared" si="2"/>
        <v>44298.788</v>
      </c>
    </row>
    <row r="15" spans="1:4" x14ac:dyDescent="0.3">
      <c r="B15">
        <f>B14/C14</f>
        <v>1.1347878305637602</v>
      </c>
      <c r="C15" s="38">
        <f>C14/D14</f>
        <v>1.0890690056802457</v>
      </c>
    </row>
    <row r="16" spans="1:4" x14ac:dyDescent="0.3">
      <c r="B16" t="s">
        <v>148</v>
      </c>
      <c r="C16">
        <f>((B14/D14)^0.5-1)*100</f>
        <v>11.169341739983206</v>
      </c>
    </row>
    <row r="17" spans="2:4" x14ac:dyDescent="0.3">
      <c r="B17" t="s">
        <v>149</v>
      </c>
      <c r="C17" s="140">
        <f>((B14*D14)/(C14^2)-1)*100</f>
        <v>4.1979731904093542</v>
      </c>
      <c r="D17" s="186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61"/>
  <sheetViews>
    <sheetView workbookViewId="0"/>
  </sheetViews>
  <sheetFormatPr defaultColWidth="8.77734375" defaultRowHeight="14.4" x14ac:dyDescent="0.3"/>
  <cols>
    <col min="1" max="1" width="4" style="38" bestFit="1" customWidth="1"/>
    <col min="2" max="2" width="7" style="139" bestFit="1" customWidth="1"/>
    <col min="7" max="8" width="9.109375" style="38"/>
    <col min="10" max="14" width="9.109375" style="38"/>
    <col min="18" max="18" width="9.109375" style="38"/>
    <col min="30" max="30" width="15.33203125" bestFit="1" customWidth="1"/>
    <col min="31" max="32" width="14.33203125" bestFit="1" customWidth="1"/>
  </cols>
  <sheetData>
    <row r="1" spans="1:33" x14ac:dyDescent="0.3">
      <c r="B1" s="139">
        <v>0</v>
      </c>
      <c r="F1" s="140">
        <f>SUM(F2:F361)</f>
        <v>210.736424598752</v>
      </c>
      <c r="G1" s="140">
        <f>F1/12</f>
        <v>17.561368716562665</v>
      </c>
      <c r="H1" s="143">
        <f>G1/M1</f>
        <v>0.99720695230263623</v>
      </c>
      <c r="I1" s="141"/>
      <c r="M1" s="140">
        <f>SUM(M2:M361)</f>
        <v>17.610555838998074</v>
      </c>
      <c r="R1" s="140">
        <f>SUM(R2:R361)</f>
        <v>18.259012917744329</v>
      </c>
    </row>
    <row r="2" spans="1:33" x14ac:dyDescent="0.3">
      <c r="A2" s="38">
        <v>1</v>
      </c>
      <c r="B2" s="139">
        <f t="shared" ref="B2:B7" si="0">B1+1/12</f>
        <v>8.3333333333333329E-2</v>
      </c>
      <c r="D2">
        <v>1</v>
      </c>
      <c r="E2" s="140">
        <f>1/1.075^B2</f>
        <v>0.99399140246127937</v>
      </c>
      <c r="F2" s="140">
        <f>D2*E2</f>
        <v>0.99399140246127937</v>
      </c>
      <c r="G2" s="140">
        <f>-PV(((1.075/1.035)-1),30,1,0,1)/(1.075^0.5)</f>
        <v>17.610555838998085</v>
      </c>
      <c r="H2" s="140"/>
      <c r="J2" s="38">
        <v>1</v>
      </c>
      <c r="K2" s="38">
        <v>1</v>
      </c>
      <c r="L2" s="38">
        <f>1/1.075^(J2-0.5)</f>
        <v>0.96448564434082429</v>
      </c>
      <c r="M2" s="140">
        <f>K2*L2</f>
        <v>0.96448564434082429</v>
      </c>
      <c r="O2">
        <v>1</v>
      </c>
      <c r="P2">
        <v>1</v>
      </c>
      <c r="Q2">
        <f>1/1.075^(O2-1)</f>
        <v>1</v>
      </c>
      <c r="R2" s="140">
        <f>P2*Q2</f>
        <v>1</v>
      </c>
      <c r="T2" s="38">
        <v>1</v>
      </c>
      <c r="U2">
        <v>18.259012917744343</v>
      </c>
      <c r="V2" s="38">
        <v>1</v>
      </c>
      <c r="W2">
        <f>U2-V2</f>
        <v>17.259012917744343</v>
      </c>
      <c r="X2">
        <f>W2*1.075</f>
        <v>18.553438886575169</v>
      </c>
      <c r="AD2" s="142">
        <v>6.5000000000000002E-2</v>
      </c>
      <c r="AE2" s="142">
        <v>7.4999999999999997E-2</v>
      </c>
      <c r="AF2" s="142">
        <v>8.5000000000000006E-2</v>
      </c>
    </row>
    <row r="3" spans="1:33" x14ac:dyDescent="0.3">
      <c r="A3" s="38">
        <v>2</v>
      </c>
      <c r="B3" s="139">
        <f t="shared" si="0"/>
        <v>0.16666666666666666</v>
      </c>
      <c r="D3">
        <f>D2</f>
        <v>1</v>
      </c>
      <c r="E3" s="140">
        <f t="shared" ref="E3:E66" si="1">1/1.075^B3</f>
        <v>0.98801890816694127</v>
      </c>
      <c r="F3" s="140">
        <f t="shared" ref="F3:F66" si="2">D3*E3</f>
        <v>0.98801890816694127</v>
      </c>
      <c r="G3" s="140"/>
      <c r="H3" s="140"/>
      <c r="J3" s="38">
        <f>J2+1</f>
        <v>2</v>
      </c>
      <c r="K3" s="38">
        <f>K2*1.035</f>
        <v>1.0349999999999999</v>
      </c>
      <c r="L3" s="38">
        <f t="shared" ref="L3:L31" si="3">1/1.075^(J3-0.5)</f>
        <v>0.8971959482240226</v>
      </c>
      <c r="M3" s="140">
        <f t="shared" ref="M3:M31" si="4">K3*L3</f>
        <v>0.92859780641186329</v>
      </c>
      <c r="O3">
        <f>O2+1</f>
        <v>2</v>
      </c>
      <c r="P3">
        <f>P2*1.035</f>
        <v>1.0349999999999999</v>
      </c>
      <c r="Q3" s="38">
        <f t="shared" ref="Q3:Q31" si="5">1/1.075^(O3-1)</f>
        <v>0.93023255813953487</v>
      </c>
      <c r="R3" s="140">
        <f t="shared" ref="R3:R31" si="6">P3*Q3</f>
        <v>0.96279069767441849</v>
      </c>
      <c r="T3" s="38">
        <f>T2+1</f>
        <v>2</v>
      </c>
      <c r="U3">
        <f>X2</f>
        <v>18.553438886575169</v>
      </c>
      <c r="V3" s="38">
        <f>V2*1.035</f>
        <v>1.0349999999999999</v>
      </c>
      <c r="W3" s="38">
        <f t="shared" ref="W3:W31" si="7">U3-V3</f>
        <v>17.518438886575169</v>
      </c>
      <c r="X3" s="38">
        <f t="shared" ref="X3:X31" si="8">W3*1.075</f>
        <v>18.832321803068304</v>
      </c>
      <c r="AD3" s="166">
        <v>23910054</v>
      </c>
      <c r="AE3" s="166">
        <v>18965482</v>
      </c>
      <c r="AF3" s="166">
        <v>14821303</v>
      </c>
      <c r="AG3" s="166"/>
    </row>
    <row r="4" spans="1:33" x14ac:dyDescent="0.3">
      <c r="A4" s="38">
        <v>3</v>
      </c>
      <c r="B4" s="139">
        <f t="shared" si="0"/>
        <v>0.25</v>
      </c>
      <c r="D4" s="38">
        <f>D3</f>
        <v>1</v>
      </c>
      <c r="E4" s="140">
        <f t="shared" si="1"/>
        <v>0.98208230018711995</v>
      </c>
      <c r="F4" s="140">
        <f t="shared" si="2"/>
        <v>0.98208230018711995</v>
      </c>
      <c r="G4" s="140"/>
      <c r="H4" s="142">
        <v>7.4999999999999997E-2</v>
      </c>
      <c r="I4" s="142">
        <v>3.5000000000000003E-2</v>
      </c>
      <c r="J4" s="38">
        <f t="shared" ref="J4:J31" si="9">J3+1</f>
        <v>3</v>
      </c>
      <c r="K4" s="38">
        <f t="shared" ref="K4:K31" si="10">K3*1.035</f>
        <v>1.0712249999999999</v>
      </c>
      <c r="L4" s="38">
        <f t="shared" si="3"/>
        <v>0.8346008820688583</v>
      </c>
      <c r="M4" s="140">
        <f t="shared" si="4"/>
        <v>0.89404532989421259</v>
      </c>
      <c r="O4" s="38">
        <f t="shared" ref="O4:O31" si="11">O3+1</f>
        <v>3</v>
      </c>
      <c r="P4" s="38">
        <f t="shared" ref="P4:P31" si="12">P3*1.035</f>
        <v>1.0712249999999999</v>
      </c>
      <c r="Q4" s="38">
        <f t="shared" si="5"/>
        <v>0.86533261222282321</v>
      </c>
      <c r="R4" s="140">
        <f t="shared" si="6"/>
        <v>0.92696592752839369</v>
      </c>
      <c r="T4" s="38">
        <f t="shared" ref="T4:T31" si="13">T3+1</f>
        <v>3</v>
      </c>
      <c r="U4" s="38">
        <f t="shared" ref="U4:U31" si="14">X3</f>
        <v>18.832321803068304</v>
      </c>
      <c r="V4" s="38">
        <f t="shared" ref="V4:V31" si="15">V3*1.035</f>
        <v>1.0712249999999999</v>
      </c>
      <c r="W4" s="38">
        <f t="shared" si="7"/>
        <v>17.761096803068305</v>
      </c>
      <c r="X4" s="38">
        <f t="shared" si="8"/>
        <v>19.093179063298429</v>
      </c>
      <c r="AD4" s="166">
        <f>SCRS!AK8*1000</f>
        <v>25131828</v>
      </c>
      <c r="AE4" s="166">
        <f>AD4</f>
        <v>25131828</v>
      </c>
      <c r="AF4" s="166">
        <f>AE4</f>
        <v>25131828</v>
      </c>
      <c r="AG4" s="166"/>
    </row>
    <row r="5" spans="1:33" x14ac:dyDescent="0.3">
      <c r="A5" s="38">
        <v>4</v>
      </c>
      <c r="B5" s="139">
        <f t="shared" si="0"/>
        <v>0.33333333333333331</v>
      </c>
      <c r="D5" s="38">
        <f t="shared" ref="D5:D13" si="16">D4</f>
        <v>1</v>
      </c>
      <c r="E5" s="140">
        <f t="shared" si="1"/>
        <v>0.97618136289539448</v>
      </c>
      <c r="F5" s="140">
        <f t="shared" si="2"/>
        <v>0.97618136289539448</v>
      </c>
      <c r="G5" s="140"/>
      <c r="H5" s="140"/>
      <c r="J5" s="38">
        <f t="shared" si="9"/>
        <v>4</v>
      </c>
      <c r="K5" s="38">
        <f t="shared" si="10"/>
        <v>1.1087178749999997</v>
      </c>
      <c r="L5" s="38">
        <f t="shared" si="3"/>
        <v>0.77637291355242632</v>
      </c>
      <c r="M5" s="140">
        <f t="shared" si="4"/>
        <v>0.86077852692140466</v>
      </c>
      <c r="O5" s="38">
        <f t="shared" si="11"/>
        <v>4</v>
      </c>
      <c r="P5" s="38">
        <f t="shared" si="12"/>
        <v>1.1087178749999997</v>
      </c>
      <c r="Q5" s="38">
        <f t="shared" si="5"/>
        <v>0.80496056950960304</v>
      </c>
      <c r="R5" s="140">
        <f t="shared" si="6"/>
        <v>0.89247417208547664</v>
      </c>
      <c r="T5" s="38">
        <f t="shared" si="13"/>
        <v>4</v>
      </c>
      <c r="U5" s="38">
        <f t="shared" si="14"/>
        <v>19.093179063298429</v>
      </c>
      <c r="V5" s="38">
        <f t="shared" si="15"/>
        <v>1.1087178749999997</v>
      </c>
      <c r="W5" s="38">
        <f t="shared" si="7"/>
        <v>17.984461188298429</v>
      </c>
      <c r="X5" s="38">
        <f t="shared" si="8"/>
        <v>19.333295777420812</v>
      </c>
      <c r="AD5" s="166">
        <f>AD3+AD4</f>
        <v>49041882</v>
      </c>
      <c r="AE5" s="166">
        <f t="shared" ref="AE5:AF5" si="17">AE3+AE4</f>
        <v>44097310</v>
      </c>
      <c r="AF5" s="166">
        <f t="shared" si="17"/>
        <v>39953131</v>
      </c>
      <c r="AG5" s="166"/>
    </row>
    <row r="6" spans="1:33" x14ac:dyDescent="0.3">
      <c r="A6" s="38">
        <v>5</v>
      </c>
      <c r="B6" s="139">
        <f t="shared" si="0"/>
        <v>0.41666666666666663</v>
      </c>
      <c r="D6" s="38">
        <f t="shared" si="16"/>
        <v>1</v>
      </c>
      <c r="E6" s="140">
        <f t="shared" si="1"/>
        <v>0.97031588196095619</v>
      </c>
      <c r="F6" s="140">
        <f t="shared" si="2"/>
        <v>0.97031588196095619</v>
      </c>
      <c r="G6" s="140"/>
      <c r="H6" s="140"/>
      <c r="J6" s="38">
        <f t="shared" si="9"/>
        <v>5</v>
      </c>
      <c r="K6" s="38">
        <f t="shared" si="10"/>
        <v>1.1475230006249997</v>
      </c>
      <c r="L6" s="38">
        <f t="shared" si="3"/>
        <v>0.72220736144411757</v>
      </c>
      <c r="M6" s="140">
        <f t="shared" si="4"/>
        <v>0.82874955847781751</v>
      </c>
      <c r="O6" s="38">
        <f t="shared" si="11"/>
        <v>5</v>
      </c>
      <c r="P6" s="38">
        <f t="shared" si="12"/>
        <v>1.1475230006249997</v>
      </c>
      <c r="Q6" s="38">
        <f t="shared" si="5"/>
        <v>0.7488005297763749</v>
      </c>
      <c r="R6" s="140">
        <f t="shared" si="6"/>
        <v>0.8592658307985751</v>
      </c>
      <c r="T6" s="38">
        <f t="shared" si="13"/>
        <v>5</v>
      </c>
      <c r="U6" s="38">
        <f t="shared" si="14"/>
        <v>19.333295777420812</v>
      </c>
      <c r="V6" s="38">
        <f t="shared" si="15"/>
        <v>1.1475230006249997</v>
      </c>
      <c r="W6" s="38">
        <f t="shared" si="7"/>
        <v>18.185772776795812</v>
      </c>
      <c r="X6" s="38">
        <f t="shared" si="8"/>
        <v>19.549705735055497</v>
      </c>
      <c r="AD6" s="166"/>
      <c r="AE6" s="166"/>
      <c r="AF6" s="166"/>
      <c r="AG6" s="166"/>
    </row>
    <row r="7" spans="1:33" x14ac:dyDescent="0.3">
      <c r="A7" s="38">
        <v>6</v>
      </c>
      <c r="B7" s="139">
        <f t="shared" si="0"/>
        <v>0.49999999999999994</v>
      </c>
      <c r="D7" s="38">
        <f t="shared" si="16"/>
        <v>1</v>
      </c>
      <c r="E7" s="140">
        <f t="shared" si="1"/>
        <v>0.96448564434082429</v>
      </c>
      <c r="F7" s="140">
        <f t="shared" si="2"/>
        <v>0.96448564434082429</v>
      </c>
      <c r="G7" s="140"/>
      <c r="H7" s="140"/>
      <c r="J7" s="38">
        <f t="shared" si="9"/>
        <v>6</v>
      </c>
      <c r="K7" s="38">
        <f t="shared" si="10"/>
        <v>1.1876863056468745</v>
      </c>
      <c r="L7" s="38">
        <f t="shared" si="3"/>
        <v>0.67182080134336519</v>
      </c>
      <c r="M7" s="140">
        <f t="shared" si="4"/>
        <v>0.79791236560422418</v>
      </c>
      <c r="O7" s="38">
        <f t="shared" si="11"/>
        <v>6</v>
      </c>
      <c r="P7" s="38">
        <f t="shared" si="12"/>
        <v>1.1876863056468745</v>
      </c>
      <c r="Q7" s="38">
        <f t="shared" si="5"/>
        <v>0.69655863235011617</v>
      </c>
      <c r="R7" s="140">
        <f t="shared" si="6"/>
        <v>0.82729314872234894</v>
      </c>
      <c r="T7" s="38">
        <f t="shared" si="13"/>
        <v>6</v>
      </c>
      <c r="U7" s="38">
        <f t="shared" si="14"/>
        <v>19.549705735055497</v>
      </c>
      <c r="V7" s="38">
        <f t="shared" si="15"/>
        <v>1.1876863056468745</v>
      </c>
      <c r="W7" s="38">
        <f t="shared" si="7"/>
        <v>18.362019429408623</v>
      </c>
      <c r="X7" s="38">
        <f t="shared" si="8"/>
        <v>19.739170886614268</v>
      </c>
      <c r="AD7">
        <f>AD5/AE5-1</f>
        <v>0.11212865365256963</v>
      </c>
      <c r="AF7">
        <f>AF5/AE5-1</f>
        <v>-9.3978045372835717E-2</v>
      </c>
    </row>
    <row r="8" spans="1:33" x14ac:dyDescent="0.3">
      <c r="A8" s="38">
        <v>7</v>
      </c>
      <c r="B8" s="139">
        <f t="shared" ref="B8:B71" si="18">B7+1/12</f>
        <v>0.58333333333333326</v>
      </c>
      <c r="D8" s="38">
        <f t="shared" si="16"/>
        <v>1</v>
      </c>
      <c r="E8" s="140">
        <f t="shared" si="1"/>
        <v>0.95869043827210654</v>
      </c>
      <c r="F8" s="140">
        <f t="shared" si="2"/>
        <v>0.95869043827210654</v>
      </c>
      <c r="G8" s="140"/>
      <c r="H8" s="140"/>
      <c r="J8" s="38">
        <f t="shared" si="9"/>
        <v>7</v>
      </c>
      <c r="K8" s="38">
        <f t="shared" si="10"/>
        <v>1.229255326344515</v>
      </c>
      <c r="L8" s="38">
        <f t="shared" si="3"/>
        <v>0.6249495826449909</v>
      </c>
      <c r="M8" s="140">
        <f t="shared" si="4"/>
        <v>0.76822260316313673</v>
      </c>
      <c r="O8" s="38">
        <f t="shared" si="11"/>
        <v>7</v>
      </c>
      <c r="P8" s="38">
        <f t="shared" si="12"/>
        <v>1.229255326344515</v>
      </c>
      <c r="Q8" s="38">
        <f t="shared" si="5"/>
        <v>0.64796151846522443</v>
      </c>
      <c r="R8" s="140">
        <f t="shared" si="6"/>
        <v>0.7965101478396569</v>
      </c>
      <c r="T8" s="38">
        <f t="shared" si="13"/>
        <v>7</v>
      </c>
      <c r="U8" s="38">
        <f t="shared" si="14"/>
        <v>19.739170886614268</v>
      </c>
      <c r="V8" s="38">
        <f t="shared" si="15"/>
        <v>1.229255326344515</v>
      </c>
      <c r="W8" s="38">
        <f t="shared" si="7"/>
        <v>18.509915560269754</v>
      </c>
      <c r="X8" s="38">
        <f t="shared" si="8"/>
        <v>19.898159227289984</v>
      </c>
    </row>
    <row r="9" spans="1:33" x14ac:dyDescent="0.3">
      <c r="A9" s="38">
        <v>8</v>
      </c>
      <c r="B9" s="139">
        <f t="shared" si="18"/>
        <v>0.66666666666666663</v>
      </c>
      <c r="D9" s="38">
        <f t="shared" si="16"/>
        <v>1</v>
      </c>
      <c r="E9" s="140">
        <f t="shared" si="1"/>
        <v>0.9529300532643098</v>
      </c>
      <c r="F9" s="140">
        <f t="shared" si="2"/>
        <v>0.9529300532643098</v>
      </c>
      <c r="G9" s="140"/>
      <c r="H9" s="140"/>
      <c r="J9" s="38">
        <f t="shared" si="9"/>
        <v>8</v>
      </c>
      <c r="K9" s="38">
        <f t="shared" si="10"/>
        <v>1.2722792627665729</v>
      </c>
      <c r="L9" s="38">
        <f t="shared" si="3"/>
        <v>0.5813484489720846</v>
      </c>
      <c r="M9" s="140">
        <f t="shared" si="4"/>
        <v>0.7396375760686944</v>
      </c>
      <c r="O9" s="38">
        <f t="shared" si="11"/>
        <v>8</v>
      </c>
      <c r="P9" s="38">
        <f t="shared" si="12"/>
        <v>1.2722792627665729</v>
      </c>
      <c r="Q9" s="38">
        <f t="shared" si="5"/>
        <v>0.60275490089788319</v>
      </c>
      <c r="R9" s="140">
        <f t="shared" si="6"/>
        <v>0.76687256094329748</v>
      </c>
      <c r="T9" s="38">
        <f t="shared" si="13"/>
        <v>8</v>
      </c>
      <c r="U9" s="38">
        <f t="shared" si="14"/>
        <v>19.898159227289984</v>
      </c>
      <c r="V9" s="38">
        <f t="shared" si="15"/>
        <v>1.2722792627665729</v>
      </c>
      <c r="W9" s="38">
        <f t="shared" si="7"/>
        <v>18.62587996452341</v>
      </c>
      <c r="X9" s="38">
        <f t="shared" si="8"/>
        <v>20.022820961862664</v>
      </c>
    </row>
    <row r="10" spans="1:33" x14ac:dyDescent="0.3">
      <c r="A10" s="38">
        <v>9</v>
      </c>
      <c r="B10" s="139">
        <f t="shared" si="18"/>
        <v>0.75</v>
      </c>
      <c r="D10" s="38">
        <f t="shared" si="16"/>
        <v>1</v>
      </c>
      <c r="E10" s="140">
        <f t="shared" si="1"/>
        <v>0.94720428009169311</v>
      </c>
      <c r="F10" s="140">
        <f t="shared" si="2"/>
        <v>0.94720428009169311</v>
      </c>
      <c r="G10" s="140"/>
      <c r="H10" s="140"/>
      <c r="J10" s="38">
        <f t="shared" si="9"/>
        <v>9</v>
      </c>
      <c r="K10" s="38">
        <f t="shared" si="10"/>
        <v>1.3168090369634029</v>
      </c>
      <c r="L10" s="38">
        <f t="shared" si="3"/>
        <v>0.54078925485775309</v>
      </c>
      <c r="M10" s="140">
        <f t="shared" si="4"/>
        <v>0.71211617788939408</v>
      </c>
      <c r="O10" s="38">
        <f t="shared" si="11"/>
        <v>9</v>
      </c>
      <c r="P10" s="38">
        <f t="shared" si="12"/>
        <v>1.3168090369634029</v>
      </c>
      <c r="Q10" s="38">
        <f t="shared" si="5"/>
        <v>0.56070223339337966</v>
      </c>
      <c r="R10" s="140">
        <f t="shared" si="6"/>
        <v>0.73833776797796546</v>
      </c>
      <c r="T10" s="38">
        <f t="shared" si="13"/>
        <v>9</v>
      </c>
      <c r="U10" s="38">
        <f t="shared" si="14"/>
        <v>20.022820961862664</v>
      </c>
      <c r="V10" s="38">
        <f t="shared" si="15"/>
        <v>1.3168090369634029</v>
      </c>
      <c r="W10" s="38">
        <f t="shared" si="7"/>
        <v>18.706011924899261</v>
      </c>
      <c r="X10" s="38">
        <f t="shared" si="8"/>
        <v>20.108962819266704</v>
      </c>
    </row>
    <row r="11" spans="1:33" x14ac:dyDescent="0.3">
      <c r="A11" s="38">
        <v>10</v>
      </c>
      <c r="B11" s="139">
        <f t="shared" si="18"/>
        <v>0.83333333333333337</v>
      </c>
      <c r="D11" s="38">
        <f t="shared" si="16"/>
        <v>1</v>
      </c>
      <c r="E11" s="140">
        <f t="shared" si="1"/>
        <v>0.94151291078566868</v>
      </c>
      <c r="F11" s="140">
        <f t="shared" si="2"/>
        <v>0.94151291078566868</v>
      </c>
      <c r="G11" s="140"/>
      <c r="H11" s="140"/>
      <c r="J11" s="38">
        <f t="shared" si="9"/>
        <v>10</v>
      </c>
      <c r="K11" s="38">
        <f t="shared" si="10"/>
        <v>1.3628973532571218</v>
      </c>
      <c r="L11" s="38">
        <f t="shared" si="3"/>
        <v>0.50305977196070062</v>
      </c>
      <c r="M11" s="140">
        <f t="shared" si="4"/>
        <v>0.68561883173537008</v>
      </c>
      <c r="O11" s="38">
        <f t="shared" si="11"/>
        <v>10</v>
      </c>
      <c r="P11" s="38">
        <f t="shared" si="12"/>
        <v>1.3628973532571218</v>
      </c>
      <c r="Q11" s="38">
        <f t="shared" si="5"/>
        <v>0.52158347292407414</v>
      </c>
      <c r="R11" s="140">
        <f t="shared" si="6"/>
        <v>0.7108647347508783</v>
      </c>
      <c r="T11" s="38">
        <f t="shared" si="13"/>
        <v>10</v>
      </c>
      <c r="U11" s="38">
        <f t="shared" si="14"/>
        <v>20.108962819266704</v>
      </c>
      <c r="V11" s="38">
        <f t="shared" si="15"/>
        <v>1.3628973532571218</v>
      </c>
      <c r="W11" s="38">
        <f t="shared" si="7"/>
        <v>18.746065466009583</v>
      </c>
      <c r="X11" s="38">
        <f t="shared" si="8"/>
        <v>20.152020375960301</v>
      </c>
    </row>
    <row r="12" spans="1:33" x14ac:dyDescent="0.3">
      <c r="A12" s="38">
        <v>11</v>
      </c>
      <c r="B12" s="139">
        <f t="shared" si="18"/>
        <v>0.91666666666666674</v>
      </c>
      <c r="D12" s="38">
        <f t="shared" si="16"/>
        <v>1</v>
      </c>
      <c r="E12" s="140">
        <f t="shared" si="1"/>
        <v>0.93585573862724802</v>
      </c>
      <c r="F12" s="140">
        <f t="shared" si="2"/>
        <v>0.93585573862724802</v>
      </c>
      <c r="G12" s="140"/>
      <c r="H12" s="140"/>
      <c r="J12" s="38">
        <f t="shared" si="9"/>
        <v>11</v>
      </c>
      <c r="K12" s="38">
        <f t="shared" si="10"/>
        <v>1.410598760621121</v>
      </c>
      <c r="L12" s="38">
        <f t="shared" si="3"/>
        <v>0.46796257856809359</v>
      </c>
      <c r="M12" s="140">
        <f t="shared" si="4"/>
        <v>0.66010743334521682</v>
      </c>
      <c r="O12" s="38">
        <f t="shared" si="11"/>
        <v>11</v>
      </c>
      <c r="P12" s="38">
        <f t="shared" si="12"/>
        <v>1.410598760621121</v>
      </c>
      <c r="Q12" s="38">
        <f t="shared" si="5"/>
        <v>0.48519392830146441</v>
      </c>
      <c r="R12" s="140">
        <f t="shared" si="6"/>
        <v>0.68441395392293869</v>
      </c>
      <c r="T12" s="38">
        <f t="shared" si="13"/>
        <v>11</v>
      </c>
      <c r="U12" s="38">
        <f t="shared" si="14"/>
        <v>20.152020375960301</v>
      </c>
      <c r="V12" s="38">
        <f t="shared" si="15"/>
        <v>1.410598760621121</v>
      </c>
      <c r="W12" s="38">
        <f t="shared" si="7"/>
        <v>18.741421615339181</v>
      </c>
      <c r="X12" s="38">
        <f t="shared" si="8"/>
        <v>20.147028236489618</v>
      </c>
    </row>
    <row r="13" spans="1:33" x14ac:dyDescent="0.3">
      <c r="A13" s="38">
        <v>12</v>
      </c>
      <c r="B13" s="139">
        <f t="shared" si="18"/>
        <v>1</v>
      </c>
      <c r="D13" s="38">
        <f t="shared" si="16"/>
        <v>1</v>
      </c>
      <c r="E13" s="140">
        <f t="shared" si="1"/>
        <v>0.93023255813953487</v>
      </c>
      <c r="F13" s="140">
        <f t="shared" si="2"/>
        <v>0.93023255813953487</v>
      </c>
      <c r="G13" s="140"/>
      <c r="H13" s="140"/>
      <c r="J13" s="38">
        <f t="shared" si="9"/>
        <v>12</v>
      </c>
      <c r="K13" s="38">
        <f t="shared" si="10"/>
        <v>1.4599697172428601</v>
      </c>
      <c r="L13" s="38">
        <f t="shared" si="3"/>
        <v>0.43531402657497087</v>
      </c>
      <c r="M13" s="140">
        <f t="shared" si="4"/>
        <v>0.63554529629051104</v>
      </c>
      <c r="O13" s="38">
        <f t="shared" si="11"/>
        <v>12</v>
      </c>
      <c r="P13" s="38">
        <f t="shared" si="12"/>
        <v>1.4599697172428601</v>
      </c>
      <c r="Q13" s="38">
        <f t="shared" si="5"/>
        <v>0.45134318911764126</v>
      </c>
      <c r="R13" s="140">
        <f t="shared" si="6"/>
        <v>0.65894738819557341</v>
      </c>
      <c r="T13" s="38">
        <f t="shared" si="13"/>
        <v>12</v>
      </c>
      <c r="U13" s="38">
        <f t="shared" si="14"/>
        <v>20.147028236489618</v>
      </c>
      <c r="V13" s="38">
        <f t="shared" si="15"/>
        <v>1.4599697172428601</v>
      </c>
      <c r="W13" s="38">
        <f t="shared" si="7"/>
        <v>18.687058519246758</v>
      </c>
      <c r="X13" s="38">
        <f t="shared" si="8"/>
        <v>20.088587908190263</v>
      </c>
    </row>
    <row r="14" spans="1:33" x14ac:dyDescent="0.3">
      <c r="A14" s="38">
        <v>13</v>
      </c>
      <c r="B14" s="139">
        <f t="shared" si="18"/>
        <v>1.0833333333333333</v>
      </c>
      <c r="D14">
        <f>D2*1.035</f>
        <v>1.0349999999999999</v>
      </c>
      <c r="E14" s="140">
        <f t="shared" si="1"/>
        <v>0.92464316508026001</v>
      </c>
      <c r="F14" s="140">
        <f t="shared" si="2"/>
        <v>0.95700567585806906</v>
      </c>
      <c r="G14" s="140"/>
      <c r="H14" s="140"/>
      <c r="J14" s="38">
        <f t="shared" si="9"/>
        <v>13</v>
      </c>
      <c r="K14" s="38">
        <f t="shared" si="10"/>
        <v>1.5110686573463601</v>
      </c>
      <c r="L14" s="38">
        <f t="shared" si="3"/>
        <v>0.40494328053485662</v>
      </c>
      <c r="M14" s="140">
        <f t="shared" si="4"/>
        <v>0.61189709921923618</v>
      </c>
      <c r="O14" s="38">
        <f t="shared" si="11"/>
        <v>13</v>
      </c>
      <c r="P14" s="38">
        <f t="shared" si="12"/>
        <v>1.5110686573463601</v>
      </c>
      <c r="Q14" s="38">
        <f t="shared" si="5"/>
        <v>0.41985412941175931</v>
      </c>
      <c r="R14" s="140">
        <f t="shared" si="6"/>
        <v>0.63442841561155205</v>
      </c>
      <c r="T14" s="38">
        <f t="shared" si="13"/>
        <v>13</v>
      </c>
      <c r="U14" s="38">
        <f t="shared" si="14"/>
        <v>20.088587908190263</v>
      </c>
      <c r="V14" s="38">
        <f t="shared" si="15"/>
        <v>1.5110686573463601</v>
      </c>
      <c r="W14" s="38">
        <f t="shared" si="7"/>
        <v>18.577519250843903</v>
      </c>
      <c r="X14" s="38">
        <f t="shared" si="8"/>
        <v>19.970833194657196</v>
      </c>
    </row>
    <row r="15" spans="1:33" x14ac:dyDescent="0.3">
      <c r="A15" s="38">
        <v>14</v>
      </c>
      <c r="B15" s="139">
        <f t="shared" si="18"/>
        <v>1.1666666666666665</v>
      </c>
      <c r="D15" s="38">
        <f t="shared" ref="D15:D78" si="19">D3*1.035</f>
        <v>1.0349999999999999</v>
      </c>
      <c r="E15" s="140">
        <f t="shared" si="1"/>
        <v>0.9190873564343639</v>
      </c>
      <c r="F15" s="140">
        <f t="shared" si="2"/>
        <v>0.95125541390956658</v>
      </c>
      <c r="G15" s="140"/>
      <c r="H15" s="140"/>
      <c r="J15" s="38">
        <f t="shared" si="9"/>
        <v>14</v>
      </c>
      <c r="K15" s="38">
        <f t="shared" si="10"/>
        <v>1.5639560603534826</v>
      </c>
      <c r="L15" s="38">
        <f t="shared" si="3"/>
        <v>0.37669142375335496</v>
      </c>
      <c r="M15" s="140">
        <f t="shared" si="4"/>
        <v>0.58912883506224123</v>
      </c>
      <c r="O15" s="38">
        <f t="shared" si="11"/>
        <v>14</v>
      </c>
      <c r="P15" s="38">
        <f t="shared" si="12"/>
        <v>1.5639560603534826</v>
      </c>
      <c r="Q15" s="38">
        <f t="shared" si="5"/>
        <v>0.39056198084814819</v>
      </c>
      <c r="R15" s="140">
        <f t="shared" si="6"/>
        <v>0.61082177689112216</v>
      </c>
      <c r="T15" s="38">
        <f t="shared" si="13"/>
        <v>14</v>
      </c>
      <c r="U15" s="38">
        <f t="shared" si="14"/>
        <v>19.970833194657196</v>
      </c>
      <c r="V15" s="38">
        <f t="shared" si="15"/>
        <v>1.5639560603534826</v>
      </c>
      <c r="W15" s="38">
        <f t="shared" si="7"/>
        <v>18.406877134303713</v>
      </c>
      <c r="X15" s="38">
        <f t="shared" si="8"/>
        <v>19.78739291937649</v>
      </c>
    </row>
    <row r="16" spans="1:33" x14ac:dyDescent="0.3">
      <c r="A16" s="38">
        <v>15</v>
      </c>
      <c r="B16" s="139">
        <f t="shared" si="18"/>
        <v>1.2499999999999998</v>
      </c>
      <c r="D16" s="38">
        <f t="shared" si="19"/>
        <v>1.0349999999999999</v>
      </c>
      <c r="E16" s="140">
        <f t="shared" si="1"/>
        <v>0.91356493040662312</v>
      </c>
      <c r="F16" s="140">
        <f t="shared" si="2"/>
        <v>0.94553970297085488</v>
      </c>
      <c r="G16" s="140"/>
      <c r="H16" s="140"/>
      <c r="J16" s="38">
        <f t="shared" si="9"/>
        <v>15</v>
      </c>
      <c r="K16" s="38">
        <f t="shared" si="10"/>
        <v>1.6186945224658542</v>
      </c>
      <c r="L16" s="38">
        <f t="shared" si="3"/>
        <v>0.350410626747307</v>
      </c>
      <c r="M16" s="140">
        <f t="shared" si="4"/>
        <v>0.56720776212969282</v>
      </c>
      <c r="O16" s="38">
        <f t="shared" si="11"/>
        <v>15</v>
      </c>
      <c r="P16" s="38">
        <f t="shared" si="12"/>
        <v>1.6186945224658542</v>
      </c>
      <c r="Q16" s="38">
        <f t="shared" si="5"/>
        <v>0.36331347055641694</v>
      </c>
      <c r="R16" s="140">
        <f t="shared" si="6"/>
        <v>0.58809352472773146</v>
      </c>
      <c r="T16" s="38">
        <f t="shared" si="13"/>
        <v>15</v>
      </c>
      <c r="U16" s="38">
        <f t="shared" si="14"/>
        <v>19.78739291937649</v>
      </c>
      <c r="V16" s="38">
        <f t="shared" si="15"/>
        <v>1.6186945224658542</v>
      </c>
      <c r="W16" s="38">
        <f t="shared" si="7"/>
        <v>18.168698396910635</v>
      </c>
      <c r="X16" s="38">
        <f t="shared" si="8"/>
        <v>19.531350776678931</v>
      </c>
    </row>
    <row r="17" spans="1:24" x14ac:dyDescent="0.3">
      <c r="A17" s="38">
        <v>16</v>
      </c>
      <c r="B17" s="139">
        <f t="shared" si="18"/>
        <v>1.333333333333333</v>
      </c>
      <c r="D17" s="38">
        <f t="shared" si="19"/>
        <v>1.0349999999999999</v>
      </c>
      <c r="E17" s="140">
        <f t="shared" si="1"/>
        <v>0.90807568641432057</v>
      </c>
      <c r="F17" s="140">
        <f t="shared" si="2"/>
        <v>0.93985833543882169</v>
      </c>
      <c r="G17" s="140"/>
      <c r="H17" s="140"/>
      <c r="J17" s="38">
        <f t="shared" si="9"/>
        <v>16</v>
      </c>
      <c r="K17" s="38">
        <f t="shared" si="10"/>
        <v>1.6753488307521589</v>
      </c>
      <c r="L17" s="38">
        <f t="shared" si="3"/>
        <v>0.3259633737184251</v>
      </c>
      <c r="M17" s="140">
        <f t="shared" si="4"/>
        <v>0.54610235702719245</v>
      </c>
      <c r="O17" s="38">
        <f t="shared" si="11"/>
        <v>16</v>
      </c>
      <c r="P17" s="38">
        <f t="shared" si="12"/>
        <v>1.6753488307521589</v>
      </c>
      <c r="Q17" s="38">
        <f t="shared" si="5"/>
        <v>0.33796601912224833</v>
      </c>
      <c r="R17" s="140">
        <f t="shared" si="6"/>
        <v>0.5662109749704205</v>
      </c>
      <c r="T17" s="38">
        <f t="shared" si="13"/>
        <v>16</v>
      </c>
      <c r="U17" s="38">
        <f t="shared" si="14"/>
        <v>19.531350776678931</v>
      </c>
      <c r="V17" s="38">
        <f t="shared" si="15"/>
        <v>1.6753488307521589</v>
      </c>
      <c r="W17" s="38">
        <f t="shared" si="7"/>
        <v>17.856001945926771</v>
      </c>
      <c r="X17" s="38">
        <f t="shared" si="8"/>
        <v>19.195202091871277</v>
      </c>
    </row>
    <row r="18" spans="1:24" x14ac:dyDescent="0.3">
      <c r="A18" s="38">
        <v>17</v>
      </c>
      <c r="B18" s="139">
        <f t="shared" si="18"/>
        <v>1.4166666666666663</v>
      </c>
      <c r="D18" s="38">
        <f t="shared" si="19"/>
        <v>1.0349999999999999</v>
      </c>
      <c r="E18" s="140">
        <f t="shared" si="1"/>
        <v>0.90261942507995951</v>
      </c>
      <c r="F18" s="140">
        <f t="shared" si="2"/>
        <v>0.93421110495775805</v>
      </c>
      <c r="G18" s="140"/>
      <c r="H18" s="140"/>
      <c r="J18" s="38">
        <f t="shared" si="9"/>
        <v>17</v>
      </c>
      <c r="K18" s="38">
        <f t="shared" si="10"/>
        <v>1.7339860398284843</v>
      </c>
      <c r="L18" s="38">
        <f t="shared" si="3"/>
        <v>0.30322174299388382</v>
      </c>
      <c r="M18" s="140">
        <f t="shared" si="4"/>
        <v>0.52578226932385508</v>
      </c>
      <c r="O18" s="38">
        <f t="shared" si="11"/>
        <v>17</v>
      </c>
      <c r="P18" s="38">
        <f t="shared" si="12"/>
        <v>1.7339860398284843</v>
      </c>
      <c r="Q18" s="38">
        <f t="shared" si="5"/>
        <v>0.31438699453232405</v>
      </c>
      <c r="R18" s="140">
        <f t="shared" si="6"/>
        <v>0.54514265962268393</v>
      </c>
      <c r="T18" s="38">
        <f t="shared" si="13"/>
        <v>17</v>
      </c>
      <c r="U18" s="38">
        <f t="shared" si="14"/>
        <v>19.195202091871277</v>
      </c>
      <c r="V18" s="38">
        <f t="shared" si="15"/>
        <v>1.7339860398284843</v>
      </c>
      <c r="W18" s="38">
        <f t="shared" si="7"/>
        <v>17.461216052042793</v>
      </c>
      <c r="X18" s="38">
        <f t="shared" si="8"/>
        <v>18.770807255946004</v>
      </c>
    </row>
    <row r="19" spans="1:24" x14ac:dyDescent="0.3">
      <c r="A19" s="38">
        <v>18</v>
      </c>
      <c r="B19" s="139">
        <f t="shared" si="18"/>
        <v>1.4999999999999996</v>
      </c>
      <c r="D19" s="38">
        <f t="shared" si="19"/>
        <v>1.0349999999999999</v>
      </c>
      <c r="E19" s="140">
        <f t="shared" si="1"/>
        <v>0.8971959482240226</v>
      </c>
      <c r="F19" s="140">
        <f t="shared" si="2"/>
        <v>0.92859780641186329</v>
      </c>
      <c r="G19" s="140"/>
      <c r="H19" s="140"/>
      <c r="J19" s="38">
        <f t="shared" si="9"/>
        <v>18</v>
      </c>
      <c r="K19" s="38">
        <f t="shared" si="10"/>
        <v>1.7946755512224812</v>
      </c>
      <c r="L19" s="38">
        <f t="shared" si="3"/>
        <v>0.28206673766872914</v>
      </c>
      <c r="M19" s="140">
        <f t="shared" si="4"/>
        <v>0.50621827790715346</v>
      </c>
      <c r="O19" s="38">
        <f t="shared" si="11"/>
        <v>18</v>
      </c>
      <c r="P19" s="38">
        <f t="shared" si="12"/>
        <v>1.7946755512224812</v>
      </c>
      <c r="Q19" s="38">
        <f t="shared" si="5"/>
        <v>0.29245301816960378</v>
      </c>
      <c r="R19" s="140">
        <f t="shared" si="6"/>
        <v>0.52485828159021197</v>
      </c>
      <c r="T19" s="38">
        <f t="shared" si="13"/>
        <v>18</v>
      </c>
      <c r="U19" s="38">
        <f t="shared" si="14"/>
        <v>18.770807255946004</v>
      </c>
      <c r="V19" s="38">
        <f t="shared" si="15"/>
        <v>1.7946755512224812</v>
      </c>
      <c r="W19" s="38">
        <f t="shared" si="7"/>
        <v>16.976131704723521</v>
      </c>
      <c r="X19" s="38">
        <f t="shared" si="8"/>
        <v>18.249341582577784</v>
      </c>
    </row>
    <row r="20" spans="1:24" x14ac:dyDescent="0.3">
      <c r="A20" s="38">
        <v>19</v>
      </c>
      <c r="B20" s="139">
        <f t="shared" si="18"/>
        <v>1.5833333333333328</v>
      </c>
      <c r="D20" s="38">
        <f t="shared" si="19"/>
        <v>1.0349999999999999</v>
      </c>
      <c r="E20" s="140">
        <f t="shared" si="1"/>
        <v>0.89180505885777361</v>
      </c>
      <c r="F20" s="140">
        <f t="shared" si="2"/>
        <v>0.92301823591779564</v>
      </c>
      <c r="G20" s="140"/>
      <c r="H20" s="140"/>
      <c r="J20" s="38">
        <f t="shared" si="9"/>
        <v>19</v>
      </c>
      <c r="K20" s="38">
        <f t="shared" si="10"/>
        <v>1.8574891955152679</v>
      </c>
      <c r="L20" s="38">
        <f t="shared" si="3"/>
        <v>0.26238766294765509</v>
      </c>
      <c r="M20" s="140">
        <f t="shared" si="4"/>
        <v>0.48738224896177113</v>
      </c>
      <c r="O20" s="38">
        <f t="shared" si="11"/>
        <v>19</v>
      </c>
      <c r="P20" s="38">
        <f t="shared" si="12"/>
        <v>1.8574891955152679</v>
      </c>
      <c r="Q20" s="38">
        <f t="shared" si="5"/>
        <v>0.27204931922753844</v>
      </c>
      <c r="R20" s="140">
        <f t="shared" si="6"/>
        <v>0.50532867111243673</v>
      </c>
      <c r="T20" s="38">
        <f t="shared" si="13"/>
        <v>19</v>
      </c>
      <c r="U20" s="38">
        <f t="shared" si="14"/>
        <v>18.249341582577784</v>
      </c>
      <c r="V20" s="38">
        <f t="shared" si="15"/>
        <v>1.8574891955152679</v>
      </c>
      <c r="W20" s="38">
        <f t="shared" si="7"/>
        <v>16.391852387062517</v>
      </c>
      <c r="X20" s="38">
        <f t="shared" si="8"/>
        <v>17.621241316092206</v>
      </c>
    </row>
    <row r="21" spans="1:24" x14ac:dyDescent="0.3">
      <c r="A21" s="38">
        <v>20</v>
      </c>
      <c r="B21" s="139">
        <f t="shared" si="18"/>
        <v>1.6666666666666661</v>
      </c>
      <c r="D21" s="38">
        <f t="shared" si="19"/>
        <v>1.0349999999999999</v>
      </c>
      <c r="E21" s="140">
        <f t="shared" si="1"/>
        <v>0.88644656117610243</v>
      </c>
      <c r="F21" s="140">
        <f t="shared" si="2"/>
        <v>0.91747219081726594</v>
      </c>
      <c r="G21" s="140"/>
      <c r="H21" s="140"/>
      <c r="J21" s="38">
        <f t="shared" si="9"/>
        <v>20</v>
      </c>
      <c r="K21" s="38">
        <f t="shared" si="10"/>
        <v>1.9225013173583021</v>
      </c>
      <c r="L21" s="38">
        <f t="shared" si="3"/>
        <v>0.2440815469280512</v>
      </c>
      <c r="M21" s="140">
        <f t="shared" si="4"/>
        <v>0.46924709551203064</v>
      </c>
      <c r="O21" s="38">
        <f t="shared" si="11"/>
        <v>20</v>
      </c>
      <c r="P21" s="38">
        <f t="shared" si="12"/>
        <v>1.9225013173583021</v>
      </c>
      <c r="Q21" s="38">
        <f t="shared" si="5"/>
        <v>0.25306913416515198</v>
      </c>
      <c r="R21" s="140">
        <f t="shared" si="6"/>
        <v>0.48652574381522956</v>
      </c>
      <c r="T21" s="38">
        <f t="shared" si="13"/>
        <v>20</v>
      </c>
      <c r="U21" s="38">
        <f t="shared" si="14"/>
        <v>17.621241316092206</v>
      </c>
      <c r="V21" s="38">
        <f t="shared" si="15"/>
        <v>1.9225013173583021</v>
      </c>
      <c r="W21" s="38">
        <f t="shared" si="7"/>
        <v>15.698739998733904</v>
      </c>
      <c r="X21" s="38">
        <f t="shared" si="8"/>
        <v>16.876145498638948</v>
      </c>
    </row>
    <row r="22" spans="1:24" x14ac:dyDescent="0.3">
      <c r="A22" s="38">
        <v>21</v>
      </c>
      <c r="B22" s="139">
        <f t="shared" si="18"/>
        <v>1.7499999999999993</v>
      </c>
      <c r="D22" s="38">
        <f t="shared" si="19"/>
        <v>1.0349999999999999</v>
      </c>
      <c r="E22" s="140">
        <f t="shared" si="1"/>
        <v>0.88112026055041237</v>
      </c>
      <c r="F22" s="140">
        <f t="shared" si="2"/>
        <v>0.91195946966967678</v>
      </c>
      <c r="G22" s="140"/>
      <c r="H22" s="140"/>
      <c r="J22" s="38">
        <f t="shared" si="9"/>
        <v>21</v>
      </c>
      <c r="K22" s="38">
        <f t="shared" si="10"/>
        <v>1.9897888634658425</v>
      </c>
      <c r="L22" s="38">
        <f t="shared" si="3"/>
        <v>0.22705260179353601</v>
      </c>
      <c r="M22" s="140">
        <f t="shared" si="4"/>
        <v>0.4517867384697225</v>
      </c>
      <c r="O22" s="38">
        <f t="shared" si="11"/>
        <v>21</v>
      </c>
      <c r="P22" s="38">
        <f t="shared" si="12"/>
        <v>1.9897888634658425</v>
      </c>
      <c r="Q22" s="38">
        <f t="shared" si="5"/>
        <v>0.23541314806060654</v>
      </c>
      <c r="R22" s="140">
        <f t="shared" si="6"/>
        <v>0.46842246032443036</v>
      </c>
      <c r="T22" s="38">
        <f t="shared" si="13"/>
        <v>21</v>
      </c>
      <c r="U22" s="38">
        <f t="shared" si="14"/>
        <v>16.876145498638948</v>
      </c>
      <c r="V22" s="38">
        <f t="shared" si="15"/>
        <v>1.9897888634658425</v>
      </c>
      <c r="W22" s="38">
        <f t="shared" si="7"/>
        <v>14.886356635173106</v>
      </c>
      <c r="X22" s="38">
        <f t="shared" si="8"/>
        <v>16.00283338281109</v>
      </c>
    </row>
    <row r="23" spans="1:24" x14ac:dyDescent="0.3">
      <c r="A23" s="38">
        <v>22</v>
      </c>
      <c r="B23" s="139">
        <f t="shared" si="18"/>
        <v>1.8333333333333326</v>
      </c>
      <c r="D23" s="38">
        <f t="shared" si="19"/>
        <v>1.0349999999999999</v>
      </c>
      <c r="E23" s="140">
        <f t="shared" si="1"/>
        <v>0.87582596352155218</v>
      </c>
      <c r="F23" s="140">
        <f t="shared" si="2"/>
        <v>0.90647987224480642</v>
      </c>
      <c r="G23" s="140"/>
      <c r="H23" s="140"/>
      <c r="J23" s="38">
        <f t="shared" si="9"/>
        <v>22</v>
      </c>
      <c r="K23" s="38">
        <f t="shared" si="10"/>
        <v>2.0594314736871469</v>
      </c>
      <c r="L23" s="38">
        <f t="shared" si="3"/>
        <v>0.21121172259863816</v>
      </c>
      <c r="M23" s="140">
        <f t="shared" si="4"/>
        <v>0.43497606913131426</v>
      </c>
      <c r="O23" s="38">
        <f t="shared" si="11"/>
        <v>22</v>
      </c>
      <c r="P23" s="38">
        <f t="shared" si="12"/>
        <v>2.0594314736871469</v>
      </c>
      <c r="Q23" s="38">
        <f t="shared" si="5"/>
        <v>0.21898897494009908</v>
      </c>
      <c r="R23" s="140">
        <f t="shared" si="6"/>
        <v>0.45099278738212595</v>
      </c>
      <c r="T23" s="38">
        <f t="shared" si="13"/>
        <v>22</v>
      </c>
      <c r="U23" s="38">
        <f t="shared" si="14"/>
        <v>16.00283338281109</v>
      </c>
      <c r="V23" s="38">
        <f t="shared" si="15"/>
        <v>2.0594314736871469</v>
      </c>
      <c r="W23" s="38">
        <f t="shared" si="7"/>
        <v>13.943401909123944</v>
      </c>
      <c r="X23" s="38">
        <f t="shared" si="8"/>
        <v>14.989157052308238</v>
      </c>
    </row>
    <row r="24" spans="1:24" x14ac:dyDescent="0.3">
      <c r="A24" s="38">
        <v>23</v>
      </c>
      <c r="B24" s="139">
        <f t="shared" si="18"/>
        <v>1.9166666666666659</v>
      </c>
      <c r="D24" s="38">
        <f t="shared" si="19"/>
        <v>1.0349999999999999</v>
      </c>
      <c r="E24" s="140">
        <f t="shared" si="1"/>
        <v>0.87056347779278909</v>
      </c>
      <c r="F24" s="140">
        <f t="shared" si="2"/>
        <v>0.90103319951553662</v>
      </c>
      <c r="G24" s="140"/>
      <c r="H24" s="140"/>
      <c r="J24" s="38">
        <f t="shared" si="9"/>
        <v>23</v>
      </c>
      <c r="K24" s="38">
        <f t="shared" si="10"/>
        <v>2.1315115752661966</v>
      </c>
      <c r="L24" s="38">
        <f t="shared" si="3"/>
        <v>0.19647602102198902</v>
      </c>
      <c r="M24" s="140">
        <f t="shared" si="4"/>
        <v>0.41879091307061417</v>
      </c>
      <c r="O24" s="38">
        <f t="shared" si="11"/>
        <v>23</v>
      </c>
      <c r="P24" s="38">
        <f t="shared" si="12"/>
        <v>2.1315115752661966</v>
      </c>
      <c r="Q24" s="38">
        <f t="shared" si="5"/>
        <v>0.20371067436288287</v>
      </c>
      <c r="R24" s="140">
        <f t="shared" si="6"/>
        <v>0.43421166040976766</v>
      </c>
      <c r="T24" s="38">
        <f t="shared" si="13"/>
        <v>23</v>
      </c>
      <c r="U24" s="38">
        <f t="shared" si="14"/>
        <v>14.989157052308238</v>
      </c>
      <c r="V24" s="38">
        <f t="shared" si="15"/>
        <v>2.1315115752661966</v>
      </c>
      <c r="W24" s="38">
        <f t="shared" si="7"/>
        <v>12.857645477042041</v>
      </c>
      <c r="X24" s="38">
        <f t="shared" si="8"/>
        <v>13.821968887820194</v>
      </c>
    </row>
    <row r="25" spans="1:24" x14ac:dyDescent="0.3">
      <c r="A25" s="38">
        <v>24</v>
      </c>
      <c r="B25" s="139">
        <f t="shared" si="18"/>
        <v>1.9999999999999991</v>
      </c>
      <c r="D25" s="38">
        <f t="shared" si="19"/>
        <v>1.0349999999999999</v>
      </c>
      <c r="E25" s="140">
        <f t="shared" si="1"/>
        <v>0.86533261222282321</v>
      </c>
      <c r="F25" s="140">
        <f t="shared" si="2"/>
        <v>0.89561925365062189</v>
      </c>
      <c r="G25" s="140"/>
      <c r="H25" s="140"/>
      <c r="J25" s="38">
        <f t="shared" si="9"/>
        <v>24</v>
      </c>
      <c r="K25" s="38">
        <f t="shared" si="10"/>
        <v>2.2061144804005135</v>
      </c>
      <c r="L25" s="38">
        <f t="shared" si="3"/>
        <v>0.18276839164836187</v>
      </c>
      <c r="M25" s="140">
        <f t="shared" si="4"/>
        <v>0.40320799537496338</v>
      </c>
      <c r="O25" s="38">
        <f t="shared" si="11"/>
        <v>24</v>
      </c>
      <c r="P25" s="38">
        <f t="shared" si="12"/>
        <v>2.2061144804005135</v>
      </c>
      <c r="Q25" s="38">
        <f t="shared" si="5"/>
        <v>0.18949830173291429</v>
      </c>
      <c r="R25" s="140">
        <f t="shared" si="6"/>
        <v>0.41805494746428795</v>
      </c>
      <c r="T25" s="38">
        <f t="shared" si="13"/>
        <v>24</v>
      </c>
      <c r="U25" s="38">
        <f t="shared" si="14"/>
        <v>13.821968887820194</v>
      </c>
      <c r="V25" s="38">
        <f t="shared" si="15"/>
        <v>2.2061144804005135</v>
      </c>
      <c r="W25" s="38">
        <f t="shared" si="7"/>
        <v>11.615854407419681</v>
      </c>
      <c r="X25" s="38">
        <f t="shared" si="8"/>
        <v>12.487043487976157</v>
      </c>
    </row>
    <row r="26" spans="1:24" x14ac:dyDescent="0.3">
      <c r="A26" s="38">
        <v>25</v>
      </c>
      <c r="B26" s="139">
        <f t="shared" si="18"/>
        <v>2.0833333333333326</v>
      </c>
      <c r="D26" s="38">
        <f t="shared" si="19"/>
        <v>1.0712249999999999</v>
      </c>
      <c r="E26" s="140">
        <f t="shared" si="1"/>
        <v>0.86013317681884649</v>
      </c>
      <c r="F26" s="140">
        <f t="shared" si="2"/>
        <v>0.92139616233776878</v>
      </c>
      <c r="G26" s="140"/>
      <c r="H26" s="140"/>
      <c r="J26" s="38">
        <f t="shared" si="9"/>
        <v>25</v>
      </c>
      <c r="K26" s="38">
        <f t="shared" si="10"/>
        <v>2.2833284872145314</v>
      </c>
      <c r="L26" s="38">
        <f t="shared" si="3"/>
        <v>0.17001710851010407</v>
      </c>
      <c r="M26" s="140">
        <f t="shared" si="4"/>
        <v>0.38820490717496475</v>
      </c>
      <c r="O26" s="38">
        <f t="shared" si="11"/>
        <v>25</v>
      </c>
      <c r="P26" s="38">
        <f t="shared" si="12"/>
        <v>2.2833284872145314</v>
      </c>
      <c r="Q26" s="38">
        <f t="shared" si="5"/>
        <v>0.17627748998410636</v>
      </c>
      <c r="R26" s="140">
        <f t="shared" si="6"/>
        <v>0.40249941453538429</v>
      </c>
      <c r="T26" s="38">
        <f t="shared" si="13"/>
        <v>25</v>
      </c>
      <c r="U26" s="38">
        <f t="shared" si="14"/>
        <v>12.487043487976157</v>
      </c>
      <c r="V26" s="38">
        <f t="shared" si="15"/>
        <v>2.2833284872145314</v>
      </c>
      <c r="W26" s="38">
        <f t="shared" si="7"/>
        <v>10.203715000761626</v>
      </c>
      <c r="X26" s="38">
        <f t="shared" si="8"/>
        <v>10.968993625818747</v>
      </c>
    </row>
    <row r="27" spans="1:24" x14ac:dyDescent="0.3">
      <c r="A27" s="38">
        <v>26</v>
      </c>
      <c r="B27" s="139">
        <f t="shared" si="18"/>
        <v>2.1666666666666661</v>
      </c>
      <c r="D27" s="38">
        <f t="shared" si="19"/>
        <v>1.0712249999999999</v>
      </c>
      <c r="E27" s="140">
        <f t="shared" si="1"/>
        <v>0.85496498272964094</v>
      </c>
      <c r="F27" s="140">
        <f t="shared" si="2"/>
        <v>0.91585986362455951</v>
      </c>
      <c r="G27" s="140"/>
      <c r="H27" s="140"/>
      <c r="J27" s="38">
        <f t="shared" si="9"/>
        <v>26</v>
      </c>
      <c r="K27" s="38">
        <f t="shared" si="10"/>
        <v>2.3632449842670398</v>
      </c>
      <c r="L27" s="38">
        <f t="shared" si="3"/>
        <v>0.15815544977684101</v>
      </c>
      <c r="M27" s="140">
        <f t="shared" si="4"/>
        <v>0.37376007341961726</v>
      </c>
      <c r="O27" s="38">
        <f t="shared" si="11"/>
        <v>26</v>
      </c>
      <c r="P27" s="38">
        <f t="shared" si="12"/>
        <v>2.3632449842670398</v>
      </c>
      <c r="Q27" s="38">
        <f t="shared" si="5"/>
        <v>0.16397906045033148</v>
      </c>
      <c r="R27" s="140">
        <f t="shared" si="6"/>
        <v>0.38752269213406759</v>
      </c>
      <c r="T27" s="38">
        <f t="shared" si="13"/>
        <v>26</v>
      </c>
      <c r="U27" s="38">
        <f t="shared" si="14"/>
        <v>10.968993625818747</v>
      </c>
      <c r="V27" s="38">
        <f t="shared" si="15"/>
        <v>2.3632449842670398</v>
      </c>
      <c r="W27" s="38">
        <f t="shared" si="7"/>
        <v>8.6057486415517079</v>
      </c>
      <c r="X27" s="38">
        <f t="shared" si="8"/>
        <v>9.2511797896680861</v>
      </c>
    </row>
    <row r="28" spans="1:24" x14ac:dyDescent="0.3">
      <c r="A28" s="38">
        <v>27</v>
      </c>
      <c r="B28" s="139">
        <f t="shared" si="18"/>
        <v>2.2499999999999996</v>
      </c>
      <c r="D28" s="38">
        <f t="shared" si="19"/>
        <v>1.0712249999999999</v>
      </c>
      <c r="E28" s="140">
        <f t="shared" si="1"/>
        <v>0.84982784223871932</v>
      </c>
      <c r="F28" s="140">
        <f t="shared" si="2"/>
        <v>0.91035683030217196</v>
      </c>
      <c r="G28" s="140"/>
      <c r="H28" s="140"/>
      <c r="J28" s="38">
        <f t="shared" si="9"/>
        <v>27</v>
      </c>
      <c r="K28" s="38">
        <f t="shared" si="10"/>
        <v>2.4459585587163861</v>
      </c>
      <c r="L28" s="38">
        <f t="shared" si="3"/>
        <v>0.14712134862961956</v>
      </c>
      <c r="M28" s="140">
        <f t="shared" si="4"/>
        <v>0.35985272185051526</v>
      </c>
      <c r="O28" s="38">
        <f t="shared" si="11"/>
        <v>27</v>
      </c>
      <c r="P28" s="38">
        <f t="shared" si="12"/>
        <v>2.4459585587163861</v>
      </c>
      <c r="Q28" s="38">
        <f t="shared" si="5"/>
        <v>0.15253866088402931</v>
      </c>
      <c r="R28" s="140">
        <f t="shared" si="6"/>
        <v>0.37310324312442794</v>
      </c>
      <c r="T28" s="38">
        <f t="shared" si="13"/>
        <v>27</v>
      </c>
      <c r="U28" s="38">
        <f t="shared" si="14"/>
        <v>9.2511797896680861</v>
      </c>
      <c r="V28" s="38">
        <f t="shared" si="15"/>
        <v>2.4459585587163861</v>
      </c>
      <c r="W28" s="38">
        <f t="shared" si="7"/>
        <v>6.8052212309517</v>
      </c>
      <c r="X28" s="38">
        <f t="shared" si="8"/>
        <v>7.315612823273077</v>
      </c>
    </row>
    <row r="29" spans="1:24" x14ac:dyDescent="0.3">
      <c r="A29" s="38">
        <v>28</v>
      </c>
      <c r="B29" s="139">
        <f t="shared" si="18"/>
        <v>2.333333333333333</v>
      </c>
      <c r="D29" s="38">
        <f t="shared" si="19"/>
        <v>1.0712249999999999</v>
      </c>
      <c r="E29" s="140">
        <f t="shared" si="1"/>
        <v>0.84472156875750748</v>
      </c>
      <c r="F29" s="140">
        <f t="shared" si="2"/>
        <v>0.9048868624922608</v>
      </c>
      <c r="G29" s="140"/>
      <c r="H29" s="140"/>
      <c r="J29" s="38">
        <f t="shared" si="9"/>
        <v>28</v>
      </c>
      <c r="K29" s="38">
        <f t="shared" si="10"/>
        <v>2.5315671082714593</v>
      </c>
      <c r="L29" s="38">
        <f t="shared" si="3"/>
        <v>0.13685706849266935</v>
      </c>
      <c r="M29" s="140">
        <f t="shared" si="4"/>
        <v>0.34646285313049596</v>
      </c>
      <c r="O29" s="38">
        <f t="shared" si="11"/>
        <v>28</v>
      </c>
      <c r="P29" s="38">
        <f t="shared" si="12"/>
        <v>2.5315671082714593</v>
      </c>
      <c r="Q29" s="38">
        <f t="shared" si="5"/>
        <v>0.14189642872932959</v>
      </c>
      <c r="R29" s="140">
        <f t="shared" si="6"/>
        <v>0.35922033175235613</v>
      </c>
      <c r="T29" s="38">
        <f t="shared" si="13"/>
        <v>28</v>
      </c>
      <c r="U29" s="38">
        <f t="shared" si="14"/>
        <v>7.315612823273077</v>
      </c>
      <c r="V29" s="38">
        <f t="shared" si="15"/>
        <v>2.5315671082714593</v>
      </c>
      <c r="W29" s="38">
        <f t="shared" si="7"/>
        <v>4.7840457150016178</v>
      </c>
      <c r="X29" s="38">
        <f t="shared" si="8"/>
        <v>5.142849143626739</v>
      </c>
    </row>
    <row r="30" spans="1:24" x14ac:dyDescent="0.3">
      <c r="A30" s="38">
        <v>29</v>
      </c>
      <c r="B30" s="139">
        <f t="shared" si="18"/>
        <v>2.4166666666666665</v>
      </c>
      <c r="D30" s="38">
        <f t="shared" si="19"/>
        <v>1.0712249999999999</v>
      </c>
      <c r="E30" s="140">
        <f t="shared" si="1"/>
        <v>0.8396459768185669</v>
      </c>
      <c r="F30" s="140">
        <f t="shared" si="2"/>
        <v>0.89944976151746925</v>
      </c>
      <c r="G30" s="140"/>
      <c r="H30" s="140"/>
      <c r="J30" s="38">
        <f t="shared" si="9"/>
        <v>29</v>
      </c>
      <c r="K30" s="38">
        <f t="shared" si="10"/>
        <v>2.6201719570609603</v>
      </c>
      <c r="L30" s="38">
        <f t="shared" si="3"/>
        <v>0.12730890092341338</v>
      </c>
      <c r="M30" s="140">
        <f t="shared" si="4"/>
        <v>0.33357121208377993</v>
      </c>
      <c r="O30" s="38">
        <f t="shared" si="11"/>
        <v>29</v>
      </c>
      <c r="P30" s="38">
        <f t="shared" si="12"/>
        <v>2.6201719570609603</v>
      </c>
      <c r="Q30" s="38">
        <f t="shared" si="5"/>
        <v>0.13199667788774846</v>
      </c>
      <c r="R30" s="140">
        <f t="shared" si="6"/>
        <v>0.34585399382668708</v>
      </c>
      <c r="T30" s="38">
        <f t="shared" si="13"/>
        <v>29</v>
      </c>
      <c r="U30" s="38">
        <f t="shared" si="14"/>
        <v>5.142849143626739</v>
      </c>
      <c r="V30" s="38">
        <f t="shared" si="15"/>
        <v>2.6201719570609603</v>
      </c>
      <c r="W30" s="38">
        <f t="shared" si="7"/>
        <v>2.5226771865657787</v>
      </c>
      <c r="X30" s="38">
        <f t="shared" si="8"/>
        <v>2.7118779755582119</v>
      </c>
    </row>
    <row r="31" spans="1:24" x14ac:dyDescent="0.3">
      <c r="A31" s="38">
        <v>30</v>
      </c>
      <c r="B31" s="139">
        <f t="shared" si="18"/>
        <v>2.5</v>
      </c>
      <c r="D31" s="38">
        <f t="shared" si="19"/>
        <v>1.0712249999999999</v>
      </c>
      <c r="E31" s="140">
        <f t="shared" si="1"/>
        <v>0.8346008820688583</v>
      </c>
      <c r="F31" s="140">
        <f t="shared" si="2"/>
        <v>0.89404532989421259</v>
      </c>
      <c r="G31" s="140"/>
      <c r="H31" s="140"/>
      <c r="J31" s="38">
        <f t="shared" si="9"/>
        <v>30</v>
      </c>
      <c r="K31" s="38">
        <f t="shared" si="10"/>
        <v>2.7118779755580937</v>
      </c>
      <c r="L31" s="38">
        <f t="shared" si="3"/>
        <v>0.11842688457991941</v>
      </c>
      <c r="M31" s="140">
        <f t="shared" si="4"/>
        <v>0.3211592600062439</v>
      </c>
      <c r="O31" s="38">
        <f t="shared" si="11"/>
        <v>30</v>
      </c>
      <c r="P31" s="38">
        <f t="shared" si="12"/>
        <v>2.7118779755580937</v>
      </c>
      <c r="Q31" s="38">
        <f t="shared" si="5"/>
        <v>0.1227876073374404</v>
      </c>
      <c r="R31" s="140">
        <f t="shared" si="6"/>
        <v>0.33298500800988001</v>
      </c>
      <c r="T31" s="38">
        <f t="shared" si="13"/>
        <v>30</v>
      </c>
      <c r="U31" s="38">
        <f t="shared" si="14"/>
        <v>2.7118779755582119</v>
      </c>
      <c r="V31" s="38">
        <f t="shared" si="15"/>
        <v>2.7118779755580937</v>
      </c>
      <c r="W31" s="38">
        <f t="shared" si="7"/>
        <v>1.1812772982011666E-13</v>
      </c>
      <c r="X31" s="38">
        <f t="shared" si="8"/>
        <v>1.269873095566254E-13</v>
      </c>
    </row>
    <row r="32" spans="1:24" x14ac:dyDescent="0.3">
      <c r="A32" s="38">
        <v>31</v>
      </c>
      <c r="B32" s="139">
        <f t="shared" si="18"/>
        <v>2.5833333333333335</v>
      </c>
      <c r="D32" s="38">
        <f t="shared" si="19"/>
        <v>1.0712249999999999</v>
      </c>
      <c r="E32" s="140">
        <f t="shared" si="1"/>
        <v>0.82958610126304533</v>
      </c>
      <c r="F32" s="140">
        <f t="shared" si="2"/>
        <v>0.88867337132550561</v>
      </c>
      <c r="G32" s="140"/>
      <c r="H32" s="140"/>
      <c r="M32" s="140"/>
      <c r="O32" s="38"/>
      <c r="R32" s="140"/>
    </row>
    <row r="33" spans="1:18" x14ac:dyDescent="0.3">
      <c r="A33" s="38">
        <v>32</v>
      </c>
      <c r="B33" s="139">
        <f t="shared" si="18"/>
        <v>2.666666666666667</v>
      </c>
      <c r="D33" s="38">
        <f t="shared" si="19"/>
        <v>1.0712249999999999</v>
      </c>
      <c r="E33" s="140">
        <f t="shared" si="1"/>
        <v>0.82460145225683934</v>
      </c>
      <c r="F33" s="140">
        <f t="shared" si="2"/>
        <v>0.88333369069383261</v>
      </c>
      <c r="G33" s="140"/>
      <c r="H33" s="140"/>
      <c r="M33" s="140"/>
      <c r="O33" s="38"/>
      <c r="R33" s="140"/>
    </row>
    <row r="34" spans="1:18" x14ac:dyDescent="0.3">
      <c r="A34" s="38">
        <v>33</v>
      </c>
      <c r="B34" s="139">
        <f t="shared" si="18"/>
        <v>2.7500000000000004</v>
      </c>
      <c r="D34" s="38">
        <f t="shared" si="19"/>
        <v>1.0712249999999999</v>
      </c>
      <c r="E34" s="140">
        <f t="shared" si="1"/>
        <v>0.81964675400038345</v>
      </c>
      <c r="F34" s="140">
        <f t="shared" si="2"/>
        <v>0.87802609405406062</v>
      </c>
      <c r="G34" s="140"/>
      <c r="H34" s="140"/>
      <c r="M34" s="140"/>
      <c r="R34" s="140"/>
    </row>
    <row r="35" spans="1:18" x14ac:dyDescent="0.3">
      <c r="A35" s="38">
        <v>34</v>
      </c>
      <c r="B35" s="139">
        <f t="shared" si="18"/>
        <v>2.8333333333333339</v>
      </c>
      <c r="D35" s="38">
        <f t="shared" si="19"/>
        <v>1.0712249999999999</v>
      </c>
      <c r="E35" s="140">
        <f t="shared" si="1"/>
        <v>0.81472182653167635</v>
      </c>
      <c r="F35" s="140">
        <f t="shared" si="2"/>
        <v>0.87275038862639487</v>
      </c>
      <c r="G35" s="140"/>
      <c r="H35" s="140"/>
      <c r="M35" s="140"/>
      <c r="R35" s="140"/>
    </row>
    <row r="36" spans="1:18" x14ac:dyDescent="0.3">
      <c r="A36" s="38">
        <v>35</v>
      </c>
      <c r="B36" s="139">
        <f t="shared" si="18"/>
        <v>2.9166666666666674</v>
      </c>
      <c r="D36" s="38">
        <f t="shared" si="19"/>
        <v>1.0712249999999999</v>
      </c>
      <c r="E36" s="140">
        <f t="shared" si="1"/>
        <v>0.80982649097003634</v>
      </c>
      <c r="F36" s="140">
        <f t="shared" si="2"/>
        <v>0.86750638278937708</v>
      </c>
      <c r="G36" s="140"/>
      <c r="H36" s="140"/>
      <c r="M36" s="140"/>
      <c r="R36" s="140"/>
    </row>
    <row r="37" spans="1:18" x14ac:dyDescent="0.3">
      <c r="A37" s="38">
        <v>36</v>
      </c>
      <c r="B37" s="139">
        <f t="shared" si="18"/>
        <v>3.0000000000000009</v>
      </c>
      <c r="D37" s="38">
        <f t="shared" si="19"/>
        <v>1.0712249999999999</v>
      </c>
      <c r="E37" s="140">
        <f t="shared" si="1"/>
        <v>0.80496056950960304</v>
      </c>
      <c r="F37" s="140">
        <f t="shared" si="2"/>
        <v>0.86229388607292445</v>
      </c>
      <c r="G37" s="140"/>
      <c r="H37" s="140"/>
      <c r="M37" s="140"/>
      <c r="R37" s="140"/>
    </row>
    <row r="38" spans="1:18" x14ac:dyDescent="0.3">
      <c r="A38" s="38">
        <v>37</v>
      </c>
      <c r="B38" s="139">
        <f t="shared" si="18"/>
        <v>3.0833333333333344</v>
      </c>
      <c r="D38" s="38">
        <f t="shared" si="19"/>
        <v>1.1087178749999997</v>
      </c>
      <c r="E38" s="140">
        <f t="shared" si="1"/>
        <v>0.80012388541288038</v>
      </c>
      <c r="F38" s="140">
        <f t="shared" si="2"/>
        <v>0.88711165397171199</v>
      </c>
      <c r="G38" s="140"/>
      <c r="H38" s="140"/>
      <c r="M38" s="140"/>
      <c r="R38" s="140"/>
    </row>
    <row r="39" spans="1:18" x14ac:dyDescent="0.3">
      <c r="A39" s="38">
        <v>38</v>
      </c>
      <c r="B39" s="139">
        <f t="shared" si="18"/>
        <v>3.1666666666666679</v>
      </c>
      <c r="D39" s="38">
        <f t="shared" si="19"/>
        <v>1.1087178749999997</v>
      </c>
      <c r="E39" s="140">
        <f t="shared" si="1"/>
        <v>0.79531626300431701</v>
      </c>
      <c r="F39" s="140">
        <f t="shared" si="2"/>
        <v>0.88178135707108729</v>
      </c>
      <c r="G39" s="140"/>
      <c r="H39" s="140"/>
      <c r="M39" s="140"/>
      <c r="R39" s="140"/>
    </row>
    <row r="40" spans="1:18" x14ac:dyDescent="0.3">
      <c r="A40" s="38">
        <v>39</v>
      </c>
      <c r="B40" s="139">
        <f t="shared" si="18"/>
        <v>3.2500000000000013</v>
      </c>
      <c r="D40" s="38">
        <f t="shared" si="19"/>
        <v>1.1087178749999997</v>
      </c>
      <c r="E40" s="140">
        <f t="shared" si="1"/>
        <v>0.79053752766392482</v>
      </c>
      <c r="F40" s="140">
        <f t="shared" si="2"/>
        <v>0.87648308777930029</v>
      </c>
      <c r="G40" s="140"/>
      <c r="H40" s="140"/>
      <c r="M40" s="140"/>
      <c r="R40" s="140"/>
    </row>
    <row r="41" spans="1:18" x14ac:dyDescent="0.3">
      <c r="A41" s="38">
        <v>40</v>
      </c>
      <c r="B41" s="139">
        <f t="shared" si="18"/>
        <v>3.3333333333333348</v>
      </c>
      <c r="D41" s="38">
        <f t="shared" si="19"/>
        <v>1.1087178749999997</v>
      </c>
      <c r="E41" s="140">
        <f t="shared" si="1"/>
        <v>0.78578750582093715</v>
      </c>
      <c r="F41" s="140">
        <f t="shared" si="2"/>
        <v>0.8712166536553394</v>
      </c>
      <c r="G41" s="140"/>
      <c r="H41" s="140"/>
      <c r="M41" s="140"/>
      <c r="R41" s="140"/>
    </row>
    <row r="42" spans="1:18" x14ac:dyDescent="0.3">
      <c r="A42" s="38">
        <v>41</v>
      </c>
      <c r="B42" s="139">
        <f t="shared" si="18"/>
        <v>3.4166666666666683</v>
      </c>
      <c r="D42" s="38">
        <f t="shared" si="19"/>
        <v>1.1087178749999997</v>
      </c>
      <c r="E42" s="140">
        <f t="shared" si="1"/>
        <v>0.7810660249475041</v>
      </c>
      <c r="F42" s="140">
        <f t="shared" si="2"/>
        <v>0.86598186341449357</v>
      </c>
      <c r="G42" s="140"/>
      <c r="H42" s="140"/>
      <c r="M42" s="140"/>
      <c r="R42" s="140"/>
    </row>
    <row r="43" spans="1:18" x14ac:dyDescent="0.3">
      <c r="A43" s="38">
        <v>42</v>
      </c>
      <c r="B43" s="139">
        <f t="shared" si="18"/>
        <v>3.5000000000000018</v>
      </c>
      <c r="D43" s="38">
        <f t="shared" si="19"/>
        <v>1.1087178749999997</v>
      </c>
      <c r="E43" s="140">
        <f t="shared" si="1"/>
        <v>0.77637291355242632</v>
      </c>
      <c r="F43" s="140">
        <f t="shared" si="2"/>
        <v>0.86077852692140466</v>
      </c>
      <c r="G43" s="140"/>
      <c r="H43" s="140"/>
      <c r="M43" s="140"/>
      <c r="R43" s="140"/>
    </row>
    <row r="44" spans="1:18" x14ac:dyDescent="0.3">
      <c r="A44" s="38">
        <v>43</v>
      </c>
      <c r="B44" s="139">
        <f t="shared" si="18"/>
        <v>3.5833333333333353</v>
      </c>
      <c r="D44" s="38">
        <f t="shared" si="19"/>
        <v>1.1087178749999997</v>
      </c>
      <c r="E44" s="140">
        <f t="shared" si="1"/>
        <v>0.77170800117492577</v>
      </c>
      <c r="F44" s="140">
        <f t="shared" si="2"/>
        <v>0.85560645518316103</v>
      </c>
      <c r="G44" s="140"/>
      <c r="H44" s="140"/>
      <c r="M44" s="140"/>
      <c r="R44" s="140"/>
    </row>
    <row r="45" spans="1:18" x14ac:dyDescent="0.3">
      <c r="A45" s="38">
        <v>44</v>
      </c>
      <c r="B45" s="139">
        <f t="shared" si="18"/>
        <v>3.6666666666666687</v>
      </c>
      <c r="D45" s="38">
        <f t="shared" si="19"/>
        <v>1.1087178749999997</v>
      </c>
      <c r="E45" s="140">
        <f t="shared" si="1"/>
        <v>0.7670711183784551</v>
      </c>
      <c r="F45" s="140">
        <f t="shared" si="2"/>
        <v>0.85046546034243398</v>
      </c>
      <c r="G45" s="140"/>
      <c r="H45" s="140"/>
      <c r="M45" s="140"/>
      <c r="R45" s="140"/>
    </row>
    <row r="46" spans="1:18" x14ac:dyDescent="0.3">
      <c r="A46" s="38">
        <v>45</v>
      </c>
      <c r="B46" s="139">
        <f t="shared" si="18"/>
        <v>3.7500000000000022</v>
      </c>
      <c r="D46" s="38">
        <f t="shared" si="19"/>
        <v>1.1087178749999997</v>
      </c>
      <c r="E46" s="140">
        <f t="shared" si="1"/>
        <v>0.76246209674454268</v>
      </c>
      <c r="F46" s="140">
        <f t="shared" si="2"/>
        <v>0.84535535567065356</v>
      </c>
      <c r="G46" s="140"/>
      <c r="H46" s="140"/>
      <c r="M46" s="140"/>
      <c r="R46" s="140"/>
    </row>
    <row r="47" spans="1:18" x14ac:dyDescent="0.3">
      <c r="A47" s="38">
        <v>46</v>
      </c>
      <c r="B47" s="139">
        <f t="shared" si="18"/>
        <v>3.8333333333333357</v>
      </c>
      <c r="D47" s="38">
        <f t="shared" si="19"/>
        <v>1.1087178749999997</v>
      </c>
      <c r="E47" s="140">
        <f t="shared" si="1"/>
        <v>0.75788076886667566</v>
      </c>
      <c r="F47" s="140">
        <f t="shared" si="2"/>
        <v>0.84027595556122658</v>
      </c>
      <c r="G47" s="140"/>
      <c r="H47" s="140"/>
      <c r="M47" s="140"/>
      <c r="R47" s="140"/>
    </row>
    <row r="48" spans="1:18" x14ac:dyDescent="0.3">
      <c r="A48" s="38">
        <v>47</v>
      </c>
      <c r="B48" s="139">
        <f t="shared" si="18"/>
        <v>3.9166666666666692</v>
      </c>
      <c r="D48" s="38">
        <f t="shared" si="19"/>
        <v>1.1087178749999997</v>
      </c>
      <c r="E48" s="140">
        <f t="shared" si="1"/>
        <v>0.75332696834421975</v>
      </c>
      <c r="F48" s="140">
        <f t="shared" si="2"/>
        <v>0.8352270755227954</v>
      </c>
      <c r="G48" s="140"/>
      <c r="H48" s="140"/>
      <c r="M48" s="140"/>
      <c r="R48" s="140"/>
    </row>
    <row r="49" spans="1:18" x14ac:dyDescent="0.3">
      <c r="A49" s="38">
        <v>48</v>
      </c>
      <c r="B49" s="139">
        <f t="shared" si="18"/>
        <v>4.0000000000000027</v>
      </c>
      <c r="D49" s="38">
        <f t="shared" si="19"/>
        <v>1.1087178749999997</v>
      </c>
      <c r="E49" s="140">
        <f t="shared" si="1"/>
        <v>0.7488005297763749</v>
      </c>
      <c r="F49" s="140">
        <f t="shared" si="2"/>
        <v>0.83020853217253643</v>
      </c>
      <c r="G49" s="140"/>
      <c r="H49" s="140"/>
      <c r="M49" s="140"/>
      <c r="R49" s="140"/>
    </row>
    <row r="50" spans="1:18" x14ac:dyDescent="0.3">
      <c r="A50" s="38">
        <v>49</v>
      </c>
      <c r="B50" s="139">
        <f t="shared" si="18"/>
        <v>4.0833333333333357</v>
      </c>
      <c r="D50" s="38">
        <f t="shared" si="19"/>
        <v>1.1475230006249997</v>
      </c>
      <c r="E50" s="140">
        <f t="shared" si="1"/>
        <v>0.74430128875616774</v>
      </c>
      <c r="F50" s="140">
        <f t="shared" si="2"/>
        <v>0.85410284824253191</v>
      </c>
      <c r="G50" s="140"/>
      <c r="H50" s="140"/>
      <c r="M50" s="140"/>
      <c r="R50" s="140"/>
    </row>
    <row r="51" spans="1:18" x14ac:dyDescent="0.3">
      <c r="A51" s="38">
        <v>50</v>
      </c>
      <c r="B51" s="139">
        <f t="shared" si="18"/>
        <v>4.1666666666666687</v>
      </c>
      <c r="D51" s="38">
        <f t="shared" si="19"/>
        <v>1.1475230006249997</v>
      </c>
      <c r="E51" s="140">
        <f t="shared" si="1"/>
        <v>0.73982908186448104</v>
      </c>
      <c r="F51" s="140">
        <f t="shared" si="2"/>
        <v>0.84897088797076781</v>
      </c>
      <c r="G51" s="140"/>
      <c r="H51" s="140"/>
      <c r="M51" s="140"/>
      <c r="R51" s="140"/>
    </row>
    <row r="52" spans="1:18" x14ac:dyDescent="0.3">
      <c r="A52" s="38">
        <v>51</v>
      </c>
      <c r="B52" s="139">
        <f t="shared" si="18"/>
        <v>4.2500000000000018</v>
      </c>
      <c r="D52" s="38">
        <f t="shared" si="19"/>
        <v>1.1475230006249997</v>
      </c>
      <c r="E52" s="140">
        <f t="shared" si="1"/>
        <v>0.7353837466641161</v>
      </c>
      <c r="F52" s="140">
        <f t="shared" si="2"/>
        <v>0.84386976358286114</v>
      </c>
      <c r="G52" s="140"/>
      <c r="H52" s="140"/>
      <c r="M52" s="140"/>
      <c r="R52" s="140"/>
    </row>
    <row r="53" spans="1:18" x14ac:dyDescent="0.3">
      <c r="A53" s="38">
        <v>52</v>
      </c>
      <c r="B53" s="139">
        <f t="shared" si="18"/>
        <v>4.3333333333333348</v>
      </c>
      <c r="D53" s="38">
        <f t="shared" si="19"/>
        <v>1.1475230006249997</v>
      </c>
      <c r="E53" s="140">
        <f t="shared" si="1"/>
        <v>0.73096512169389505</v>
      </c>
      <c r="F53" s="140">
        <f t="shared" si="2"/>
        <v>0.83879928979839646</v>
      </c>
      <c r="G53" s="140"/>
      <c r="H53" s="140"/>
      <c r="M53" s="140"/>
      <c r="R53" s="140"/>
    </row>
    <row r="54" spans="1:18" x14ac:dyDescent="0.3">
      <c r="A54" s="38">
        <v>53</v>
      </c>
      <c r="B54" s="139">
        <f t="shared" si="18"/>
        <v>4.4166666666666679</v>
      </c>
      <c r="D54" s="38">
        <f t="shared" si="19"/>
        <v>1.1475230006249997</v>
      </c>
      <c r="E54" s="140">
        <f t="shared" si="1"/>
        <v>0.72657304646279453</v>
      </c>
      <c r="F54" s="140">
        <f t="shared" si="2"/>
        <v>0.83375928245023323</v>
      </c>
      <c r="G54" s="140"/>
      <c r="H54" s="140"/>
      <c r="M54" s="140"/>
      <c r="R54" s="140"/>
    </row>
    <row r="55" spans="1:18" x14ac:dyDescent="0.3">
      <c r="A55" s="38">
        <v>54</v>
      </c>
      <c r="B55" s="139">
        <f t="shared" si="18"/>
        <v>4.5000000000000009</v>
      </c>
      <c r="D55" s="38">
        <f t="shared" si="19"/>
        <v>1.1475230006249997</v>
      </c>
      <c r="E55" s="140">
        <f t="shared" si="1"/>
        <v>0.72220736144411757</v>
      </c>
      <c r="F55" s="140">
        <f t="shared" si="2"/>
        <v>0.82874955847781751</v>
      </c>
      <c r="G55" s="140"/>
      <c r="H55" s="140"/>
      <c r="M55" s="140"/>
      <c r="R55" s="140"/>
    </row>
    <row r="56" spans="1:18" x14ac:dyDescent="0.3">
      <c r="A56" s="38">
        <v>55</v>
      </c>
      <c r="B56" s="139">
        <f t="shared" si="18"/>
        <v>4.5833333333333339</v>
      </c>
      <c r="D56" s="38">
        <f t="shared" si="19"/>
        <v>1.1475230006249997</v>
      </c>
      <c r="E56" s="140">
        <f t="shared" si="1"/>
        <v>0.71786790806969847</v>
      </c>
      <c r="F56" s="140">
        <f t="shared" si="2"/>
        <v>0.82376993592053183</v>
      </c>
      <c r="G56" s="140"/>
      <c r="H56" s="140"/>
      <c r="M56" s="140"/>
      <c r="R56" s="140"/>
    </row>
    <row r="57" spans="1:18" x14ac:dyDescent="0.3">
      <c r="A57" s="38">
        <v>56</v>
      </c>
      <c r="B57" s="139">
        <f t="shared" si="18"/>
        <v>4.666666666666667</v>
      </c>
      <c r="D57" s="38">
        <f t="shared" si="19"/>
        <v>1.1475230006249997</v>
      </c>
      <c r="E57" s="140">
        <f t="shared" si="1"/>
        <v>0.71355452872414449</v>
      </c>
      <c r="F57" s="140">
        <f t="shared" si="2"/>
        <v>0.81882023391108782</v>
      </c>
      <c r="G57" s="140"/>
      <c r="H57" s="140"/>
      <c r="M57" s="140"/>
      <c r="R57" s="140"/>
    </row>
    <row r="58" spans="1:18" x14ac:dyDescent="0.3">
      <c r="A58" s="38">
        <v>57</v>
      </c>
      <c r="B58" s="139">
        <f t="shared" si="18"/>
        <v>4.75</v>
      </c>
      <c r="D58" s="38">
        <f t="shared" si="19"/>
        <v>1.1475230006249997</v>
      </c>
      <c r="E58" s="140">
        <f t="shared" si="1"/>
        <v>0.70926706673910966</v>
      </c>
      <c r="F58" s="140">
        <f t="shared" si="2"/>
        <v>0.81390027266895504</v>
      </c>
      <c r="G58" s="140"/>
      <c r="H58" s="140"/>
      <c r="M58" s="140"/>
      <c r="R58" s="140"/>
    </row>
    <row r="59" spans="1:18" x14ac:dyDescent="0.3">
      <c r="A59" s="38">
        <v>58</v>
      </c>
      <c r="B59" s="139">
        <f t="shared" si="18"/>
        <v>4.833333333333333</v>
      </c>
      <c r="D59" s="38">
        <f t="shared" si="19"/>
        <v>1.1475230006249997</v>
      </c>
      <c r="E59" s="140">
        <f t="shared" si="1"/>
        <v>0.70500536638760547</v>
      </c>
      <c r="F59" s="140">
        <f t="shared" si="2"/>
        <v>0.80900987349383235</v>
      </c>
      <c r="G59" s="140"/>
      <c r="H59" s="140"/>
      <c r="M59" s="140"/>
      <c r="R59" s="140"/>
    </row>
    <row r="60" spans="1:18" x14ac:dyDescent="0.3">
      <c r="A60" s="38">
        <v>59</v>
      </c>
      <c r="B60" s="139">
        <f t="shared" si="18"/>
        <v>4.9166666666666661</v>
      </c>
      <c r="D60" s="38">
        <f t="shared" si="19"/>
        <v>1.1475230006249997</v>
      </c>
      <c r="E60" s="140">
        <f t="shared" si="1"/>
        <v>0.70076927287834412</v>
      </c>
      <c r="F60" s="140">
        <f t="shared" si="2"/>
        <v>0.80414885875915665</v>
      </c>
      <c r="G60" s="140"/>
      <c r="H60" s="140"/>
      <c r="M60" s="140"/>
      <c r="R60" s="140"/>
    </row>
    <row r="61" spans="1:18" x14ac:dyDescent="0.3">
      <c r="A61" s="38">
        <v>60</v>
      </c>
      <c r="B61" s="139">
        <f t="shared" si="18"/>
        <v>4.9999999999999991</v>
      </c>
      <c r="D61" s="38">
        <f t="shared" si="19"/>
        <v>1.1475230006249997</v>
      </c>
      <c r="E61" s="140">
        <f t="shared" si="1"/>
        <v>0.69655863235011628</v>
      </c>
      <c r="F61" s="140">
        <f t="shared" si="2"/>
        <v>0.79931705190565139</v>
      </c>
      <c r="G61" s="140"/>
      <c r="H61" s="140"/>
      <c r="M61" s="140"/>
      <c r="R61" s="140"/>
    </row>
    <row r="62" spans="1:18" x14ac:dyDescent="0.3">
      <c r="A62" s="38">
        <v>61</v>
      </c>
      <c r="B62" s="139">
        <f t="shared" si="18"/>
        <v>5.0833333333333321</v>
      </c>
      <c r="D62" s="38">
        <f t="shared" si="19"/>
        <v>1.1876863056468745</v>
      </c>
      <c r="E62" s="140">
        <f t="shared" si="1"/>
        <v>0.69237329186620278</v>
      </c>
      <c r="F62" s="140">
        <f t="shared" si="2"/>
        <v>0.82232227714513551</v>
      </c>
      <c r="G62" s="140"/>
      <c r="H62" s="140"/>
      <c r="M62" s="140"/>
      <c r="R62" s="140"/>
    </row>
    <row r="63" spans="1:18" x14ac:dyDescent="0.3">
      <c r="A63" s="38">
        <v>62</v>
      </c>
      <c r="B63" s="139">
        <f t="shared" si="18"/>
        <v>5.1666666666666652</v>
      </c>
      <c r="D63" s="38">
        <f t="shared" si="19"/>
        <v>1.1876863056468745</v>
      </c>
      <c r="E63" s="140">
        <f t="shared" si="1"/>
        <v>0.6882130994088197</v>
      </c>
      <c r="F63" s="140">
        <f t="shared" si="2"/>
        <v>0.81738127353464629</v>
      </c>
      <c r="G63" s="140"/>
      <c r="H63" s="140"/>
      <c r="M63" s="140"/>
      <c r="R63" s="140"/>
    </row>
    <row r="64" spans="1:18" x14ac:dyDescent="0.3">
      <c r="A64" s="38">
        <v>63</v>
      </c>
      <c r="B64" s="139">
        <f t="shared" si="18"/>
        <v>5.2499999999999982</v>
      </c>
      <c r="D64" s="38">
        <f t="shared" si="19"/>
        <v>1.1876863056468745</v>
      </c>
      <c r="E64" s="140">
        <f t="shared" si="1"/>
        <v>0.68407790387359668</v>
      </c>
      <c r="F64" s="140">
        <f t="shared" si="2"/>
        <v>0.81246995842628977</v>
      </c>
      <c r="G64" s="140"/>
      <c r="H64" s="140"/>
      <c r="M64" s="140"/>
      <c r="R64" s="140"/>
    </row>
    <row r="65" spans="1:18" x14ac:dyDescent="0.3">
      <c r="A65" s="38">
        <v>64</v>
      </c>
      <c r="B65" s="139">
        <f t="shared" si="18"/>
        <v>5.3333333333333313</v>
      </c>
      <c r="D65" s="38">
        <f t="shared" si="19"/>
        <v>1.1876863056468745</v>
      </c>
      <c r="E65" s="140">
        <f t="shared" si="1"/>
        <v>0.67996755506408857</v>
      </c>
      <c r="F65" s="140">
        <f t="shared" si="2"/>
        <v>0.80758815343380508</v>
      </c>
      <c r="G65" s="140"/>
      <c r="H65" s="140"/>
      <c r="M65" s="140"/>
      <c r="R65" s="140"/>
    </row>
    <row r="66" spans="1:18" x14ac:dyDescent="0.3">
      <c r="A66" s="38">
        <v>65</v>
      </c>
      <c r="B66" s="139">
        <f t="shared" si="18"/>
        <v>5.4166666666666643</v>
      </c>
      <c r="D66" s="38">
        <f t="shared" si="19"/>
        <v>1.1876863056468745</v>
      </c>
      <c r="E66" s="140">
        <f t="shared" si="1"/>
        <v>0.67588190368632073</v>
      </c>
      <c r="F66" s="140">
        <f t="shared" si="2"/>
        <v>0.80273568124278294</v>
      </c>
      <c r="G66" s="140"/>
      <c r="H66" s="140"/>
      <c r="M66" s="140"/>
      <c r="R66" s="140"/>
    </row>
    <row r="67" spans="1:18" x14ac:dyDescent="0.3">
      <c r="A67" s="38">
        <v>66</v>
      </c>
      <c r="B67" s="139">
        <f t="shared" si="18"/>
        <v>5.4999999999999973</v>
      </c>
      <c r="D67" s="38">
        <f t="shared" si="19"/>
        <v>1.1876863056468745</v>
      </c>
      <c r="E67" s="140">
        <f t="shared" ref="E67:E130" si="20">1/1.075^B67</f>
        <v>0.6718208013433653</v>
      </c>
      <c r="F67" s="140">
        <f t="shared" ref="F67:F130" si="21">D67*E67</f>
        <v>0.79791236560422429</v>
      </c>
      <c r="G67" s="140"/>
      <c r="H67" s="140"/>
      <c r="M67" s="140"/>
      <c r="R67" s="140"/>
    </row>
    <row r="68" spans="1:18" x14ac:dyDescent="0.3">
      <c r="A68" s="38">
        <v>67</v>
      </c>
      <c r="B68" s="139">
        <f t="shared" si="18"/>
        <v>5.5833333333333304</v>
      </c>
      <c r="D68" s="38">
        <f t="shared" si="19"/>
        <v>1.1876863056468745</v>
      </c>
      <c r="E68" s="140">
        <f t="shared" si="20"/>
        <v>0.6677841005299523</v>
      </c>
      <c r="F68" s="140">
        <f t="shared" si="21"/>
        <v>0.79311803132814007</v>
      </c>
      <c r="G68" s="140"/>
      <c r="H68" s="140"/>
      <c r="M68" s="140"/>
      <c r="R68" s="140"/>
    </row>
    <row r="69" spans="1:18" x14ac:dyDescent="0.3">
      <c r="A69" s="38">
        <v>68</v>
      </c>
      <c r="B69" s="139">
        <f t="shared" si="18"/>
        <v>5.6666666666666634</v>
      </c>
      <c r="D69" s="38">
        <f t="shared" si="19"/>
        <v>1.1876863056468745</v>
      </c>
      <c r="E69" s="140">
        <f t="shared" si="20"/>
        <v>0.6637716546271113</v>
      </c>
      <c r="F69" s="140">
        <f t="shared" si="21"/>
        <v>0.78835250427718695</v>
      </c>
      <c r="G69" s="140"/>
      <c r="H69" s="140"/>
      <c r="M69" s="140"/>
      <c r="R69" s="140"/>
    </row>
    <row r="70" spans="1:18" x14ac:dyDescent="0.3">
      <c r="A70" s="38">
        <v>69</v>
      </c>
      <c r="B70" s="139">
        <f t="shared" si="18"/>
        <v>5.7499999999999964</v>
      </c>
      <c r="D70" s="38">
        <f t="shared" si="19"/>
        <v>1.1876863056468745</v>
      </c>
      <c r="E70" s="140">
        <f t="shared" si="20"/>
        <v>0.65978331789684641</v>
      </c>
      <c r="F70" s="140">
        <f t="shared" si="21"/>
        <v>0.78361561136034286</v>
      </c>
      <c r="G70" s="140"/>
      <c r="H70" s="140"/>
      <c r="M70" s="140"/>
      <c r="R70" s="140"/>
    </row>
    <row r="71" spans="1:18" x14ac:dyDescent="0.3">
      <c r="A71" s="38">
        <v>70</v>
      </c>
      <c r="B71" s="139">
        <f t="shared" si="18"/>
        <v>5.8333333333333295</v>
      </c>
      <c r="D71" s="38">
        <f t="shared" si="19"/>
        <v>1.1876863056468745</v>
      </c>
      <c r="E71" s="140">
        <f t="shared" si="20"/>
        <v>0.6558189454768425</v>
      </c>
      <c r="F71" s="140">
        <f t="shared" si="21"/>
        <v>0.77890718052662011</v>
      </c>
      <c r="G71" s="140"/>
      <c r="H71" s="140"/>
      <c r="M71" s="140"/>
      <c r="R71" s="140"/>
    </row>
    <row r="72" spans="1:18" x14ac:dyDescent="0.3">
      <c r="A72" s="38">
        <v>71</v>
      </c>
      <c r="B72" s="139">
        <f t="shared" ref="B72:B135" si="22">B71+1/12</f>
        <v>5.9166666666666625</v>
      </c>
      <c r="D72" s="38">
        <f t="shared" si="19"/>
        <v>1.1876863056468745</v>
      </c>
      <c r="E72" s="140">
        <f t="shared" si="20"/>
        <v>0.65187839337520403</v>
      </c>
      <c r="F72" s="140">
        <f t="shared" si="21"/>
        <v>0.7742270407588161</v>
      </c>
      <c r="G72" s="140"/>
      <c r="H72" s="140"/>
      <c r="M72" s="140"/>
      <c r="R72" s="140"/>
    </row>
    <row r="73" spans="1:18" x14ac:dyDescent="0.3">
      <c r="A73" s="38">
        <v>72</v>
      </c>
      <c r="B73" s="139">
        <f t="shared" si="22"/>
        <v>5.9999999999999956</v>
      </c>
      <c r="D73" s="38">
        <f t="shared" si="19"/>
        <v>1.1876863056468745</v>
      </c>
      <c r="E73" s="140">
        <f t="shared" si="20"/>
        <v>0.64796151846522465</v>
      </c>
      <c r="F73" s="140">
        <f t="shared" si="21"/>
        <v>0.76957502206730166</v>
      </c>
      <c r="G73" s="140"/>
      <c r="H73" s="140"/>
      <c r="M73" s="140"/>
      <c r="R73" s="140"/>
    </row>
    <row r="74" spans="1:18" x14ac:dyDescent="0.3">
      <c r="A74" s="38">
        <v>73</v>
      </c>
      <c r="B74" s="139">
        <f t="shared" si="22"/>
        <v>6.0833333333333286</v>
      </c>
      <c r="D74" s="38">
        <f t="shared" si="19"/>
        <v>1.229255326344515</v>
      </c>
      <c r="E74" s="140">
        <f t="shared" si="20"/>
        <v>0.64406817848018894</v>
      </c>
      <c r="F74" s="140">
        <f t="shared" si="21"/>
        <v>0.79172423892578192</v>
      </c>
      <c r="G74" s="140"/>
      <c r="H74" s="140"/>
      <c r="M74" s="140"/>
      <c r="R74" s="140"/>
    </row>
    <row r="75" spans="1:18" x14ac:dyDescent="0.3">
      <c r="A75" s="38">
        <v>74</v>
      </c>
      <c r="B75" s="139">
        <f t="shared" si="22"/>
        <v>6.1666666666666616</v>
      </c>
      <c r="D75" s="38">
        <f t="shared" si="19"/>
        <v>1.229255326344515</v>
      </c>
      <c r="E75" s="140">
        <f t="shared" si="20"/>
        <v>0.64019823200820458</v>
      </c>
      <c r="F75" s="140">
        <f t="shared" si="21"/>
        <v>0.78696708661242698</v>
      </c>
      <c r="G75" s="140"/>
      <c r="H75" s="140"/>
      <c r="M75" s="140"/>
      <c r="R75" s="140"/>
    </row>
    <row r="76" spans="1:18" x14ac:dyDescent="0.3">
      <c r="A76" s="38">
        <v>75</v>
      </c>
      <c r="B76" s="139">
        <f t="shared" si="22"/>
        <v>6.2499999999999947</v>
      </c>
      <c r="D76" s="38">
        <f t="shared" si="19"/>
        <v>1.229255326344515</v>
      </c>
      <c r="E76" s="140">
        <f t="shared" si="20"/>
        <v>0.63635153848706683</v>
      </c>
      <c r="F76" s="140">
        <f t="shared" si="21"/>
        <v>0.78223851811275347</v>
      </c>
      <c r="G76" s="140"/>
      <c r="H76" s="140"/>
      <c r="M76" s="140"/>
      <c r="R76" s="140"/>
    </row>
    <row r="77" spans="1:18" x14ac:dyDescent="0.3">
      <c r="A77" s="38">
        <v>76</v>
      </c>
      <c r="B77" s="139">
        <f t="shared" si="22"/>
        <v>6.3333333333333277</v>
      </c>
      <c r="D77" s="38">
        <f t="shared" si="19"/>
        <v>1.229255326344515</v>
      </c>
      <c r="E77" s="140">
        <f t="shared" si="20"/>
        <v>0.63252795819915231</v>
      </c>
      <c r="F77" s="140">
        <f t="shared" si="21"/>
        <v>0.77753836167812873</v>
      </c>
      <c r="G77" s="140"/>
      <c r="H77" s="140"/>
      <c r="M77" s="140"/>
      <c r="R77" s="140"/>
    </row>
    <row r="78" spans="1:18" x14ac:dyDescent="0.3">
      <c r="A78" s="38">
        <v>77</v>
      </c>
      <c r="B78" s="139">
        <f t="shared" si="22"/>
        <v>6.4166666666666607</v>
      </c>
      <c r="D78" s="38">
        <f t="shared" si="19"/>
        <v>1.229255326344515</v>
      </c>
      <c r="E78" s="140">
        <f t="shared" si="20"/>
        <v>0.62872735226634502</v>
      </c>
      <c r="F78" s="140">
        <f t="shared" si="21"/>
        <v>0.77286644659188874</v>
      </c>
      <c r="G78" s="140"/>
      <c r="H78" s="140"/>
      <c r="M78" s="140"/>
      <c r="R78" s="140"/>
    </row>
    <row r="79" spans="1:18" x14ac:dyDescent="0.3">
      <c r="A79" s="38">
        <v>78</v>
      </c>
      <c r="B79" s="139">
        <f t="shared" si="22"/>
        <v>6.4999999999999938</v>
      </c>
      <c r="D79" s="38">
        <f t="shared" ref="D79:D142" si="23">D67*1.035</f>
        <v>1.229255326344515</v>
      </c>
      <c r="E79" s="140">
        <f t="shared" si="20"/>
        <v>0.62494958264499123</v>
      </c>
      <c r="F79" s="140">
        <f t="shared" si="21"/>
        <v>0.76822260316313706</v>
      </c>
      <c r="G79" s="140"/>
      <c r="H79" s="140"/>
      <c r="M79" s="140"/>
      <c r="R79" s="140"/>
    </row>
    <row r="80" spans="1:18" x14ac:dyDescent="0.3">
      <c r="A80" s="38">
        <v>79</v>
      </c>
      <c r="B80" s="139">
        <f t="shared" si="22"/>
        <v>6.5833333333333268</v>
      </c>
      <c r="D80" s="38">
        <f t="shared" si="23"/>
        <v>1.229255326344515</v>
      </c>
      <c r="E80" s="140">
        <f t="shared" si="20"/>
        <v>0.62119451212088606</v>
      </c>
      <c r="F80" s="140">
        <f t="shared" si="21"/>
        <v>0.76360666272058153</v>
      </c>
      <c r="G80" s="140"/>
      <c r="H80" s="140"/>
      <c r="M80" s="140"/>
      <c r="R80" s="140"/>
    </row>
    <row r="81" spans="1:18" x14ac:dyDescent="0.3">
      <c r="A81" s="38">
        <v>80</v>
      </c>
      <c r="B81" s="139">
        <f t="shared" si="22"/>
        <v>6.6666666666666599</v>
      </c>
      <c r="D81" s="38">
        <f t="shared" si="23"/>
        <v>1.229255326344515</v>
      </c>
      <c r="E81" s="140">
        <f t="shared" si="20"/>
        <v>0.61746200430428977</v>
      </c>
      <c r="F81" s="140">
        <f t="shared" si="21"/>
        <v>0.75901845760640807</v>
      </c>
      <c r="G81" s="140"/>
      <c r="H81" s="140"/>
      <c r="M81" s="140"/>
      <c r="R81" s="140"/>
    </row>
    <row r="82" spans="1:18" x14ac:dyDescent="0.3">
      <c r="A82" s="38">
        <v>81</v>
      </c>
      <c r="B82" s="139">
        <f t="shared" si="22"/>
        <v>6.7499999999999929</v>
      </c>
      <c r="D82" s="38">
        <f t="shared" si="23"/>
        <v>1.229255326344515</v>
      </c>
      <c r="E82" s="140">
        <f t="shared" si="20"/>
        <v>0.61375192362497355</v>
      </c>
      <c r="F82" s="140">
        <f t="shared" si="21"/>
        <v>0.75445782117019067</v>
      </c>
      <c r="G82" s="140"/>
      <c r="H82" s="140"/>
      <c r="M82" s="140"/>
      <c r="R82" s="140"/>
    </row>
    <row r="83" spans="1:18" x14ac:dyDescent="0.3">
      <c r="A83" s="38">
        <v>82</v>
      </c>
      <c r="B83" s="139">
        <f t="shared" si="22"/>
        <v>6.8333333333333259</v>
      </c>
      <c r="D83" s="38">
        <f t="shared" si="23"/>
        <v>1.229255326344515</v>
      </c>
      <c r="E83" s="140">
        <f t="shared" si="20"/>
        <v>0.61006413532729553</v>
      </c>
      <c r="F83" s="140">
        <f t="shared" si="21"/>
        <v>0.74992458776283899</v>
      </c>
      <c r="G83" s="140"/>
      <c r="H83" s="140"/>
      <c r="M83" s="140"/>
      <c r="R83" s="140"/>
    </row>
    <row r="84" spans="1:18" x14ac:dyDescent="0.3">
      <c r="A84" s="38">
        <v>83</v>
      </c>
      <c r="B84" s="139">
        <f t="shared" si="22"/>
        <v>6.916666666666659</v>
      </c>
      <c r="D84" s="38">
        <f t="shared" si="23"/>
        <v>1.229255326344515</v>
      </c>
      <c r="E84" s="140">
        <f t="shared" si="20"/>
        <v>0.60639850546530627</v>
      </c>
      <c r="F84" s="140">
        <f t="shared" si="21"/>
        <v>0.7454185927305812</v>
      </c>
      <c r="G84" s="140"/>
      <c r="H84" s="140"/>
      <c r="M84" s="140"/>
      <c r="R84" s="140"/>
    </row>
    <row r="85" spans="1:18" x14ac:dyDescent="0.3">
      <c r="A85" s="38">
        <v>84</v>
      </c>
      <c r="B85" s="139">
        <f t="shared" si="22"/>
        <v>6.999999999999992</v>
      </c>
      <c r="D85" s="38">
        <f t="shared" si="23"/>
        <v>1.229255326344515</v>
      </c>
      <c r="E85" s="140">
        <f t="shared" si="20"/>
        <v>0.60275490089788364</v>
      </c>
      <c r="F85" s="140">
        <f t="shared" si="21"/>
        <v>0.74093967240898373</v>
      </c>
      <c r="G85" s="140"/>
      <c r="H85" s="140"/>
      <c r="M85" s="140"/>
      <c r="R85" s="140"/>
    </row>
    <row r="86" spans="1:18" x14ac:dyDescent="0.3">
      <c r="A86" s="38">
        <v>85</v>
      </c>
      <c r="B86" s="139">
        <f t="shared" si="22"/>
        <v>7.083333333333325</v>
      </c>
      <c r="D86" s="38">
        <f t="shared" si="23"/>
        <v>1.2722792627665729</v>
      </c>
      <c r="E86" s="140">
        <f t="shared" si="20"/>
        <v>0.59913318928389681</v>
      </c>
      <c r="F86" s="140">
        <f t="shared" si="21"/>
        <v>0.76226473236110182</v>
      </c>
      <c r="G86" s="140"/>
      <c r="H86" s="140"/>
      <c r="M86" s="140"/>
      <c r="R86" s="140"/>
    </row>
    <row r="87" spans="1:18" x14ac:dyDescent="0.3">
      <c r="A87" s="38">
        <v>86</v>
      </c>
      <c r="B87" s="139">
        <f t="shared" si="22"/>
        <v>7.1666666666666581</v>
      </c>
      <c r="D87" s="38">
        <f t="shared" si="23"/>
        <v>1.2722792627665729</v>
      </c>
      <c r="E87" s="140">
        <f t="shared" si="20"/>
        <v>0.59553323907739986</v>
      </c>
      <c r="F87" s="140">
        <f t="shared" si="21"/>
        <v>0.75768459036638347</v>
      </c>
      <c r="G87" s="140"/>
      <c r="H87" s="140"/>
      <c r="M87" s="140"/>
      <c r="R87" s="140"/>
    </row>
    <row r="88" spans="1:18" x14ac:dyDescent="0.3">
      <c r="A88" s="38">
        <v>87</v>
      </c>
      <c r="B88" s="139">
        <f t="shared" si="22"/>
        <v>7.2499999999999911</v>
      </c>
      <c r="D88" s="38">
        <f t="shared" si="23"/>
        <v>1.2722792627665729</v>
      </c>
      <c r="E88" s="140">
        <f t="shared" si="20"/>
        <v>0.59195491952285306</v>
      </c>
      <c r="F88" s="140">
        <f t="shared" si="21"/>
        <v>0.75313196860158149</v>
      </c>
      <c r="G88" s="140"/>
      <c r="H88" s="140"/>
      <c r="M88" s="140"/>
      <c r="R88" s="140"/>
    </row>
    <row r="89" spans="1:18" x14ac:dyDescent="0.3">
      <c r="A89" s="38">
        <v>88</v>
      </c>
      <c r="B89" s="139">
        <f t="shared" si="22"/>
        <v>7.3333333333333242</v>
      </c>
      <c r="D89" s="38">
        <f t="shared" si="23"/>
        <v>1.2722792627665729</v>
      </c>
      <c r="E89" s="140">
        <f t="shared" si="20"/>
        <v>0.58839810065037446</v>
      </c>
      <c r="F89" s="140">
        <f t="shared" si="21"/>
        <v>0.74860670170871013</v>
      </c>
      <c r="G89" s="140"/>
      <c r="H89" s="140"/>
      <c r="M89" s="140"/>
      <c r="R89" s="140"/>
    </row>
    <row r="90" spans="1:18" x14ac:dyDescent="0.3">
      <c r="A90" s="38">
        <v>89</v>
      </c>
      <c r="B90" s="139">
        <f t="shared" si="22"/>
        <v>7.4166666666666572</v>
      </c>
      <c r="D90" s="38">
        <f t="shared" si="23"/>
        <v>1.2722792627665729</v>
      </c>
      <c r="E90" s="140">
        <f t="shared" si="20"/>
        <v>0.58486265327101883</v>
      </c>
      <c r="F90" s="140">
        <f t="shared" si="21"/>
        <v>0.74410862532335353</v>
      </c>
      <c r="G90" s="140"/>
      <c r="H90" s="140"/>
      <c r="M90" s="140"/>
      <c r="R90" s="140"/>
    </row>
    <row r="91" spans="1:18" x14ac:dyDescent="0.3">
      <c r="A91" s="38">
        <v>90</v>
      </c>
      <c r="B91" s="139">
        <f t="shared" si="22"/>
        <v>7.4999999999999902</v>
      </c>
      <c r="D91" s="38">
        <f t="shared" si="23"/>
        <v>1.2722792627665729</v>
      </c>
      <c r="E91" s="140">
        <f t="shared" si="20"/>
        <v>0.58134844897208493</v>
      </c>
      <c r="F91" s="140">
        <f t="shared" si="21"/>
        <v>0.73963757606869485</v>
      </c>
      <c r="G91" s="140"/>
      <c r="H91" s="140"/>
      <c r="M91" s="140"/>
      <c r="R91" s="140"/>
    </row>
    <row r="92" spans="1:18" x14ac:dyDescent="0.3">
      <c r="A92" s="38">
        <v>91</v>
      </c>
      <c r="B92" s="139">
        <f t="shared" si="22"/>
        <v>7.5833333333333233</v>
      </c>
      <c r="D92" s="38">
        <f t="shared" si="23"/>
        <v>1.2722792627665729</v>
      </c>
      <c r="E92" s="140">
        <f t="shared" si="20"/>
        <v>0.57785536011245231</v>
      </c>
      <c r="F92" s="140">
        <f t="shared" si="21"/>
        <v>0.7351933915495833</v>
      </c>
      <c r="G92" s="140"/>
      <c r="H92" s="140"/>
      <c r="M92" s="140"/>
      <c r="R92" s="140"/>
    </row>
    <row r="93" spans="1:18" x14ac:dyDescent="0.3">
      <c r="A93" s="38">
        <v>92</v>
      </c>
      <c r="B93" s="139">
        <f t="shared" si="22"/>
        <v>7.6666666666666563</v>
      </c>
      <c r="D93" s="38">
        <f t="shared" si="23"/>
        <v>1.2722792627665729</v>
      </c>
      <c r="E93" s="140">
        <f t="shared" si="20"/>
        <v>0.57438325981794414</v>
      </c>
      <c r="F93" s="140">
        <f t="shared" si="21"/>
        <v>0.7307759103466348</v>
      </c>
      <c r="G93" s="140"/>
      <c r="H93" s="140"/>
      <c r="M93" s="140"/>
      <c r="R93" s="140"/>
    </row>
    <row r="94" spans="1:18" x14ac:dyDescent="0.3">
      <c r="A94" s="38">
        <v>93</v>
      </c>
      <c r="B94" s="139">
        <f t="shared" si="22"/>
        <v>7.7499999999999893</v>
      </c>
      <c r="D94" s="38">
        <f t="shared" si="23"/>
        <v>1.2722792627665729</v>
      </c>
      <c r="E94" s="140">
        <f t="shared" si="20"/>
        <v>0.57093202197671977</v>
      </c>
      <c r="F94" s="140">
        <f t="shared" si="21"/>
        <v>0.72638497201036978</v>
      </c>
      <c r="G94" s="140"/>
      <c r="H94" s="140"/>
      <c r="M94" s="140"/>
      <c r="R94" s="140"/>
    </row>
    <row r="95" spans="1:18" x14ac:dyDescent="0.3">
      <c r="A95" s="38">
        <v>94</v>
      </c>
      <c r="B95" s="139">
        <f t="shared" si="22"/>
        <v>7.8333333333333224</v>
      </c>
      <c r="D95" s="38">
        <f t="shared" si="23"/>
        <v>1.2722792627665729</v>
      </c>
      <c r="E95" s="140">
        <f t="shared" si="20"/>
        <v>0.56750152123469366</v>
      </c>
      <c r="F95" s="140">
        <f t="shared" si="21"/>
        <v>0.72202041705538467</v>
      </c>
      <c r="G95" s="140"/>
      <c r="H95" s="140"/>
      <c r="M95" s="140"/>
      <c r="R95" s="140"/>
    </row>
    <row r="96" spans="1:18" x14ac:dyDescent="0.3">
      <c r="A96" s="38">
        <v>95</v>
      </c>
      <c r="B96" s="139">
        <f t="shared" si="22"/>
        <v>7.9166666666666554</v>
      </c>
      <c r="D96" s="38">
        <f t="shared" si="23"/>
        <v>1.2722792627665729</v>
      </c>
      <c r="E96" s="140">
        <f t="shared" si="20"/>
        <v>0.56409163299098275</v>
      </c>
      <c r="F96" s="140">
        <f t="shared" si="21"/>
        <v>0.71768208695455971</v>
      </c>
      <c r="G96" s="140"/>
      <c r="H96" s="140"/>
      <c r="M96" s="140"/>
      <c r="R96" s="140"/>
    </row>
    <row r="97" spans="1:18" x14ac:dyDescent="0.3">
      <c r="A97" s="38">
        <v>96</v>
      </c>
      <c r="B97" s="139">
        <f t="shared" si="22"/>
        <v>7.9999999999999885</v>
      </c>
      <c r="D97" s="38">
        <f t="shared" si="23"/>
        <v>1.2722792627665729</v>
      </c>
      <c r="E97" s="140">
        <f t="shared" si="20"/>
        <v>0.56070223339338021</v>
      </c>
      <c r="F97" s="140">
        <f t="shared" si="21"/>
        <v>0.71336982413330063</v>
      </c>
      <c r="G97" s="140"/>
      <c r="H97" s="140"/>
      <c r="M97" s="140"/>
      <c r="R97" s="140"/>
    </row>
    <row r="98" spans="1:18" x14ac:dyDescent="0.3">
      <c r="A98" s="38">
        <v>97</v>
      </c>
      <c r="B98" s="139">
        <f t="shared" si="22"/>
        <v>8.0833333333333215</v>
      </c>
      <c r="D98" s="38">
        <f t="shared" si="23"/>
        <v>1.3168090369634029</v>
      </c>
      <c r="E98" s="140">
        <f t="shared" si="20"/>
        <v>0.55733319933385761</v>
      </c>
      <c r="F98" s="140">
        <f t="shared" si="21"/>
        <v>0.73390139348254935</v>
      </c>
      <c r="G98" s="140"/>
      <c r="H98" s="140"/>
      <c r="M98" s="140"/>
      <c r="R98" s="140"/>
    </row>
    <row r="99" spans="1:18" x14ac:dyDescent="0.3">
      <c r="A99" s="38">
        <v>98</v>
      </c>
      <c r="B99" s="139">
        <f t="shared" si="22"/>
        <v>8.1666666666666554</v>
      </c>
      <c r="D99" s="38">
        <f t="shared" si="23"/>
        <v>1.3168090369634029</v>
      </c>
      <c r="E99" s="140">
        <f t="shared" si="20"/>
        <v>0.55398440844409291</v>
      </c>
      <c r="F99" s="140">
        <f t="shared" si="21"/>
        <v>0.72949167537600645</v>
      </c>
      <c r="G99" s="140"/>
      <c r="H99" s="140"/>
      <c r="M99" s="140"/>
      <c r="R99" s="140"/>
    </row>
    <row r="100" spans="1:18" x14ac:dyDescent="0.3">
      <c r="A100" s="38">
        <v>99</v>
      </c>
      <c r="B100" s="139">
        <f t="shared" si="22"/>
        <v>8.2499999999999893</v>
      </c>
      <c r="D100" s="38">
        <f t="shared" si="23"/>
        <v>1.3168090369634029</v>
      </c>
      <c r="E100" s="140">
        <f t="shared" si="20"/>
        <v>0.55065573909102616</v>
      </c>
      <c r="F100" s="140">
        <f t="shared" si="21"/>
        <v>0.72510845349082498</v>
      </c>
      <c r="G100" s="140"/>
      <c r="H100" s="140"/>
      <c r="M100" s="140"/>
      <c r="R100" s="140"/>
    </row>
    <row r="101" spans="1:18" x14ac:dyDescent="0.3">
      <c r="A101" s="38">
        <v>100</v>
      </c>
      <c r="B101" s="139">
        <f t="shared" si="22"/>
        <v>8.3333333333333233</v>
      </c>
      <c r="D101" s="38">
        <f t="shared" si="23"/>
        <v>1.3168090369634029</v>
      </c>
      <c r="E101" s="140">
        <f t="shared" si="20"/>
        <v>0.54734707037244146</v>
      </c>
      <c r="F101" s="140">
        <f t="shared" si="21"/>
        <v>0.72075156862187451</v>
      </c>
      <c r="G101" s="140"/>
      <c r="H101" s="140"/>
      <c r="M101" s="140"/>
      <c r="R101" s="140"/>
    </row>
    <row r="102" spans="1:18" x14ac:dyDescent="0.3">
      <c r="A102" s="38">
        <v>101</v>
      </c>
      <c r="B102" s="139">
        <f t="shared" si="22"/>
        <v>8.4166666666666572</v>
      </c>
      <c r="D102" s="38">
        <f t="shared" si="23"/>
        <v>1.3168090369634029</v>
      </c>
      <c r="E102" s="140">
        <f t="shared" si="20"/>
        <v>0.54405828211257568</v>
      </c>
      <c r="F102" s="140">
        <f t="shared" si="21"/>
        <v>0.71642086252062409</v>
      </c>
      <c r="G102" s="140"/>
      <c r="H102" s="140"/>
      <c r="M102" s="140"/>
      <c r="R102" s="140"/>
    </row>
    <row r="103" spans="1:18" x14ac:dyDescent="0.3">
      <c r="A103" s="38">
        <v>102</v>
      </c>
      <c r="B103" s="139">
        <f t="shared" si="22"/>
        <v>8.4999999999999911</v>
      </c>
      <c r="D103" s="38">
        <f t="shared" si="23"/>
        <v>1.3168090369634029</v>
      </c>
      <c r="E103" s="140">
        <f t="shared" si="20"/>
        <v>0.54078925485775353</v>
      </c>
      <c r="F103" s="140">
        <f t="shared" si="21"/>
        <v>0.71211617788939463</v>
      </c>
      <c r="G103" s="140"/>
      <c r="H103" s="140"/>
      <c r="M103" s="140"/>
      <c r="R103" s="140"/>
    </row>
    <row r="104" spans="1:18" x14ac:dyDescent="0.3">
      <c r="A104" s="38">
        <v>103</v>
      </c>
      <c r="B104" s="139">
        <f t="shared" si="22"/>
        <v>8.583333333333325</v>
      </c>
      <c r="D104" s="38">
        <f t="shared" si="23"/>
        <v>1.3168090369634029</v>
      </c>
      <c r="E104" s="140">
        <f t="shared" si="20"/>
        <v>0.5375398698720486</v>
      </c>
      <c r="F104" s="140">
        <f t="shared" si="21"/>
        <v>0.70783735837564521</v>
      </c>
      <c r="G104" s="140"/>
      <c r="H104" s="140"/>
      <c r="M104" s="140"/>
      <c r="R104" s="140"/>
    </row>
    <row r="105" spans="1:18" x14ac:dyDescent="0.3">
      <c r="A105" s="38">
        <v>104</v>
      </c>
      <c r="B105" s="139">
        <f t="shared" si="22"/>
        <v>8.666666666666659</v>
      </c>
      <c r="D105" s="38">
        <f t="shared" si="23"/>
        <v>1.3168090369634029</v>
      </c>
      <c r="E105" s="140">
        <f t="shared" si="20"/>
        <v>0.53431000913297122</v>
      </c>
      <c r="F105" s="140">
        <f t="shared" si="21"/>
        <v>0.70358424856629487</v>
      </c>
      <c r="G105" s="140"/>
      <c r="H105" s="140"/>
      <c r="M105" s="140"/>
      <c r="R105" s="140"/>
    </row>
    <row r="106" spans="1:18" x14ac:dyDescent="0.3">
      <c r="A106" s="38">
        <v>105</v>
      </c>
      <c r="B106" s="139">
        <f t="shared" si="22"/>
        <v>8.7499999999999929</v>
      </c>
      <c r="D106" s="38">
        <f t="shared" si="23"/>
        <v>1.3168090369634029</v>
      </c>
      <c r="E106" s="140">
        <f t="shared" si="20"/>
        <v>0.53109955532718101</v>
      </c>
      <c r="F106" s="140">
        <f t="shared" si="21"/>
        <v>0.69935669398207678</v>
      </c>
      <c r="G106" s="140"/>
      <c r="H106" s="140"/>
      <c r="M106" s="140"/>
      <c r="R106" s="140"/>
    </row>
    <row r="107" spans="1:18" x14ac:dyDescent="0.3">
      <c r="A107" s="38">
        <v>106</v>
      </c>
      <c r="B107" s="139">
        <f t="shared" si="22"/>
        <v>8.8333333333333268</v>
      </c>
      <c r="D107" s="38">
        <f t="shared" si="23"/>
        <v>1.3168090369634029</v>
      </c>
      <c r="E107" s="140">
        <f t="shared" si="20"/>
        <v>0.52790839184622651</v>
      </c>
      <c r="F107" s="140">
        <f t="shared" si="21"/>
        <v>0.69515454107192831</v>
      </c>
      <c r="G107" s="140"/>
      <c r="H107" s="140"/>
      <c r="M107" s="140"/>
      <c r="R107" s="140"/>
    </row>
    <row r="108" spans="1:18" x14ac:dyDescent="0.3">
      <c r="A108" s="38">
        <v>107</v>
      </c>
      <c r="B108" s="139">
        <f t="shared" si="22"/>
        <v>8.9166666666666607</v>
      </c>
      <c r="D108" s="38">
        <f t="shared" si="23"/>
        <v>1.3168090369634029</v>
      </c>
      <c r="E108" s="140">
        <f t="shared" si="20"/>
        <v>0.52473640278230937</v>
      </c>
      <c r="F108" s="140">
        <f t="shared" si="21"/>
        <v>0.69097763720741312</v>
      </c>
      <c r="G108" s="140"/>
      <c r="H108" s="140"/>
      <c r="M108" s="140"/>
      <c r="R108" s="140"/>
    </row>
    <row r="109" spans="1:18" x14ac:dyDescent="0.3">
      <c r="A109" s="38">
        <v>108</v>
      </c>
      <c r="B109" s="139">
        <f t="shared" si="22"/>
        <v>8.9999999999999947</v>
      </c>
      <c r="D109" s="38">
        <f t="shared" si="23"/>
        <v>1.3168090369634029</v>
      </c>
      <c r="E109" s="140">
        <f t="shared" si="20"/>
        <v>0.52158347292407448</v>
      </c>
      <c r="F109" s="140">
        <f t="shared" si="21"/>
        <v>0.68682583067717762</v>
      </c>
      <c r="G109" s="140"/>
      <c r="H109" s="140"/>
      <c r="M109" s="140"/>
      <c r="R109" s="140"/>
    </row>
    <row r="110" spans="1:18" x14ac:dyDescent="0.3">
      <c r="A110" s="38">
        <v>109</v>
      </c>
      <c r="B110" s="139">
        <f t="shared" si="22"/>
        <v>9.0833333333333286</v>
      </c>
      <c r="D110" s="38">
        <f t="shared" si="23"/>
        <v>1.3628973532571218</v>
      </c>
      <c r="E110" s="140">
        <f t="shared" si="20"/>
        <v>0.5184494877524255</v>
      </c>
      <c r="F110" s="140">
        <f t="shared" si="21"/>
        <v>0.70659343465529134</v>
      </c>
      <c r="G110" s="140"/>
      <c r="H110" s="140"/>
      <c r="M110" s="140"/>
      <c r="R110" s="140"/>
    </row>
    <row r="111" spans="1:18" x14ac:dyDescent="0.3">
      <c r="A111" s="38">
        <v>110</v>
      </c>
      <c r="B111" s="139">
        <f t="shared" si="22"/>
        <v>9.1666666666666625</v>
      </c>
      <c r="D111" s="38">
        <f t="shared" si="23"/>
        <v>1.3628973532571218</v>
      </c>
      <c r="E111" s="140">
        <f t="shared" si="20"/>
        <v>0.51533433343636526</v>
      </c>
      <c r="F111" s="140">
        <f t="shared" si="21"/>
        <v>0.70234779908294531</v>
      </c>
      <c r="G111" s="140"/>
      <c r="H111" s="140"/>
      <c r="M111" s="140"/>
      <c r="R111" s="140"/>
    </row>
    <row r="112" spans="1:18" x14ac:dyDescent="0.3">
      <c r="A112" s="38">
        <v>111</v>
      </c>
      <c r="B112" s="139">
        <f t="shared" si="22"/>
        <v>9.2499999999999964</v>
      </c>
      <c r="D112" s="38">
        <f t="shared" si="23"/>
        <v>1.3628973532571218</v>
      </c>
      <c r="E112" s="140">
        <f t="shared" si="20"/>
        <v>0.51223789682886134</v>
      </c>
      <c r="F112" s="140">
        <f t="shared" si="21"/>
        <v>0.69812767382604979</v>
      </c>
      <c r="G112" s="140"/>
      <c r="H112" s="140"/>
      <c r="M112" s="140"/>
      <c r="R112" s="140"/>
    </row>
    <row r="113" spans="1:18" x14ac:dyDescent="0.3">
      <c r="A113" s="38">
        <v>112</v>
      </c>
      <c r="B113" s="139">
        <f t="shared" si="22"/>
        <v>9.3333333333333304</v>
      </c>
      <c r="D113" s="38">
        <f t="shared" si="23"/>
        <v>1.3628973532571218</v>
      </c>
      <c r="E113" s="140">
        <f t="shared" si="20"/>
        <v>0.50916006546273596</v>
      </c>
      <c r="F113" s="140">
        <f t="shared" si="21"/>
        <v>0.69393290560338572</v>
      </c>
      <c r="G113" s="140"/>
      <c r="H113" s="140"/>
      <c r="M113" s="140"/>
      <c r="R113" s="140"/>
    </row>
    <row r="114" spans="1:18" x14ac:dyDescent="0.3">
      <c r="A114" s="38">
        <v>113</v>
      </c>
      <c r="B114" s="139">
        <f t="shared" si="22"/>
        <v>9.4166666666666643</v>
      </c>
      <c r="D114" s="38">
        <f t="shared" si="23"/>
        <v>1.3628973532571218</v>
      </c>
      <c r="E114" s="140">
        <f t="shared" si="20"/>
        <v>0.50610072754658175</v>
      </c>
      <c r="F114" s="140">
        <f t="shared" si="21"/>
        <v>0.68976334205473999</v>
      </c>
      <c r="G114" s="140"/>
      <c r="H114" s="140"/>
      <c r="M114" s="140"/>
      <c r="R114" s="140"/>
    </row>
    <row r="115" spans="1:18" x14ac:dyDescent="0.3">
      <c r="A115" s="38">
        <v>114</v>
      </c>
      <c r="B115" s="139">
        <f t="shared" si="22"/>
        <v>9.4999999999999982</v>
      </c>
      <c r="D115" s="38">
        <f t="shared" si="23"/>
        <v>1.3628973532571218</v>
      </c>
      <c r="E115" s="140">
        <f t="shared" si="20"/>
        <v>0.50305977196070062</v>
      </c>
      <c r="F115" s="140">
        <f t="shared" si="21"/>
        <v>0.68561883173537008</v>
      </c>
      <c r="G115" s="140"/>
      <c r="H115" s="140"/>
      <c r="M115" s="140"/>
      <c r="R115" s="140"/>
    </row>
    <row r="116" spans="1:18" x14ac:dyDescent="0.3">
      <c r="A116" s="38">
        <v>115</v>
      </c>
      <c r="B116" s="139">
        <f t="shared" si="22"/>
        <v>9.5833333333333321</v>
      </c>
      <c r="D116" s="38">
        <f t="shared" si="23"/>
        <v>1.3628973532571218</v>
      </c>
      <c r="E116" s="140">
        <f t="shared" si="20"/>
        <v>0.50003708825306825</v>
      </c>
      <c r="F116" s="140">
        <f t="shared" si="21"/>
        <v>0.68149922411050456</v>
      </c>
      <c r="G116" s="140"/>
      <c r="H116" s="140"/>
      <c r="M116" s="140"/>
      <c r="R116" s="140"/>
    </row>
    <row r="117" spans="1:18" x14ac:dyDescent="0.3">
      <c r="A117" s="38">
        <v>116</v>
      </c>
      <c r="B117" s="139">
        <f t="shared" si="22"/>
        <v>9.6666666666666661</v>
      </c>
      <c r="D117" s="38">
        <f t="shared" si="23"/>
        <v>1.3628973532571218</v>
      </c>
      <c r="E117" s="140">
        <f t="shared" si="20"/>
        <v>0.4970325666353218</v>
      </c>
      <c r="F117" s="140">
        <f t="shared" si="21"/>
        <v>0.67740436954987415</v>
      </c>
      <c r="G117" s="140"/>
      <c r="H117" s="140"/>
      <c r="M117" s="140"/>
      <c r="R117" s="140"/>
    </row>
    <row r="118" spans="1:18" x14ac:dyDescent="0.3">
      <c r="A118" s="38">
        <v>117</v>
      </c>
      <c r="B118" s="139">
        <f t="shared" si="22"/>
        <v>9.75</v>
      </c>
      <c r="D118" s="38">
        <f t="shared" si="23"/>
        <v>1.3628973532571218</v>
      </c>
      <c r="E118" s="140">
        <f t="shared" si="20"/>
        <v>0.4940460979787728</v>
      </c>
      <c r="F118" s="140">
        <f t="shared" si="21"/>
        <v>0.67333411932227816</v>
      </c>
      <c r="G118" s="140"/>
      <c r="H118" s="140"/>
      <c r="M118" s="140"/>
      <c r="R118" s="140"/>
    </row>
    <row r="119" spans="1:18" x14ac:dyDescent="0.3">
      <c r="A119" s="38">
        <v>118</v>
      </c>
      <c r="B119" s="139">
        <f t="shared" si="22"/>
        <v>9.8333333333333339</v>
      </c>
      <c r="D119" s="38">
        <f t="shared" si="23"/>
        <v>1.3628973532571218</v>
      </c>
      <c r="E119" s="140">
        <f t="shared" si="20"/>
        <v>0.49107757381044309</v>
      </c>
      <c r="F119" s="140">
        <f t="shared" si="21"/>
        <v>0.66928832559018181</v>
      </c>
      <c r="G119" s="140"/>
      <c r="H119" s="140"/>
      <c r="M119" s="140"/>
      <c r="R119" s="140"/>
    </row>
    <row r="120" spans="1:18" x14ac:dyDescent="0.3">
      <c r="A120" s="38">
        <v>119</v>
      </c>
      <c r="B120" s="139">
        <f t="shared" si="22"/>
        <v>9.9166666666666679</v>
      </c>
      <c r="D120" s="38">
        <f t="shared" si="23"/>
        <v>1.3628973532571218</v>
      </c>
      <c r="E120" s="140">
        <f t="shared" si="20"/>
        <v>0.48812688630912476</v>
      </c>
      <c r="F120" s="140">
        <f t="shared" si="21"/>
        <v>0.66526684140434611</v>
      </c>
      <c r="G120" s="140"/>
      <c r="H120" s="140"/>
      <c r="M120" s="140"/>
      <c r="R120" s="140"/>
    </row>
    <row r="121" spans="1:18" x14ac:dyDescent="0.3">
      <c r="A121" s="38">
        <v>120</v>
      </c>
      <c r="B121" s="139">
        <f t="shared" si="22"/>
        <v>10.000000000000002</v>
      </c>
      <c r="D121" s="38">
        <f t="shared" si="23"/>
        <v>1.3628973532571218</v>
      </c>
      <c r="E121" s="140">
        <f t="shared" si="20"/>
        <v>0.48519392830146441</v>
      </c>
      <c r="F121" s="140">
        <f t="shared" si="21"/>
        <v>0.66126952069849154</v>
      </c>
      <c r="G121" s="140"/>
      <c r="H121" s="140"/>
      <c r="M121" s="140"/>
      <c r="R121" s="140"/>
    </row>
    <row r="122" spans="1:18" x14ac:dyDescent="0.3">
      <c r="A122" s="38">
        <v>121</v>
      </c>
      <c r="B122" s="139">
        <f t="shared" si="22"/>
        <v>10.083333333333336</v>
      </c>
      <c r="D122" s="38">
        <f t="shared" si="23"/>
        <v>1.410598760621121</v>
      </c>
      <c r="E122" s="140">
        <f t="shared" si="20"/>
        <v>0.48227859325806999</v>
      </c>
      <c r="F122" s="140">
        <f t="shared" si="21"/>
        <v>0.6803015859239312</v>
      </c>
      <c r="G122" s="140"/>
      <c r="H122" s="140"/>
      <c r="M122" s="140"/>
      <c r="R122" s="140"/>
    </row>
    <row r="123" spans="1:18" x14ac:dyDescent="0.3">
      <c r="A123" s="38">
        <v>122</v>
      </c>
      <c r="B123" s="139">
        <f t="shared" si="22"/>
        <v>10.16666666666667</v>
      </c>
      <c r="D123" s="38">
        <f t="shared" si="23"/>
        <v>1.410598760621121</v>
      </c>
      <c r="E123" s="140">
        <f t="shared" si="20"/>
        <v>0.47938077528964196</v>
      </c>
      <c r="F123" s="140">
        <f t="shared" si="21"/>
        <v>0.67621392748916109</v>
      </c>
      <c r="G123" s="140"/>
      <c r="H123" s="140"/>
      <c r="M123" s="140"/>
      <c r="R123" s="140"/>
    </row>
    <row r="124" spans="1:18" x14ac:dyDescent="0.3">
      <c r="A124" s="38">
        <v>123</v>
      </c>
      <c r="B124" s="139">
        <f t="shared" si="22"/>
        <v>10.250000000000004</v>
      </c>
      <c r="D124" s="38">
        <f t="shared" si="23"/>
        <v>1.410598760621121</v>
      </c>
      <c r="E124" s="140">
        <f t="shared" si="20"/>
        <v>0.47650036914312666</v>
      </c>
      <c r="F124" s="140">
        <f t="shared" si="21"/>
        <v>0.67215083014880106</v>
      </c>
      <c r="G124" s="140"/>
      <c r="H124" s="140"/>
      <c r="M124" s="140"/>
      <c r="R124" s="140"/>
    </row>
    <row r="125" spans="1:18" x14ac:dyDescent="0.3">
      <c r="A125" s="38">
        <v>124</v>
      </c>
      <c r="B125" s="139">
        <f t="shared" si="22"/>
        <v>10.333333333333337</v>
      </c>
      <c r="D125" s="38">
        <f t="shared" si="23"/>
        <v>1.410598760621121</v>
      </c>
      <c r="E125" s="140">
        <f t="shared" si="20"/>
        <v>0.47363727019789376</v>
      </c>
      <c r="F125" s="140">
        <f t="shared" si="21"/>
        <v>0.66811214632511995</v>
      </c>
      <c r="G125" s="140"/>
      <c r="H125" s="140"/>
      <c r="M125" s="140"/>
      <c r="R125" s="140"/>
    </row>
    <row r="126" spans="1:18" x14ac:dyDescent="0.3">
      <c r="A126" s="38">
        <v>125</v>
      </c>
      <c r="B126" s="139">
        <f t="shared" si="22"/>
        <v>10.416666666666671</v>
      </c>
      <c r="D126" s="38">
        <f t="shared" si="23"/>
        <v>1.410598760621121</v>
      </c>
      <c r="E126" s="140">
        <f t="shared" si="20"/>
        <v>0.47079137446193631</v>
      </c>
      <c r="F126" s="140">
        <f t="shared" si="21"/>
        <v>0.66409772932712141</v>
      </c>
      <c r="G126" s="140"/>
      <c r="H126" s="140"/>
      <c r="M126" s="140"/>
      <c r="R126" s="140"/>
    </row>
    <row r="127" spans="1:18" x14ac:dyDescent="0.3">
      <c r="A127" s="38">
        <v>126</v>
      </c>
      <c r="B127" s="139">
        <f t="shared" si="22"/>
        <v>10.500000000000005</v>
      </c>
      <c r="D127" s="38">
        <f t="shared" si="23"/>
        <v>1.410598760621121</v>
      </c>
      <c r="E127" s="140">
        <f t="shared" si="20"/>
        <v>0.46796257856809348</v>
      </c>
      <c r="F127" s="140">
        <f t="shared" si="21"/>
        <v>0.6601074333452166</v>
      </c>
      <c r="G127" s="140"/>
      <c r="H127" s="140"/>
      <c r="M127" s="140"/>
      <c r="R127" s="140"/>
    </row>
    <row r="128" spans="1:18" x14ac:dyDescent="0.3">
      <c r="A128" s="38">
        <v>127</v>
      </c>
      <c r="B128" s="139">
        <f t="shared" si="22"/>
        <v>10.583333333333339</v>
      </c>
      <c r="D128" s="38">
        <f t="shared" si="23"/>
        <v>1.410598760621121</v>
      </c>
      <c r="E128" s="140">
        <f t="shared" si="20"/>
        <v>0.4651507797702959</v>
      </c>
      <c r="F128" s="140">
        <f t="shared" si="21"/>
        <v>0.6561411134459274</v>
      </c>
      <c r="G128" s="140"/>
      <c r="H128" s="140"/>
      <c r="M128" s="140"/>
      <c r="R128" s="140"/>
    </row>
    <row r="129" spans="1:18" x14ac:dyDescent="0.3">
      <c r="A129" s="38">
        <v>128</v>
      </c>
      <c r="B129" s="139">
        <f t="shared" si="22"/>
        <v>10.666666666666673</v>
      </c>
      <c r="D129" s="38">
        <f t="shared" si="23"/>
        <v>1.410598760621121</v>
      </c>
      <c r="E129" s="140">
        <f t="shared" si="20"/>
        <v>0.46235587593983413</v>
      </c>
      <c r="F129" s="140">
        <f t="shared" si="21"/>
        <v>0.65219862556662278</v>
      </c>
      <c r="G129" s="140"/>
      <c r="H129" s="140"/>
      <c r="M129" s="140"/>
      <c r="R129" s="140"/>
    </row>
    <row r="130" spans="1:18" x14ac:dyDescent="0.3">
      <c r="A130" s="38">
        <v>129</v>
      </c>
      <c r="B130" s="139">
        <f t="shared" si="22"/>
        <v>10.750000000000007</v>
      </c>
      <c r="D130" s="38">
        <f t="shared" si="23"/>
        <v>1.410598760621121</v>
      </c>
      <c r="E130" s="140">
        <f t="shared" si="20"/>
        <v>0.45957776556164898</v>
      </c>
      <c r="F130" s="140">
        <f t="shared" si="21"/>
        <v>0.64827982651028615</v>
      </c>
      <c r="G130" s="140"/>
      <c r="H130" s="140"/>
      <c r="M130" s="140"/>
      <c r="R130" s="140"/>
    </row>
    <row r="131" spans="1:18" x14ac:dyDescent="0.3">
      <c r="A131" s="38">
        <v>130</v>
      </c>
      <c r="B131" s="139">
        <f t="shared" si="22"/>
        <v>10.833333333333341</v>
      </c>
      <c r="D131" s="38">
        <f t="shared" si="23"/>
        <v>1.410598760621121</v>
      </c>
      <c r="E131" s="140">
        <f t="shared" ref="E131:E194" si="24">1/1.075^B131</f>
        <v>0.4568163477306445</v>
      </c>
      <c r="F131" s="140">
        <f t="shared" ref="F131:F194" si="25">D131*E131</f>
        <v>0.64438457394031412</v>
      </c>
      <c r="G131" s="140"/>
      <c r="H131" s="140"/>
      <c r="M131" s="140"/>
      <c r="R131" s="140"/>
    </row>
    <row r="132" spans="1:18" x14ac:dyDescent="0.3">
      <c r="A132" s="38">
        <v>131</v>
      </c>
      <c r="B132" s="139">
        <f t="shared" si="22"/>
        <v>10.916666666666675</v>
      </c>
      <c r="D132" s="38">
        <f t="shared" si="23"/>
        <v>1.410598760621121</v>
      </c>
      <c r="E132" s="140">
        <f t="shared" si="24"/>
        <v>0.45407152214802282</v>
      </c>
      <c r="F132" s="140">
        <f t="shared" si="25"/>
        <v>0.64051272637534684</v>
      </c>
      <c r="G132" s="140"/>
      <c r="H132" s="140"/>
      <c r="M132" s="140"/>
      <c r="R132" s="140"/>
    </row>
    <row r="133" spans="1:18" x14ac:dyDescent="0.3">
      <c r="A133" s="38">
        <v>132</v>
      </c>
      <c r="B133" s="139">
        <f t="shared" si="22"/>
        <v>11.000000000000009</v>
      </c>
      <c r="D133" s="38">
        <f t="shared" si="23"/>
        <v>1.410598760621121</v>
      </c>
      <c r="E133" s="140">
        <f t="shared" si="24"/>
        <v>0.4513431891176411</v>
      </c>
      <c r="F133" s="140">
        <f t="shared" si="25"/>
        <v>0.63666414318412878</v>
      </c>
      <c r="G133" s="140"/>
      <c r="H133" s="140"/>
      <c r="M133" s="140"/>
      <c r="R133" s="140"/>
    </row>
    <row r="134" spans="1:18" x14ac:dyDescent="0.3">
      <c r="A134" s="38">
        <v>133</v>
      </c>
      <c r="B134" s="139">
        <f t="shared" si="22"/>
        <v>11.083333333333343</v>
      </c>
      <c r="D134" s="38">
        <f t="shared" si="23"/>
        <v>1.4599697172428601</v>
      </c>
      <c r="E134" s="140">
        <f t="shared" si="24"/>
        <v>0.44863124954239053</v>
      </c>
      <c r="F134" s="140">
        <f t="shared" si="25"/>
        <v>0.65498803854071486</v>
      </c>
      <c r="G134" s="140"/>
      <c r="H134" s="140"/>
      <c r="M134" s="140"/>
      <c r="R134" s="140"/>
    </row>
    <row r="135" spans="1:18" x14ac:dyDescent="0.3">
      <c r="A135" s="38">
        <v>134</v>
      </c>
      <c r="B135" s="139">
        <f t="shared" si="22"/>
        <v>11.166666666666677</v>
      </c>
      <c r="D135" s="38">
        <f t="shared" si="23"/>
        <v>1.4599697172428601</v>
      </c>
      <c r="E135" s="140">
        <f t="shared" si="24"/>
        <v>0.44593560492059692</v>
      </c>
      <c r="F135" s="140">
        <f t="shared" si="25"/>
        <v>0.65105247902444763</v>
      </c>
      <c r="G135" s="140"/>
      <c r="H135" s="140"/>
      <c r="M135" s="140"/>
      <c r="R135" s="140"/>
    </row>
    <row r="136" spans="1:18" x14ac:dyDescent="0.3">
      <c r="A136" s="38">
        <v>135</v>
      </c>
      <c r="B136" s="139">
        <f t="shared" ref="B136:B199" si="26">B135+1/12</f>
        <v>11.250000000000011</v>
      </c>
      <c r="D136" s="38">
        <f t="shared" si="23"/>
        <v>1.4599697172428601</v>
      </c>
      <c r="E136" s="140">
        <f t="shared" si="24"/>
        <v>0.44325615734244311</v>
      </c>
      <c r="F136" s="140">
        <f t="shared" si="25"/>
        <v>0.64714056670140341</v>
      </c>
      <c r="G136" s="140"/>
      <c r="H136" s="140"/>
      <c r="M136" s="140"/>
      <c r="R136" s="140"/>
    </row>
    <row r="137" spans="1:18" x14ac:dyDescent="0.3">
      <c r="A137" s="38">
        <v>136</v>
      </c>
      <c r="B137" s="139">
        <f t="shared" si="26"/>
        <v>11.333333333333345</v>
      </c>
      <c r="D137" s="38">
        <f t="shared" si="23"/>
        <v>1.4599697172428601</v>
      </c>
      <c r="E137" s="140">
        <f t="shared" si="24"/>
        <v>0.44059280948641261</v>
      </c>
      <c r="F137" s="140">
        <f t="shared" si="25"/>
        <v>0.64325215948511516</v>
      </c>
      <c r="G137" s="140"/>
      <c r="H137" s="140"/>
      <c r="M137" s="140"/>
      <c r="R137" s="140"/>
    </row>
    <row r="138" spans="1:18" x14ac:dyDescent="0.3">
      <c r="A138" s="38">
        <v>137</v>
      </c>
      <c r="B138" s="139">
        <f t="shared" si="26"/>
        <v>11.416666666666679</v>
      </c>
      <c r="D138" s="38">
        <f t="shared" si="23"/>
        <v>1.4599697172428601</v>
      </c>
      <c r="E138" s="140">
        <f t="shared" si="24"/>
        <v>0.43794546461575456</v>
      </c>
      <c r="F138" s="140">
        <f t="shared" si="25"/>
        <v>0.63938711614285615</v>
      </c>
      <c r="G138" s="140"/>
      <c r="H138" s="140"/>
      <c r="M138" s="140"/>
      <c r="R138" s="140"/>
    </row>
    <row r="139" spans="1:18" x14ac:dyDescent="0.3">
      <c r="A139" s="38">
        <v>138</v>
      </c>
      <c r="B139" s="139">
        <f t="shared" si="26"/>
        <v>11.500000000000012</v>
      </c>
      <c r="D139" s="38">
        <f t="shared" si="23"/>
        <v>1.4599697172428601</v>
      </c>
      <c r="E139" s="140">
        <f t="shared" si="24"/>
        <v>0.43531402657497043</v>
      </c>
      <c r="F139" s="140">
        <f t="shared" si="25"/>
        <v>0.63554529629051049</v>
      </c>
      <c r="G139" s="140"/>
      <c r="H139" s="140"/>
      <c r="M139" s="140"/>
      <c r="R139" s="140"/>
    </row>
    <row r="140" spans="1:18" x14ac:dyDescent="0.3">
      <c r="A140" s="38">
        <v>139</v>
      </c>
      <c r="B140" s="139">
        <f t="shared" si="26"/>
        <v>11.583333333333346</v>
      </c>
      <c r="D140" s="38">
        <f t="shared" si="23"/>
        <v>1.4599697172428601</v>
      </c>
      <c r="E140" s="140">
        <f t="shared" si="24"/>
        <v>0.43269839978632152</v>
      </c>
      <c r="F140" s="140">
        <f t="shared" si="25"/>
        <v>0.63172656038747388</v>
      </c>
      <c r="G140" s="140"/>
      <c r="H140" s="140"/>
      <c r="M140" s="140"/>
      <c r="R140" s="140"/>
    </row>
    <row r="141" spans="1:18" x14ac:dyDescent="0.3">
      <c r="A141" s="38">
        <v>140</v>
      </c>
      <c r="B141" s="139">
        <f t="shared" si="26"/>
        <v>11.66666666666668</v>
      </c>
      <c r="D141" s="38">
        <f t="shared" si="23"/>
        <v>1.4599697172428601</v>
      </c>
      <c r="E141" s="140">
        <f t="shared" si="24"/>
        <v>0.43009848924635702</v>
      </c>
      <c r="F141" s="140">
        <f t="shared" si="25"/>
        <v>0.62793076973158513</v>
      </c>
      <c r="G141" s="140"/>
      <c r="H141" s="140"/>
      <c r="M141" s="140"/>
      <c r="R141" s="140"/>
    </row>
    <row r="142" spans="1:18" x14ac:dyDescent="0.3">
      <c r="A142" s="38">
        <v>141</v>
      </c>
      <c r="B142" s="139">
        <f t="shared" si="26"/>
        <v>11.750000000000014</v>
      </c>
      <c r="D142" s="38">
        <f t="shared" si="23"/>
        <v>1.4599697172428601</v>
      </c>
      <c r="E142" s="140">
        <f t="shared" si="24"/>
        <v>0.42751420052246397</v>
      </c>
      <c r="F142" s="140">
        <f t="shared" si="25"/>
        <v>0.62415778645408915</v>
      </c>
      <c r="G142" s="140"/>
      <c r="H142" s="140"/>
      <c r="M142" s="140"/>
      <c r="R142" s="140"/>
    </row>
    <row r="143" spans="1:18" x14ac:dyDescent="0.3">
      <c r="A143" s="38">
        <v>142</v>
      </c>
      <c r="B143" s="139">
        <f t="shared" si="26"/>
        <v>11.833333333333348</v>
      </c>
      <c r="D143" s="38">
        <f t="shared" ref="D143:D206" si="27">D131*1.035</f>
        <v>1.4599697172428601</v>
      </c>
      <c r="E143" s="140">
        <f t="shared" si="24"/>
        <v>0.42494543974943655</v>
      </c>
      <c r="F143" s="140">
        <f t="shared" si="25"/>
        <v>0.62040747351462766</v>
      </c>
      <c r="G143" s="140"/>
      <c r="H143" s="140"/>
      <c r="M143" s="140"/>
      <c r="R143" s="140"/>
    </row>
    <row r="144" spans="1:18" x14ac:dyDescent="0.3">
      <c r="A144" s="38">
        <v>143</v>
      </c>
      <c r="B144" s="139">
        <f t="shared" si="26"/>
        <v>11.916666666666682</v>
      </c>
      <c r="D144" s="38">
        <f t="shared" si="27"/>
        <v>1.4599697172428601</v>
      </c>
      <c r="E144" s="140">
        <f t="shared" si="24"/>
        <v>0.4223921136260676</v>
      </c>
      <c r="F144" s="140">
        <f t="shared" si="25"/>
        <v>0.61667969469626394</v>
      </c>
      <c r="G144" s="140"/>
      <c r="H144" s="140"/>
      <c r="M144" s="140"/>
      <c r="R144" s="140"/>
    </row>
    <row r="145" spans="1:18" x14ac:dyDescent="0.3">
      <c r="A145" s="38">
        <v>144</v>
      </c>
      <c r="B145" s="139">
        <f t="shared" si="26"/>
        <v>12.000000000000016</v>
      </c>
      <c r="D145" s="38">
        <f t="shared" si="27"/>
        <v>1.4599697172428601</v>
      </c>
      <c r="E145" s="140">
        <f t="shared" si="24"/>
        <v>0.41985412941175893</v>
      </c>
      <c r="F145" s="140">
        <f t="shared" si="25"/>
        <v>0.61297431460053287</v>
      </c>
      <c r="G145" s="140"/>
      <c r="H145" s="140"/>
      <c r="M145" s="140"/>
      <c r="R145" s="140"/>
    </row>
    <row r="146" spans="1:18" x14ac:dyDescent="0.3">
      <c r="A146" s="38">
        <v>145</v>
      </c>
      <c r="B146" s="139">
        <f t="shared" si="26"/>
        <v>12.08333333333335</v>
      </c>
      <c r="D146" s="38">
        <f t="shared" si="27"/>
        <v>1.5110686573463601</v>
      </c>
      <c r="E146" s="140">
        <f t="shared" si="24"/>
        <v>0.4173313949231538</v>
      </c>
      <c r="F146" s="140">
        <f t="shared" si="25"/>
        <v>0.63061639059501362</v>
      </c>
      <c r="G146" s="140"/>
      <c r="H146" s="140"/>
      <c r="M146" s="140"/>
      <c r="R146" s="140"/>
    </row>
    <row r="147" spans="1:18" x14ac:dyDescent="0.3">
      <c r="A147" s="38">
        <v>146</v>
      </c>
      <c r="B147" s="139">
        <f t="shared" si="26"/>
        <v>12.166666666666684</v>
      </c>
      <c r="D147" s="38">
        <f t="shared" si="27"/>
        <v>1.5110686573463601</v>
      </c>
      <c r="E147" s="140">
        <f t="shared" si="24"/>
        <v>0.41482381853078765</v>
      </c>
      <c r="F147" s="140">
        <f t="shared" si="25"/>
        <v>0.62682727050260745</v>
      </c>
      <c r="G147" s="140"/>
      <c r="H147" s="140"/>
      <c r="M147" s="140"/>
      <c r="R147" s="140"/>
    </row>
    <row r="148" spans="1:18" x14ac:dyDescent="0.3">
      <c r="A148" s="38">
        <v>147</v>
      </c>
      <c r="B148" s="139">
        <f t="shared" si="26"/>
        <v>12.250000000000018</v>
      </c>
      <c r="D148" s="38">
        <f t="shared" si="27"/>
        <v>1.5110686573463601</v>
      </c>
      <c r="E148" s="140">
        <f t="shared" si="24"/>
        <v>0.41233130915576088</v>
      </c>
      <c r="F148" s="140">
        <f t="shared" si="25"/>
        <v>0.62306091770786254</v>
      </c>
      <c r="G148" s="140"/>
      <c r="H148" s="140"/>
      <c r="M148" s="140"/>
      <c r="R148" s="140"/>
    </row>
    <row r="149" spans="1:18" x14ac:dyDescent="0.3">
      <c r="A149" s="38">
        <v>148</v>
      </c>
      <c r="B149" s="139">
        <f t="shared" si="26"/>
        <v>12.333333333333352</v>
      </c>
      <c r="D149" s="38">
        <f t="shared" si="27"/>
        <v>1.5110686573463601</v>
      </c>
      <c r="E149" s="140">
        <f t="shared" si="24"/>
        <v>0.40985377626643016</v>
      </c>
      <c r="F149" s="140">
        <f t="shared" si="25"/>
        <v>0.61931719541125008</v>
      </c>
      <c r="G149" s="140"/>
      <c r="H149" s="140"/>
      <c r="M149" s="140"/>
      <c r="R149" s="140"/>
    </row>
    <row r="150" spans="1:18" x14ac:dyDescent="0.3">
      <c r="A150" s="38">
        <v>149</v>
      </c>
      <c r="B150" s="139">
        <f t="shared" si="26"/>
        <v>12.416666666666686</v>
      </c>
      <c r="D150" s="38">
        <f t="shared" si="27"/>
        <v>1.5110686573463601</v>
      </c>
      <c r="E150" s="140">
        <f t="shared" si="24"/>
        <v>0.40739112987512027</v>
      </c>
      <c r="F150" s="140">
        <f t="shared" si="25"/>
        <v>0.61559596763521462</v>
      </c>
      <c r="G150" s="140"/>
      <c r="H150" s="140"/>
      <c r="M150" s="140"/>
      <c r="R150" s="140"/>
    </row>
    <row r="151" spans="1:18" x14ac:dyDescent="0.3">
      <c r="A151" s="38">
        <v>150</v>
      </c>
      <c r="B151" s="139">
        <f t="shared" si="26"/>
        <v>12.50000000000002</v>
      </c>
      <c r="D151" s="38">
        <f t="shared" si="27"/>
        <v>1.5110686573463601</v>
      </c>
      <c r="E151" s="140">
        <f t="shared" si="24"/>
        <v>0.40494328053485601</v>
      </c>
      <c r="F151" s="140">
        <f t="shared" si="25"/>
        <v>0.6118970992192353</v>
      </c>
      <c r="G151" s="140"/>
      <c r="H151" s="140"/>
      <c r="M151" s="140"/>
      <c r="R151" s="140"/>
    </row>
    <row r="152" spans="1:18" x14ac:dyDescent="0.3">
      <c r="A152" s="38">
        <v>151</v>
      </c>
      <c r="B152" s="139">
        <f t="shared" si="26"/>
        <v>12.583333333333353</v>
      </c>
      <c r="D152" s="38">
        <f t="shared" si="27"/>
        <v>1.5110686573463601</v>
      </c>
      <c r="E152" s="140">
        <f t="shared" si="24"/>
        <v>0.40251013933611285</v>
      </c>
      <c r="F152" s="140">
        <f t="shared" si="25"/>
        <v>0.60822045581491635</v>
      </c>
      <c r="G152" s="140"/>
      <c r="H152" s="140"/>
      <c r="M152" s="140"/>
      <c r="R152" s="140"/>
    </row>
    <row r="153" spans="1:18" x14ac:dyDescent="0.3">
      <c r="A153" s="38">
        <v>152</v>
      </c>
      <c r="B153" s="139">
        <f t="shared" si="26"/>
        <v>12.666666666666687</v>
      </c>
      <c r="D153" s="38">
        <f t="shared" si="27"/>
        <v>1.5110686573463601</v>
      </c>
      <c r="E153" s="140">
        <f t="shared" si="24"/>
        <v>0.40009161790358777</v>
      </c>
      <c r="F153" s="140">
        <f t="shared" si="25"/>
        <v>0.60456590388110731</v>
      </c>
      <c r="G153" s="140"/>
      <c r="H153" s="140"/>
      <c r="M153" s="140"/>
      <c r="R153" s="140"/>
    </row>
    <row r="154" spans="1:18" x14ac:dyDescent="0.3">
      <c r="A154" s="38">
        <v>153</v>
      </c>
      <c r="B154" s="139">
        <f t="shared" si="26"/>
        <v>12.750000000000021</v>
      </c>
      <c r="D154" s="38">
        <f t="shared" si="27"/>
        <v>1.5110686573463601</v>
      </c>
      <c r="E154" s="140">
        <f t="shared" si="24"/>
        <v>0.39768762839298943</v>
      </c>
      <c r="F154" s="140">
        <f t="shared" si="25"/>
        <v>0.60093331067905276</v>
      </c>
      <c r="G154" s="140"/>
      <c r="H154" s="140"/>
      <c r="M154" s="140"/>
      <c r="R154" s="140"/>
    </row>
    <row r="155" spans="1:18" x14ac:dyDescent="0.3">
      <c r="A155" s="38">
        <v>154</v>
      </c>
      <c r="B155" s="139">
        <f t="shared" si="26"/>
        <v>12.833333333333355</v>
      </c>
      <c r="D155" s="38">
        <f t="shared" si="27"/>
        <v>1.5110686573463601</v>
      </c>
      <c r="E155" s="140">
        <f t="shared" si="24"/>
        <v>0.39529808348784773</v>
      </c>
      <c r="F155" s="140">
        <f t="shared" si="25"/>
        <v>0.59732254426757148</v>
      </c>
      <c r="G155" s="140"/>
      <c r="H155" s="140"/>
      <c r="M155" s="140"/>
      <c r="R155" s="140"/>
    </row>
    <row r="156" spans="1:18" x14ac:dyDescent="0.3">
      <c r="A156" s="38">
        <v>155</v>
      </c>
      <c r="B156" s="139">
        <f t="shared" si="26"/>
        <v>12.916666666666689</v>
      </c>
      <c r="D156" s="38">
        <f t="shared" si="27"/>
        <v>1.5110686573463601</v>
      </c>
      <c r="E156" s="140">
        <f t="shared" si="24"/>
        <v>0.3929228963963417</v>
      </c>
      <c r="F156" s="140">
        <f t="shared" si="25"/>
        <v>0.593733473498263</v>
      </c>
      <c r="G156" s="140"/>
      <c r="H156" s="140"/>
      <c r="M156" s="140"/>
      <c r="R156" s="140"/>
    </row>
    <row r="157" spans="1:18" x14ac:dyDescent="0.3">
      <c r="A157" s="38">
        <v>156</v>
      </c>
      <c r="B157" s="139">
        <f t="shared" si="26"/>
        <v>13.000000000000023</v>
      </c>
      <c r="D157" s="38">
        <f t="shared" si="27"/>
        <v>1.5110686573463601</v>
      </c>
      <c r="E157" s="140">
        <f t="shared" si="24"/>
        <v>0.39056198084814764</v>
      </c>
      <c r="F157" s="140">
        <f t="shared" si="25"/>
        <v>0.59016596801074528</v>
      </c>
      <c r="G157" s="140"/>
      <c r="H157" s="140"/>
      <c r="M157" s="140"/>
      <c r="R157" s="140"/>
    </row>
    <row r="158" spans="1:18" x14ac:dyDescent="0.3">
      <c r="A158" s="38">
        <v>157</v>
      </c>
      <c r="B158" s="139">
        <f t="shared" si="26"/>
        <v>13.083333333333357</v>
      </c>
      <c r="D158" s="38">
        <f t="shared" si="27"/>
        <v>1.5639560603534826</v>
      </c>
      <c r="E158" s="140">
        <f t="shared" si="24"/>
        <v>0.38821525109130561</v>
      </c>
      <c r="F158" s="140">
        <f t="shared" si="25"/>
        <v>0.6071515946658963</v>
      </c>
      <c r="G158" s="140"/>
      <c r="H158" s="140"/>
      <c r="M158" s="140"/>
      <c r="R158" s="140"/>
    </row>
    <row r="159" spans="1:18" x14ac:dyDescent="0.3">
      <c r="A159" s="38">
        <v>158</v>
      </c>
      <c r="B159" s="139">
        <f t="shared" si="26"/>
        <v>13.166666666666691</v>
      </c>
      <c r="D159" s="38">
        <f t="shared" si="27"/>
        <v>1.5639560603534826</v>
      </c>
      <c r="E159" s="140">
        <f t="shared" si="24"/>
        <v>0.3858826218891046</v>
      </c>
      <c r="F159" s="140">
        <f t="shared" si="25"/>
        <v>0.60350346508855657</v>
      </c>
      <c r="G159" s="140"/>
      <c r="H159" s="140"/>
      <c r="M159" s="140"/>
      <c r="R159" s="140"/>
    </row>
    <row r="160" spans="1:18" x14ac:dyDescent="0.3">
      <c r="A160" s="38">
        <v>159</v>
      </c>
      <c r="B160" s="139">
        <f t="shared" si="26"/>
        <v>13.250000000000025</v>
      </c>
      <c r="D160" s="38">
        <f t="shared" si="27"/>
        <v>1.5639560603534826</v>
      </c>
      <c r="E160" s="140">
        <f t="shared" si="24"/>
        <v>0.38356400851698669</v>
      </c>
      <c r="F160" s="140">
        <f t="shared" si="25"/>
        <v>0.59987725565361616</v>
      </c>
      <c r="G160" s="140"/>
      <c r="H160" s="140"/>
      <c r="M160" s="140"/>
      <c r="R160" s="140"/>
    </row>
    <row r="161" spans="1:18" x14ac:dyDescent="0.3">
      <c r="A161" s="38">
        <v>160</v>
      </c>
      <c r="B161" s="139">
        <f t="shared" si="26"/>
        <v>13.333333333333359</v>
      </c>
      <c r="D161" s="38">
        <f t="shared" si="27"/>
        <v>1.5639560603534826</v>
      </c>
      <c r="E161" s="140">
        <f t="shared" si="24"/>
        <v>0.38125932675946966</v>
      </c>
      <c r="F161" s="140">
        <f t="shared" si="25"/>
        <v>0.59627283465176129</v>
      </c>
      <c r="G161" s="140"/>
      <c r="H161" s="140"/>
      <c r="M161" s="140"/>
      <c r="R161" s="140"/>
    </row>
    <row r="162" spans="1:18" x14ac:dyDescent="0.3">
      <c r="A162" s="38">
        <v>161</v>
      </c>
      <c r="B162" s="139">
        <f t="shared" si="26"/>
        <v>13.416666666666693</v>
      </c>
      <c r="D162" s="38">
        <f t="shared" si="27"/>
        <v>1.5639560603534826</v>
      </c>
      <c r="E162" s="140">
        <f t="shared" si="24"/>
        <v>0.37896849290708839</v>
      </c>
      <c r="F162" s="140">
        <f t="shared" si="25"/>
        <v>0.59269007116506667</v>
      </c>
      <c r="G162" s="140"/>
      <c r="H162" s="140"/>
      <c r="M162" s="140"/>
      <c r="R162" s="140"/>
    </row>
    <row r="163" spans="1:18" x14ac:dyDescent="0.3">
      <c r="A163" s="38">
        <v>162</v>
      </c>
      <c r="B163" s="139">
        <f t="shared" si="26"/>
        <v>13.500000000000027</v>
      </c>
      <c r="D163" s="38">
        <f t="shared" si="27"/>
        <v>1.5639560603534826</v>
      </c>
      <c r="E163" s="140">
        <f t="shared" si="24"/>
        <v>0.37669142375335424</v>
      </c>
      <c r="F163" s="140">
        <f t="shared" si="25"/>
        <v>0.58912883506224012</v>
      </c>
      <c r="G163" s="140"/>
      <c r="H163" s="140"/>
      <c r="M163" s="140"/>
      <c r="R163" s="140"/>
    </row>
    <row r="164" spans="1:18" x14ac:dyDescent="0.3">
      <c r="A164" s="38">
        <v>163</v>
      </c>
      <c r="B164" s="139">
        <f t="shared" si="26"/>
        <v>13.583333333333361</v>
      </c>
      <c r="D164" s="38">
        <f t="shared" si="27"/>
        <v>1.5639560603534826</v>
      </c>
      <c r="E164" s="140">
        <f t="shared" si="24"/>
        <v>0.37442803659173268</v>
      </c>
      <c r="F164" s="140">
        <f t="shared" si="25"/>
        <v>0.58558899699389588</v>
      </c>
      <c r="G164" s="140"/>
      <c r="H164" s="140"/>
      <c r="M164" s="140"/>
      <c r="R164" s="140"/>
    </row>
    <row r="165" spans="1:18" x14ac:dyDescent="0.3">
      <c r="A165" s="38">
        <v>164</v>
      </c>
      <c r="B165" s="139">
        <f t="shared" si="26"/>
        <v>13.666666666666694</v>
      </c>
      <c r="D165" s="38">
        <f t="shared" si="27"/>
        <v>1.5639560603534826</v>
      </c>
      <c r="E165" s="140">
        <f t="shared" si="24"/>
        <v>0.37217824921263959</v>
      </c>
      <c r="F165" s="140">
        <f t="shared" si="25"/>
        <v>0.58207042838785639</v>
      </c>
      <c r="G165" s="140"/>
      <c r="H165" s="140"/>
      <c r="M165" s="140"/>
      <c r="R165" s="140"/>
    </row>
    <row r="166" spans="1:18" x14ac:dyDescent="0.3">
      <c r="A166" s="38">
        <v>165</v>
      </c>
      <c r="B166" s="139">
        <f t="shared" si="26"/>
        <v>13.750000000000028</v>
      </c>
      <c r="D166" s="38">
        <f t="shared" si="27"/>
        <v>1.5639560603534826</v>
      </c>
      <c r="E166" s="140">
        <f t="shared" si="24"/>
        <v>0.36994197990045513</v>
      </c>
      <c r="F166" s="140">
        <f t="shared" si="25"/>
        <v>0.57857300144448298</v>
      </c>
      <c r="G166" s="140"/>
      <c r="H166" s="140"/>
      <c r="M166" s="140"/>
      <c r="R166" s="140"/>
    </row>
    <row r="167" spans="1:18" x14ac:dyDescent="0.3">
      <c r="A167" s="38">
        <v>166</v>
      </c>
      <c r="B167" s="139">
        <f t="shared" si="26"/>
        <v>13.833333333333362</v>
      </c>
      <c r="D167" s="38">
        <f t="shared" si="27"/>
        <v>1.5639560603534826</v>
      </c>
      <c r="E167" s="140">
        <f t="shared" si="24"/>
        <v>0.36771914743055589</v>
      </c>
      <c r="F167" s="140">
        <f t="shared" si="25"/>
        <v>0.57509658913203365</v>
      </c>
      <c r="G167" s="140"/>
      <c r="H167" s="140"/>
      <c r="M167" s="140"/>
      <c r="R167" s="140"/>
    </row>
    <row r="168" spans="1:18" x14ac:dyDescent="0.3">
      <c r="A168" s="38">
        <v>167</v>
      </c>
      <c r="B168" s="139">
        <f t="shared" si="26"/>
        <v>13.916666666666696</v>
      </c>
      <c r="D168" s="38">
        <f t="shared" si="27"/>
        <v>1.5639560603534826</v>
      </c>
      <c r="E168" s="140">
        <f t="shared" si="24"/>
        <v>0.36550967106636417</v>
      </c>
      <c r="F168" s="140">
        <f t="shared" si="25"/>
        <v>0.57164106518204816</v>
      </c>
      <c r="G168" s="140"/>
      <c r="H168" s="140"/>
      <c r="M168" s="140"/>
      <c r="R168" s="140"/>
    </row>
    <row r="169" spans="1:18" x14ac:dyDescent="0.3">
      <c r="A169" s="38">
        <v>168</v>
      </c>
      <c r="B169" s="139">
        <f t="shared" si="26"/>
        <v>14.00000000000003</v>
      </c>
      <c r="D169" s="38">
        <f t="shared" si="27"/>
        <v>1.5639560603534826</v>
      </c>
      <c r="E169" s="140">
        <f t="shared" si="24"/>
        <v>0.36331347055641633</v>
      </c>
      <c r="F169" s="140">
        <f t="shared" si="25"/>
        <v>0.56820630408476391</v>
      </c>
      <c r="G169" s="140"/>
      <c r="H169" s="140"/>
      <c r="M169" s="140"/>
      <c r="R169" s="140"/>
    </row>
    <row r="170" spans="1:18" x14ac:dyDescent="0.3">
      <c r="A170" s="38">
        <v>169</v>
      </c>
      <c r="B170" s="139">
        <f t="shared" si="26"/>
        <v>14.083333333333364</v>
      </c>
      <c r="D170" s="38">
        <f t="shared" si="27"/>
        <v>1.6186945224658542</v>
      </c>
      <c r="E170" s="140">
        <f t="shared" si="24"/>
        <v>0.36113046613144695</v>
      </c>
      <c r="F170" s="140">
        <f t="shared" si="25"/>
        <v>0.58455990742251385</v>
      </c>
      <c r="G170" s="140"/>
      <c r="H170" s="140"/>
      <c r="M170" s="140"/>
      <c r="R170" s="140"/>
    </row>
    <row r="171" spans="1:18" x14ac:dyDescent="0.3">
      <c r="A171" s="38">
        <v>170</v>
      </c>
      <c r="B171" s="139">
        <f t="shared" si="26"/>
        <v>14.166666666666698</v>
      </c>
      <c r="D171" s="38">
        <f t="shared" si="27"/>
        <v>1.6186945224658542</v>
      </c>
      <c r="E171" s="140">
        <f t="shared" si="24"/>
        <v>0.35896057850149249</v>
      </c>
      <c r="F171" s="140">
        <f t="shared" si="25"/>
        <v>0.58104752220154021</v>
      </c>
      <c r="G171" s="140"/>
      <c r="H171" s="140"/>
      <c r="M171" s="140"/>
      <c r="R171" s="140"/>
    </row>
    <row r="172" spans="1:18" x14ac:dyDescent="0.3">
      <c r="A172" s="38">
        <v>171</v>
      </c>
      <c r="B172" s="139">
        <f t="shared" si="26"/>
        <v>14.250000000000032</v>
      </c>
      <c r="D172" s="38">
        <f t="shared" si="27"/>
        <v>1.6186945224658542</v>
      </c>
      <c r="E172" s="140">
        <f t="shared" si="24"/>
        <v>0.3568037288530107</v>
      </c>
      <c r="F172" s="140">
        <f t="shared" si="25"/>
        <v>0.57755624148976026</v>
      </c>
      <c r="G172" s="140"/>
      <c r="H172" s="140"/>
      <c r="M172" s="140"/>
      <c r="R172" s="140"/>
    </row>
    <row r="173" spans="1:18" x14ac:dyDescent="0.3">
      <c r="A173" s="38">
        <v>172</v>
      </c>
      <c r="B173" s="139">
        <f t="shared" si="26"/>
        <v>14.333333333333366</v>
      </c>
      <c r="D173" s="38">
        <f t="shared" si="27"/>
        <v>1.6186945224658542</v>
      </c>
      <c r="E173" s="140">
        <f t="shared" si="24"/>
        <v>0.3546598388460182</v>
      </c>
      <c r="F173" s="140">
        <f t="shared" si="25"/>
        <v>0.57408593847867229</v>
      </c>
      <c r="G173" s="140"/>
      <c r="H173" s="140"/>
      <c r="M173" s="140"/>
      <c r="R173" s="140"/>
    </row>
    <row r="174" spans="1:18" x14ac:dyDescent="0.3">
      <c r="A174" s="38">
        <v>173</v>
      </c>
      <c r="B174" s="139">
        <f t="shared" si="26"/>
        <v>14.4166666666667</v>
      </c>
      <c r="D174" s="38">
        <f t="shared" si="27"/>
        <v>1.6186945224658542</v>
      </c>
      <c r="E174" s="140">
        <f t="shared" si="24"/>
        <v>0.3525288306112449</v>
      </c>
      <c r="F174" s="140">
        <f t="shared" si="25"/>
        <v>0.57063648712171511</v>
      </c>
      <c r="G174" s="140"/>
      <c r="H174" s="140"/>
      <c r="M174" s="140"/>
      <c r="R174" s="140"/>
    </row>
    <row r="175" spans="1:18" x14ac:dyDescent="0.3">
      <c r="A175" s="38">
        <v>174</v>
      </c>
      <c r="B175" s="139">
        <f t="shared" si="26"/>
        <v>14.500000000000034</v>
      </c>
      <c r="D175" s="38">
        <f t="shared" si="27"/>
        <v>1.6186945224658542</v>
      </c>
      <c r="E175" s="140">
        <f t="shared" si="24"/>
        <v>0.35041062674730616</v>
      </c>
      <c r="F175" s="140">
        <f t="shared" si="25"/>
        <v>0.56720776212969148</v>
      </c>
      <c r="G175" s="140"/>
      <c r="H175" s="140"/>
      <c r="M175" s="140"/>
      <c r="R175" s="140"/>
    </row>
    <row r="176" spans="1:18" x14ac:dyDescent="0.3">
      <c r="A176" s="38">
        <v>175</v>
      </c>
      <c r="B176" s="139">
        <f t="shared" si="26"/>
        <v>14.583333333333368</v>
      </c>
      <c r="D176" s="38">
        <f t="shared" si="27"/>
        <v>1.6186945224658542</v>
      </c>
      <c r="E176" s="140">
        <f t="shared" si="24"/>
        <v>0.34830515031789067</v>
      </c>
      <c r="F176" s="140">
        <f t="shared" si="25"/>
        <v>0.56379963896621565</v>
      </c>
      <c r="G176" s="140"/>
      <c r="H176" s="140"/>
      <c r="M176" s="140"/>
      <c r="R176" s="140"/>
    </row>
    <row r="177" spans="1:18" x14ac:dyDescent="0.3">
      <c r="A177" s="38">
        <v>176</v>
      </c>
      <c r="B177" s="139">
        <f t="shared" si="26"/>
        <v>14.666666666666702</v>
      </c>
      <c r="D177" s="38">
        <f t="shared" si="27"/>
        <v>1.6186945224658542</v>
      </c>
      <c r="E177" s="140">
        <f t="shared" si="24"/>
        <v>0.34621232484896691</v>
      </c>
      <c r="F177" s="140">
        <f t="shared" si="25"/>
        <v>0.56041199384319174</v>
      </c>
      <c r="G177" s="140"/>
      <c r="H177" s="140"/>
      <c r="M177" s="140"/>
      <c r="R177" s="140"/>
    </row>
    <row r="178" spans="1:18" x14ac:dyDescent="0.3">
      <c r="A178" s="38">
        <v>177</v>
      </c>
      <c r="B178" s="139">
        <f t="shared" si="26"/>
        <v>14.750000000000036</v>
      </c>
      <c r="D178" s="38">
        <f t="shared" si="27"/>
        <v>1.6186945224658542</v>
      </c>
      <c r="E178" s="140">
        <f t="shared" si="24"/>
        <v>0.34413207432600462</v>
      </c>
      <c r="F178" s="140">
        <f t="shared" si="25"/>
        <v>0.55704470371631587</v>
      </c>
      <c r="G178" s="140"/>
      <c r="H178" s="140"/>
      <c r="M178" s="140"/>
      <c r="R178" s="140"/>
    </row>
    <row r="179" spans="1:18" x14ac:dyDescent="0.3">
      <c r="A179" s="38">
        <v>178</v>
      </c>
      <c r="B179" s="139">
        <f t="shared" si="26"/>
        <v>14.833333333333369</v>
      </c>
      <c r="D179" s="38">
        <f t="shared" si="27"/>
        <v>1.6186945224658542</v>
      </c>
      <c r="E179" s="140">
        <f t="shared" si="24"/>
        <v>0.34206432319121466</v>
      </c>
      <c r="F179" s="140">
        <f t="shared" si="25"/>
        <v>0.5536976462806088</v>
      </c>
      <c r="G179" s="140"/>
      <c r="H179" s="140"/>
      <c r="M179" s="140"/>
      <c r="R179" s="140"/>
    </row>
    <row r="180" spans="1:18" x14ac:dyDescent="0.3">
      <c r="A180" s="38">
        <v>179</v>
      </c>
      <c r="B180" s="139">
        <f t="shared" si="26"/>
        <v>14.916666666666703</v>
      </c>
      <c r="D180" s="38">
        <f t="shared" si="27"/>
        <v>1.6186945224658542</v>
      </c>
      <c r="E180" s="140">
        <f t="shared" si="24"/>
        <v>0.34000899634080373</v>
      </c>
      <c r="F180" s="140">
        <f t="shared" si="25"/>
        <v>0.55037069996597165</v>
      </c>
      <c r="G180" s="140"/>
      <c r="H180" s="140"/>
      <c r="M180" s="140"/>
      <c r="R180" s="140"/>
    </row>
    <row r="181" spans="1:18" x14ac:dyDescent="0.3">
      <c r="A181" s="38">
        <v>180</v>
      </c>
      <c r="B181" s="139">
        <f t="shared" si="26"/>
        <v>15.000000000000037</v>
      </c>
      <c r="D181" s="38">
        <f t="shared" si="27"/>
        <v>1.6186945224658542</v>
      </c>
      <c r="E181" s="140">
        <f t="shared" si="24"/>
        <v>0.33796601912224755</v>
      </c>
      <c r="F181" s="140">
        <f t="shared" si="25"/>
        <v>0.54706374393277224</v>
      </c>
      <c r="G181" s="140"/>
      <c r="H181" s="140"/>
      <c r="M181" s="140"/>
      <c r="R181" s="140"/>
    </row>
    <row r="182" spans="1:18" x14ac:dyDescent="0.3">
      <c r="A182" s="38">
        <v>181</v>
      </c>
      <c r="B182" s="139">
        <f t="shared" si="26"/>
        <v>15.083333333333371</v>
      </c>
      <c r="D182" s="38">
        <f t="shared" si="27"/>
        <v>1.6753488307521589</v>
      </c>
      <c r="E182" s="140">
        <f t="shared" si="24"/>
        <v>0.33593531733157839</v>
      </c>
      <c r="F182" s="140">
        <f t="shared" si="25"/>
        <v>0.56280884109981533</v>
      </c>
      <c r="G182" s="140"/>
      <c r="H182" s="140"/>
      <c r="M182" s="140"/>
      <c r="R182" s="140"/>
    </row>
    <row r="183" spans="1:18" x14ac:dyDescent="0.3">
      <c r="A183" s="38">
        <v>182</v>
      </c>
      <c r="B183" s="139">
        <f t="shared" si="26"/>
        <v>15.166666666666705</v>
      </c>
      <c r="D183" s="38">
        <f t="shared" si="27"/>
        <v>1.6753488307521589</v>
      </c>
      <c r="E183" s="140">
        <f t="shared" si="24"/>
        <v>0.33391681721069055</v>
      </c>
      <c r="F183" s="140">
        <f t="shared" si="25"/>
        <v>0.55942714928241277</v>
      </c>
      <c r="G183" s="140"/>
      <c r="H183" s="140"/>
      <c r="M183" s="140"/>
      <c r="R183" s="140"/>
    </row>
    <row r="184" spans="1:18" x14ac:dyDescent="0.3">
      <c r="A184" s="38">
        <v>183</v>
      </c>
      <c r="B184" s="139">
        <f t="shared" si="26"/>
        <v>15.250000000000039</v>
      </c>
      <c r="D184" s="38">
        <f t="shared" si="27"/>
        <v>1.6753488307521589</v>
      </c>
      <c r="E184" s="140">
        <f t="shared" si="24"/>
        <v>0.33191044544466097</v>
      </c>
      <c r="F184" s="140">
        <f t="shared" si="25"/>
        <v>0.55606577669014101</v>
      </c>
      <c r="G184" s="140"/>
      <c r="H184" s="140"/>
      <c r="M184" s="140"/>
      <c r="R184" s="140"/>
    </row>
    <row r="185" spans="1:18" x14ac:dyDescent="0.3">
      <c r="A185" s="38">
        <v>184</v>
      </c>
      <c r="B185" s="139">
        <f t="shared" si="26"/>
        <v>15.333333333333373</v>
      </c>
      <c r="D185" s="38">
        <f t="shared" si="27"/>
        <v>1.6753488307521589</v>
      </c>
      <c r="E185" s="140">
        <f t="shared" si="24"/>
        <v>0.32991612915908652</v>
      </c>
      <c r="F185" s="140">
        <f t="shared" si="25"/>
        <v>0.55272460123295386</v>
      </c>
      <c r="G185" s="140"/>
      <c r="H185" s="140"/>
      <c r="M185" s="140"/>
      <c r="R185" s="140"/>
    </row>
    <row r="186" spans="1:18" x14ac:dyDescent="0.3">
      <c r="A186" s="38">
        <v>185</v>
      </c>
      <c r="B186" s="139">
        <f t="shared" si="26"/>
        <v>15.416666666666707</v>
      </c>
      <c r="D186" s="38">
        <f t="shared" si="27"/>
        <v>1.6753488307521589</v>
      </c>
      <c r="E186" s="140">
        <f t="shared" si="24"/>
        <v>0.32793379591743693</v>
      </c>
      <c r="F186" s="140">
        <f t="shared" si="25"/>
        <v>0.5494035015543951</v>
      </c>
      <c r="G186" s="140"/>
      <c r="H186" s="140"/>
      <c r="M186" s="140"/>
      <c r="R186" s="140"/>
    </row>
    <row r="187" spans="1:18" x14ac:dyDescent="0.3">
      <c r="A187" s="38">
        <v>186</v>
      </c>
      <c r="B187" s="139">
        <f t="shared" si="26"/>
        <v>15.500000000000041</v>
      </c>
      <c r="D187" s="38">
        <f t="shared" si="27"/>
        <v>1.6753488307521589</v>
      </c>
      <c r="E187" s="140">
        <f t="shared" si="24"/>
        <v>0.32596337371842415</v>
      </c>
      <c r="F187" s="140">
        <f t="shared" si="25"/>
        <v>0.5461023570271909</v>
      </c>
      <c r="G187" s="140"/>
      <c r="H187" s="140"/>
      <c r="M187" s="140"/>
      <c r="R187" s="140"/>
    </row>
    <row r="188" spans="1:18" x14ac:dyDescent="0.3">
      <c r="A188" s="38">
        <v>187</v>
      </c>
      <c r="B188" s="139">
        <f t="shared" si="26"/>
        <v>15.583333333333375</v>
      </c>
      <c r="D188" s="38">
        <f t="shared" si="27"/>
        <v>1.6753488307521589</v>
      </c>
      <c r="E188" s="140">
        <f t="shared" si="24"/>
        <v>0.32400479099338658</v>
      </c>
      <c r="F188" s="140">
        <f t="shared" si="25"/>
        <v>0.54282104774886786</v>
      </c>
      <c r="G188" s="140"/>
      <c r="H188" s="140"/>
      <c r="M188" s="140"/>
      <c r="R188" s="140"/>
    </row>
    <row r="189" spans="1:18" x14ac:dyDescent="0.3">
      <c r="A189" s="38">
        <v>188</v>
      </c>
      <c r="B189" s="139">
        <f t="shared" si="26"/>
        <v>15.666666666666709</v>
      </c>
      <c r="D189" s="38">
        <f t="shared" si="27"/>
        <v>1.6753488307521589</v>
      </c>
      <c r="E189" s="140">
        <f t="shared" si="24"/>
        <v>0.32205797660369001</v>
      </c>
      <c r="F189" s="140">
        <f t="shared" si="25"/>
        <v>0.53955945453739818</v>
      </c>
      <c r="G189" s="140"/>
      <c r="H189" s="140"/>
      <c r="M189" s="140"/>
      <c r="R189" s="140"/>
    </row>
    <row r="190" spans="1:18" x14ac:dyDescent="0.3">
      <c r="A190" s="38">
        <v>189</v>
      </c>
      <c r="B190" s="139">
        <f t="shared" si="26"/>
        <v>15.750000000000043</v>
      </c>
      <c r="D190" s="38">
        <f t="shared" si="27"/>
        <v>1.6753488307521589</v>
      </c>
      <c r="E190" s="140">
        <f t="shared" si="24"/>
        <v>0.3201228598381437</v>
      </c>
      <c r="F190" s="140">
        <f t="shared" si="25"/>
        <v>0.53631745892687133</v>
      </c>
      <c r="G190" s="140"/>
      <c r="H190" s="140"/>
      <c r="M190" s="140"/>
      <c r="R190" s="140"/>
    </row>
    <row r="191" spans="1:18" x14ac:dyDescent="0.3">
      <c r="A191" s="38">
        <v>190</v>
      </c>
      <c r="B191" s="139">
        <f t="shared" si="26"/>
        <v>15.833333333333377</v>
      </c>
      <c r="D191" s="38">
        <f t="shared" si="27"/>
        <v>1.6753488307521589</v>
      </c>
      <c r="E191" s="140">
        <f t="shared" si="24"/>
        <v>0.31819937041043206</v>
      </c>
      <c r="F191" s="140">
        <f t="shared" si="25"/>
        <v>0.5330949431631905</v>
      </c>
      <c r="G191" s="140"/>
      <c r="H191" s="140"/>
      <c r="M191" s="140"/>
      <c r="R191" s="140"/>
    </row>
    <row r="192" spans="1:18" x14ac:dyDescent="0.3">
      <c r="A192" s="38">
        <v>191</v>
      </c>
      <c r="B192" s="139">
        <f t="shared" si="26"/>
        <v>15.91666666666671</v>
      </c>
      <c r="D192" s="38">
        <f t="shared" si="27"/>
        <v>1.6753488307521589</v>
      </c>
      <c r="E192" s="140">
        <f t="shared" si="24"/>
        <v>0.31628743845656149</v>
      </c>
      <c r="F192" s="140">
        <f t="shared" si="25"/>
        <v>0.52989179019979571</v>
      </c>
      <c r="G192" s="140"/>
      <c r="H192" s="140"/>
      <c r="M192" s="140"/>
      <c r="R192" s="140"/>
    </row>
    <row r="193" spans="1:18" x14ac:dyDescent="0.3">
      <c r="A193" s="38">
        <v>192</v>
      </c>
      <c r="B193" s="139">
        <f t="shared" si="26"/>
        <v>16.000000000000043</v>
      </c>
      <c r="D193" s="38">
        <f t="shared" si="27"/>
        <v>1.6753488307521589</v>
      </c>
      <c r="E193" s="140">
        <f t="shared" si="24"/>
        <v>0.31438699453232316</v>
      </c>
      <c r="F193" s="140">
        <f t="shared" si="25"/>
        <v>0.52670788369341293</v>
      </c>
      <c r="G193" s="140"/>
      <c r="H193" s="140"/>
      <c r="M193" s="140"/>
      <c r="R193" s="140"/>
    </row>
    <row r="194" spans="1:18" x14ac:dyDescent="0.3">
      <c r="A194" s="38">
        <v>193</v>
      </c>
      <c r="B194" s="139">
        <f t="shared" si="26"/>
        <v>16.083333333333375</v>
      </c>
      <c r="D194" s="38">
        <f t="shared" si="27"/>
        <v>1.7339860398284843</v>
      </c>
      <c r="E194" s="140">
        <f t="shared" si="24"/>
        <v>0.31249796961077053</v>
      </c>
      <c r="F194" s="140">
        <f t="shared" si="25"/>
        <v>0.54186711677982202</v>
      </c>
      <c r="G194" s="140"/>
      <c r="H194" s="140"/>
      <c r="M194" s="140"/>
      <c r="R194" s="140"/>
    </row>
    <row r="195" spans="1:18" x14ac:dyDescent="0.3">
      <c r="A195" s="38">
        <v>194</v>
      </c>
      <c r="B195" s="139">
        <f t="shared" si="26"/>
        <v>16.166666666666707</v>
      </c>
      <c r="D195" s="38">
        <f t="shared" si="27"/>
        <v>1.7339860398284843</v>
      </c>
      <c r="E195" s="140">
        <f t="shared" ref="E195:E258" si="28">1/1.075^B195</f>
        <v>0.31062029507971206</v>
      </c>
      <c r="F195" s="140">
        <f t="shared" ref="F195:F258" si="29">D195*E195</f>
        <v>0.53861125535562515</v>
      </c>
      <c r="G195" s="140"/>
      <c r="H195" s="140"/>
      <c r="M195" s="140"/>
      <c r="R195" s="140"/>
    </row>
    <row r="196" spans="1:18" x14ac:dyDescent="0.3">
      <c r="A196" s="38">
        <v>195</v>
      </c>
      <c r="B196" s="139">
        <f t="shared" si="26"/>
        <v>16.250000000000039</v>
      </c>
      <c r="D196" s="38">
        <f t="shared" si="27"/>
        <v>1.7339860398284843</v>
      </c>
      <c r="E196" s="140">
        <f t="shared" si="28"/>
        <v>0.30875390273921949</v>
      </c>
      <c r="F196" s="140">
        <f t="shared" si="29"/>
        <v>0.53537495709236826</v>
      </c>
      <c r="G196" s="140"/>
      <c r="H196" s="140"/>
      <c r="M196" s="140"/>
      <c r="R196" s="140"/>
    </row>
    <row r="197" spans="1:18" x14ac:dyDescent="0.3">
      <c r="A197" s="38">
        <v>196</v>
      </c>
      <c r="B197" s="139">
        <f t="shared" si="26"/>
        <v>16.333333333333371</v>
      </c>
      <c r="D197" s="38">
        <f t="shared" si="27"/>
        <v>1.7339860398284843</v>
      </c>
      <c r="E197" s="140">
        <f t="shared" si="28"/>
        <v>0.30689872479915026</v>
      </c>
      <c r="F197" s="140">
        <f t="shared" si="29"/>
        <v>0.53215810444289036</v>
      </c>
      <c r="G197" s="140"/>
      <c r="H197" s="140"/>
      <c r="M197" s="140"/>
      <c r="R197" s="140"/>
    </row>
    <row r="198" spans="1:18" x14ac:dyDescent="0.3">
      <c r="A198" s="38">
        <v>197</v>
      </c>
      <c r="B198" s="139">
        <f t="shared" si="26"/>
        <v>16.416666666666703</v>
      </c>
      <c r="D198" s="38">
        <f t="shared" si="27"/>
        <v>1.7339860398284843</v>
      </c>
      <c r="E198" s="140">
        <f t="shared" si="28"/>
        <v>0.3050546938766856</v>
      </c>
      <c r="F198" s="140">
        <f t="shared" si="29"/>
        <v>0.52896058056632467</v>
      </c>
      <c r="G198" s="140"/>
      <c r="H198" s="140"/>
      <c r="M198" s="140"/>
      <c r="R198" s="140"/>
    </row>
    <row r="199" spans="1:18" x14ac:dyDescent="0.3">
      <c r="A199" s="38">
        <v>198</v>
      </c>
      <c r="B199" s="139">
        <f t="shared" si="26"/>
        <v>16.500000000000036</v>
      </c>
      <c r="D199" s="38">
        <f t="shared" si="27"/>
        <v>1.7339860398284843</v>
      </c>
      <c r="E199" s="140">
        <f t="shared" si="28"/>
        <v>0.30322174299388305</v>
      </c>
      <c r="F199" s="140">
        <f t="shared" si="29"/>
        <v>0.52578226932385375</v>
      </c>
      <c r="G199" s="140"/>
      <c r="H199" s="140"/>
      <c r="M199" s="140"/>
      <c r="R199" s="140"/>
    </row>
    <row r="200" spans="1:18" x14ac:dyDescent="0.3">
      <c r="A200" s="38">
        <v>199</v>
      </c>
      <c r="B200" s="139">
        <f t="shared" ref="B200:B263" si="30">B199+1/12</f>
        <v>16.583333333333368</v>
      </c>
      <c r="D200" s="38">
        <f t="shared" si="27"/>
        <v>1.7339860398284843</v>
      </c>
      <c r="E200" s="140">
        <f t="shared" si="28"/>
        <v>0.30139980557524348</v>
      </c>
      <c r="F200" s="140">
        <f t="shared" si="29"/>
        <v>0.5226230552744916</v>
      </c>
      <c r="G200" s="140"/>
      <c r="H200" s="140"/>
      <c r="M200" s="140"/>
      <c r="R200" s="140"/>
    </row>
    <row r="201" spans="1:18" x14ac:dyDescent="0.3">
      <c r="A201" s="38">
        <v>200</v>
      </c>
      <c r="B201" s="139">
        <f t="shared" si="30"/>
        <v>16.6666666666667</v>
      </c>
      <c r="D201" s="38">
        <f t="shared" si="27"/>
        <v>1.7339860398284843</v>
      </c>
      <c r="E201" s="140">
        <f t="shared" si="28"/>
        <v>0.29958881544529326</v>
      </c>
      <c r="F201" s="140">
        <f t="shared" si="29"/>
        <v>0.51948282367089071</v>
      </c>
      <c r="G201" s="140"/>
      <c r="H201" s="140"/>
      <c r="M201" s="140"/>
      <c r="R201" s="140"/>
    </row>
    <row r="202" spans="1:18" x14ac:dyDescent="0.3">
      <c r="A202" s="38">
        <v>201</v>
      </c>
      <c r="B202" s="139">
        <f t="shared" si="30"/>
        <v>16.750000000000032</v>
      </c>
      <c r="D202" s="38">
        <f t="shared" si="27"/>
        <v>1.7339860398284843</v>
      </c>
      <c r="E202" s="140">
        <f t="shared" si="28"/>
        <v>0.29778870682618047</v>
      </c>
      <c r="F202" s="140">
        <f t="shared" si="29"/>
        <v>0.51636146045517417</v>
      </c>
      <c r="G202" s="140"/>
      <c r="H202" s="140"/>
      <c r="M202" s="140"/>
      <c r="R202" s="140"/>
    </row>
    <row r="203" spans="1:18" x14ac:dyDescent="0.3">
      <c r="A203" s="38">
        <v>202</v>
      </c>
      <c r="B203" s="139">
        <f t="shared" si="30"/>
        <v>16.833333333333364</v>
      </c>
      <c r="D203" s="38">
        <f t="shared" si="27"/>
        <v>1.7339860398284843</v>
      </c>
      <c r="E203" s="140">
        <f t="shared" si="28"/>
        <v>0.29599941433528587</v>
      </c>
      <c r="F203" s="140">
        <f t="shared" si="29"/>
        <v>0.51325885225479306</v>
      </c>
      <c r="G203" s="140"/>
      <c r="H203" s="140"/>
      <c r="M203" s="140"/>
      <c r="R203" s="140"/>
    </row>
    <row r="204" spans="1:18" x14ac:dyDescent="0.3">
      <c r="A204" s="38">
        <v>203</v>
      </c>
      <c r="B204" s="139">
        <f t="shared" si="30"/>
        <v>16.916666666666696</v>
      </c>
      <c r="D204" s="38">
        <f t="shared" si="27"/>
        <v>1.7339860398284843</v>
      </c>
      <c r="E204" s="140">
        <f t="shared" si="28"/>
        <v>0.29422087298284821</v>
      </c>
      <c r="F204" s="140">
        <f t="shared" si="29"/>
        <v>0.51017488637840847</v>
      </c>
      <c r="G204" s="140"/>
      <c r="H204" s="140"/>
      <c r="M204" s="140"/>
      <c r="R204" s="140"/>
    </row>
    <row r="205" spans="1:18" x14ac:dyDescent="0.3">
      <c r="A205" s="38">
        <v>204</v>
      </c>
      <c r="B205" s="139">
        <f t="shared" si="30"/>
        <v>17.000000000000028</v>
      </c>
      <c r="D205" s="38">
        <f t="shared" si="27"/>
        <v>1.7339860398284843</v>
      </c>
      <c r="E205" s="140">
        <f t="shared" si="28"/>
        <v>0.29245301816960323</v>
      </c>
      <c r="F205" s="140">
        <f t="shared" si="29"/>
        <v>0.50710945081179803</v>
      </c>
      <c r="G205" s="140"/>
      <c r="H205" s="140"/>
      <c r="M205" s="140"/>
      <c r="R205" s="140"/>
    </row>
    <row r="206" spans="1:18" x14ac:dyDescent="0.3">
      <c r="A206" s="38">
        <v>205</v>
      </c>
      <c r="B206" s="139">
        <f t="shared" si="30"/>
        <v>17.083333333333361</v>
      </c>
      <c r="D206" s="38">
        <f t="shared" si="27"/>
        <v>1.7946755512224812</v>
      </c>
      <c r="E206" s="140">
        <f t="shared" si="28"/>
        <v>0.29069578568443799</v>
      </c>
      <c r="F206" s="140">
        <f t="shared" si="29"/>
        <v>0.521704619411271</v>
      </c>
      <c r="G206" s="140"/>
      <c r="H206" s="140"/>
      <c r="M206" s="140"/>
      <c r="R206" s="140"/>
    </row>
    <row r="207" spans="1:18" x14ac:dyDescent="0.3">
      <c r="A207" s="38">
        <v>206</v>
      </c>
      <c r="B207" s="139">
        <f t="shared" si="30"/>
        <v>17.166666666666693</v>
      </c>
      <c r="D207" s="38">
        <f t="shared" ref="D207:D270" si="31">D195*1.035</f>
        <v>1.7946755512224812</v>
      </c>
      <c r="E207" s="140">
        <f t="shared" si="28"/>
        <v>0.28894911170205806</v>
      </c>
      <c r="F207" s="140">
        <f t="shared" si="29"/>
        <v>0.51856990631913735</v>
      </c>
      <c r="G207" s="140"/>
      <c r="H207" s="140"/>
      <c r="M207" s="140"/>
      <c r="R207" s="140"/>
    </row>
    <row r="208" spans="1:18" x14ac:dyDescent="0.3">
      <c r="A208" s="38">
        <v>207</v>
      </c>
      <c r="B208" s="139">
        <f t="shared" si="30"/>
        <v>17.250000000000025</v>
      </c>
      <c r="D208" s="38">
        <f t="shared" si="31"/>
        <v>1.7946755512224812</v>
      </c>
      <c r="E208" s="140">
        <f t="shared" si="28"/>
        <v>0.28721293278066962</v>
      </c>
      <c r="F208" s="140">
        <f t="shared" si="29"/>
        <v>0.51545402845637367</v>
      </c>
      <c r="G208" s="140"/>
      <c r="H208" s="140"/>
      <c r="M208" s="140"/>
      <c r="R208" s="140"/>
    </row>
    <row r="209" spans="1:18" x14ac:dyDescent="0.3">
      <c r="A209" s="38">
        <v>208</v>
      </c>
      <c r="B209" s="139">
        <f t="shared" si="30"/>
        <v>17.333333333333357</v>
      </c>
      <c r="D209" s="38">
        <f t="shared" si="31"/>
        <v>1.7946755512224812</v>
      </c>
      <c r="E209" s="140">
        <f t="shared" si="28"/>
        <v>0.28548718585967497</v>
      </c>
      <c r="F209" s="140">
        <f t="shared" si="29"/>
        <v>0.51235687264966712</v>
      </c>
      <c r="G209" s="140"/>
      <c r="H209" s="140"/>
      <c r="M209" s="140"/>
      <c r="R209" s="140"/>
    </row>
    <row r="210" spans="1:18" x14ac:dyDescent="0.3">
      <c r="A210" s="38">
        <v>209</v>
      </c>
      <c r="B210" s="139">
        <f t="shared" si="30"/>
        <v>17.416666666666689</v>
      </c>
      <c r="D210" s="38">
        <f t="shared" si="31"/>
        <v>1.7946755512224812</v>
      </c>
      <c r="E210" s="140">
        <f t="shared" si="28"/>
        <v>0.28377180825738224</v>
      </c>
      <c r="F210" s="140">
        <f t="shared" si="29"/>
        <v>0.50927832640571769</v>
      </c>
      <c r="G210" s="140"/>
      <c r="H210" s="140"/>
      <c r="M210" s="140"/>
      <c r="R210" s="140"/>
    </row>
    <row r="211" spans="1:18" x14ac:dyDescent="0.3">
      <c r="A211" s="38">
        <v>210</v>
      </c>
      <c r="B211" s="139">
        <f t="shared" si="30"/>
        <v>17.500000000000021</v>
      </c>
      <c r="D211" s="38">
        <f t="shared" si="31"/>
        <v>1.7946755512224812</v>
      </c>
      <c r="E211" s="140">
        <f t="shared" si="28"/>
        <v>0.2820667376687287</v>
      </c>
      <c r="F211" s="140">
        <f t="shared" si="29"/>
        <v>0.50621827790715268</v>
      </c>
      <c r="G211" s="140"/>
      <c r="H211" s="140"/>
      <c r="M211" s="140"/>
      <c r="R211" s="140"/>
    </row>
    <row r="212" spans="1:18" x14ac:dyDescent="0.3">
      <c r="A212" s="38">
        <v>211</v>
      </c>
      <c r="B212" s="139">
        <f t="shared" si="30"/>
        <v>17.583333333333353</v>
      </c>
      <c r="D212" s="38">
        <f t="shared" si="31"/>
        <v>1.7946755512224812</v>
      </c>
      <c r="E212" s="140">
        <f t="shared" si="28"/>
        <v>0.28037191216301754</v>
      </c>
      <c r="F212" s="140">
        <f t="shared" si="29"/>
        <v>0.50317661600846464</v>
      </c>
      <c r="G212" s="140"/>
      <c r="H212" s="140"/>
      <c r="M212" s="140"/>
      <c r="R212" s="140"/>
    </row>
    <row r="213" spans="1:18" x14ac:dyDescent="0.3">
      <c r="A213" s="38">
        <v>212</v>
      </c>
      <c r="B213" s="139">
        <f t="shared" si="30"/>
        <v>17.666666666666686</v>
      </c>
      <c r="D213" s="38">
        <f t="shared" si="31"/>
        <v>1.7946755512224812</v>
      </c>
      <c r="E213" s="140">
        <f t="shared" si="28"/>
        <v>0.27868727018166845</v>
      </c>
      <c r="F213" s="140">
        <f t="shared" si="29"/>
        <v>0.50015323023197433</v>
      </c>
      <c r="G213" s="140"/>
      <c r="H213" s="140"/>
      <c r="M213" s="140"/>
      <c r="R213" s="140"/>
    </row>
    <row r="214" spans="1:18" x14ac:dyDescent="0.3">
      <c r="A214" s="38">
        <v>213</v>
      </c>
      <c r="B214" s="139">
        <f t="shared" si="30"/>
        <v>17.750000000000018</v>
      </c>
      <c r="D214" s="38">
        <f t="shared" si="31"/>
        <v>1.7946755512224812</v>
      </c>
      <c r="E214" s="140">
        <f t="shared" si="28"/>
        <v>0.27701275053598212</v>
      </c>
      <c r="F214" s="140">
        <f t="shared" si="29"/>
        <v>0.49714801076381943</v>
      </c>
      <c r="G214" s="140"/>
      <c r="H214" s="140"/>
      <c r="M214" s="140"/>
      <c r="R214" s="140"/>
    </row>
    <row r="215" spans="1:18" x14ac:dyDescent="0.3">
      <c r="A215" s="38">
        <v>214</v>
      </c>
      <c r="B215" s="139">
        <f t="shared" si="30"/>
        <v>17.83333333333335</v>
      </c>
      <c r="D215" s="38">
        <f t="shared" si="31"/>
        <v>1.7946755512224812</v>
      </c>
      <c r="E215" s="140">
        <f t="shared" si="28"/>
        <v>0.27534829240491743</v>
      </c>
      <c r="F215" s="140">
        <f t="shared" si="29"/>
        <v>0.49416084844996411</v>
      </c>
      <c r="G215" s="140"/>
      <c r="H215" s="140"/>
      <c r="M215" s="140"/>
      <c r="R215" s="140"/>
    </row>
    <row r="216" spans="1:18" x14ac:dyDescent="0.3">
      <c r="A216" s="38">
        <v>215</v>
      </c>
      <c r="B216" s="139">
        <f t="shared" si="30"/>
        <v>17.916666666666682</v>
      </c>
      <c r="D216" s="38">
        <f t="shared" si="31"/>
        <v>1.7946755512224812</v>
      </c>
      <c r="E216" s="140">
        <f t="shared" si="28"/>
        <v>0.27369383533288233</v>
      </c>
      <c r="F216" s="140">
        <f t="shared" si="29"/>
        <v>0.4911916347922356</v>
      </c>
      <c r="G216" s="140"/>
      <c r="H216" s="140"/>
      <c r="M216" s="140"/>
      <c r="R216" s="140"/>
    </row>
    <row r="217" spans="1:18" x14ac:dyDescent="0.3">
      <c r="A217" s="38">
        <v>216</v>
      </c>
      <c r="B217" s="139">
        <f t="shared" si="30"/>
        <v>18.000000000000014</v>
      </c>
      <c r="D217" s="38">
        <f t="shared" si="31"/>
        <v>1.7946755512224812</v>
      </c>
      <c r="E217" s="140">
        <f t="shared" si="28"/>
        <v>0.27204931922753822</v>
      </c>
      <c r="F217" s="140">
        <f t="shared" si="29"/>
        <v>0.48824026194438291</v>
      </c>
      <c r="G217" s="140"/>
      <c r="H217" s="140"/>
      <c r="M217" s="140"/>
      <c r="R217" s="140"/>
    </row>
    <row r="218" spans="1:18" x14ac:dyDescent="0.3">
      <c r="A218" s="38">
        <v>217</v>
      </c>
      <c r="B218" s="139">
        <f t="shared" si="30"/>
        <v>18.083333333333346</v>
      </c>
      <c r="D218" s="38">
        <f t="shared" si="31"/>
        <v>1.8574891955152679</v>
      </c>
      <c r="E218" s="140">
        <f t="shared" si="28"/>
        <v>0.27041468435761701</v>
      </c>
      <c r="F218" s="140">
        <f t="shared" si="29"/>
        <v>0.50229235450294507</v>
      </c>
      <c r="G218" s="140"/>
      <c r="H218" s="140"/>
      <c r="M218" s="140"/>
      <c r="R218" s="140"/>
    </row>
    <row r="219" spans="1:18" x14ac:dyDescent="0.3">
      <c r="A219" s="38">
        <v>218</v>
      </c>
      <c r="B219" s="139">
        <f t="shared" si="30"/>
        <v>18.166666666666679</v>
      </c>
      <c r="D219" s="38">
        <f t="shared" si="31"/>
        <v>1.8574891955152679</v>
      </c>
      <c r="E219" s="140">
        <f t="shared" si="28"/>
        <v>0.268789871350752</v>
      </c>
      <c r="F219" s="140">
        <f t="shared" si="29"/>
        <v>0.49927428189796069</v>
      </c>
      <c r="G219" s="140"/>
      <c r="H219" s="140"/>
      <c r="M219" s="140"/>
      <c r="R219" s="140"/>
    </row>
    <row r="220" spans="1:18" x14ac:dyDescent="0.3">
      <c r="A220" s="38">
        <v>219</v>
      </c>
      <c r="B220" s="139">
        <f t="shared" si="30"/>
        <v>18.250000000000011</v>
      </c>
      <c r="D220" s="38">
        <f t="shared" si="31"/>
        <v>1.8574891955152679</v>
      </c>
      <c r="E220" s="140">
        <f t="shared" si="28"/>
        <v>0.26717482119132085</v>
      </c>
      <c r="F220" s="140">
        <f t="shared" si="29"/>
        <v>0.49627434367660211</v>
      </c>
      <c r="G220" s="140"/>
      <c r="H220" s="140"/>
      <c r="M220" s="140"/>
      <c r="R220" s="140"/>
    </row>
    <row r="221" spans="1:18" x14ac:dyDescent="0.3">
      <c r="A221" s="38">
        <v>220</v>
      </c>
      <c r="B221" s="139">
        <f t="shared" si="30"/>
        <v>18.333333333333343</v>
      </c>
      <c r="D221" s="38">
        <f t="shared" si="31"/>
        <v>1.8574891955152679</v>
      </c>
      <c r="E221" s="140">
        <f t="shared" si="28"/>
        <v>0.2655694752183026</v>
      </c>
      <c r="F221" s="140">
        <f t="shared" si="29"/>
        <v>0.49329243087665675</v>
      </c>
      <c r="G221" s="140"/>
      <c r="H221" s="140"/>
      <c r="M221" s="140"/>
      <c r="R221" s="140"/>
    </row>
    <row r="222" spans="1:18" x14ac:dyDescent="0.3">
      <c r="A222" s="38">
        <v>221</v>
      </c>
      <c r="B222" s="139">
        <f t="shared" si="30"/>
        <v>18.416666666666675</v>
      </c>
      <c r="D222" s="38">
        <f t="shared" si="31"/>
        <v>1.8574891955152679</v>
      </c>
      <c r="E222" s="140">
        <f t="shared" si="28"/>
        <v>0.26397377512314663</v>
      </c>
      <c r="F222" s="140">
        <f t="shared" si="29"/>
        <v>0.49032843519062186</v>
      </c>
      <c r="G222" s="140"/>
      <c r="H222" s="140"/>
      <c r="M222" s="140"/>
      <c r="R222" s="140"/>
    </row>
    <row r="223" spans="1:18" x14ac:dyDescent="0.3">
      <c r="A223" s="38">
        <v>222</v>
      </c>
      <c r="B223" s="139">
        <f t="shared" si="30"/>
        <v>18.500000000000007</v>
      </c>
      <c r="D223" s="38">
        <f t="shared" si="31"/>
        <v>1.8574891955152679</v>
      </c>
      <c r="E223" s="140">
        <f t="shared" si="28"/>
        <v>0.26238766294765486</v>
      </c>
      <c r="F223" s="140">
        <f t="shared" si="29"/>
        <v>0.48738224896177068</v>
      </c>
      <c r="G223" s="140"/>
      <c r="H223" s="140"/>
      <c r="M223" s="140"/>
      <c r="R223" s="140"/>
    </row>
    <row r="224" spans="1:18" x14ac:dyDescent="0.3">
      <c r="A224" s="38">
        <v>223</v>
      </c>
      <c r="B224" s="139">
        <f t="shared" si="30"/>
        <v>18.583333333333339</v>
      </c>
      <c r="D224" s="38">
        <f t="shared" si="31"/>
        <v>1.8574891955152679</v>
      </c>
      <c r="E224" s="140">
        <f t="shared" si="28"/>
        <v>0.26081108108187695</v>
      </c>
      <c r="F224" s="140">
        <f t="shared" si="29"/>
        <v>0.48445376518024291</v>
      </c>
      <c r="G224" s="140"/>
      <c r="H224" s="140"/>
      <c r="M224" s="140"/>
      <c r="R224" s="140"/>
    </row>
    <row r="225" spans="1:18" x14ac:dyDescent="0.3">
      <c r="A225" s="38">
        <v>224</v>
      </c>
      <c r="B225" s="139">
        <f t="shared" si="30"/>
        <v>18.666666666666671</v>
      </c>
      <c r="D225" s="38">
        <f t="shared" si="31"/>
        <v>1.8574891955152679</v>
      </c>
      <c r="E225" s="140">
        <f t="shared" si="28"/>
        <v>0.2592439722620174</v>
      </c>
      <c r="F225" s="140">
        <f t="shared" si="29"/>
        <v>0.48154287747915714</v>
      </c>
      <c r="G225" s="140"/>
      <c r="H225" s="140"/>
      <c r="M225" s="140"/>
      <c r="R225" s="140"/>
    </row>
    <row r="226" spans="1:18" x14ac:dyDescent="0.3">
      <c r="A226" s="38">
        <v>225</v>
      </c>
      <c r="B226" s="139">
        <f t="shared" si="30"/>
        <v>18.750000000000004</v>
      </c>
      <c r="D226" s="38">
        <f t="shared" si="31"/>
        <v>1.8574891955152679</v>
      </c>
      <c r="E226" s="140">
        <f t="shared" si="28"/>
        <v>0.25768627956835577</v>
      </c>
      <c r="F226" s="140">
        <f t="shared" si="29"/>
        <v>0.4786494801307476</v>
      </c>
      <c r="G226" s="140"/>
      <c r="H226" s="140"/>
      <c r="M226" s="140"/>
      <c r="R226" s="140"/>
    </row>
    <row r="227" spans="1:18" x14ac:dyDescent="0.3">
      <c r="A227" s="38">
        <v>226</v>
      </c>
      <c r="B227" s="139">
        <f t="shared" si="30"/>
        <v>18.833333333333336</v>
      </c>
      <c r="D227" s="38">
        <f t="shared" si="31"/>
        <v>1.8574891955152679</v>
      </c>
      <c r="E227" s="140">
        <f t="shared" si="28"/>
        <v>0.25613794642317927</v>
      </c>
      <c r="F227" s="140">
        <f t="shared" si="29"/>
        <v>0.47577346804252407</v>
      </c>
      <c r="G227" s="140"/>
      <c r="H227" s="140"/>
      <c r="M227" s="140"/>
      <c r="R227" s="140"/>
    </row>
    <row r="228" spans="1:18" x14ac:dyDescent="0.3">
      <c r="A228" s="38">
        <v>227</v>
      </c>
      <c r="B228" s="139">
        <f t="shared" si="30"/>
        <v>18.916666666666668</v>
      </c>
      <c r="D228" s="38">
        <f t="shared" si="31"/>
        <v>1.8574891955152679</v>
      </c>
      <c r="E228" s="140">
        <f t="shared" si="28"/>
        <v>0.25459891658872807</v>
      </c>
      <c r="F228" s="140">
        <f t="shared" si="29"/>
        <v>0.4729147367534553</v>
      </c>
      <c r="G228" s="140"/>
      <c r="H228" s="140"/>
      <c r="M228" s="140"/>
      <c r="R228" s="140"/>
    </row>
    <row r="229" spans="1:18" x14ac:dyDescent="0.3">
      <c r="A229" s="38">
        <v>228</v>
      </c>
      <c r="B229" s="139">
        <f t="shared" si="30"/>
        <v>19</v>
      </c>
      <c r="D229" s="38">
        <f t="shared" si="31"/>
        <v>1.8574891955152679</v>
      </c>
      <c r="E229" s="140">
        <f t="shared" si="28"/>
        <v>0.25306913416515198</v>
      </c>
      <c r="F229" s="140">
        <f t="shared" si="29"/>
        <v>0.47007318243017354</v>
      </c>
      <c r="G229" s="140"/>
      <c r="H229" s="140"/>
      <c r="M229" s="140"/>
      <c r="R229" s="140"/>
    </row>
    <row r="230" spans="1:18" x14ac:dyDescent="0.3">
      <c r="A230" s="38">
        <v>229</v>
      </c>
      <c r="B230" s="139">
        <f t="shared" si="30"/>
        <v>19.083333333333332</v>
      </c>
      <c r="D230" s="38">
        <f t="shared" si="31"/>
        <v>1.9225013173583021</v>
      </c>
      <c r="E230" s="140">
        <f t="shared" si="28"/>
        <v>0.25154854358848122</v>
      </c>
      <c r="F230" s="140">
        <f t="shared" si="29"/>
        <v>0.48360240642841745</v>
      </c>
      <c r="G230" s="140"/>
      <c r="H230" s="140"/>
      <c r="M230" s="140"/>
      <c r="R230" s="140"/>
    </row>
    <row r="231" spans="1:18" x14ac:dyDescent="0.3">
      <c r="A231" s="38">
        <v>230</v>
      </c>
      <c r="B231" s="139">
        <f t="shared" si="30"/>
        <v>19.166666666666664</v>
      </c>
      <c r="D231" s="38">
        <f t="shared" si="31"/>
        <v>1.9225013173583021</v>
      </c>
      <c r="E231" s="140">
        <f t="shared" si="28"/>
        <v>0.25003708962860677</v>
      </c>
      <c r="F231" s="140">
        <f t="shared" si="29"/>
        <v>0.48069663419943237</v>
      </c>
      <c r="G231" s="140"/>
      <c r="H231" s="140"/>
      <c r="M231" s="140"/>
      <c r="R231" s="140"/>
    </row>
    <row r="232" spans="1:18" x14ac:dyDescent="0.3">
      <c r="A232" s="38">
        <v>231</v>
      </c>
      <c r="B232" s="139">
        <f t="shared" si="30"/>
        <v>19.249999999999996</v>
      </c>
      <c r="D232" s="38">
        <f t="shared" si="31"/>
        <v>1.9225013173583021</v>
      </c>
      <c r="E232" s="140">
        <f t="shared" si="28"/>
        <v>0.24853471738727548</v>
      </c>
      <c r="F232" s="140">
        <f t="shared" si="29"/>
        <v>0.47780832158631042</v>
      </c>
      <c r="G232" s="140"/>
      <c r="H232" s="140"/>
      <c r="M232" s="140"/>
      <c r="R232" s="140"/>
    </row>
    <row r="233" spans="1:18" x14ac:dyDescent="0.3">
      <c r="A233" s="38">
        <v>232</v>
      </c>
      <c r="B233" s="139">
        <f t="shared" si="30"/>
        <v>19.333333333333329</v>
      </c>
      <c r="D233" s="38">
        <f t="shared" si="31"/>
        <v>1.9225013173583021</v>
      </c>
      <c r="E233" s="140">
        <f t="shared" si="28"/>
        <v>0.24704137229609568</v>
      </c>
      <c r="F233" s="140">
        <f t="shared" si="29"/>
        <v>0.47493736368124673</v>
      </c>
      <c r="G233" s="140"/>
      <c r="H233" s="140"/>
      <c r="M233" s="140"/>
      <c r="R233" s="140"/>
    </row>
    <row r="234" spans="1:18" x14ac:dyDescent="0.3">
      <c r="A234" s="38">
        <v>233</v>
      </c>
      <c r="B234" s="139">
        <f t="shared" si="30"/>
        <v>19.416666666666661</v>
      </c>
      <c r="D234" s="38">
        <f t="shared" si="31"/>
        <v>1.9225013173583021</v>
      </c>
      <c r="E234" s="140">
        <f t="shared" si="28"/>
        <v>0.24555700011455522</v>
      </c>
      <c r="F234" s="140">
        <f t="shared" si="29"/>
        <v>0.47208365620678516</v>
      </c>
      <c r="G234" s="140"/>
      <c r="H234" s="140"/>
      <c r="M234" s="140"/>
      <c r="R234" s="140"/>
    </row>
    <row r="235" spans="1:18" x14ac:dyDescent="0.3">
      <c r="A235" s="38">
        <v>234</v>
      </c>
      <c r="B235" s="139">
        <f t="shared" si="30"/>
        <v>19.499999999999993</v>
      </c>
      <c r="D235" s="38">
        <f t="shared" si="31"/>
        <v>1.9225013173583021</v>
      </c>
      <c r="E235" s="140">
        <f t="shared" si="28"/>
        <v>0.24408154692805131</v>
      </c>
      <c r="F235" s="140">
        <f t="shared" si="29"/>
        <v>0.46924709551203087</v>
      </c>
      <c r="G235" s="140"/>
      <c r="H235" s="140"/>
      <c r="M235" s="140"/>
      <c r="R235" s="140"/>
    </row>
    <row r="236" spans="1:18" x14ac:dyDescent="0.3">
      <c r="A236" s="38">
        <v>235</v>
      </c>
      <c r="B236" s="139">
        <f t="shared" si="30"/>
        <v>19.583333333333325</v>
      </c>
      <c r="D236" s="38">
        <f t="shared" si="31"/>
        <v>1.9225013173583021</v>
      </c>
      <c r="E236" s="140">
        <f t="shared" si="28"/>
        <v>0.24261495914593237</v>
      </c>
      <c r="F236" s="140">
        <f t="shared" si="29"/>
        <v>0.46642757856888561</v>
      </c>
      <c r="G236" s="140"/>
      <c r="H236" s="140"/>
      <c r="M236" s="140"/>
      <c r="R236" s="140"/>
    </row>
    <row r="237" spans="1:18" x14ac:dyDescent="0.3">
      <c r="A237" s="38">
        <v>236</v>
      </c>
      <c r="B237" s="139">
        <f t="shared" si="30"/>
        <v>19.666666666666657</v>
      </c>
      <c r="D237" s="38">
        <f t="shared" si="31"/>
        <v>1.9225013173583021</v>
      </c>
      <c r="E237" s="140">
        <f t="shared" si="28"/>
        <v>0.24115718349955131</v>
      </c>
      <c r="F237" s="140">
        <f t="shared" si="29"/>
        <v>0.46362500296830522</v>
      </c>
      <c r="G237" s="140"/>
      <c r="H237" s="140"/>
      <c r="M237" s="140"/>
      <c r="R237" s="140"/>
    </row>
    <row r="238" spans="1:18" x14ac:dyDescent="0.3">
      <c r="A238" s="38">
        <v>237</v>
      </c>
      <c r="B238" s="139">
        <f t="shared" si="30"/>
        <v>19.749999999999989</v>
      </c>
      <c r="D238" s="38">
        <f t="shared" si="31"/>
        <v>1.9225013173583021</v>
      </c>
      <c r="E238" s="140">
        <f t="shared" si="28"/>
        <v>0.23970816704033115</v>
      </c>
      <c r="F238" s="140">
        <f t="shared" si="29"/>
        <v>0.46083926691658056</v>
      </c>
      <c r="G238" s="140"/>
      <c r="H238" s="140"/>
      <c r="M238" s="140"/>
      <c r="R238" s="140"/>
    </row>
    <row r="239" spans="1:18" x14ac:dyDescent="0.3">
      <c r="A239" s="38">
        <v>238</v>
      </c>
      <c r="B239" s="139">
        <f t="shared" si="30"/>
        <v>19.833333333333321</v>
      </c>
      <c r="D239" s="38">
        <f t="shared" si="31"/>
        <v>1.9225013173583021</v>
      </c>
      <c r="E239" s="140">
        <f t="shared" si="28"/>
        <v>0.23826785713784138</v>
      </c>
      <c r="F239" s="140">
        <f t="shared" si="29"/>
        <v>0.45807026923163979</v>
      </c>
      <c r="G239" s="140"/>
      <c r="H239" s="140"/>
      <c r="M239" s="140"/>
      <c r="R239" s="140"/>
    </row>
    <row r="240" spans="1:18" x14ac:dyDescent="0.3">
      <c r="A240" s="38">
        <v>239</v>
      </c>
      <c r="B240" s="139">
        <f t="shared" si="30"/>
        <v>19.916666666666654</v>
      </c>
      <c r="D240" s="38">
        <f t="shared" si="31"/>
        <v>1.9225013173583021</v>
      </c>
      <c r="E240" s="140">
        <f t="shared" si="28"/>
        <v>0.23683620147788681</v>
      </c>
      <c r="F240" s="140">
        <f t="shared" si="29"/>
        <v>0.45531790933937366</v>
      </c>
      <c r="G240" s="140"/>
      <c r="H240" s="140"/>
      <c r="M240" s="140"/>
      <c r="R240" s="140"/>
    </row>
    <row r="241" spans="1:18" x14ac:dyDescent="0.3">
      <c r="A241" s="38">
        <v>240</v>
      </c>
      <c r="B241" s="139">
        <f t="shared" si="30"/>
        <v>19.999999999999986</v>
      </c>
      <c r="D241" s="38">
        <f t="shared" si="31"/>
        <v>1.9225013173583021</v>
      </c>
      <c r="E241" s="140">
        <f t="shared" si="28"/>
        <v>0.23541314806060687</v>
      </c>
      <c r="F241" s="140">
        <f t="shared" si="29"/>
        <v>0.45258208726998173</v>
      </c>
      <c r="G241" s="140"/>
      <c r="H241" s="140"/>
      <c r="M241" s="140"/>
      <c r="R241" s="140"/>
    </row>
    <row r="242" spans="1:18" x14ac:dyDescent="0.3">
      <c r="A242" s="38">
        <v>241</v>
      </c>
      <c r="B242" s="139">
        <f t="shared" si="30"/>
        <v>20.083333333333318</v>
      </c>
      <c r="D242" s="38">
        <f t="shared" si="31"/>
        <v>1.9897888634658425</v>
      </c>
      <c r="E242" s="140">
        <f t="shared" si="28"/>
        <v>0.23399864519858746</v>
      </c>
      <c r="F242" s="140">
        <f t="shared" si="29"/>
        <v>0.46560789828224425</v>
      </c>
      <c r="G242" s="140"/>
      <c r="H242" s="140"/>
      <c r="M242" s="140"/>
      <c r="R242" s="140"/>
    </row>
    <row r="243" spans="1:18" x14ac:dyDescent="0.3">
      <c r="A243" s="38">
        <v>242</v>
      </c>
      <c r="B243" s="139">
        <f t="shared" si="30"/>
        <v>20.16666666666665</v>
      </c>
      <c r="D243" s="38">
        <f t="shared" si="31"/>
        <v>1.9897888634658425</v>
      </c>
      <c r="E243" s="140">
        <f t="shared" si="28"/>
        <v>0.23259264151498329</v>
      </c>
      <c r="F243" s="140">
        <f t="shared" si="29"/>
        <v>0.46281024781061675</v>
      </c>
      <c r="G243" s="140"/>
      <c r="H243" s="140"/>
      <c r="M243" s="140"/>
      <c r="R243" s="140"/>
    </row>
    <row r="244" spans="1:18" x14ac:dyDescent="0.3">
      <c r="A244" s="38">
        <v>243</v>
      </c>
      <c r="B244" s="139">
        <f t="shared" si="30"/>
        <v>20.249999999999982</v>
      </c>
      <c r="D244" s="38">
        <f t="shared" si="31"/>
        <v>1.9897888634658425</v>
      </c>
      <c r="E244" s="140">
        <f t="shared" si="28"/>
        <v>0.23119508594165189</v>
      </c>
      <c r="F244" s="140">
        <f t="shared" si="29"/>
        <v>0.4600294072947273</v>
      </c>
      <c r="G244" s="140"/>
      <c r="H244" s="140"/>
      <c r="M244" s="140"/>
      <c r="R244" s="140"/>
    </row>
    <row r="245" spans="1:18" x14ac:dyDescent="0.3">
      <c r="A245" s="38">
        <v>244</v>
      </c>
      <c r="B245" s="139">
        <f t="shared" si="30"/>
        <v>20.333333333333314</v>
      </c>
      <c r="D245" s="38">
        <f t="shared" si="31"/>
        <v>1.9897888634658425</v>
      </c>
      <c r="E245" s="140">
        <f t="shared" si="28"/>
        <v>0.22980592771729857</v>
      </c>
      <c r="F245" s="140">
        <f t="shared" si="29"/>
        <v>0.45726527573031706</v>
      </c>
      <c r="G245" s="140"/>
      <c r="H245" s="140"/>
      <c r="M245" s="140"/>
      <c r="R245" s="140"/>
    </row>
    <row r="246" spans="1:18" x14ac:dyDescent="0.3">
      <c r="A246" s="38">
        <v>245</v>
      </c>
      <c r="B246" s="139">
        <f t="shared" si="30"/>
        <v>20.416666666666647</v>
      </c>
      <c r="D246" s="38">
        <f t="shared" si="31"/>
        <v>1.9897888634658425</v>
      </c>
      <c r="E246" s="140">
        <f t="shared" si="28"/>
        <v>0.22842511638563304</v>
      </c>
      <c r="F246" s="140">
        <f t="shared" si="29"/>
        <v>0.45451775272002154</v>
      </c>
      <c r="G246" s="140"/>
      <c r="H246" s="140"/>
      <c r="M246" s="140"/>
      <c r="R246" s="140"/>
    </row>
    <row r="247" spans="1:18" x14ac:dyDescent="0.3">
      <c r="A247" s="38">
        <v>246</v>
      </c>
      <c r="B247" s="139">
        <f t="shared" si="30"/>
        <v>20.499999999999979</v>
      </c>
      <c r="D247" s="38">
        <f t="shared" si="31"/>
        <v>1.9897888634658425</v>
      </c>
      <c r="E247" s="140">
        <f t="shared" si="28"/>
        <v>0.22705260179353637</v>
      </c>
      <c r="F247" s="140">
        <f t="shared" si="29"/>
        <v>0.45178673846972323</v>
      </c>
      <c r="G247" s="140"/>
      <c r="H247" s="140"/>
      <c r="M247" s="140"/>
      <c r="R247" s="140"/>
    </row>
    <row r="248" spans="1:18" x14ac:dyDescent="0.3">
      <c r="A248" s="38">
        <v>247</v>
      </c>
      <c r="B248" s="139">
        <f t="shared" si="30"/>
        <v>20.583333333333311</v>
      </c>
      <c r="D248" s="38">
        <f t="shared" si="31"/>
        <v>1.9897888634658425</v>
      </c>
      <c r="E248" s="140">
        <f t="shared" si="28"/>
        <v>0.22568833408923963</v>
      </c>
      <c r="F248" s="140">
        <f t="shared" si="29"/>
        <v>0.4490721337849275</v>
      </c>
      <c r="G248" s="140"/>
      <c r="H248" s="140"/>
      <c r="M248" s="140"/>
      <c r="R248" s="140"/>
    </row>
    <row r="249" spans="1:18" x14ac:dyDescent="0.3">
      <c r="A249" s="38">
        <v>248</v>
      </c>
      <c r="B249" s="139">
        <f t="shared" si="30"/>
        <v>20.666666666666643</v>
      </c>
      <c r="D249" s="38">
        <f t="shared" si="31"/>
        <v>1.9897888634658425</v>
      </c>
      <c r="E249" s="140">
        <f t="shared" si="28"/>
        <v>0.2243322637205131</v>
      </c>
      <c r="F249" s="140">
        <f t="shared" si="29"/>
        <v>0.44637384006715941</v>
      </c>
      <c r="G249" s="140"/>
      <c r="H249" s="140"/>
      <c r="M249" s="140"/>
      <c r="R249" s="140"/>
    </row>
    <row r="250" spans="1:18" x14ac:dyDescent="0.3">
      <c r="A250" s="38">
        <v>249</v>
      </c>
      <c r="B250" s="139">
        <f t="shared" si="30"/>
        <v>20.749999999999975</v>
      </c>
      <c r="D250" s="38">
        <f t="shared" si="31"/>
        <v>1.9897888634658425</v>
      </c>
      <c r="E250" s="140">
        <f t="shared" si="28"/>
        <v>0.22298434143286641</v>
      </c>
      <c r="F250" s="140">
        <f t="shared" si="29"/>
        <v>0.44369175931038263</v>
      </c>
      <c r="G250" s="140"/>
      <c r="H250" s="140"/>
      <c r="M250" s="140"/>
      <c r="R250" s="140"/>
    </row>
    <row r="251" spans="1:18" x14ac:dyDescent="0.3">
      <c r="A251" s="38">
        <v>250</v>
      </c>
      <c r="B251" s="139">
        <f t="shared" si="30"/>
        <v>20.833333333333307</v>
      </c>
      <c r="D251" s="38">
        <f t="shared" si="31"/>
        <v>1.9897888634658425</v>
      </c>
      <c r="E251" s="140">
        <f t="shared" si="28"/>
        <v>0.22164451826775969</v>
      </c>
      <c r="F251" s="140">
        <f t="shared" si="29"/>
        <v>0.44102579409743969</v>
      </c>
      <c r="G251" s="140"/>
      <c r="H251" s="140"/>
      <c r="M251" s="140"/>
      <c r="R251" s="140"/>
    </row>
    <row r="252" spans="1:18" x14ac:dyDescent="0.3">
      <c r="A252" s="38">
        <v>251</v>
      </c>
      <c r="B252" s="139">
        <f t="shared" si="30"/>
        <v>20.916666666666639</v>
      </c>
      <c r="D252" s="38">
        <f t="shared" si="31"/>
        <v>1.9897888634658425</v>
      </c>
      <c r="E252" s="140">
        <f t="shared" si="28"/>
        <v>0.22031274556082514</v>
      </c>
      <c r="F252" s="140">
        <f t="shared" si="29"/>
        <v>0.4383758475965136</v>
      </c>
      <c r="G252" s="140"/>
      <c r="H252" s="140"/>
      <c r="M252" s="140"/>
      <c r="R252" s="140"/>
    </row>
    <row r="253" spans="1:18" x14ac:dyDescent="0.3">
      <c r="A253" s="38">
        <v>252</v>
      </c>
      <c r="B253" s="139">
        <f t="shared" si="30"/>
        <v>20.999999999999972</v>
      </c>
      <c r="D253" s="38">
        <f t="shared" si="31"/>
        <v>1.9897888634658425</v>
      </c>
      <c r="E253" s="140">
        <f t="shared" si="28"/>
        <v>0.21898897494009967</v>
      </c>
      <c r="F253" s="140">
        <f t="shared" si="29"/>
        <v>0.43574182355761076</v>
      </c>
      <c r="G253" s="140"/>
      <c r="H253" s="140"/>
      <c r="M253" s="140"/>
      <c r="R253" s="140"/>
    </row>
    <row r="254" spans="1:18" x14ac:dyDescent="0.3">
      <c r="A254" s="38">
        <v>253</v>
      </c>
      <c r="B254" s="139">
        <f t="shared" si="30"/>
        <v>21.083333333333304</v>
      </c>
      <c r="D254" s="38">
        <f t="shared" si="31"/>
        <v>2.0594314736871469</v>
      </c>
      <c r="E254" s="140">
        <f t="shared" si="28"/>
        <v>0.21767315832426765</v>
      </c>
      <c r="F254" s="140">
        <f t="shared" si="29"/>
        <v>0.44828295322988215</v>
      </c>
      <c r="G254" s="140"/>
      <c r="H254" s="140"/>
      <c r="M254" s="140"/>
      <c r="R254" s="140"/>
    </row>
    <row r="255" spans="1:18" x14ac:dyDescent="0.3">
      <c r="A255" s="38">
        <v>254</v>
      </c>
      <c r="B255" s="139">
        <f t="shared" si="30"/>
        <v>21.166666666666636</v>
      </c>
      <c r="D255" s="38">
        <f t="shared" si="31"/>
        <v>2.0594314736871469</v>
      </c>
      <c r="E255" s="140">
        <f t="shared" si="28"/>
        <v>0.21636524792091491</v>
      </c>
      <c r="F255" s="140">
        <f t="shared" si="29"/>
        <v>0.44558940138045466</v>
      </c>
      <c r="G255" s="140"/>
      <c r="H255" s="140"/>
      <c r="M255" s="140"/>
      <c r="R255" s="140"/>
    </row>
    <row r="256" spans="1:18" x14ac:dyDescent="0.3">
      <c r="A256" s="38">
        <v>255</v>
      </c>
      <c r="B256" s="139">
        <f t="shared" si="30"/>
        <v>21.249999999999968</v>
      </c>
      <c r="D256" s="38">
        <f t="shared" si="31"/>
        <v>2.0594314736871469</v>
      </c>
      <c r="E256" s="140">
        <f t="shared" si="28"/>
        <v>0.21506519622479264</v>
      </c>
      <c r="F256" s="140">
        <f t="shared" si="29"/>
        <v>0.44291203400004014</v>
      </c>
      <c r="G256" s="140"/>
      <c r="H256" s="140"/>
      <c r="M256" s="140"/>
      <c r="R256" s="140"/>
    </row>
    <row r="257" spans="1:18" x14ac:dyDescent="0.3">
      <c r="A257" s="38">
        <v>256</v>
      </c>
      <c r="B257" s="139">
        <f t="shared" si="30"/>
        <v>21.3333333333333</v>
      </c>
      <c r="D257" s="38">
        <f t="shared" si="31"/>
        <v>2.0594314736871469</v>
      </c>
      <c r="E257" s="140">
        <f t="shared" si="28"/>
        <v>0.21377295601609192</v>
      </c>
      <c r="F257" s="140">
        <f t="shared" si="29"/>
        <v>0.44025075384267781</v>
      </c>
      <c r="G257" s="140"/>
      <c r="H257" s="140"/>
      <c r="M257" s="140"/>
      <c r="R257" s="140"/>
    </row>
    <row r="258" spans="1:18" x14ac:dyDescent="0.3">
      <c r="A258" s="38">
        <v>257</v>
      </c>
      <c r="B258" s="139">
        <f t="shared" si="30"/>
        <v>21.416666666666632</v>
      </c>
      <c r="D258" s="38">
        <f t="shared" si="31"/>
        <v>2.0594314736871469</v>
      </c>
      <c r="E258" s="140">
        <f t="shared" si="28"/>
        <v>0.21248848035872864</v>
      </c>
      <c r="F258" s="140">
        <f t="shared" si="29"/>
        <v>0.43760546424671887</v>
      </c>
      <c r="G258" s="140"/>
      <c r="H258" s="140"/>
      <c r="M258" s="140"/>
      <c r="R258" s="140"/>
    </row>
    <row r="259" spans="1:18" x14ac:dyDescent="0.3">
      <c r="A259" s="38">
        <v>258</v>
      </c>
      <c r="B259" s="139">
        <f t="shared" si="30"/>
        <v>21.499999999999964</v>
      </c>
      <c r="D259" s="38">
        <f t="shared" si="31"/>
        <v>2.0594314736871469</v>
      </c>
      <c r="E259" s="140">
        <f t="shared" ref="E259:E322" si="32">1/1.075^B259</f>
        <v>0.21121172259863871</v>
      </c>
      <c r="F259" s="140">
        <f t="shared" ref="F259:F322" si="33">D259*E259</f>
        <v>0.43497606913131537</v>
      </c>
      <c r="G259" s="140"/>
      <c r="H259" s="140"/>
      <c r="M259" s="140"/>
      <c r="R259" s="140"/>
    </row>
    <row r="260" spans="1:18" x14ac:dyDescent="0.3">
      <c r="A260" s="38">
        <v>259</v>
      </c>
      <c r="B260" s="139">
        <f t="shared" si="30"/>
        <v>21.583333333333297</v>
      </c>
      <c r="D260" s="38">
        <f t="shared" si="31"/>
        <v>2.0594314736871469</v>
      </c>
      <c r="E260" s="140">
        <f t="shared" si="32"/>
        <v>0.2099426363620836</v>
      </c>
      <c r="F260" s="140">
        <f t="shared" si="33"/>
        <v>0.43236247299293062</v>
      </c>
      <c r="G260" s="140"/>
      <c r="H260" s="140"/>
      <c r="M260" s="140"/>
      <c r="R260" s="140"/>
    </row>
    <row r="261" spans="1:18" x14ac:dyDescent="0.3">
      <c r="A261" s="38">
        <v>260</v>
      </c>
      <c r="B261" s="139">
        <f t="shared" si="30"/>
        <v>21.666666666666629</v>
      </c>
      <c r="D261" s="38">
        <f t="shared" si="31"/>
        <v>2.0594314736871469</v>
      </c>
      <c r="E261" s="140">
        <f t="shared" si="32"/>
        <v>0.2086811755539659</v>
      </c>
      <c r="F261" s="140">
        <f t="shared" si="33"/>
        <v>0.4297645809018702</v>
      </c>
      <c r="G261" s="140"/>
      <c r="H261" s="140"/>
      <c r="M261" s="140"/>
      <c r="R261" s="140"/>
    </row>
    <row r="262" spans="1:18" x14ac:dyDescent="0.3">
      <c r="A262" s="38">
        <v>261</v>
      </c>
      <c r="B262" s="139">
        <f t="shared" si="30"/>
        <v>21.749999999999961</v>
      </c>
      <c r="D262" s="38">
        <f t="shared" si="31"/>
        <v>2.0594314736871469</v>
      </c>
      <c r="E262" s="140">
        <f t="shared" si="32"/>
        <v>0.20742729435615503</v>
      </c>
      <c r="F262" s="140">
        <f t="shared" si="33"/>
        <v>0.42718229849883393</v>
      </c>
      <c r="G262" s="140"/>
      <c r="H262" s="140"/>
      <c r="M262" s="140"/>
      <c r="R262" s="140"/>
    </row>
    <row r="263" spans="1:18" x14ac:dyDescent="0.3">
      <c r="A263" s="38">
        <v>262</v>
      </c>
      <c r="B263" s="139">
        <f t="shared" si="30"/>
        <v>21.833333333333293</v>
      </c>
      <c r="D263" s="38">
        <f t="shared" si="31"/>
        <v>2.0594314736871469</v>
      </c>
      <c r="E263" s="140">
        <f t="shared" si="32"/>
        <v>0.20618094722582317</v>
      </c>
      <c r="F263" s="140">
        <f t="shared" si="33"/>
        <v>0.42461553199148888</v>
      </c>
      <c r="G263" s="140"/>
      <c r="H263" s="140"/>
      <c r="M263" s="140"/>
      <c r="R263" s="140"/>
    </row>
    <row r="264" spans="1:18" x14ac:dyDescent="0.3">
      <c r="A264" s="38">
        <v>263</v>
      </c>
      <c r="B264" s="139">
        <f t="shared" ref="B264:B327" si="34">B263+1/12</f>
        <v>21.916666666666625</v>
      </c>
      <c r="D264" s="38">
        <f t="shared" si="31"/>
        <v>2.0594314736871469</v>
      </c>
      <c r="E264" s="140">
        <f t="shared" si="32"/>
        <v>0.20494208889379106</v>
      </c>
      <c r="F264" s="140">
        <f t="shared" si="33"/>
        <v>0.42206418815106239</v>
      </c>
      <c r="G264" s="140"/>
      <c r="H264" s="140"/>
      <c r="M264" s="140"/>
      <c r="R264" s="140"/>
    </row>
    <row r="265" spans="1:18" x14ac:dyDescent="0.3">
      <c r="A265" s="38">
        <v>264</v>
      </c>
      <c r="B265" s="139">
        <f t="shared" si="34"/>
        <v>21.999999999999957</v>
      </c>
      <c r="D265" s="38">
        <f t="shared" si="31"/>
        <v>2.0594314736871469</v>
      </c>
      <c r="E265" s="140">
        <f t="shared" si="32"/>
        <v>0.20371067436288359</v>
      </c>
      <c r="F265" s="140">
        <f t="shared" si="33"/>
        <v>0.41952817430895584</v>
      </c>
      <c r="G265" s="140"/>
      <c r="H265" s="140"/>
      <c r="M265" s="140"/>
      <c r="R265" s="140"/>
    </row>
    <row r="266" spans="1:18" x14ac:dyDescent="0.3">
      <c r="A266" s="38">
        <v>265</v>
      </c>
      <c r="B266" s="139">
        <f t="shared" si="34"/>
        <v>22.08333333333329</v>
      </c>
      <c r="D266" s="38">
        <f t="shared" si="31"/>
        <v>2.1315115752661966</v>
      </c>
      <c r="E266" s="140">
        <f t="shared" si="32"/>
        <v>0.20248665890629564</v>
      </c>
      <c r="F266" s="140">
        <f t="shared" si="33"/>
        <v>0.43160265729574726</v>
      </c>
      <c r="G266" s="140"/>
      <c r="H266" s="140"/>
      <c r="M266" s="140"/>
      <c r="R266" s="140"/>
    </row>
    <row r="267" spans="1:18" x14ac:dyDescent="0.3">
      <c r="A267" s="38">
        <v>266</v>
      </c>
      <c r="B267" s="139">
        <f t="shared" si="34"/>
        <v>22.166666666666622</v>
      </c>
      <c r="D267" s="38">
        <f t="shared" si="31"/>
        <v>2.1315115752661966</v>
      </c>
      <c r="E267" s="140">
        <f t="shared" si="32"/>
        <v>0.2012699980659676</v>
      </c>
      <c r="F267" s="140">
        <f t="shared" si="33"/>
        <v>0.42900933063141494</v>
      </c>
      <c r="G267" s="140"/>
      <c r="H267" s="140"/>
      <c r="M267" s="140"/>
      <c r="R267" s="140"/>
    </row>
    <row r="268" spans="1:18" x14ac:dyDescent="0.3">
      <c r="A268" s="38">
        <v>267</v>
      </c>
      <c r="B268" s="139">
        <f t="shared" si="34"/>
        <v>22.249999999999954</v>
      </c>
      <c r="D268" s="38">
        <f t="shared" si="31"/>
        <v>2.1315115752661966</v>
      </c>
      <c r="E268" s="140">
        <f t="shared" si="32"/>
        <v>0.20006064765097015</v>
      </c>
      <c r="F268" s="140">
        <f t="shared" si="33"/>
        <v>0.42643158622329491</v>
      </c>
      <c r="G268" s="140"/>
      <c r="H268" s="140"/>
      <c r="M268" s="140"/>
      <c r="R268" s="140"/>
    </row>
    <row r="269" spans="1:18" x14ac:dyDescent="0.3">
      <c r="A269" s="38">
        <v>268</v>
      </c>
      <c r="B269" s="139">
        <f t="shared" si="34"/>
        <v>22.333333333333286</v>
      </c>
      <c r="D269" s="38">
        <f t="shared" si="31"/>
        <v>2.1315115752661966</v>
      </c>
      <c r="E269" s="140">
        <f t="shared" si="32"/>
        <v>0.19885856373589969</v>
      </c>
      <c r="F269" s="140">
        <f t="shared" si="33"/>
        <v>0.42386933044388092</v>
      </c>
      <c r="G269" s="140"/>
      <c r="H269" s="140"/>
      <c r="M269" s="140"/>
      <c r="R269" s="140"/>
    </row>
    <row r="270" spans="1:18" x14ac:dyDescent="0.3">
      <c r="A270" s="38">
        <v>269</v>
      </c>
      <c r="B270" s="139">
        <f t="shared" si="34"/>
        <v>22.416666666666618</v>
      </c>
      <c r="D270" s="38">
        <f t="shared" si="31"/>
        <v>2.1315115752661966</v>
      </c>
      <c r="E270" s="140">
        <f t="shared" si="32"/>
        <v>0.19766370265928268</v>
      </c>
      <c r="F270" s="140">
        <f t="shared" si="33"/>
        <v>0.42132247022823671</v>
      </c>
      <c r="G270" s="140"/>
      <c r="H270" s="140"/>
      <c r="M270" s="140"/>
      <c r="R270" s="140"/>
    </row>
    <row r="271" spans="1:18" x14ac:dyDescent="0.3">
      <c r="A271" s="38">
        <v>270</v>
      </c>
      <c r="B271" s="139">
        <f t="shared" si="34"/>
        <v>22.49999999999995</v>
      </c>
      <c r="D271" s="38">
        <f t="shared" ref="D271:D334" si="35">D259*1.035</f>
        <v>2.1315115752661966</v>
      </c>
      <c r="E271" s="140">
        <f t="shared" si="32"/>
        <v>0.19647602102198972</v>
      </c>
      <c r="F271" s="140">
        <f t="shared" si="33"/>
        <v>0.41879091307061567</v>
      </c>
      <c r="G271" s="140"/>
      <c r="H271" s="140"/>
      <c r="M271" s="140"/>
      <c r="R271" s="140"/>
    </row>
    <row r="272" spans="1:18" x14ac:dyDescent="0.3">
      <c r="A272" s="38">
        <v>271</v>
      </c>
      <c r="B272" s="139">
        <f t="shared" si="34"/>
        <v>22.583333333333282</v>
      </c>
      <c r="D272" s="38">
        <f t="shared" si="35"/>
        <v>2.1315115752661966</v>
      </c>
      <c r="E272" s="140">
        <f t="shared" si="32"/>
        <v>0.19529547568565941</v>
      </c>
      <c r="F272" s="140">
        <f t="shared" si="33"/>
        <v>0.41627456702110111</v>
      </c>
      <c r="G272" s="140"/>
      <c r="H272" s="140"/>
      <c r="M272" s="140"/>
      <c r="R272" s="140"/>
    </row>
    <row r="273" spans="1:18" x14ac:dyDescent="0.3">
      <c r="A273" s="38">
        <v>272</v>
      </c>
      <c r="B273" s="139">
        <f t="shared" si="34"/>
        <v>22.666666666666615</v>
      </c>
      <c r="D273" s="38">
        <f t="shared" si="35"/>
        <v>2.1315115752661966</v>
      </c>
      <c r="E273" s="140">
        <f t="shared" si="32"/>
        <v>0.1941220237711313</v>
      </c>
      <c r="F273" s="140">
        <f t="shared" si="33"/>
        <v>0.41377334068226612</v>
      </c>
      <c r="G273" s="140"/>
      <c r="H273" s="140"/>
      <c r="M273" s="140"/>
      <c r="R273" s="140"/>
    </row>
    <row r="274" spans="1:18" x14ac:dyDescent="0.3">
      <c r="A274" s="38">
        <v>273</v>
      </c>
      <c r="B274" s="139">
        <f t="shared" si="34"/>
        <v>22.749999999999947</v>
      </c>
      <c r="D274" s="38">
        <f t="shared" si="35"/>
        <v>2.1315115752661966</v>
      </c>
      <c r="E274" s="140">
        <f t="shared" si="32"/>
        <v>0.19295562265688862</v>
      </c>
      <c r="F274" s="140">
        <f t="shared" si="33"/>
        <v>0.41128714320585447</v>
      </c>
      <c r="G274" s="140"/>
      <c r="H274" s="140"/>
      <c r="M274" s="140"/>
      <c r="R274" s="140"/>
    </row>
    <row r="275" spans="1:18" x14ac:dyDescent="0.3">
      <c r="A275" s="38">
        <v>274</v>
      </c>
      <c r="B275" s="139">
        <f t="shared" si="34"/>
        <v>22.833333333333279</v>
      </c>
      <c r="D275" s="38">
        <f t="shared" si="35"/>
        <v>2.1315115752661966</v>
      </c>
      <c r="E275" s="140">
        <f t="shared" si="32"/>
        <v>0.19179622997751017</v>
      </c>
      <c r="F275" s="140">
        <f t="shared" si="33"/>
        <v>0.4088158842894804</v>
      </c>
      <c r="G275" s="140"/>
      <c r="H275" s="140"/>
      <c r="M275" s="140"/>
      <c r="R275" s="140"/>
    </row>
    <row r="276" spans="1:18" x14ac:dyDescent="0.3">
      <c r="A276" s="38">
        <v>275</v>
      </c>
      <c r="B276" s="139">
        <f t="shared" si="34"/>
        <v>22.916666666666611</v>
      </c>
      <c r="D276" s="38">
        <f t="shared" si="35"/>
        <v>2.1315115752661966</v>
      </c>
      <c r="E276" s="140">
        <f t="shared" si="32"/>
        <v>0.19064380362213143</v>
      </c>
      <c r="F276" s="140">
        <f t="shared" si="33"/>
        <v>0.40635947417334878</v>
      </c>
      <c r="G276" s="140"/>
      <c r="H276" s="140"/>
      <c r="M276" s="140"/>
      <c r="R276" s="140"/>
    </row>
    <row r="277" spans="1:18" x14ac:dyDescent="0.3">
      <c r="A277" s="38">
        <v>276</v>
      </c>
      <c r="B277" s="139">
        <f t="shared" si="34"/>
        <v>22.999999999999943</v>
      </c>
      <c r="D277" s="38">
        <f t="shared" si="35"/>
        <v>2.1315115752661966</v>
      </c>
      <c r="E277" s="140">
        <f t="shared" si="32"/>
        <v>0.18949830173291515</v>
      </c>
      <c r="F277" s="140">
        <f t="shared" si="33"/>
        <v>0.40391782363699502</v>
      </c>
      <c r="G277" s="140"/>
      <c r="H277" s="140"/>
      <c r="M277" s="140"/>
      <c r="R277" s="140"/>
    </row>
    <row r="278" spans="1:18" x14ac:dyDescent="0.3">
      <c r="A278" s="38">
        <v>277</v>
      </c>
      <c r="B278" s="139">
        <f t="shared" si="34"/>
        <v>23.083333333333275</v>
      </c>
      <c r="D278" s="38">
        <f t="shared" si="35"/>
        <v>2.2061144804005135</v>
      </c>
      <c r="E278" s="140">
        <f t="shared" si="32"/>
        <v>0.18835968270353107</v>
      </c>
      <c r="F278" s="140">
        <f t="shared" si="33"/>
        <v>0.41554302353590605</v>
      </c>
      <c r="G278" s="140"/>
      <c r="H278" s="140"/>
      <c r="M278" s="140"/>
      <c r="R278" s="140"/>
    </row>
    <row r="279" spans="1:18" x14ac:dyDescent="0.3">
      <c r="A279" s="38">
        <v>278</v>
      </c>
      <c r="B279" s="139">
        <f t="shared" si="34"/>
        <v>23.166666666666607</v>
      </c>
      <c r="D279" s="38">
        <f t="shared" si="35"/>
        <v>2.2061144804005135</v>
      </c>
      <c r="E279" s="140">
        <f t="shared" si="32"/>
        <v>0.18722790517764443</v>
      </c>
      <c r="F279" s="140">
        <f t="shared" si="33"/>
        <v>0.41304619274745563</v>
      </c>
      <c r="G279" s="140"/>
      <c r="H279" s="140"/>
      <c r="M279" s="140"/>
      <c r="R279" s="140"/>
    </row>
    <row r="280" spans="1:18" x14ac:dyDescent="0.3">
      <c r="A280" s="38">
        <v>279</v>
      </c>
      <c r="B280" s="139">
        <f t="shared" si="34"/>
        <v>23.24999999999994</v>
      </c>
      <c r="D280" s="38">
        <f t="shared" si="35"/>
        <v>2.2061144804005135</v>
      </c>
      <c r="E280" s="140">
        <f t="shared" si="32"/>
        <v>0.18610292804741424</v>
      </c>
      <c r="F280" s="140">
        <f t="shared" si="33"/>
        <v>0.41056436441033539</v>
      </c>
      <c r="G280" s="140"/>
      <c r="H280" s="140"/>
      <c r="M280" s="140"/>
      <c r="R280" s="140"/>
    </row>
    <row r="281" spans="1:18" x14ac:dyDescent="0.3">
      <c r="A281" s="38">
        <v>280</v>
      </c>
      <c r="B281" s="139">
        <f t="shared" si="34"/>
        <v>23.333333333333272</v>
      </c>
      <c r="D281" s="38">
        <f t="shared" si="35"/>
        <v>2.2061144804005135</v>
      </c>
      <c r="E281" s="140">
        <f t="shared" si="32"/>
        <v>0.18498471045199991</v>
      </c>
      <c r="F281" s="140">
        <f t="shared" si="33"/>
        <v>0.40809744838085321</v>
      </c>
      <c r="G281" s="140"/>
      <c r="H281" s="140"/>
      <c r="M281" s="140"/>
      <c r="R281" s="140"/>
    </row>
    <row r="282" spans="1:18" x14ac:dyDescent="0.3">
      <c r="A282" s="38">
        <v>281</v>
      </c>
      <c r="B282" s="139">
        <f t="shared" si="34"/>
        <v>23.416666666666604</v>
      </c>
      <c r="D282" s="38">
        <f t="shared" si="35"/>
        <v>2.2061144804005135</v>
      </c>
      <c r="E282" s="140">
        <f t="shared" si="32"/>
        <v>0.1838732117760771</v>
      </c>
      <c r="F282" s="140">
        <f t="shared" si="33"/>
        <v>0.40564535505695393</v>
      </c>
      <c r="G282" s="140"/>
      <c r="H282" s="140"/>
      <c r="M282" s="140"/>
      <c r="R282" s="140"/>
    </row>
    <row r="283" spans="1:18" x14ac:dyDescent="0.3">
      <c r="A283" s="38">
        <v>282</v>
      </c>
      <c r="B283" s="139">
        <f t="shared" si="34"/>
        <v>23.499999999999936</v>
      </c>
      <c r="D283" s="38">
        <f t="shared" si="35"/>
        <v>2.2061144804005135</v>
      </c>
      <c r="E283" s="140">
        <f t="shared" si="32"/>
        <v>0.18276839164836273</v>
      </c>
      <c r="F283" s="140">
        <f t="shared" si="33"/>
        <v>0.40320799537496527</v>
      </c>
      <c r="G283" s="140"/>
      <c r="H283" s="140"/>
      <c r="M283" s="140"/>
      <c r="R283" s="140"/>
    </row>
    <row r="284" spans="1:18" x14ac:dyDescent="0.3">
      <c r="A284" s="38">
        <v>283</v>
      </c>
      <c r="B284" s="139">
        <f t="shared" si="34"/>
        <v>23.583333333333268</v>
      </c>
      <c r="D284" s="38">
        <f t="shared" si="35"/>
        <v>2.2061144804005135</v>
      </c>
      <c r="E284" s="140">
        <f t="shared" si="32"/>
        <v>0.18167020994014846</v>
      </c>
      <c r="F284" s="140">
        <f t="shared" si="33"/>
        <v>0.40078528080636283</v>
      </c>
      <c r="G284" s="140"/>
      <c r="H284" s="140"/>
      <c r="M284" s="140"/>
      <c r="R284" s="140"/>
    </row>
    <row r="285" spans="1:18" x14ac:dyDescent="0.3">
      <c r="A285" s="38">
        <v>284</v>
      </c>
      <c r="B285" s="139">
        <f t="shared" si="34"/>
        <v>23.6666666666666</v>
      </c>
      <c r="D285" s="38">
        <f t="shared" si="35"/>
        <v>2.2061144804005135</v>
      </c>
      <c r="E285" s="140">
        <f t="shared" si="32"/>
        <v>0.18057862676384323</v>
      </c>
      <c r="F285" s="140">
        <f t="shared" si="33"/>
        <v>0.39837712335455427</v>
      </c>
      <c r="G285" s="140"/>
      <c r="H285" s="140"/>
      <c r="M285" s="140"/>
      <c r="R285" s="140"/>
    </row>
    <row r="286" spans="1:18" x14ac:dyDescent="0.3">
      <c r="A286" s="38">
        <v>285</v>
      </c>
      <c r="B286" s="139">
        <f t="shared" si="34"/>
        <v>23.749999999999932</v>
      </c>
      <c r="D286" s="38">
        <f t="shared" si="35"/>
        <v>2.2061144804005135</v>
      </c>
      <c r="E286" s="140">
        <f t="shared" si="32"/>
        <v>0.17949360247152452</v>
      </c>
      <c r="F286" s="140">
        <f t="shared" si="33"/>
        <v>0.39598343555168364</v>
      </c>
      <c r="G286" s="140"/>
      <c r="H286" s="140"/>
      <c r="M286" s="140"/>
      <c r="R286" s="140"/>
    </row>
    <row r="287" spans="1:18" x14ac:dyDescent="0.3">
      <c r="A287" s="38">
        <v>286</v>
      </c>
      <c r="B287" s="139">
        <f t="shared" si="34"/>
        <v>23.833333333333265</v>
      </c>
      <c r="D287" s="38">
        <f t="shared" si="35"/>
        <v>2.2061144804005135</v>
      </c>
      <c r="E287" s="140">
        <f t="shared" si="32"/>
        <v>0.178415097653498</v>
      </c>
      <c r="F287" s="140">
        <f t="shared" si="33"/>
        <v>0.39360413045545362</v>
      </c>
      <c r="G287" s="140"/>
      <c r="H287" s="140"/>
      <c r="M287" s="140"/>
      <c r="R287" s="140"/>
    </row>
    <row r="288" spans="1:18" x14ac:dyDescent="0.3">
      <c r="A288" s="38">
        <v>287</v>
      </c>
      <c r="B288" s="139">
        <f t="shared" si="34"/>
        <v>23.916666666666597</v>
      </c>
      <c r="D288" s="38">
        <f t="shared" si="35"/>
        <v>2.2061144804005135</v>
      </c>
      <c r="E288" s="140">
        <f t="shared" si="32"/>
        <v>0.17734307313686662</v>
      </c>
      <c r="F288" s="140">
        <f t="shared" si="33"/>
        <v>0.39123912164596875</v>
      </c>
      <c r="G288" s="140"/>
      <c r="H288" s="140"/>
      <c r="M288" s="140"/>
      <c r="R288" s="140"/>
    </row>
    <row r="289" spans="1:18" x14ac:dyDescent="0.3">
      <c r="A289" s="38">
        <v>288</v>
      </c>
      <c r="B289" s="139">
        <f t="shared" si="34"/>
        <v>23.999999999999929</v>
      </c>
      <c r="D289" s="38">
        <f t="shared" si="35"/>
        <v>2.2061144804005135</v>
      </c>
      <c r="E289" s="140">
        <f t="shared" si="32"/>
        <v>0.17627748998410731</v>
      </c>
      <c r="F289" s="140">
        <f t="shared" si="33"/>
        <v>0.38888832322259559</v>
      </c>
      <c r="G289" s="140"/>
      <c r="H289" s="140"/>
      <c r="M289" s="140"/>
      <c r="R289" s="140"/>
    </row>
    <row r="290" spans="1:18" x14ac:dyDescent="0.3">
      <c r="A290" s="38">
        <v>289</v>
      </c>
      <c r="B290" s="139">
        <f t="shared" si="34"/>
        <v>24.083333333333261</v>
      </c>
      <c r="D290" s="38">
        <f t="shared" si="35"/>
        <v>2.2833284872145314</v>
      </c>
      <c r="E290" s="140">
        <f t="shared" si="32"/>
        <v>0.17521830949165698</v>
      </c>
      <c r="F290" s="140">
        <f t="shared" si="33"/>
        <v>0.40008095754387268</v>
      </c>
      <c r="G290" s="140"/>
      <c r="H290" s="140"/>
      <c r="M290" s="140"/>
      <c r="R290" s="140"/>
    </row>
    <row r="291" spans="1:18" x14ac:dyDescent="0.3">
      <c r="A291" s="38">
        <v>290</v>
      </c>
      <c r="B291" s="139">
        <f t="shared" si="34"/>
        <v>24.166666666666593</v>
      </c>
      <c r="D291" s="38">
        <f t="shared" si="35"/>
        <v>2.2833284872145314</v>
      </c>
      <c r="E291" s="140">
        <f t="shared" si="32"/>
        <v>0.17416549318850666</v>
      </c>
      <c r="F291" s="140">
        <f t="shared" si="33"/>
        <v>0.39767703208708566</v>
      </c>
      <c r="G291" s="140"/>
      <c r="H291" s="140"/>
      <c r="M291" s="140"/>
      <c r="R291" s="140"/>
    </row>
    <row r="292" spans="1:18" x14ac:dyDescent="0.3">
      <c r="A292" s="38">
        <v>291</v>
      </c>
      <c r="B292" s="139">
        <f t="shared" si="34"/>
        <v>24.249999999999925</v>
      </c>
      <c r="D292" s="38">
        <f t="shared" si="35"/>
        <v>2.2833284872145314</v>
      </c>
      <c r="E292" s="140">
        <f t="shared" si="32"/>
        <v>0.17311900283480414</v>
      </c>
      <c r="F292" s="140">
        <f t="shared" si="33"/>
        <v>0.39528755085088152</v>
      </c>
      <c r="G292" s="140"/>
      <c r="H292" s="140"/>
      <c r="M292" s="140"/>
      <c r="R292" s="140"/>
    </row>
    <row r="293" spans="1:18" x14ac:dyDescent="0.3">
      <c r="A293" s="38">
        <v>292</v>
      </c>
      <c r="B293" s="139">
        <f t="shared" si="34"/>
        <v>24.333333333333258</v>
      </c>
      <c r="D293" s="38">
        <f t="shared" si="35"/>
        <v>2.2833284872145314</v>
      </c>
      <c r="E293" s="140">
        <f t="shared" si="32"/>
        <v>0.17207880042046519</v>
      </c>
      <c r="F293" s="140">
        <f t="shared" si="33"/>
        <v>0.39291242704575208</v>
      </c>
      <c r="G293" s="140"/>
      <c r="H293" s="140"/>
      <c r="M293" s="140"/>
      <c r="R293" s="140"/>
    </row>
    <row r="294" spans="1:18" x14ac:dyDescent="0.3">
      <c r="A294" s="38">
        <v>293</v>
      </c>
      <c r="B294" s="139">
        <f t="shared" si="34"/>
        <v>24.41666666666659</v>
      </c>
      <c r="D294" s="38">
        <f t="shared" si="35"/>
        <v>2.2833284872145314</v>
      </c>
      <c r="E294" s="140">
        <f t="shared" si="32"/>
        <v>0.17104484816379284</v>
      </c>
      <c r="F294" s="140">
        <f t="shared" si="33"/>
        <v>0.39055157440367233</v>
      </c>
      <c r="G294" s="140"/>
      <c r="H294" s="140"/>
      <c r="M294" s="140"/>
      <c r="R294" s="140"/>
    </row>
    <row r="295" spans="1:18" x14ac:dyDescent="0.3">
      <c r="A295" s="38">
        <v>294</v>
      </c>
      <c r="B295" s="139">
        <f t="shared" si="34"/>
        <v>24.499999999999922</v>
      </c>
      <c r="D295" s="38">
        <f t="shared" si="35"/>
        <v>2.2833284872145314</v>
      </c>
      <c r="E295" s="140">
        <f t="shared" si="32"/>
        <v>0.17001710851010504</v>
      </c>
      <c r="F295" s="140">
        <f t="shared" si="33"/>
        <v>0.38820490717496697</v>
      </c>
      <c r="G295" s="140"/>
      <c r="H295" s="140"/>
      <c r="M295" s="140"/>
      <c r="R295" s="140"/>
    </row>
    <row r="296" spans="1:18" x14ac:dyDescent="0.3">
      <c r="A296" s="38">
        <v>295</v>
      </c>
      <c r="B296" s="139">
        <f t="shared" si="34"/>
        <v>24.583333333333254</v>
      </c>
      <c r="D296" s="38">
        <f t="shared" si="35"/>
        <v>2.2833284872145314</v>
      </c>
      <c r="E296" s="140">
        <f t="shared" si="32"/>
        <v>0.16899554413037085</v>
      </c>
      <c r="F296" s="140">
        <f t="shared" si="33"/>
        <v>0.38587234012519628</v>
      </c>
      <c r="G296" s="140"/>
      <c r="H296" s="140"/>
      <c r="M296" s="140"/>
      <c r="R296" s="140"/>
    </row>
    <row r="297" spans="1:18" x14ac:dyDescent="0.3">
      <c r="A297" s="38">
        <v>296</v>
      </c>
      <c r="B297" s="139">
        <f t="shared" si="34"/>
        <v>24.666666666666586</v>
      </c>
      <c r="D297" s="38">
        <f t="shared" si="35"/>
        <v>2.2833284872145314</v>
      </c>
      <c r="E297" s="140">
        <f t="shared" si="32"/>
        <v>0.16798011791985437</v>
      </c>
      <c r="F297" s="140">
        <f t="shared" si="33"/>
        <v>0.38355378853205968</v>
      </c>
      <c r="G297" s="140"/>
      <c r="H297" s="140"/>
      <c r="M297" s="140"/>
      <c r="R297" s="140"/>
    </row>
    <row r="298" spans="1:18" x14ac:dyDescent="0.3">
      <c r="A298" s="38">
        <v>297</v>
      </c>
      <c r="B298" s="139">
        <f t="shared" si="34"/>
        <v>24.749999999999918</v>
      </c>
      <c r="D298" s="38">
        <f t="shared" si="35"/>
        <v>2.2833284872145314</v>
      </c>
      <c r="E298" s="140">
        <f t="shared" si="32"/>
        <v>0.16697079299676715</v>
      </c>
      <c r="F298" s="140">
        <f t="shared" si="33"/>
        <v>0.38124916818231902</v>
      </c>
      <c r="G298" s="140"/>
      <c r="H298" s="140"/>
      <c r="M298" s="140"/>
      <c r="R298" s="140"/>
    </row>
    <row r="299" spans="1:18" x14ac:dyDescent="0.3">
      <c r="A299" s="38">
        <v>298</v>
      </c>
      <c r="B299" s="139">
        <f t="shared" si="34"/>
        <v>24.83333333333325</v>
      </c>
      <c r="D299" s="38">
        <f t="shared" si="35"/>
        <v>2.2833284872145314</v>
      </c>
      <c r="E299" s="140">
        <f t="shared" si="32"/>
        <v>0.16596753270092857</v>
      </c>
      <c r="F299" s="140">
        <f t="shared" si="33"/>
        <v>0.37895839536873949</v>
      </c>
      <c r="G299" s="140"/>
      <c r="H299" s="140"/>
      <c r="M299" s="140"/>
      <c r="R299" s="140"/>
    </row>
    <row r="300" spans="1:18" x14ac:dyDescent="0.3">
      <c r="A300" s="38">
        <v>299</v>
      </c>
      <c r="B300" s="139">
        <f t="shared" si="34"/>
        <v>24.916666666666583</v>
      </c>
      <c r="D300" s="38">
        <f t="shared" si="35"/>
        <v>2.2833284872145314</v>
      </c>
      <c r="E300" s="140">
        <f t="shared" si="32"/>
        <v>0.16497030059243425</v>
      </c>
      <c r="F300" s="140">
        <f t="shared" si="33"/>
        <v>0.37668138688704944</v>
      </c>
      <c r="G300" s="140"/>
      <c r="H300" s="140"/>
      <c r="M300" s="140"/>
      <c r="R300" s="140"/>
    </row>
    <row r="301" spans="1:18" x14ac:dyDescent="0.3">
      <c r="A301" s="38">
        <v>300</v>
      </c>
      <c r="B301" s="139">
        <f t="shared" si="34"/>
        <v>24.999999999999915</v>
      </c>
      <c r="D301" s="38">
        <f t="shared" si="35"/>
        <v>2.2833284872145314</v>
      </c>
      <c r="E301" s="140">
        <f t="shared" si="32"/>
        <v>0.16397906045033259</v>
      </c>
      <c r="F301" s="140">
        <f t="shared" si="33"/>
        <v>0.37441806003291811</v>
      </c>
      <c r="G301" s="140"/>
      <c r="H301" s="140"/>
      <c r="M301" s="140"/>
      <c r="R301" s="140"/>
    </row>
    <row r="302" spans="1:18" x14ac:dyDescent="0.3">
      <c r="A302" s="38">
        <v>301</v>
      </c>
      <c r="B302" s="139">
        <f t="shared" si="34"/>
        <v>25.083333333333247</v>
      </c>
      <c r="D302" s="38">
        <f t="shared" si="35"/>
        <v>2.3632449842670398</v>
      </c>
      <c r="E302" s="140">
        <f t="shared" si="32"/>
        <v>0.16299377627130901</v>
      </c>
      <c r="F302" s="140">
        <f t="shared" si="33"/>
        <v>0.38519422423991506</v>
      </c>
      <c r="G302" s="140"/>
      <c r="H302" s="140"/>
      <c r="M302" s="140"/>
      <c r="R302" s="140"/>
    </row>
    <row r="303" spans="1:18" x14ac:dyDescent="0.3">
      <c r="A303" s="38">
        <v>302</v>
      </c>
      <c r="B303" s="139">
        <f t="shared" si="34"/>
        <v>25.166666666666579</v>
      </c>
      <c r="D303" s="38">
        <f t="shared" si="35"/>
        <v>2.3632449842670398</v>
      </c>
      <c r="E303" s="140">
        <f t="shared" si="32"/>
        <v>0.16201441226837845</v>
      </c>
      <c r="F303" s="140">
        <f t="shared" si="33"/>
        <v>0.38287974717221773</v>
      </c>
      <c r="G303" s="140"/>
      <c r="H303" s="140"/>
      <c r="M303" s="140"/>
      <c r="R303" s="140"/>
    </row>
    <row r="304" spans="1:18" x14ac:dyDescent="0.3">
      <c r="A304" s="38">
        <v>303</v>
      </c>
      <c r="B304" s="139">
        <f t="shared" si="34"/>
        <v>25.249999999999911</v>
      </c>
      <c r="D304" s="38">
        <f t="shared" si="35"/>
        <v>2.3632449842670398</v>
      </c>
      <c r="E304" s="140">
        <f t="shared" si="32"/>
        <v>0.1610409328695854</v>
      </c>
      <c r="F304" s="140">
        <f t="shared" si="33"/>
        <v>0.38057917686573278</v>
      </c>
      <c r="G304" s="140"/>
      <c r="H304" s="140"/>
      <c r="M304" s="140"/>
      <c r="R304" s="140"/>
    </row>
    <row r="305" spans="1:18" x14ac:dyDescent="0.3">
      <c r="A305" s="38">
        <v>304</v>
      </c>
      <c r="B305" s="139">
        <f t="shared" si="34"/>
        <v>25.333333333333243</v>
      </c>
      <c r="D305" s="38">
        <f t="shared" si="35"/>
        <v>2.3632449842670398</v>
      </c>
      <c r="E305" s="140">
        <f t="shared" si="32"/>
        <v>0.16007330271671197</v>
      </c>
      <c r="F305" s="140">
        <f t="shared" si="33"/>
        <v>0.37829242976032906</v>
      </c>
      <c r="G305" s="140"/>
      <c r="H305" s="140"/>
      <c r="M305" s="140"/>
      <c r="R305" s="140"/>
    </row>
    <row r="306" spans="1:18" x14ac:dyDescent="0.3">
      <c r="A306" s="38">
        <v>305</v>
      </c>
      <c r="B306" s="139">
        <f t="shared" si="34"/>
        <v>25.416666666666575</v>
      </c>
      <c r="D306" s="38">
        <f t="shared" si="35"/>
        <v>2.3632449842670398</v>
      </c>
      <c r="E306" s="140">
        <f t="shared" si="32"/>
        <v>0.1591114866639935</v>
      </c>
      <c r="F306" s="140">
        <f t="shared" si="33"/>
        <v>0.37601942279795464</v>
      </c>
      <c r="G306" s="140"/>
      <c r="H306" s="140"/>
      <c r="M306" s="140"/>
      <c r="R306" s="140"/>
    </row>
    <row r="307" spans="1:18" x14ac:dyDescent="0.3">
      <c r="A307" s="38">
        <v>306</v>
      </c>
      <c r="B307" s="139">
        <f t="shared" si="34"/>
        <v>25.499999999999908</v>
      </c>
      <c r="D307" s="38">
        <f t="shared" si="35"/>
        <v>2.3632449842670398</v>
      </c>
      <c r="E307" s="140">
        <f t="shared" si="32"/>
        <v>0.15815544977684204</v>
      </c>
      <c r="F307" s="140">
        <f t="shared" si="33"/>
        <v>0.37376007341961964</v>
      </c>
      <c r="G307" s="140"/>
      <c r="H307" s="140"/>
      <c r="M307" s="140"/>
      <c r="R307" s="140"/>
    </row>
    <row r="308" spans="1:18" x14ac:dyDescent="0.3">
      <c r="A308" s="38">
        <v>307</v>
      </c>
      <c r="B308" s="139">
        <f t="shared" si="34"/>
        <v>25.58333333333324</v>
      </c>
      <c r="D308" s="38">
        <f t="shared" si="35"/>
        <v>2.3632449842670398</v>
      </c>
      <c r="E308" s="140">
        <f t="shared" si="32"/>
        <v>0.15720515733057772</v>
      </c>
      <c r="F308" s="140">
        <f t="shared" si="33"/>
        <v>0.37151429956239862</v>
      </c>
      <c r="G308" s="140"/>
      <c r="H308" s="140"/>
      <c r="M308" s="140"/>
      <c r="R308" s="140"/>
    </row>
    <row r="309" spans="1:18" x14ac:dyDescent="0.3">
      <c r="A309" s="38">
        <v>308</v>
      </c>
      <c r="B309" s="139">
        <f t="shared" si="34"/>
        <v>25.666666666666572</v>
      </c>
      <c r="D309" s="38">
        <f t="shared" si="35"/>
        <v>2.3632449842670398</v>
      </c>
      <c r="E309" s="140">
        <f t="shared" si="32"/>
        <v>0.15626057480916702</v>
      </c>
      <c r="F309" s="140">
        <f t="shared" si="33"/>
        <v>0.36928201965644852</v>
      </c>
      <c r="G309" s="140"/>
      <c r="H309" s="140"/>
      <c r="M309" s="140"/>
      <c r="R309" s="140"/>
    </row>
    <row r="310" spans="1:18" x14ac:dyDescent="0.3">
      <c r="A310" s="38">
        <v>309</v>
      </c>
      <c r="B310" s="139">
        <f t="shared" si="34"/>
        <v>25.749999999999904</v>
      </c>
      <c r="D310" s="38">
        <f t="shared" si="35"/>
        <v>2.3632449842670398</v>
      </c>
      <c r="E310" s="140">
        <f t="shared" si="32"/>
        <v>0.15532166790396962</v>
      </c>
      <c r="F310" s="140">
        <f t="shared" si="33"/>
        <v>0.36706315262204703</v>
      </c>
      <c r="G310" s="140"/>
      <c r="H310" s="140"/>
      <c r="M310" s="140"/>
      <c r="R310" s="140"/>
    </row>
    <row r="311" spans="1:18" x14ac:dyDescent="0.3">
      <c r="A311" s="38">
        <v>310</v>
      </c>
      <c r="B311" s="139">
        <f t="shared" si="34"/>
        <v>25.833333333333236</v>
      </c>
      <c r="D311" s="38">
        <f t="shared" si="35"/>
        <v>2.3632449842670398</v>
      </c>
      <c r="E311" s="140">
        <f t="shared" si="32"/>
        <v>0.15438840251249186</v>
      </c>
      <c r="F311" s="140">
        <f t="shared" si="33"/>
        <v>0.36485761786664722</v>
      </c>
      <c r="G311" s="140"/>
      <c r="H311" s="140"/>
      <c r="M311" s="140"/>
      <c r="R311" s="140"/>
    </row>
    <row r="312" spans="1:18" x14ac:dyDescent="0.3">
      <c r="A312" s="38">
        <v>311</v>
      </c>
      <c r="B312" s="139">
        <f t="shared" si="34"/>
        <v>25.916666666666568</v>
      </c>
      <c r="D312" s="38">
        <f t="shared" si="35"/>
        <v>2.3632449842670398</v>
      </c>
      <c r="E312" s="140">
        <f t="shared" si="32"/>
        <v>0.15346074473714832</v>
      </c>
      <c r="F312" s="140">
        <f t="shared" si="33"/>
        <v>0.36266533528195027</v>
      </c>
      <c r="G312" s="140"/>
      <c r="H312" s="140"/>
      <c r="M312" s="140"/>
      <c r="R312" s="140"/>
    </row>
    <row r="313" spans="1:18" x14ac:dyDescent="0.3">
      <c r="A313" s="38">
        <v>312</v>
      </c>
      <c r="B313" s="139">
        <f t="shared" si="34"/>
        <v>25.999999999999901</v>
      </c>
      <c r="D313" s="38">
        <f t="shared" si="35"/>
        <v>2.3632449842670398</v>
      </c>
      <c r="E313" s="140">
        <f t="shared" si="32"/>
        <v>0.15253866088403045</v>
      </c>
      <c r="F313" s="140">
        <f t="shared" si="33"/>
        <v>0.36048622524099588</v>
      </c>
      <c r="G313" s="140"/>
      <c r="H313" s="140"/>
      <c r="M313" s="140"/>
      <c r="R313" s="140"/>
    </row>
    <row r="314" spans="1:18" x14ac:dyDescent="0.3">
      <c r="A314" s="38">
        <v>313</v>
      </c>
      <c r="B314" s="139">
        <f t="shared" si="34"/>
        <v>26.083333333333233</v>
      </c>
      <c r="D314" s="38">
        <f t="shared" si="35"/>
        <v>2.4459585587163861</v>
      </c>
      <c r="E314" s="140">
        <f t="shared" si="32"/>
        <v>0.15162211746168294</v>
      </c>
      <c r="F314" s="140">
        <f t="shared" si="33"/>
        <v>0.37086141589610461</v>
      </c>
      <c r="G314" s="140"/>
      <c r="H314" s="140"/>
      <c r="M314" s="140"/>
      <c r="R314" s="140"/>
    </row>
    <row r="315" spans="1:18" x14ac:dyDescent="0.3">
      <c r="A315" s="38">
        <v>314</v>
      </c>
      <c r="B315" s="139">
        <f t="shared" si="34"/>
        <v>26.166666666666565</v>
      </c>
      <c r="D315" s="38">
        <f t="shared" si="35"/>
        <v>2.4459585587163861</v>
      </c>
      <c r="E315" s="140">
        <f t="shared" si="32"/>
        <v>0.1507110811798871</v>
      </c>
      <c r="F315" s="140">
        <f t="shared" si="33"/>
        <v>0.36863305890534492</v>
      </c>
      <c r="G315" s="140"/>
      <c r="H315" s="140"/>
      <c r="M315" s="140"/>
      <c r="R315" s="140"/>
    </row>
    <row r="316" spans="1:18" x14ac:dyDescent="0.3">
      <c r="A316" s="38">
        <v>315</v>
      </c>
      <c r="B316" s="139">
        <f t="shared" si="34"/>
        <v>26.249999999999897</v>
      </c>
      <c r="D316" s="38">
        <f t="shared" si="35"/>
        <v>2.4459585587163861</v>
      </c>
      <c r="E316" s="140">
        <f t="shared" si="32"/>
        <v>0.14980551894845173</v>
      </c>
      <c r="F316" s="140">
        <f t="shared" si="33"/>
        <v>0.36641809121491525</v>
      </c>
      <c r="G316" s="140"/>
      <c r="H316" s="140"/>
      <c r="M316" s="140"/>
      <c r="R316" s="140"/>
    </row>
    <row r="317" spans="1:18" x14ac:dyDescent="0.3">
      <c r="A317" s="38">
        <v>316</v>
      </c>
      <c r="B317" s="139">
        <f t="shared" si="34"/>
        <v>26.333333333333229</v>
      </c>
      <c r="D317" s="38">
        <f t="shared" si="35"/>
        <v>2.4459585587163861</v>
      </c>
      <c r="E317" s="140">
        <f t="shared" si="32"/>
        <v>0.14890539787601131</v>
      </c>
      <c r="F317" s="140">
        <f t="shared" si="33"/>
        <v>0.36421643237389867</v>
      </c>
      <c r="G317" s="140"/>
      <c r="H317" s="140"/>
      <c r="M317" s="140"/>
      <c r="R317" s="140"/>
    </row>
    <row r="318" spans="1:18" x14ac:dyDescent="0.3">
      <c r="A318" s="38">
        <v>317</v>
      </c>
      <c r="B318" s="139">
        <f t="shared" si="34"/>
        <v>26.416666666666561</v>
      </c>
      <c r="D318" s="38">
        <f t="shared" si="35"/>
        <v>2.4459585587163861</v>
      </c>
      <c r="E318" s="140">
        <f t="shared" si="32"/>
        <v>0.14801068526883132</v>
      </c>
      <c r="F318" s="140">
        <f t="shared" si="33"/>
        <v>0.36202800241477529</v>
      </c>
      <c r="G318" s="140"/>
      <c r="H318" s="140"/>
      <c r="M318" s="140"/>
      <c r="R318" s="140"/>
    </row>
    <row r="319" spans="1:18" x14ac:dyDescent="0.3">
      <c r="A319" s="38">
        <v>318</v>
      </c>
      <c r="B319" s="139">
        <f t="shared" si="34"/>
        <v>26.499999999999893</v>
      </c>
      <c r="D319" s="38">
        <f t="shared" si="35"/>
        <v>2.4459585587163861</v>
      </c>
      <c r="E319" s="140">
        <f t="shared" si="32"/>
        <v>0.14712134862962067</v>
      </c>
      <c r="F319" s="140">
        <f t="shared" si="33"/>
        <v>0.35985272185051798</v>
      </c>
      <c r="G319" s="140"/>
      <c r="H319" s="140"/>
      <c r="M319" s="140"/>
      <c r="R319" s="140"/>
    </row>
    <row r="320" spans="1:18" x14ac:dyDescent="0.3">
      <c r="A320" s="38">
        <v>319</v>
      </c>
      <c r="B320" s="139">
        <f t="shared" si="34"/>
        <v>26.583333333333226</v>
      </c>
      <c r="D320" s="38">
        <f t="shared" si="35"/>
        <v>2.4459585587163861</v>
      </c>
      <c r="E320" s="140">
        <f t="shared" si="32"/>
        <v>0.14623735565635149</v>
      </c>
      <c r="F320" s="140">
        <f t="shared" si="33"/>
        <v>0.35769051167170501</v>
      </c>
      <c r="G320" s="140"/>
      <c r="H320" s="140"/>
      <c r="M320" s="140"/>
      <c r="R320" s="140"/>
    </row>
    <row r="321" spans="1:18" x14ac:dyDescent="0.3">
      <c r="A321" s="38">
        <v>320</v>
      </c>
      <c r="B321" s="139">
        <f t="shared" si="34"/>
        <v>26.666666666666558</v>
      </c>
      <c r="D321" s="38">
        <f t="shared" si="35"/>
        <v>2.4459585587163861</v>
      </c>
      <c r="E321" s="140">
        <f t="shared" si="32"/>
        <v>0.14535867424108573</v>
      </c>
      <c r="F321" s="140">
        <f t="shared" si="33"/>
        <v>0.35554129334365075</v>
      </c>
      <c r="G321" s="140"/>
      <c r="H321" s="140"/>
      <c r="M321" s="140"/>
      <c r="R321" s="140"/>
    </row>
    <row r="322" spans="1:18" x14ac:dyDescent="0.3">
      <c r="A322" s="38">
        <v>321</v>
      </c>
      <c r="B322" s="139">
        <f t="shared" si="34"/>
        <v>26.74999999999989</v>
      </c>
      <c r="D322" s="38">
        <f t="shared" si="35"/>
        <v>2.4459585587163861</v>
      </c>
      <c r="E322" s="140">
        <f t="shared" si="32"/>
        <v>0.1444852724688091</v>
      </c>
      <c r="F322" s="140">
        <f t="shared" si="33"/>
        <v>0.35340498880355264</v>
      </c>
      <c r="G322" s="140"/>
      <c r="H322" s="140"/>
      <c r="M322" s="140"/>
      <c r="R322" s="140"/>
    </row>
    <row r="323" spans="1:18" x14ac:dyDescent="0.3">
      <c r="A323" s="38">
        <v>322</v>
      </c>
      <c r="B323" s="139">
        <f t="shared" si="34"/>
        <v>26.833333333333222</v>
      </c>
      <c r="D323" s="38">
        <f t="shared" si="35"/>
        <v>2.4459585587163861</v>
      </c>
      <c r="E323" s="140">
        <f t="shared" ref="E323:E361" si="36">1/1.075^B323</f>
        <v>0.14361711861627166</v>
      </c>
      <c r="F323" s="140">
        <f t="shared" ref="F323:F361" si="37">D323*E323</f>
        <v>0.35128152045765609</v>
      </c>
      <c r="G323" s="140"/>
      <c r="H323" s="140"/>
      <c r="M323" s="140"/>
      <c r="R323" s="140"/>
    </row>
    <row r="324" spans="1:18" x14ac:dyDescent="0.3">
      <c r="A324" s="38">
        <v>323</v>
      </c>
      <c r="B324" s="139">
        <f t="shared" si="34"/>
        <v>26.916666666666554</v>
      </c>
      <c r="D324" s="38">
        <f t="shared" si="35"/>
        <v>2.4459585587163861</v>
      </c>
      <c r="E324" s="140">
        <f t="shared" si="36"/>
        <v>0.1427541811508358</v>
      </c>
      <c r="F324" s="140">
        <f t="shared" si="37"/>
        <v>0.34917081117843624</v>
      </c>
      <c r="G324" s="140"/>
      <c r="H324" s="140"/>
      <c r="M324" s="140"/>
      <c r="R324" s="140"/>
    </row>
    <row r="325" spans="1:18" x14ac:dyDescent="0.3">
      <c r="A325" s="38">
        <v>324</v>
      </c>
      <c r="B325" s="139">
        <f t="shared" si="34"/>
        <v>26.999999999999886</v>
      </c>
      <c r="D325" s="38">
        <f t="shared" si="35"/>
        <v>2.4459585587163861</v>
      </c>
      <c r="E325" s="140">
        <f t="shared" si="36"/>
        <v>0.14189642872933081</v>
      </c>
      <c r="F325" s="140">
        <f t="shared" si="37"/>
        <v>0.34707278430179639</v>
      </c>
      <c r="G325" s="140"/>
      <c r="H325" s="140"/>
      <c r="M325" s="140"/>
      <c r="R325" s="140"/>
    </row>
    <row r="326" spans="1:18" x14ac:dyDescent="0.3">
      <c r="A326" s="38">
        <v>325</v>
      </c>
      <c r="B326" s="139">
        <f t="shared" si="34"/>
        <v>27.083333333333218</v>
      </c>
      <c r="D326" s="38">
        <f t="shared" si="35"/>
        <v>2.5315671082714593</v>
      </c>
      <c r="E326" s="140">
        <f t="shared" si="36"/>
        <v>0.14104383019691455</v>
      </c>
      <c r="F326" s="140">
        <f t="shared" si="37"/>
        <v>0.35706192135113368</v>
      </c>
      <c r="G326" s="140"/>
      <c r="H326" s="140"/>
      <c r="M326" s="140"/>
      <c r="R326" s="140"/>
    </row>
    <row r="327" spans="1:18" x14ac:dyDescent="0.3">
      <c r="A327" s="38">
        <v>326</v>
      </c>
      <c r="B327" s="139">
        <f t="shared" si="34"/>
        <v>27.166666666666551</v>
      </c>
      <c r="D327" s="38">
        <f t="shared" si="35"/>
        <v>2.5315671082714593</v>
      </c>
      <c r="E327" s="140">
        <f t="shared" si="36"/>
        <v>0.14019635458594162</v>
      </c>
      <c r="F327" s="140">
        <f t="shared" si="37"/>
        <v>0.3549164799693324</v>
      </c>
      <c r="G327" s="140"/>
      <c r="H327" s="140"/>
      <c r="M327" s="140"/>
      <c r="R327" s="140"/>
    </row>
    <row r="328" spans="1:18" x14ac:dyDescent="0.3">
      <c r="A328" s="38">
        <v>327</v>
      </c>
      <c r="B328" s="139">
        <f t="shared" ref="B328:B361" si="38">B327+1/12</f>
        <v>27.249999999999883</v>
      </c>
      <c r="D328" s="38">
        <f t="shared" si="35"/>
        <v>2.5315671082714593</v>
      </c>
      <c r="E328" s="140">
        <f t="shared" si="36"/>
        <v>0.13935397111483896</v>
      </c>
      <c r="F328" s="140">
        <f t="shared" si="37"/>
        <v>0.35278392968133732</v>
      </c>
      <c r="G328" s="140"/>
      <c r="H328" s="140"/>
      <c r="M328" s="140"/>
      <c r="R328" s="140"/>
    </row>
    <row r="329" spans="1:18" x14ac:dyDescent="0.3">
      <c r="A329" s="38">
        <v>328</v>
      </c>
      <c r="B329" s="139">
        <f t="shared" si="38"/>
        <v>27.333333333333215</v>
      </c>
      <c r="D329" s="38">
        <f t="shared" si="35"/>
        <v>2.5315671082714593</v>
      </c>
      <c r="E329" s="140">
        <f t="shared" si="36"/>
        <v>0.13851664918698742</v>
      </c>
      <c r="F329" s="140">
        <f t="shared" si="37"/>
        <v>0.35066419302975393</v>
      </c>
      <c r="G329" s="140"/>
      <c r="H329" s="140"/>
      <c r="M329" s="140"/>
      <c r="R329" s="140"/>
    </row>
    <row r="330" spans="1:18" x14ac:dyDescent="0.3">
      <c r="A330" s="38">
        <v>329</v>
      </c>
      <c r="B330" s="139">
        <f t="shared" si="38"/>
        <v>27.416666666666547</v>
      </c>
      <c r="D330" s="38">
        <f t="shared" si="35"/>
        <v>2.5315671082714593</v>
      </c>
      <c r="E330" s="140">
        <f t="shared" si="36"/>
        <v>0.13768435838961066</v>
      </c>
      <c r="F330" s="140">
        <f t="shared" si="37"/>
        <v>0.34855719302259786</v>
      </c>
      <c r="G330" s="140"/>
      <c r="H330" s="140"/>
      <c r="M330" s="140"/>
      <c r="R330" s="140"/>
    </row>
    <row r="331" spans="1:18" x14ac:dyDescent="0.3">
      <c r="A331" s="38">
        <v>330</v>
      </c>
      <c r="B331" s="139">
        <f t="shared" si="38"/>
        <v>27.499999999999879</v>
      </c>
      <c r="D331" s="38">
        <f t="shared" si="35"/>
        <v>2.5315671082714593</v>
      </c>
      <c r="E331" s="140">
        <f t="shared" si="36"/>
        <v>0.13685706849267054</v>
      </c>
      <c r="F331" s="140">
        <f t="shared" si="37"/>
        <v>0.34646285313049902</v>
      </c>
      <c r="G331" s="140"/>
      <c r="H331" s="140"/>
      <c r="M331" s="140"/>
      <c r="R331" s="140"/>
    </row>
    <row r="332" spans="1:18" x14ac:dyDescent="0.3">
      <c r="A332" s="38">
        <v>331</v>
      </c>
      <c r="B332" s="139">
        <f t="shared" si="38"/>
        <v>27.583333333333211</v>
      </c>
      <c r="D332" s="38">
        <f t="shared" si="35"/>
        <v>2.5315671082714593</v>
      </c>
      <c r="E332" s="140">
        <f t="shared" si="36"/>
        <v>0.13603474944776897</v>
      </c>
      <c r="F332" s="140">
        <f t="shared" si="37"/>
        <v>0.34438109728392097</v>
      </c>
      <c r="G332" s="140"/>
      <c r="H332" s="140"/>
      <c r="M332" s="140"/>
      <c r="R332" s="140"/>
    </row>
    <row r="333" spans="1:18" x14ac:dyDescent="0.3">
      <c r="A333" s="38">
        <v>332</v>
      </c>
      <c r="B333" s="139">
        <f t="shared" si="38"/>
        <v>27.666666666666544</v>
      </c>
      <c r="D333" s="38">
        <f t="shared" si="35"/>
        <v>2.5315671082714593</v>
      </c>
      <c r="E333" s="140">
        <f t="shared" si="36"/>
        <v>0.13521737138705664</v>
      </c>
      <c r="F333" s="140">
        <f t="shared" si="37"/>
        <v>0.34231184987039892</v>
      </c>
      <c r="G333" s="140"/>
      <c r="H333" s="140"/>
      <c r="M333" s="140"/>
      <c r="R333" s="140"/>
    </row>
    <row r="334" spans="1:18" x14ac:dyDescent="0.3">
      <c r="A334" s="38">
        <v>333</v>
      </c>
      <c r="B334" s="139">
        <f t="shared" si="38"/>
        <v>27.749999999999876</v>
      </c>
      <c r="D334" s="38">
        <f t="shared" si="35"/>
        <v>2.5315671082714593</v>
      </c>
      <c r="E334" s="140">
        <f t="shared" si="36"/>
        <v>0.13440490462214816</v>
      </c>
      <c r="F334" s="140">
        <f t="shared" si="37"/>
        <v>0.34025503573179289</v>
      </c>
      <c r="G334" s="140"/>
      <c r="H334" s="140"/>
      <c r="M334" s="140"/>
      <c r="R334" s="140"/>
    </row>
    <row r="335" spans="1:18" x14ac:dyDescent="0.3">
      <c r="A335" s="38">
        <v>334</v>
      </c>
      <c r="B335" s="139">
        <f t="shared" si="38"/>
        <v>27.833333333333208</v>
      </c>
      <c r="D335" s="38">
        <f t="shared" ref="D335:D361" si="39">D323*1.035</f>
        <v>2.5315671082714593</v>
      </c>
      <c r="E335" s="140">
        <f t="shared" si="36"/>
        <v>0.1335973196430435</v>
      </c>
      <c r="F335" s="140">
        <f t="shared" si="37"/>
        <v>0.33821058016155747</v>
      </c>
      <c r="G335" s="140"/>
      <c r="H335" s="140"/>
      <c r="M335" s="140"/>
      <c r="R335" s="140"/>
    </row>
    <row r="336" spans="1:18" x14ac:dyDescent="0.3">
      <c r="A336" s="38">
        <v>335</v>
      </c>
      <c r="B336" s="139">
        <f t="shared" si="38"/>
        <v>27.91666666666654</v>
      </c>
      <c r="D336" s="38">
        <f t="shared" si="39"/>
        <v>2.5315671082714593</v>
      </c>
      <c r="E336" s="140">
        <f t="shared" si="36"/>
        <v>0.13279458711705669</v>
      </c>
      <c r="F336" s="140">
        <f t="shared" si="37"/>
        <v>0.3361784089020296</v>
      </c>
      <c r="G336" s="140"/>
      <c r="H336" s="140"/>
      <c r="M336" s="140"/>
      <c r="R336" s="140"/>
    </row>
    <row r="337" spans="1:18" x14ac:dyDescent="0.3">
      <c r="A337" s="38">
        <v>336</v>
      </c>
      <c r="B337" s="139">
        <f t="shared" si="38"/>
        <v>27.999999999999872</v>
      </c>
      <c r="D337" s="38">
        <f t="shared" si="39"/>
        <v>2.5315671082714593</v>
      </c>
      <c r="E337" s="140">
        <f t="shared" si="36"/>
        <v>0.13199667788774971</v>
      </c>
      <c r="F337" s="140">
        <f t="shared" si="37"/>
        <v>0.33415844814172979</v>
      </c>
      <c r="G337" s="140"/>
      <c r="H337" s="140"/>
      <c r="M337" s="140"/>
      <c r="R337" s="140"/>
    </row>
    <row r="338" spans="1:18" x14ac:dyDescent="0.3">
      <c r="A338" s="38">
        <v>337</v>
      </c>
      <c r="B338" s="139">
        <f t="shared" si="38"/>
        <v>28.083333333333204</v>
      </c>
      <c r="D338" s="38">
        <f t="shared" si="39"/>
        <v>2.6201719570609603</v>
      </c>
      <c r="E338" s="140">
        <f t="shared" si="36"/>
        <v>0.13120356297387412</v>
      </c>
      <c r="F338" s="140">
        <f t="shared" si="37"/>
        <v>0.34377589637062667</v>
      </c>
      <c r="G338" s="140"/>
      <c r="H338" s="140"/>
      <c r="M338" s="140"/>
      <c r="R338" s="140"/>
    </row>
    <row r="339" spans="1:18" x14ac:dyDescent="0.3">
      <c r="A339" s="38">
        <v>338</v>
      </c>
      <c r="B339" s="139">
        <f t="shared" si="38"/>
        <v>28.166666666666536</v>
      </c>
      <c r="D339" s="38">
        <f t="shared" si="39"/>
        <v>2.6201719570609603</v>
      </c>
      <c r="E339" s="140">
        <f t="shared" si="36"/>
        <v>0.13041521356831792</v>
      </c>
      <c r="F339" s="140">
        <f t="shared" si="37"/>
        <v>0.34171028536582265</v>
      </c>
      <c r="G339" s="140"/>
      <c r="H339" s="140"/>
      <c r="M339" s="140"/>
      <c r="R339" s="140"/>
    </row>
    <row r="340" spans="1:18" x14ac:dyDescent="0.3">
      <c r="A340" s="38">
        <v>339</v>
      </c>
      <c r="B340" s="139">
        <f t="shared" si="38"/>
        <v>28.249999999999869</v>
      </c>
      <c r="D340" s="38">
        <f t="shared" si="39"/>
        <v>2.6201719570609603</v>
      </c>
      <c r="E340" s="140">
        <f t="shared" si="36"/>
        <v>0.12963160103705965</v>
      </c>
      <c r="F340" s="140">
        <f t="shared" si="37"/>
        <v>0.33965708578621817</v>
      </c>
      <c r="G340" s="140"/>
      <c r="H340" s="140"/>
      <c r="M340" s="140"/>
      <c r="R340" s="140"/>
    </row>
    <row r="341" spans="1:18" x14ac:dyDescent="0.3">
      <c r="A341" s="38">
        <v>340</v>
      </c>
      <c r="B341" s="139">
        <f t="shared" si="38"/>
        <v>28.333333333333201</v>
      </c>
      <c r="D341" s="38">
        <f t="shared" si="39"/>
        <v>2.6201719570609603</v>
      </c>
      <c r="E341" s="140">
        <f t="shared" si="36"/>
        <v>0.12885269691812795</v>
      </c>
      <c r="F341" s="140">
        <f t="shared" si="37"/>
        <v>0.33761622305655409</v>
      </c>
      <c r="G341" s="140"/>
      <c r="H341" s="140"/>
      <c r="M341" s="140"/>
      <c r="R341" s="140"/>
    </row>
    <row r="342" spans="1:18" x14ac:dyDescent="0.3">
      <c r="A342" s="38">
        <v>341</v>
      </c>
      <c r="B342" s="139">
        <f t="shared" si="38"/>
        <v>28.416666666666533</v>
      </c>
      <c r="D342" s="38">
        <f t="shared" si="39"/>
        <v>2.6201719570609603</v>
      </c>
      <c r="E342" s="140">
        <f t="shared" si="36"/>
        <v>0.1280784729205682</v>
      </c>
      <c r="F342" s="140">
        <f t="shared" si="37"/>
        <v>0.33558762304966439</v>
      </c>
      <c r="G342" s="140"/>
      <c r="H342" s="140"/>
      <c r="M342" s="140"/>
      <c r="R342" s="140"/>
    </row>
    <row r="343" spans="1:18" x14ac:dyDescent="0.3">
      <c r="A343" s="38">
        <v>342</v>
      </c>
      <c r="B343" s="139">
        <f t="shared" si="38"/>
        <v>28.499999999999865</v>
      </c>
      <c r="D343" s="38">
        <f t="shared" si="39"/>
        <v>2.6201719570609603</v>
      </c>
      <c r="E343" s="140">
        <f t="shared" si="36"/>
        <v>0.12730890092341463</v>
      </c>
      <c r="F343" s="140">
        <f t="shared" si="37"/>
        <v>0.33357121208378321</v>
      </c>
      <c r="G343" s="140"/>
      <c r="H343" s="140"/>
      <c r="M343" s="140"/>
      <c r="R343" s="140"/>
    </row>
    <row r="344" spans="1:18" x14ac:dyDescent="0.3">
      <c r="A344" s="38">
        <v>343</v>
      </c>
      <c r="B344" s="139">
        <f t="shared" si="38"/>
        <v>28.583333333333197</v>
      </c>
      <c r="D344" s="38">
        <f t="shared" si="39"/>
        <v>2.6201719570609603</v>
      </c>
      <c r="E344" s="140">
        <f t="shared" si="36"/>
        <v>0.12654395297466894</v>
      </c>
      <c r="F344" s="140">
        <f t="shared" si="37"/>
        <v>0.33156691691986845</v>
      </c>
      <c r="G344" s="140"/>
      <c r="H344" s="140"/>
      <c r="M344" s="140"/>
      <c r="R344" s="140"/>
    </row>
    <row r="345" spans="1:18" x14ac:dyDescent="0.3">
      <c r="A345" s="38">
        <v>344</v>
      </c>
      <c r="B345" s="139">
        <f t="shared" si="38"/>
        <v>28.666666666666529</v>
      </c>
      <c r="D345" s="38">
        <f t="shared" si="39"/>
        <v>2.6201719570609603</v>
      </c>
      <c r="E345" s="140">
        <f t="shared" si="36"/>
        <v>0.12578360129028543</v>
      </c>
      <c r="F345" s="140">
        <f t="shared" si="37"/>
        <v>0.3295746647589427</v>
      </c>
      <c r="G345" s="140"/>
      <c r="H345" s="140"/>
      <c r="M345" s="140"/>
      <c r="R345" s="140"/>
    </row>
    <row r="346" spans="1:18" x14ac:dyDescent="0.3">
      <c r="A346" s="38">
        <v>345</v>
      </c>
      <c r="B346" s="139">
        <f t="shared" si="38"/>
        <v>28.749999999999861</v>
      </c>
      <c r="D346" s="38">
        <f t="shared" si="39"/>
        <v>2.6201719570609603</v>
      </c>
      <c r="E346" s="140">
        <f t="shared" si="36"/>
        <v>0.12502781825316117</v>
      </c>
      <c r="F346" s="140">
        <f t="shared" si="37"/>
        <v>0.32759438323944734</v>
      </c>
      <c r="G346" s="140"/>
      <c r="H346" s="140"/>
      <c r="M346" s="140"/>
      <c r="R346" s="140"/>
    </row>
    <row r="347" spans="1:18" x14ac:dyDescent="0.3">
      <c r="A347" s="38">
        <v>346</v>
      </c>
      <c r="B347" s="139">
        <f t="shared" si="38"/>
        <v>28.833333333333194</v>
      </c>
      <c r="D347" s="38">
        <f t="shared" si="39"/>
        <v>2.6201719570609603</v>
      </c>
      <c r="E347" s="140">
        <f t="shared" si="36"/>
        <v>0.12427657641213366</v>
      </c>
      <c r="F347" s="140">
        <f t="shared" si="37"/>
        <v>0.3256260004346162</v>
      </c>
      <c r="G347" s="140"/>
      <c r="H347" s="140"/>
      <c r="M347" s="140"/>
      <c r="R347" s="140"/>
    </row>
    <row r="348" spans="1:18" x14ac:dyDescent="0.3">
      <c r="A348" s="38">
        <v>347</v>
      </c>
      <c r="B348" s="139">
        <f t="shared" si="38"/>
        <v>28.916666666666526</v>
      </c>
      <c r="D348" s="38">
        <f t="shared" si="39"/>
        <v>2.6201719570609603</v>
      </c>
      <c r="E348" s="140">
        <f t="shared" si="36"/>
        <v>0.1235298484809831</v>
      </c>
      <c r="F348" s="140">
        <f t="shared" si="37"/>
        <v>0.32366944484986138</v>
      </c>
      <c r="G348" s="140"/>
      <c r="H348" s="140"/>
      <c r="M348" s="140"/>
      <c r="R348" s="140"/>
    </row>
    <row r="349" spans="1:18" x14ac:dyDescent="0.3">
      <c r="A349" s="38">
        <v>348</v>
      </c>
      <c r="B349" s="139">
        <f t="shared" si="38"/>
        <v>28.999999999999858</v>
      </c>
      <c r="D349" s="38">
        <f t="shared" si="39"/>
        <v>2.6201719570609603</v>
      </c>
      <c r="E349" s="140">
        <f t="shared" si="36"/>
        <v>0.12278760733744176</v>
      </c>
      <c r="F349" s="140">
        <f t="shared" si="37"/>
        <v>0.32172464542017754</v>
      </c>
      <c r="G349" s="140"/>
      <c r="H349" s="140"/>
      <c r="M349" s="140"/>
      <c r="R349" s="140"/>
    </row>
    <row r="350" spans="1:18" x14ac:dyDescent="0.3">
      <c r="A350" s="38">
        <v>349</v>
      </c>
      <c r="B350" s="139">
        <f t="shared" si="38"/>
        <v>29.08333333333319</v>
      </c>
      <c r="D350" s="38">
        <f t="shared" si="39"/>
        <v>2.7118779755580937</v>
      </c>
      <c r="E350" s="140">
        <f t="shared" si="36"/>
        <v>0.1220498260222086</v>
      </c>
      <c r="F350" s="140">
        <f t="shared" si="37"/>
        <v>0.3309842351103246</v>
      </c>
      <c r="G350" s="140"/>
      <c r="H350" s="140"/>
      <c r="M350" s="140"/>
      <c r="R350" s="140"/>
    </row>
    <row r="351" spans="1:18" x14ac:dyDescent="0.3">
      <c r="A351" s="38">
        <v>350</v>
      </c>
      <c r="B351" s="139">
        <f t="shared" si="38"/>
        <v>29.166666666666522</v>
      </c>
      <c r="D351" s="38">
        <f t="shared" si="39"/>
        <v>2.7118779755580937</v>
      </c>
      <c r="E351" s="140">
        <f t="shared" si="36"/>
        <v>0.12131647773797032</v>
      </c>
      <c r="F351" s="140">
        <f t="shared" si="37"/>
        <v>0.32899548404988549</v>
      </c>
      <c r="G351" s="140"/>
      <c r="H351" s="140"/>
      <c r="M351" s="140"/>
      <c r="R351" s="140"/>
    </row>
    <row r="352" spans="1:18" x14ac:dyDescent="0.3">
      <c r="A352" s="38">
        <v>351</v>
      </c>
      <c r="B352" s="139">
        <f t="shared" si="38"/>
        <v>29.249999999999854</v>
      </c>
      <c r="D352" s="38">
        <f t="shared" si="39"/>
        <v>2.7118779755580937</v>
      </c>
      <c r="E352" s="140">
        <f t="shared" si="36"/>
        <v>0.12058753584842767</v>
      </c>
      <c r="F352" s="140">
        <f t="shared" si="37"/>
        <v>0.3270186825941731</v>
      </c>
      <c r="G352" s="140"/>
      <c r="H352" s="140"/>
      <c r="M352" s="140"/>
      <c r="R352" s="140"/>
    </row>
    <row r="353" spans="1:18" x14ac:dyDescent="0.3">
      <c r="A353" s="38">
        <v>352</v>
      </c>
      <c r="B353" s="139">
        <f t="shared" si="38"/>
        <v>29.333333333333186</v>
      </c>
      <c r="D353" s="38">
        <f t="shared" si="39"/>
        <v>2.7118779755580937</v>
      </c>
      <c r="E353" s="140">
        <f t="shared" si="36"/>
        <v>0.11986297387732847</v>
      </c>
      <c r="F353" s="140">
        <f t="shared" si="37"/>
        <v>0.32505375894282224</v>
      </c>
      <c r="G353" s="140"/>
      <c r="H353" s="140"/>
      <c r="M353" s="140"/>
      <c r="R353" s="140"/>
    </row>
    <row r="354" spans="1:18" x14ac:dyDescent="0.3">
      <c r="A354" s="38">
        <v>353</v>
      </c>
      <c r="B354" s="139">
        <f t="shared" si="38"/>
        <v>29.416666666666519</v>
      </c>
      <c r="D354" s="38">
        <f t="shared" si="39"/>
        <v>2.7118779755580937</v>
      </c>
      <c r="E354" s="140">
        <f t="shared" si="36"/>
        <v>0.11914276550750541</v>
      </c>
      <c r="F354" s="140">
        <f t="shared" si="37"/>
        <v>0.32310064172688646</v>
      </c>
      <c r="G354" s="140"/>
      <c r="H354" s="140"/>
      <c r="M354" s="140"/>
      <c r="R354" s="140"/>
    </row>
    <row r="355" spans="1:18" x14ac:dyDescent="0.3">
      <c r="A355" s="38">
        <v>354</v>
      </c>
      <c r="B355" s="139">
        <f t="shared" si="38"/>
        <v>29.499999999999851</v>
      </c>
      <c r="D355" s="38">
        <f t="shared" si="39"/>
        <v>2.7118779755580937</v>
      </c>
      <c r="E355" s="140">
        <f t="shared" si="36"/>
        <v>0.11842688457992069</v>
      </c>
      <c r="F355" s="140">
        <f t="shared" si="37"/>
        <v>0.32115926000624734</v>
      </c>
      <c r="G355" s="140"/>
      <c r="H355" s="140"/>
      <c r="M355" s="140"/>
      <c r="R355" s="140"/>
    </row>
    <row r="356" spans="1:18" x14ac:dyDescent="0.3">
      <c r="A356" s="38">
        <v>355</v>
      </c>
      <c r="B356" s="139">
        <f t="shared" si="38"/>
        <v>29.583333333333183</v>
      </c>
      <c r="D356" s="38">
        <f t="shared" si="39"/>
        <v>2.7118779755580937</v>
      </c>
      <c r="E356" s="140">
        <f t="shared" si="36"/>
        <v>0.11771530509271545</v>
      </c>
      <c r="F356" s="140">
        <f t="shared" si="37"/>
        <v>0.31922954326703656</v>
      </c>
      <c r="G356" s="140"/>
      <c r="H356" s="140"/>
      <c r="M356" s="140"/>
      <c r="R356" s="140"/>
    </row>
    <row r="357" spans="1:18" x14ac:dyDescent="0.3">
      <c r="A357" s="38">
        <v>356</v>
      </c>
      <c r="B357" s="139">
        <f t="shared" si="38"/>
        <v>29.666666666666515</v>
      </c>
      <c r="D357" s="38">
        <f t="shared" si="39"/>
        <v>2.7118779755580937</v>
      </c>
      <c r="E357" s="140">
        <f t="shared" si="36"/>
        <v>0.1170080012002656</v>
      </c>
      <c r="F357" s="140">
        <f t="shared" si="37"/>
        <v>0.31731142141907526</v>
      </c>
      <c r="G357" s="140"/>
      <c r="H357" s="140"/>
      <c r="M357" s="140"/>
      <c r="R357" s="140"/>
    </row>
    <row r="358" spans="1:18" x14ac:dyDescent="0.3">
      <c r="A358" s="38">
        <v>357</v>
      </c>
      <c r="B358" s="139">
        <f t="shared" si="38"/>
        <v>29.749999999999847</v>
      </c>
      <c r="D358" s="38">
        <f t="shared" si="39"/>
        <v>2.7118779755580937</v>
      </c>
      <c r="E358" s="140">
        <f t="shared" si="36"/>
        <v>0.1163049472122431</v>
      </c>
      <c r="F358" s="140">
        <f t="shared" si="37"/>
        <v>0.31540482479332876</v>
      </c>
      <c r="G358" s="140"/>
      <c r="H358" s="140"/>
      <c r="M358" s="140"/>
      <c r="R358" s="140"/>
    </row>
    <row r="359" spans="1:18" x14ac:dyDescent="0.3">
      <c r="A359" s="38">
        <v>358</v>
      </c>
      <c r="B359" s="139">
        <f t="shared" si="38"/>
        <v>29.833333333333179</v>
      </c>
      <c r="D359" s="38">
        <f t="shared" si="39"/>
        <v>2.7118779755580937</v>
      </c>
      <c r="E359" s="140">
        <f t="shared" si="36"/>
        <v>0.11560611759268259</v>
      </c>
      <c r="F359" s="140">
        <f t="shared" si="37"/>
        <v>0.31350968413937497</v>
      </c>
      <c r="G359" s="140"/>
      <c r="H359" s="140"/>
      <c r="M359" s="140"/>
      <c r="R359" s="140"/>
    </row>
    <row r="360" spans="1:18" x14ac:dyDescent="0.3">
      <c r="A360" s="38">
        <v>359</v>
      </c>
      <c r="B360" s="139">
        <f t="shared" si="38"/>
        <v>29.916666666666512</v>
      </c>
      <c r="D360" s="38">
        <f t="shared" si="39"/>
        <v>2.7118779755580937</v>
      </c>
      <c r="E360" s="140">
        <f t="shared" si="36"/>
        <v>0.11491148695905418</v>
      </c>
      <c r="F360" s="140">
        <f t="shared" si="37"/>
        <v>0.31162593062289012</v>
      </c>
      <c r="G360" s="140"/>
      <c r="H360" s="140"/>
      <c r="M360" s="140"/>
      <c r="R360" s="140"/>
    </row>
    <row r="361" spans="1:18" x14ac:dyDescent="0.3">
      <c r="A361" s="38">
        <v>360</v>
      </c>
      <c r="B361" s="139">
        <f t="shared" si="38"/>
        <v>29.999999999999844</v>
      </c>
      <c r="D361" s="38">
        <f t="shared" si="39"/>
        <v>2.7118779755580937</v>
      </c>
      <c r="E361" s="140">
        <f t="shared" si="36"/>
        <v>0.11422103008134127</v>
      </c>
      <c r="F361" s="140">
        <f t="shared" si="37"/>
        <v>0.30975349582314787</v>
      </c>
      <c r="G361" s="140"/>
      <c r="H361" s="140"/>
      <c r="M361" s="140"/>
      <c r="R361" s="14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0"/>
  <sheetViews>
    <sheetView topLeftCell="A7" workbookViewId="0"/>
  </sheetViews>
  <sheetFormatPr defaultColWidth="9.109375" defaultRowHeight="14.4" x14ac:dyDescent="0.3"/>
  <cols>
    <col min="1" max="1" width="11.44140625" style="38" bestFit="1" customWidth="1"/>
    <col min="2" max="2" width="15.109375" style="38" bestFit="1" customWidth="1"/>
    <col min="3" max="6" width="10.109375" style="38" bestFit="1" customWidth="1"/>
    <col min="7" max="7" width="10.77734375" style="38" bestFit="1" customWidth="1"/>
    <col min="8" max="8" width="7.77734375" style="38" bestFit="1" customWidth="1"/>
    <col min="9" max="9" width="12.44140625" style="38" bestFit="1" customWidth="1"/>
    <col min="10" max="10" width="13.44140625" style="38" bestFit="1" customWidth="1"/>
    <col min="11" max="11" width="14.33203125" style="38" bestFit="1" customWidth="1"/>
    <col min="12" max="12" width="14.33203125" style="38" customWidth="1"/>
    <col min="13" max="13" width="9.109375" style="38"/>
    <col min="14" max="14" width="7.44140625" style="38" bestFit="1" customWidth="1"/>
    <col min="15" max="15" width="14.6640625" style="38" customWidth="1"/>
    <col min="16" max="16" width="8.6640625" style="38" customWidth="1"/>
    <col min="17" max="17" width="29.33203125" style="38" bestFit="1" customWidth="1"/>
    <col min="18" max="19" width="21.44140625" style="38" bestFit="1" customWidth="1"/>
    <col min="20" max="16384" width="9.109375" style="38"/>
  </cols>
  <sheetData>
    <row r="1" spans="1:19" x14ac:dyDescent="0.3">
      <c r="B1" s="179">
        <v>42917</v>
      </c>
      <c r="C1" s="38" t="s">
        <v>147</v>
      </c>
    </row>
    <row r="2" spans="1:19" x14ac:dyDescent="0.3">
      <c r="B2" s="38" t="s">
        <v>120</v>
      </c>
    </row>
    <row r="3" spans="1:19" x14ac:dyDescent="0.3">
      <c r="B3" s="38">
        <v>0</v>
      </c>
      <c r="C3" s="38">
        <v>1</v>
      </c>
      <c r="D3" s="38">
        <v>2</v>
      </c>
      <c r="E3" s="38">
        <v>3</v>
      </c>
      <c r="F3" s="38">
        <v>4</v>
      </c>
    </row>
    <row r="4" spans="1:19" x14ac:dyDescent="0.3">
      <c r="A4" s="38" t="s">
        <v>124</v>
      </c>
      <c r="B4" s="179">
        <v>42917</v>
      </c>
      <c r="C4" s="179">
        <v>42552</v>
      </c>
      <c r="D4" s="179">
        <v>42186</v>
      </c>
      <c r="E4" s="179">
        <v>41821</v>
      </c>
      <c r="F4" s="179">
        <v>41456</v>
      </c>
      <c r="G4" s="38" t="s">
        <v>8</v>
      </c>
      <c r="I4" s="191" t="s">
        <v>125</v>
      </c>
      <c r="J4" s="191" t="s">
        <v>126</v>
      </c>
      <c r="K4" s="191" t="s">
        <v>8</v>
      </c>
      <c r="M4" s="38" t="s">
        <v>127</v>
      </c>
      <c r="N4" s="38" t="s">
        <v>128</v>
      </c>
      <c r="O4" s="38" t="s">
        <v>8</v>
      </c>
    </row>
    <row r="5" spans="1:19" x14ac:dyDescent="0.3">
      <c r="A5" s="38" t="s">
        <v>129</v>
      </c>
      <c r="B5" s="166">
        <v>3031</v>
      </c>
      <c r="C5" s="166">
        <v>2309</v>
      </c>
      <c r="D5" s="166">
        <v>1819</v>
      </c>
      <c r="E5" s="166">
        <v>1689</v>
      </c>
      <c r="F5" s="166">
        <v>1488</v>
      </c>
      <c r="G5" s="166">
        <v>27056</v>
      </c>
      <c r="H5" s="38" t="s">
        <v>130</v>
      </c>
      <c r="I5" s="166">
        <f>SUMPRODUCT(B5:F5,B6:F6)</f>
        <v>382638221</v>
      </c>
      <c r="J5" s="166">
        <f>G5*G6-I5</f>
        <v>831337443</v>
      </c>
      <c r="K5" s="190">
        <f>J5+I5</f>
        <v>1213975664</v>
      </c>
      <c r="L5" s="142">
        <v>7.2499999999999995E-2</v>
      </c>
      <c r="M5" s="188">
        <f>M10</f>
        <v>0.1531271944679041</v>
      </c>
      <c r="N5" s="180">
        <f>(O5-M5*J6)/I6</f>
        <v>0.13463956859785015</v>
      </c>
      <c r="O5" s="188">
        <v>0.14729999999999999</v>
      </c>
    </row>
    <row r="6" spans="1:19" x14ac:dyDescent="0.3">
      <c r="A6" s="38" t="s">
        <v>131</v>
      </c>
      <c r="B6" s="166">
        <v>31333</v>
      </c>
      <c r="C6" s="166">
        <v>37432</v>
      </c>
      <c r="D6" s="166">
        <v>39011</v>
      </c>
      <c r="E6" s="166">
        <v>40793</v>
      </c>
      <c r="F6" s="166">
        <v>41248</v>
      </c>
      <c r="G6" s="166">
        <v>44869</v>
      </c>
      <c r="H6" s="38" t="s">
        <v>132</v>
      </c>
      <c r="I6" s="177">
        <f>I5/(I5+J5)</f>
        <v>0.31519430936467274</v>
      </c>
      <c r="J6" s="177">
        <f>1-I6</f>
        <v>0.68480569063532726</v>
      </c>
      <c r="K6" s="177">
        <f>J6+I6</f>
        <v>1</v>
      </c>
      <c r="M6" s="188"/>
      <c r="N6" s="188"/>
      <c r="O6" s="189">
        <f>M5*J6+N5*I6</f>
        <v>0.14729999999999999</v>
      </c>
      <c r="P6" s="211"/>
    </row>
    <row r="7" spans="1:19" x14ac:dyDescent="0.3">
      <c r="M7" s="188"/>
      <c r="N7" s="188"/>
      <c r="O7" s="188"/>
      <c r="P7" s="142"/>
    </row>
    <row r="8" spans="1:19" x14ac:dyDescent="0.3">
      <c r="B8" s="179">
        <v>42552</v>
      </c>
      <c r="C8" s="38" t="s">
        <v>133</v>
      </c>
      <c r="M8" s="188"/>
      <c r="N8" s="188"/>
      <c r="O8" s="188">
        <f>O12*1.22^0.25</f>
        <v>0.14734587132603122</v>
      </c>
    </row>
    <row r="9" spans="1:19" x14ac:dyDescent="0.3">
      <c r="B9" s="38">
        <v>0</v>
      </c>
      <c r="C9" s="38">
        <v>1</v>
      </c>
      <c r="D9" s="38">
        <v>2</v>
      </c>
      <c r="E9" s="38">
        <v>3</v>
      </c>
      <c r="L9" s="38" t="s">
        <v>150</v>
      </c>
      <c r="M9" s="139">
        <f>Duration!C8*2</f>
        <v>22.338683479966413</v>
      </c>
      <c r="N9" s="188"/>
      <c r="O9" s="205"/>
    </row>
    <row r="10" spans="1:19" x14ac:dyDescent="0.3">
      <c r="A10" s="38" t="s">
        <v>124</v>
      </c>
      <c r="B10" s="179">
        <v>42552</v>
      </c>
      <c r="C10" s="179">
        <v>42186</v>
      </c>
      <c r="D10" s="179">
        <v>41821</v>
      </c>
      <c r="E10" s="179">
        <v>41456</v>
      </c>
      <c r="F10" s="38" t="s">
        <v>8</v>
      </c>
      <c r="I10" s="191" t="s">
        <v>125</v>
      </c>
      <c r="J10" s="191" t="s">
        <v>126</v>
      </c>
      <c r="K10" s="191" t="s">
        <v>8</v>
      </c>
      <c r="L10" s="142">
        <v>7.2499999999999995E-2</v>
      </c>
      <c r="M10" s="188">
        <f>M11*(1+$M$9/100)^(($L$11-$L$10)*100)</f>
        <v>0.1531271944679041</v>
      </c>
      <c r="N10" s="188">
        <f>N11*(1+$M$9/100)^(($L$11-$L$10)*100)</f>
        <v>0.13094381862589954</v>
      </c>
      <c r="O10" s="188">
        <f>O11*(1+$M$9/100)^(($L$11-$L$10)*100)</f>
        <v>0.14744802654120984</v>
      </c>
      <c r="Q10" s="181" t="s">
        <v>134</v>
      </c>
      <c r="R10" s="182"/>
      <c r="S10" s="183"/>
    </row>
    <row r="11" spans="1:19" x14ac:dyDescent="0.3">
      <c r="A11" s="38" t="s">
        <v>129</v>
      </c>
      <c r="B11" s="166">
        <v>2724</v>
      </c>
      <c r="C11" s="166">
        <v>2136</v>
      </c>
      <c r="D11" s="166">
        <v>1919</v>
      </c>
      <c r="E11" s="166">
        <v>1691</v>
      </c>
      <c r="F11" s="166">
        <v>26651</v>
      </c>
      <c r="H11" s="38" t="s">
        <v>130</v>
      </c>
      <c r="I11" s="166">
        <f>SUMPRODUCT(B11:E11,B12:E12)</f>
        <v>290929512</v>
      </c>
      <c r="J11" s="166">
        <f>F11*F12-I11</f>
        <v>845469128</v>
      </c>
      <c r="K11" s="190">
        <f>J11+I11</f>
        <v>1136398640</v>
      </c>
      <c r="L11" s="142">
        <v>7.4999999999999997E-2</v>
      </c>
      <c r="M11" s="188">
        <f>M18</f>
        <v>0.14560000000000001</v>
      </c>
      <c r="N11" s="180">
        <f>(O11-M11*J12)/I12</f>
        <v>0.12450708091518743</v>
      </c>
      <c r="O11" s="188">
        <v>0.14019999999999999</v>
      </c>
      <c r="Q11" s="204">
        <f>I12*-J6*M11+I6*J12*M11</f>
        <v>8.6172231213448962E-3</v>
      </c>
      <c r="R11" s="199">
        <f>O11*I6-I12*O5</f>
        <v>6.4799567069043842E-3</v>
      </c>
      <c r="S11" s="200">
        <f>Q11-R11</f>
        <v>2.1372664144405119E-3</v>
      </c>
    </row>
    <row r="12" spans="1:19" x14ac:dyDescent="0.3">
      <c r="A12" s="38" t="s">
        <v>131</v>
      </c>
      <c r="B12" s="166">
        <v>29574</v>
      </c>
      <c r="C12" s="166">
        <v>34860</v>
      </c>
      <c r="D12" s="166">
        <v>37261</v>
      </c>
      <c r="E12" s="166">
        <v>38087</v>
      </c>
      <c r="F12" s="166">
        <v>42640</v>
      </c>
      <c r="H12" s="38" t="s">
        <v>132</v>
      </c>
      <c r="I12" s="177">
        <f>I11/(I11+J11)</f>
        <v>0.25601008463016112</v>
      </c>
      <c r="J12" s="177">
        <f>1-I12</f>
        <v>0.74398991536983883</v>
      </c>
      <c r="K12" s="177">
        <f>J12+I12</f>
        <v>1</v>
      </c>
      <c r="M12" s="188"/>
      <c r="N12" s="188"/>
      <c r="O12" s="189">
        <f>M11*J12+N11*I12</f>
        <v>0.14019999999999999</v>
      </c>
      <c r="R12" s="201"/>
      <c r="S12" s="201"/>
    </row>
    <row r="13" spans="1:19" x14ac:dyDescent="0.3">
      <c r="M13" s="188"/>
      <c r="N13" s="188"/>
      <c r="O13" s="188"/>
      <c r="R13" s="201"/>
      <c r="S13" s="201"/>
    </row>
    <row r="14" spans="1:19" x14ac:dyDescent="0.3">
      <c r="A14" s="38" t="s">
        <v>118</v>
      </c>
      <c r="B14" s="179">
        <v>42186</v>
      </c>
      <c r="C14" s="38" t="s">
        <v>119</v>
      </c>
      <c r="R14" s="201"/>
      <c r="S14" s="201"/>
    </row>
    <row r="15" spans="1:19" x14ac:dyDescent="0.3">
      <c r="B15" s="38" t="s">
        <v>120</v>
      </c>
      <c r="M15" s="38" t="s">
        <v>121</v>
      </c>
      <c r="R15" s="201"/>
      <c r="S15" s="201"/>
    </row>
    <row r="16" spans="1:19" x14ac:dyDescent="0.3">
      <c r="B16" s="38">
        <v>0</v>
      </c>
      <c r="C16" s="38">
        <v>1</v>
      </c>
      <c r="D16" s="38">
        <v>2</v>
      </c>
      <c r="E16" s="38">
        <v>3</v>
      </c>
      <c r="M16" s="38" t="s">
        <v>122</v>
      </c>
      <c r="N16" s="38" t="s">
        <v>123</v>
      </c>
      <c r="R16" s="201"/>
      <c r="S16" s="201"/>
    </row>
    <row r="17" spans="1:19" x14ac:dyDescent="0.3">
      <c r="A17" s="38" t="s">
        <v>124</v>
      </c>
      <c r="B17" s="179">
        <f>DATE(YEAR($B14)-B16,7,1)</f>
        <v>42186</v>
      </c>
      <c r="C17" s="179">
        <f t="shared" ref="C17:E17" si="0">DATE(YEAR($B14)-C16,7,1)</f>
        <v>41821</v>
      </c>
      <c r="D17" s="179">
        <f t="shared" si="0"/>
        <v>41456</v>
      </c>
      <c r="E17" s="179">
        <f t="shared" si="0"/>
        <v>41091</v>
      </c>
      <c r="F17" s="38" t="s">
        <v>8</v>
      </c>
      <c r="I17" s="191" t="s">
        <v>125</v>
      </c>
      <c r="J17" s="191" t="s">
        <v>126</v>
      </c>
      <c r="K17" s="191" t="s">
        <v>8</v>
      </c>
      <c r="M17" s="38" t="s">
        <v>127</v>
      </c>
      <c r="N17" s="38" t="s">
        <v>128</v>
      </c>
      <c r="O17" s="38" t="s">
        <v>8</v>
      </c>
      <c r="Q17" s="181" t="s">
        <v>134</v>
      </c>
      <c r="R17" s="202"/>
      <c r="S17" s="203"/>
    </row>
    <row r="18" spans="1:19" x14ac:dyDescent="0.3">
      <c r="A18" s="38" t="s">
        <v>129</v>
      </c>
      <c r="B18" s="166">
        <v>2579</v>
      </c>
      <c r="C18" s="166">
        <v>2274</v>
      </c>
      <c r="D18" s="166">
        <v>1943</v>
      </c>
      <c r="E18" s="166"/>
      <c r="F18" s="166">
        <v>26575</v>
      </c>
      <c r="H18" s="38" t="s">
        <v>130</v>
      </c>
      <c r="I18" s="166">
        <f>SUMPRODUCT(B18:E18,B19:E19)</f>
        <v>183347115</v>
      </c>
      <c r="J18" s="166">
        <f>F18*F19-I18</f>
        <v>869687260</v>
      </c>
      <c r="K18" s="190">
        <f>J18+I18</f>
        <v>1053034375</v>
      </c>
      <c r="L18" s="190"/>
      <c r="M18" s="187">
        <v>0.14560000000000001</v>
      </c>
      <c r="N18" s="180">
        <f>N25</f>
        <v>0.12279614408266216</v>
      </c>
      <c r="O18" s="142">
        <v>0.1416</v>
      </c>
      <c r="Q18" s="184">
        <f>I19*-J12*M18+I12*J19*M18</f>
        <v>1.1924196045071233E-2</v>
      </c>
      <c r="R18" s="199">
        <f>O18*I12-I19*O11</f>
        <v>1.1840366628914828E-2</v>
      </c>
      <c r="S18" s="200">
        <f>Q18-R18</f>
        <v>8.3829416156405018E-5</v>
      </c>
    </row>
    <row r="19" spans="1:19" x14ac:dyDescent="0.3">
      <c r="A19" s="38" t="s">
        <v>131</v>
      </c>
      <c r="B19" s="166">
        <v>14959</v>
      </c>
      <c r="C19" s="166">
        <v>33362</v>
      </c>
      <c r="D19" s="166">
        <v>35462</v>
      </c>
      <c r="E19" s="166"/>
      <c r="F19" s="166">
        <v>39625</v>
      </c>
      <c r="H19" s="38" t="s">
        <v>132</v>
      </c>
      <c r="I19" s="177">
        <f>I18/(I18+J18)</f>
        <v>0.17411313377115539</v>
      </c>
      <c r="J19" s="177">
        <f>1-I19</f>
        <v>0.82588686622884455</v>
      </c>
      <c r="K19" s="177">
        <f>J19+I19</f>
        <v>1</v>
      </c>
      <c r="M19" s="188"/>
      <c r="O19" s="189">
        <f>M18*J19+N18*I19</f>
        <v>0.1416295491841664</v>
      </c>
      <c r="R19" s="201"/>
      <c r="S19" s="201"/>
    </row>
    <row r="20" spans="1:19" x14ac:dyDescent="0.3">
      <c r="M20" s="188"/>
      <c r="R20" s="201"/>
      <c r="S20" s="201"/>
    </row>
    <row r="21" spans="1:19" x14ac:dyDescent="0.3">
      <c r="A21" s="38" t="s">
        <v>118</v>
      </c>
      <c r="B21" s="179">
        <v>41821</v>
      </c>
      <c r="C21" s="38" t="s">
        <v>133</v>
      </c>
      <c r="M21" s="188"/>
      <c r="R21" s="201"/>
      <c r="S21" s="201"/>
    </row>
    <row r="22" spans="1:19" x14ac:dyDescent="0.3">
      <c r="B22" s="38" t="s">
        <v>120</v>
      </c>
      <c r="M22" s="188"/>
      <c r="R22" s="201"/>
      <c r="S22" s="201"/>
    </row>
    <row r="23" spans="1:19" x14ac:dyDescent="0.3">
      <c r="B23" s="38">
        <v>0</v>
      </c>
      <c r="C23" s="38">
        <v>1</v>
      </c>
      <c r="D23" s="38">
        <v>2</v>
      </c>
      <c r="E23" s="38">
        <v>3</v>
      </c>
      <c r="M23" s="188"/>
      <c r="R23" s="201"/>
      <c r="S23" s="201"/>
    </row>
    <row r="24" spans="1:19" x14ac:dyDescent="0.3">
      <c r="A24" s="38" t="s">
        <v>124</v>
      </c>
      <c r="B24" s="179">
        <f>DATE(YEAR($B21)-B23,7,1)</f>
        <v>41821</v>
      </c>
      <c r="C24" s="179">
        <f t="shared" ref="C24:E24" si="1">DATE(YEAR($B21)-C23,7,1)</f>
        <v>41456</v>
      </c>
      <c r="D24" s="179">
        <f t="shared" si="1"/>
        <v>41091</v>
      </c>
      <c r="E24" s="179">
        <f t="shared" si="1"/>
        <v>40725</v>
      </c>
      <c r="F24" s="38" t="s">
        <v>8</v>
      </c>
      <c r="I24" s="38" t="s">
        <v>125</v>
      </c>
      <c r="J24" s="38" t="s">
        <v>126</v>
      </c>
      <c r="K24" s="191" t="s">
        <v>8</v>
      </c>
      <c r="M24" s="188"/>
      <c r="Q24" s="181" t="s">
        <v>134</v>
      </c>
      <c r="R24" s="202"/>
      <c r="S24" s="203"/>
    </row>
    <row r="25" spans="1:19" x14ac:dyDescent="0.3">
      <c r="A25" s="38" t="s">
        <v>129</v>
      </c>
      <c r="B25" s="166">
        <v>2694</v>
      </c>
      <c r="C25" s="166">
        <v>2256</v>
      </c>
      <c r="D25" s="166"/>
      <c r="E25" s="166"/>
      <c r="F25" s="166">
        <v>26697</v>
      </c>
      <c r="H25" s="38" t="s">
        <v>130</v>
      </c>
      <c r="I25" s="166">
        <f>SUMPRODUCT(B25:E25,B26:E26)</f>
        <v>112447950</v>
      </c>
      <c r="J25" s="166">
        <f>F25*F26-I25</f>
        <v>913250790</v>
      </c>
      <c r="K25" s="190">
        <f>J25+I25</f>
        <v>1025698740</v>
      </c>
      <c r="M25" s="187">
        <v>0.14560000000000001</v>
      </c>
      <c r="N25" s="180">
        <f>(O25-M25*J26)/I26</f>
        <v>0.12279614408266216</v>
      </c>
      <c r="O25" s="142">
        <v>0.1431</v>
      </c>
      <c r="Q25" s="184">
        <f>I26*-J19*M25+I19*J26*M25</f>
        <v>9.3886595127357954E-3</v>
      </c>
      <c r="R25" s="199">
        <f>O25*I19-I26*O18</f>
        <v>9.3918990069986868E-3</v>
      </c>
      <c r="S25" s="200">
        <f>Q25-R25</f>
        <v>-3.2394942628913986E-6</v>
      </c>
    </row>
    <row r="26" spans="1:19" x14ac:dyDescent="0.3">
      <c r="A26" s="38" t="s">
        <v>131</v>
      </c>
      <c r="B26" s="166">
        <v>14741</v>
      </c>
      <c r="C26" s="166">
        <v>32241</v>
      </c>
      <c r="D26" s="166"/>
      <c r="E26" s="166"/>
      <c r="F26" s="166">
        <v>38420</v>
      </c>
      <c r="H26" s="38" t="s">
        <v>132</v>
      </c>
      <c r="I26" s="177">
        <f>I25/(I25+J25)</f>
        <v>0.10963058217269527</v>
      </c>
      <c r="J26" s="177">
        <f>1-I26</f>
        <v>0.89036941782730472</v>
      </c>
      <c r="K26" s="177">
        <f>J26+I26</f>
        <v>1</v>
      </c>
      <c r="M26" s="188"/>
      <c r="O26" s="189">
        <f>M25*J26+N25*I26</f>
        <v>0.1431</v>
      </c>
      <c r="S26" s="38" t="s">
        <v>135</v>
      </c>
    </row>
    <row r="27" spans="1:19" x14ac:dyDescent="0.3">
      <c r="M27" s="188"/>
    </row>
    <row r="28" spans="1:19" x14ac:dyDescent="0.3">
      <c r="A28" s="38" t="s">
        <v>118</v>
      </c>
      <c r="B28" s="179">
        <v>41456</v>
      </c>
      <c r="C28" s="38" t="s">
        <v>133</v>
      </c>
      <c r="M28" s="188"/>
    </row>
    <row r="29" spans="1:19" x14ac:dyDescent="0.3">
      <c r="B29" s="38" t="s">
        <v>120</v>
      </c>
      <c r="M29" s="188"/>
    </row>
    <row r="30" spans="1:19" x14ac:dyDescent="0.3">
      <c r="B30" s="38">
        <v>0</v>
      </c>
      <c r="C30" s="38">
        <v>1</v>
      </c>
      <c r="D30" s="38">
        <v>2</v>
      </c>
      <c r="E30" s="38">
        <v>3</v>
      </c>
      <c r="M30" s="188"/>
    </row>
    <row r="31" spans="1:19" x14ac:dyDescent="0.3">
      <c r="A31" s="38" t="s">
        <v>124</v>
      </c>
      <c r="B31" s="179">
        <f>DATE(YEAR($B28)-B30,7,1)</f>
        <v>41456</v>
      </c>
      <c r="C31" s="179">
        <f t="shared" ref="C31:E31" si="2">DATE(YEAR($B28)-C30,7,1)</f>
        <v>41091</v>
      </c>
      <c r="D31" s="179">
        <f t="shared" si="2"/>
        <v>40725</v>
      </c>
      <c r="E31" s="179">
        <f t="shared" si="2"/>
        <v>40360</v>
      </c>
      <c r="F31" s="38" t="s">
        <v>8</v>
      </c>
      <c r="I31" s="38" t="s">
        <v>125</v>
      </c>
      <c r="J31" s="38" t="s">
        <v>126</v>
      </c>
      <c r="K31" s="191" t="s">
        <v>8</v>
      </c>
      <c r="M31" s="188"/>
    </row>
    <row r="32" spans="1:19" x14ac:dyDescent="0.3">
      <c r="A32" s="38" t="s">
        <v>129</v>
      </c>
      <c r="B32" s="166">
        <v>2662</v>
      </c>
      <c r="C32" s="166"/>
      <c r="D32" s="166"/>
      <c r="E32" s="166"/>
      <c r="F32" s="166">
        <v>26194</v>
      </c>
      <c r="H32" s="38" t="s">
        <v>130</v>
      </c>
      <c r="I32" s="166">
        <f>SUMPRODUCT(B32:E32,B33:E33)</f>
        <v>38085234</v>
      </c>
      <c r="J32" s="166">
        <f>F32*F33-I32</f>
        <v>946128122</v>
      </c>
      <c r="K32" s="190">
        <f>J32+I32</f>
        <v>984213356</v>
      </c>
      <c r="M32" s="187">
        <v>0.14560000000000001</v>
      </c>
      <c r="N32" s="180">
        <f>(O32-M32*J33)/I33</f>
        <v>0.12492609040028514</v>
      </c>
      <c r="O32" s="142">
        <v>0.14480000000000001</v>
      </c>
      <c r="P32" s="186" t="s">
        <v>136</v>
      </c>
      <c r="R32" s="185"/>
      <c r="S32" s="185"/>
    </row>
    <row r="33" spans="1:15" x14ac:dyDescent="0.3">
      <c r="A33" s="38" t="s">
        <v>131</v>
      </c>
      <c r="B33" s="166">
        <v>14307</v>
      </c>
      <c r="C33" s="166"/>
      <c r="D33" s="166"/>
      <c r="E33" s="166"/>
      <c r="F33" s="166">
        <v>37574</v>
      </c>
      <c r="H33" s="38" t="s">
        <v>132</v>
      </c>
      <c r="I33" s="177">
        <f>I32/(I32+J32)</f>
        <v>3.8696115804386623E-2</v>
      </c>
      <c r="J33" s="177">
        <f>1-I33</f>
        <v>0.96130388419561341</v>
      </c>
      <c r="K33" s="177">
        <f>J33+I33</f>
        <v>1</v>
      </c>
      <c r="O33" s="189">
        <f>M32*J33+N32*I33</f>
        <v>0.14480000000000001</v>
      </c>
    </row>
    <row r="35" spans="1:15" x14ac:dyDescent="0.3">
      <c r="A35" s="38" t="s">
        <v>118</v>
      </c>
      <c r="B35" s="179">
        <v>41091</v>
      </c>
      <c r="C35" s="38" t="s">
        <v>133</v>
      </c>
    </row>
    <row r="36" spans="1:15" x14ac:dyDescent="0.3">
      <c r="B36" s="38" t="s">
        <v>120</v>
      </c>
    </row>
    <row r="37" spans="1:15" x14ac:dyDescent="0.3">
      <c r="B37" s="38">
        <v>0</v>
      </c>
      <c r="C37" s="38">
        <v>1</v>
      </c>
      <c r="D37" s="38">
        <v>2</v>
      </c>
      <c r="E37" s="38">
        <v>3</v>
      </c>
    </row>
    <row r="38" spans="1:15" x14ac:dyDescent="0.3">
      <c r="A38" s="38" t="s">
        <v>124</v>
      </c>
      <c r="B38" s="179">
        <f>DATE(YEAR($B35)-B37,7,1)</f>
        <v>41091</v>
      </c>
      <c r="C38" s="179">
        <f t="shared" ref="C38:E38" si="3">DATE(YEAR($B35)-C37,7,1)</f>
        <v>40725</v>
      </c>
      <c r="D38" s="179">
        <f t="shared" si="3"/>
        <v>40360</v>
      </c>
      <c r="E38" s="179">
        <f t="shared" si="3"/>
        <v>39995</v>
      </c>
      <c r="F38" s="38" t="s">
        <v>8</v>
      </c>
      <c r="I38" s="38" t="s">
        <v>125</v>
      </c>
      <c r="J38" s="38" t="s">
        <v>126</v>
      </c>
      <c r="K38" s="191" t="s">
        <v>8</v>
      </c>
    </row>
    <row r="39" spans="1:15" x14ac:dyDescent="0.3">
      <c r="A39" s="38" t="s">
        <v>129</v>
      </c>
      <c r="B39" s="166"/>
      <c r="C39" s="166"/>
      <c r="D39" s="166"/>
      <c r="E39" s="166"/>
      <c r="F39" s="166">
        <v>26194</v>
      </c>
      <c r="H39" s="38" t="s">
        <v>130</v>
      </c>
      <c r="I39" s="166">
        <f>SUMPRODUCT(B39:E39,B40:E40)</f>
        <v>0</v>
      </c>
      <c r="J39" s="166">
        <f>F39*F40-I39</f>
        <v>984213356</v>
      </c>
      <c r="K39" s="190">
        <f>J39+I39</f>
        <v>984213356</v>
      </c>
      <c r="O39" s="142">
        <v>0.14330000000000001</v>
      </c>
    </row>
    <row r="40" spans="1:15" x14ac:dyDescent="0.3">
      <c r="A40" s="38" t="s">
        <v>131</v>
      </c>
      <c r="B40" s="166"/>
      <c r="C40" s="166"/>
      <c r="D40" s="166"/>
      <c r="E40" s="166"/>
      <c r="F40" s="166">
        <v>37574</v>
      </c>
      <c r="H40" s="38" t="s">
        <v>132</v>
      </c>
      <c r="I40" s="177">
        <f>I39/(I39+J39)</f>
        <v>0</v>
      </c>
      <c r="J40" s="177">
        <f>1-I40</f>
        <v>1</v>
      </c>
      <c r="K40" s="177">
        <f>J40+I40</f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7D29F-9E1F-45C7-8E17-EDEA3752563C}">
  <dimension ref="A1:H13"/>
  <sheetViews>
    <sheetView workbookViewId="0"/>
  </sheetViews>
  <sheetFormatPr defaultColWidth="8.77734375" defaultRowHeight="14.4" x14ac:dyDescent="0.3"/>
  <cols>
    <col min="1" max="1" width="8.6640625" style="38"/>
    <col min="2" max="3" width="9.109375" bestFit="1" customWidth="1"/>
    <col min="4" max="5" width="8.6640625" style="38"/>
    <col min="6" max="6" width="9.109375" bestFit="1" customWidth="1"/>
  </cols>
  <sheetData>
    <row r="1" spans="1:8" s="38" customFormat="1" x14ac:dyDescent="0.3">
      <c r="A1" s="38" t="s">
        <v>195</v>
      </c>
      <c r="C1" s="38" t="s">
        <v>162</v>
      </c>
      <c r="G1" s="38" t="s">
        <v>108</v>
      </c>
    </row>
    <row r="2" spans="1:8" x14ac:dyDescent="0.3">
      <c r="B2" s="232">
        <v>1169</v>
      </c>
      <c r="C2" s="166">
        <f>SUMPRODUCT(B3:B6,D3:D6)</f>
        <v>1278.9609</v>
      </c>
      <c r="F2" s="232">
        <v>826</v>
      </c>
      <c r="G2" s="166">
        <f>SUMPRODUCT(F3:F6,H3:H6)</f>
        <v>796.28699999999992</v>
      </c>
    </row>
    <row r="3" spans="1:8" x14ac:dyDescent="0.3">
      <c r="A3" s="38" t="s">
        <v>194</v>
      </c>
      <c r="B3" s="166">
        <v>8271</v>
      </c>
      <c r="C3" s="166">
        <f>B3*D3</f>
        <v>991.69290000000001</v>
      </c>
      <c r="D3" s="188">
        <v>0.11990000000000001</v>
      </c>
      <c r="E3" s="142"/>
      <c r="F3" s="166">
        <f>B3</f>
        <v>8271</v>
      </c>
      <c r="G3" s="166">
        <f>B3*H3</f>
        <v>716.26859999999999</v>
      </c>
      <c r="H3" s="188">
        <v>8.6599999999999996E-2</v>
      </c>
    </row>
    <row r="4" spans="1:8" x14ac:dyDescent="0.3">
      <c r="A4" s="38" t="s">
        <v>176</v>
      </c>
      <c r="B4" s="166">
        <v>373</v>
      </c>
      <c r="C4" s="166">
        <f>B4*D4</f>
        <v>77.024500000000003</v>
      </c>
      <c r="D4" s="188">
        <f>D3+H3</f>
        <v>0.20650000000000002</v>
      </c>
      <c r="E4" s="142">
        <f>D4-D3</f>
        <v>8.660000000000001E-2</v>
      </c>
      <c r="F4" s="166">
        <f t="shared" ref="F4:F6" si="0">B4</f>
        <v>373</v>
      </c>
      <c r="G4" s="166">
        <f>B4*H4</f>
        <v>32.3018</v>
      </c>
      <c r="H4" s="188">
        <v>8.6599999999999996E-2</v>
      </c>
    </row>
    <row r="5" spans="1:8" x14ac:dyDescent="0.3">
      <c r="A5" s="38" t="s">
        <v>107</v>
      </c>
      <c r="B5" s="166">
        <v>551</v>
      </c>
      <c r="C5" s="166">
        <f>B5*D5</f>
        <v>113.78150000000001</v>
      </c>
      <c r="D5" s="188">
        <f>D4</f>
        <v>0.20650000000000002</v>
      </c>
      <c r="E5" s="142"/>
      <c r="F5" s="166">
        <f t="shared" si="0"/>
        <v>551</v>
      </c>
      <c r="G5" s="166">
        <f>B5*H5</f>
        <v>47.7166</v>
      </c>
      <c r="H5" s="188">
        <v>8.6599999999999996E-2</v>
      </c>
    </row>
    <row r="6" spans="1:8" x14ac:dyDescent="0.3">
      <c r="A6" s="38" t="s">
        <v>175</v>
      </c>
      <c r="B6" s="166">
        <v>1380</v>
      </c>
      <c r="C6" s="166">
        <f>B6*D6</f>
        <v>96.462000000000003</v>
      </c>
      <c r="D6" s="188">
        <f>D3-5%</f>
        <v>6.9900000000000004E-2</v>
      </c>
      <c r="E6" s="142"/>
      <c r="F6" s="166">
        <f t="shared" si="0"/>
        <v>1380</v>
      </c>
      <c r="G6" s="166">
        <f>B6*H6</f>
        <v>0</v>
      </c>
      <c r="H6" s="188">
        <v>0</v>
      </c>
    </row>
    <row r="8" spans="1:8" x14ac:dyDescent="0.3">
      <c r="A8" s="38">
        <v>2016</v>
      </c>
      <c r="B8" s="38"/>
      <c r="C8" s="38" t="s">
        <v>162</v>
      </c>
      <c r="F8" s="38"/>
      <c r="G8" s="38" t="s">
        <v>108</v>
      </c>
      <c r="H8" s="38"/>
    </row>
    <row r="9" spans="1:8" x14ac:dyDescent="0.3">
      <c r="B9" s="232">
        <v>1169</v>
      </c>
      <c r="C9" s="166">
        <f>SUMPRODUCT(B10:B13,D10:D13)</f>
        <v>1193.1543999999999</v>
      </c>
      <c r="F9" s="236">
        <v>826</v>
      </c>
      <c r="G9" s="166">
        <f>SUMPRODUCT(F10:F13,H10:H13)</f>
        <v>797.4899999999999</v>
      </c>
      <c r="H9" s="38"/>
    </row>
    <row r="10" spans="1:8" x14ac:dyDescent="0.3">
      <c r="A10" s="38" t="s">
        <v>194</v>
      </c>
      <c r="B10" s="166">
        <v>7891</v>
      </c>
      <c r="C10" s="166">
        <f>B10*D10</f>
        <v>912.19959999999992</v>
      </c>
      <c r="D10" s="142">
        <v>0.11559999999999999</v>
      </c>
      <c r="E10" s="142"/>
      <c r="F10" s="166">
        <f>B10</f>
        <v>7891</v>
      </c>
      <c r="G10" s="166">
        <f>B10*H10</f>
        <v>710.18999999999994</v>
      </c>
      <c r="H10" s="188">
        <v>0.09</v>
      </c>
    </row>
    <row r="11" spans="1:8" x14ac:dyDescent="0.3">
      <c r="A11" s="38" t="s">
        <v>176</v>
      </c>
      <c r="B11" s="166">
        <v>463</v>
      </c>
      <c r="C11" s="166">
        <f>B11*D11</f>
        <v>93.618600000000001</v>
      </c>
      <c r="D11" s="142">
        <v>0.20219999999999999</v>
      </c>
      <c r="E11" s="142"/>
      <c r="F11" s="166">
        <f t="shared" ref="F11:F13" si="1">B11</f>
        <v>463</v>
      </c>
      <c r="G11" s="166">
        <f>B11*H11</f>
        <v>41.67</v>
      </c>
      <c r="H11" s="188">
        <v>0.09</v>
      </c>
    </row>
    <row r="12" spans="1:8" x14ac:dyDescent="0.3">
      <c r="A12" s="38" t="s">
        <v>107</v>
      </c>
      <c r="B12" s="166">
        <v>507</v>
      </c>
      <c r="C12" s="166">
        <f>B12*D12</f>
        <v>102.5154</v>
      </c>
      <c r="D12" s="142">
        <v>0.20219999999999999</v>
      </c>
      <c r="E12" s="142"/>
      <c r="F12" s="166">
        <f t="shared" si="1"/>
        <v>507</v>
      </c>
      <c r="G12" s="166">
        <f>B12*H12</f>
        <v>45.629999999999995</v>
      </c>
      <c r="H12" s="188">
        <v>0.09</v>
      </c>
    </row>
    <row r="13" spans="1:8" x14ac:dyDescent="0.3">
      <c r="A13" s="38" t="s">
        <v>175</v>
      </c>
      <c r="B13" s="166">
        <v>1293</v>
      </c>
      <c r="C13" s="166">
        <f>B13*D13</f>
        <v>84.820800000000006</v>
      </c>
      <c r="D13" s="142">
        <v>6.5600000000000006E-2</v>
      </c>
      <c r="E13" s="142"/>
      <c r="F13" s="166">
        <f t="shared" si="1"/>
        <v>1293</v>
      </c>
      <c r="G13" s="166">
        <f>B13*H13</f>
        <v>0</v>
      </c>
      <c r="H13" s="18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SCRS</vt:lpstr>
      <vt:lpstr>Outputs - Cash Infusion</vt:lpstr>
      <vt:lpstr>Outputs</vt:lpstr>
      <vt:lpstr>Inv.Returns</vt:lpstr>
      <vt:lpstr>Duration</vt:lpstr>
      <vt:lpstr>Sheet1</vt:lpstr>
      <vt:lpstr>Develop NCs</vt:lpstr>
      <vt:lpstr>Sheet3</vt:lpstr>
      <vt:lpstr>SCRS!Print_Area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Septon</dc:creator>
  <cp:lastModifiedBy>Swaroop Bhagavatula</cp:lastModifiedBy>
  <cp:lastPrinted>2016-07-06T13:45:49Z</cp:lastPrinted>
  <dcterms:created xsi:type="dcterms:W3CDTF">2014-06-11T15:30:42Z</dcterms:created>
  <dcterms:modified xsi:type="dcterms:W3CDTF">2022-02-17T05:33:35Z</dcterms:modified>
</cp:coreProperties>
</file>