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waro\Desktop\South Carolina\South Carolina Model\"/>
    </mc:Choice>
  </mc:AlternateContent>
  <xr:revisionPtr revIDLastSave="0" documentId="13_ncr:1_{CCA4A917-E88A-4388-A3F5-2F8549455C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CRS" sheetId="12" r:id="rId1"/>
    <sheet name="Outputs" sheetId="19" r:id="rId2"/>
    <sheet name="Inv.Returns" sheetId="18" r:id="rId3"/>
    <sheet name="Duration" sheetId="14" r:id="rId4"/>
    <sheet name="Sheet1" sheetId="13" r:id="rId5"/>
    <sheet name="Develop NCs" sheetId="15" r:id="rId6"/>
    <sheet name="Sheet3" sheetId="17" r:id="rId7"/>
  </sheets>
  <definedNames>
    <definedName name="_xlnm._FilterDatabase" localSheetId="0" hidden="1">SCRS!#REF!</definedName>
    <definedName name="_xlnm.Print_Area" localSheetId="0">SCRS!$A$1:$MP$71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14" i="12" l="1"/>
  <c r="CH14" i="12" l="1"/>
  <c r="CF14" i="12"/>
  <c r="Y14" i="12"/>
  <c r="W14" i="12" s="1"/>
  <c r="W15" i="12" s="1"/>
  <c r="W16" i="12" s="1"/>
  <c r="W17" i="12" s="1"/>
  <c r="W18" i="12" s="1"/>
  <c r="AG15" i="12" l="1"/>
  <c r="AG16" i="12"/>
  <c r="O133" i="19" l="1"/>
  <c r="O129" i="19"/>
  <c r="O125" i="19"/>
  <c r="O121" i="19"/>
  <c r="O117" i="19"/>
  <c r="O113" i="19"/>
  <c r="O109" i="19"/>
  <c r="O105" i="19"/>
  <c r="O132" i="19"/>
  <c r="O131" i="19"/>
  <c r="O128" i="19"/>
  <c r="O124" i="19"/>
  <c r="O123" i="19"/>
  <c r="O120" i="19"/>
  <c r="O116" i="19"/>
  <c r="O115" i="19"/>
  <c r="O112" i="19"/>
  <c r="O108" i="19"/>
  <c r="O107" i="19"/>
  <c r="O104" i="19"/>
  <c r="O106" i="19"/>
  <c r="O110" i="19"/>
  <c r="O111" i="19"/>
  <c r="O114" i="19"/>
  <c r="O118" i="19"/>
  <c r="O119" i="19"/>
  <c r="O122" i="19"/>
  <c r="O126" i="19"/>
  <c r="O127" i="19"/>
  <c r="O130" i="19"/>
  <c r="O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3" i="19"/>
  <c r="M124" i="19"/>
  <c r="M125" i="19"/>
  <c r="M126" i="19"/>
  <c r="M127" i="19"/>
  <c r="M128" i="19"/>
  <c r="M129" i="19"/>
  <c r="M130" i="19"/>
  <c r="M131" i="19"/>
  <c r="M132" i="19"/>
  <c r="M133" i="19"/>
  <c r="M103" i="19"/>
  <c r="DT42" i="12" l="1"/>
  <c r="BG6" i="12" s="1"/>
  <c r="CI47" i="12"/>
  <c r="JV16" i="12" l="1"/>
  <c r="JV17" i="12"/>
  <c r="JV18" i="12"/>
  <c r="JV19" i="12"/>
  <c r="JV20" i="12"/>
  <c r="JV21" i="12"/>
  <c r="JV22" i="12"/>
  <c r="JV23" i="12"/>
  <c r="JV24" i="12"/>
  <c r="JV25" i="12"/>
  <c r="JV26" i="12"/>
  <c r="JV27" i="12"/>
  <c r="JV28" i="12"/>
  <c r="JV29" i="12"/>
  <c r="JV30" i="12"/>
  <c r="JV31" i="12"/>
  <c r="JV32" i="12"/>
  <c r="JV33" i="12"/>
  <c r="JV34" i="12"/>
  <c r="JV35" i="12"/>
  <c r="JV36" i="12"/>
  <c r="JV37" i="12"/>
  <c r="JV38" i="12"/>
  <c r="JV39" i="12"/>
  <c r="JV40" i="12"/>
  <c r="JV41" i="12"/>
  <c r="JV42" i="12"/>
  <c r="JV43" i="12"/>
  <c r="JV44" i="12"/>
  <c r="BO11" i="12"/>
  <c r="N104" i="19" l="1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03" i="19"/>
  <c r="CX9" i="12" l="1"/>
  <c r="CX10" i="12"/>
  <c r="CX11" i="12"/>
  <c r="C32" i="18"/>
  <c r="B32" i="18"/>
  <c r="HE43" i="12"/>
  <c r="JU43" i="12"/>
  <c r="HE44" i="12"/>
  <c r="JU44" i="12"/>
  <c r="CN43" i="12"/>
  <c r="CO43" i="12"/>
  <c r="CN44" i="12"/>
  <c r="CO44" i="12"/>
  <c r="CO42" i="12"/>
  <c r="AA43" i="12"/>
  <c r="AB43" i="12"/>
  <c r="AA44" i="12"/>
  <c r="AB44" i="12"/>
  <c r="T43" i="12"/>
  <c r="U43" i="12"/>
  <c r="T44" i="12"/>
  <c r="U44" i="12"/>
  <c r="A43" i="12"/>
  <c r="A44" i="12"/>
  <c r="B43" i="12"/>
  <c r="B44" i="12"/>
  <c r="Y8" i="12"/>
  <c r="Y9" i="12"/>
  <c r="Y10" i="12"/>
  <c r="Y11" i="12"/>
  <c r="B5" i="12"/>
  <c r="B6" i="12"/>
  <c r="B7" i="12"/>
  <c r="B8" i="12"/>
  <c r="B9" i="12"/>
  <c r="B10" i="12"/>
  <c r="B11" i="12"/>
  <c r="B12" i="12"/>
  <c r="B13" i="12"/>
  <c r="B14" i="12"/>
  <c r="DN14" i="12" s="1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AN28" i="12" s="1"/>
  <c r="B29" i="12"/>
  <c r="B30" i="12"/>
  <c r="B31" i="12"/>
  <c r="B32" i="12"/>
  <c r="B33" i="12"/>
  <c r="B34" i="12"/>
  <c r="B35" i="12"/>
  <c r="B36" i="12"/>
  <c r="AN36" i="12" s="1"/>
  <c r="B37" i="12"/>
  <c r="B38" i="12"/>
  <c r="B39" i="12"/>
  <c r="B40" i="12"/>
  <c r="B41" i="12"/>
  <c r="B42" i="12"/>
  <c r="B4" i="12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2" i="18"/>
  <c r="E20" i="18"/>
  <c r="E19" i="18"/>
  <c r="E18" i="18"/>
  <c r="E5" i="18"/>
  <c r="E4" i="18"/>
  <c r="E3" i="18"/>
  <c r="D2" i="18"/>
  <c r="DN35" i="12" l="1"/>
  <c r="DN27" i="12"/>
  <c r="DN19" i="12"/>
  <c r="DN11" i="12"/>
  <c r="DN42" i="12"/>
  <c r="DN26" i="12"/>
  <c r="DN18" i="12"/>
  <c r="DN10" i="12"/>
  <c r="DN34" i="12"/>
  <c r="DN33" i="12"/>
  <c r="DN25" i="12"/>
  <c r="DN32" i="12"/>
  <c r="DN16" i="12"/>
  <c r="DN37" i="12"/>
  <c r="DN17" i="12"/>
  <c r="AN21" i="12"/>
  <c r="AN37" i="12"/>
  <c r="AN43" i="12"/>
  <c r="DN9" i="12"/>
  <c r="DN29" i="12"/>
  <c r="AN44" i="12"/>
  <c r="AN42" i="12"/>
  <c r="AN34" i="12"/>
  <c r="AN26" i="12"/>
  <c r="DN21" i="12"/>
  <c r="AN20" i="12"/>
  <c r="DN12" i="12"/>
  <c r="AN18" i="12"/>
  <c r="DN13" i="12"/>
  <c r="AN41" i="12"/>
  <c r="AN24" i="12"/>
  <c r="AN25" i="12"/>
  <c r="AN31" i="12"/>
  <c r="AN40" i="12"/>
  <c r="AN39" i="12"/>
  <c r="AN15" i="12"/>
  <c r="AN38" i="12"/>
  <c r="AN30" i="12"/>
  <c r="AN22" i="12"/>
  <c r="AN23" i="12"/>
  <c r="AN27" i="12"/>
  <c r="DN41" i="12"/>
  <c r="DN40" i="12"/>
  <c r="AN33" i="12"/>
  <c r="AN17" i="12"/>
  <c r="DN39" i="12"/>
  <c r="DN31" i="12"/>
  <c r="DN23" i="12"/>
  <c r="DN15" i="12"/>
  <c r="AN35" i="12"/>
  <c r="DN24" i="12"/>
  <c r="AN32" i="12"/>
  <c r="AN16" i="12"/>
  <c r="DN38" i="12"/>
  <c r="DN30" i="12"/>
  <c r="DN22" i="12"/>
  <c r="AN19" i="12"/>
  <c r="DN36" i="12"/>
  <c r="DN28" i="12"/>
  <c r="DN20" i="12"/>
  <c r="E2" i="18"/>
  <c r="AN14" i="12" s="1"/>
  <c r="E17" i="18"/>
  <c r="AN29" i="12" s="1"/>
  <c r="AI13" i="12" l="1"/>
  <c r="FH16" i="12"/>
  <c r="FG16" i="12"/>
  <c r="FH17" i="12" s="1"/>
  <c r="FF16" i="12"/>
  <c r="FG17" i="12" s="1"/>
  <c r="FH18" i="12" s="1"/>
  <c r="CN42" i="12"/>
  <c r="CI13" i="12"/>
  <c r="CI12" i="12"/>
  <c r="BD10" i="12"/>
  <c r="BH6" i="12"/>
  <c r="BA7" i="12"/>
  <c r="BA8" i="12"/>
  <c r="BA9" i="12"/>
  <c r="BA6" i="12"/>
  <c r="BE6" i="12" s="1"/>
  <c r="AZ14" i="12"/>
  <c r="FO16" i="12" l="1"/>
  <c r="FO15" i="12"/>
  <c r="JU17" i="12" l="1"/>
  <c r="JU18" i="12"/>
  <c r="JU19" i="12"/>
  <c r="JU20" i="12"/>
  <c r="JU21" i="12"/>
  <c r="JU22" i="12"/>
  <c r="JU23" i="12"/>
  <c r="JU24" i="12"/>
  <c r="JU25" i="12"/>
  <c r="JU26" i="12"/>
  <c r="JU27" i="12"/>
  <c r="JU28" i="12"/>
  <c r="JU29" i="12"/>
  <c r="JU30" i="12"/>
  <c r="JU31" i="12"/>
  <c r="JU32" i="12"/>
  <c r="JU33" i="12"/>
  <c r="JU34" i="12"/>
  <c r="JU35" i="12"/>
  <c r="JU36" i="12"/>
  <c r="JU37" i="12"/>
  <c r="JU38" i="12"/>
  <c r="JU39" i="12"/>
  <c r="JU40" i="12"/>
  <c r="JU41" i="12"/>
  <c r="JU42" i="12"/>
  <c r="JU16" i="12"/>
  <c r="HE14" i="12"/>
  <c r="HE15" i="12"/>
  <c r="HE16" i="12"/>
  <c r="HE17" i="12"/>
  <c r="HE18" i="12"/>
  <c r="HE19" i="12"/>
  <c r="HE20" i="12"/>
  <c r="HE21" i="12"/>
  <c r="HE22" i="12"/>
  <c r="HE23" i="12"/>
  <c r="HE24" i="12"/>
  <c r="HE25" i="12"/>
  <c r="HE26" i="12"/>
  <c r="HE27" i="12"/>
  <c r="HE28" i="12"/>
  <c r="HE29" i="12"/>
  <c r="HE30" i="12"/>
  <c r="HE31" i="12"/>
  <c r="HE32" i="12"/>
  <c r="HE33" i="12"/>
  <c r="HE34" i="12"/>
  <c r="HE35" i="12"/>
  <c r="HE36" i="12"/>
  <c r="HE37" i="12"/>
  <c r="HE38" i="12"/>
  <c r="HE39" i="12"/>
  <c r="HE40" i="12"/>
  <c r="HE41" i="12"/>
  <c r="HE42" i="12"/>
  <c r="HE13" i="12"/>
  <c r="AA6" i="12" l="1"/>
  <c r="AA7" i="12"/>
  <c r="AA8" i="12"/>
  <c r="AA9" i="12"/>
  <c r="AA10" i="12"/>
  <c r="AA11" i="12"/>
  <c r="AA12" i="12"/>
  <c r="AA13" i="12"/>
  <c r="AA5" i="12"/>
  <c r="BJ13" i="12" l="1"/>
  <c r="BJ11" i="12"/>
  <c r="BJ10" i="12"/>
  <c r="BJ9" i="12"/>
  <c r="BJ12" i="12"/>
  <c r="BO12" i="12"/>
  <c r="MB21" i="12" l="1"/>
  <c r="MB22" i="12" s="1"/>
  <c r="MB23" i="12" s="1"/>
  <c r="MB24" i="12" s="1"/>
  <c r="MB25" i="12" s="1"/>
  <c r="MB26" i="12" s="1"/>
  <c r="MB27" i="12" s="1"/>
  <c r="MB28" i="12" s="1"/>
  <c r="MB29" i="12" s="1"/>
  <c r="MB30" i="12" s="1"/>
  <c r="MB31" i="12" s="1"/>
  <c r="MB32" i="12" s="1"/>
  <c r="MB33" i="12" s="1"/>
  <c r="MB34" i="12" s="1"/>
  <c r="MB35" i="12" s="1"/>
  <c r="MB36" i="12" s="1"/>
  <c r="MB37" i="12" s="1"/>
  <c r="MB38" i="12" s="1"/>
  <c r="MB39" i="12" s="1"/>
  <c r="MB40" i="12" s="1"/>
  <c r="MB41" i="12" s="1"/>
  <c r="MB42" i="12" s="1"/>
  <c r="MB43" i="12" s="1"/>
  <c r="MB44" i="12" s="1"/>
  <c r="MB45" i="12" s="1"/>
  <c r="MB46" i="12" s="1"/>
  <c r="MB47" i="12" s="1"/>
  <c r="MB48" i="12" s="1"/>
  <c r="MF21" i="12"/>
  <c r="MF22" i="12" s="1"/>
  <c r="MF23" i="12" s="1"/>
  <c r="MF24" i="12" s="1"/>
  <c r="MF25" i="12" s="1"/>
  <c r="MF26" i="12" s="1"/>
  <c r="MF27" i="12" s="1"/>
  <c r="MF28" i="12" s="1"/>
  <c r="MF29" i="12" s="1"/>
  <c r="MF30" i="12" s="1"/>
  <c r="MF31" i="12" s="1"/>
  <c r="MF32" i="12" s="1"/>
  <c r="MF33" i="12" s="1"/>
  <c r="MF34" i="12" s="1"/>
  <c r="MF35" i="12" s="1"/>
  <c r="MF36" i="12" s="1"/>
  <c r="MF37" i="12" s="1"/>
  <c r="MF38" i="12" s="1"/>
  <c r="MF39" i="12" s="1"/>
  <c r="MF40" i="12" s="1"/>
  <c r="MF41" i="12" s="1"/>
  <c r="MF42" i="12" s="1"/>
  <c r="MF43" i="12" s="1"/>
  <c r="MF44" i="12" s="1"/>
  <c r="MF45" i="12" s="1"/>
  <c r="MF46" i="12" s="1"/>
  <c r="MF47" i="12" s="1"/>
  <c r="MF48" i="12" s="1"/>
  <c r="K10" i="12"/>
  <c r="K11" i="12"/>
  <c r="AF6" i="12"/>
  <c r="AF7" i="12"/>
  <c r="AF8" i="12"/>
  <c r="AF9" i="12"/>
  <c r="AF10" i="12"/>
  <c r="AF5" i="12"/>
  <c r="ML32" i="12"/>
  <c r="MN32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14" i="12"/>
  <c r="AA15" i="12"/>
  <c r="BJ15" i="12" s="1"/>
  <c r="AA16" i="12"/>
  <c r="BJ16" i="12" s="1"/>
  <c r="AA17" i="12"/>
  <c r="BJ17" i="12" s="1"/>
  <c r="AA18" i="12"/>
  <c r="BJ18" i="12" s="1"/>
  <c r="AA19" i="12"/>
  <c r="BJ19" i="12" s="1"/>
  <c r="AA20" i="12"/>
  <c r="BJ20" i="12" s="1"/>
  <c r="AA21" i="12"/>
  <c r="BJ21" i="12" s="1"/>
  <c r="AA22" i="12"/>
  <c r="BJ22" i="12" s="1"/>
  <c r="AA23" i="12"/>
  <c r="BJ23" i="12" s="1"/>
  <c r="AA24" i="12"/>
  <c r="BJ24" i="12" s="1"/>
  <c r="AA25" i="12"/>
  <c r="BJ25" i="12" s="1"/>
  <c r="AA26" i="12"/>
  <c r="BJ26" i="12" s="1"/>
  <c r="AA27" i="12"/>
  <c r="BJ27" i="12" s="1"/>
  <c r="AA28" i="12"/>
  <c r="BJ28" i="12" s="1"/>
  <c r="AA29" i="12"/>
  <c r="BJ29" i="12" s="1"/>
  <c r="AA30" i="12"/>
  <c r="BJ30" i="12" s="1"/>
  <c r="AA31" i="12"/>
  <c r="BJ31" i="12" s="1"/>
  <c r="AA32" i="12"/>
  <c r="BJ32" i="12" s="1"/>
  <c r="AA33" i="12"/>
  <c r="BJ33" i="12" s="1"/>
  <c r="AA34" i="12"/>
  <c r="BJ34" i="12" s="1"/>
  <c r="AA35" i="12"/>
  <c r="BJ35" i="12" s="1"/>
  <c r="AA36" i="12"/>
  <c r="BJ36" i="12" s="1"/>
  <c r="AA37" i="12"/>
  <c r="BJ37" i="12" s="1"/>
  <c r="AA38" i="12"/>
  <c r="BJ38" i="12" s="1"/>
  <c r="AA39" i="12"/>
  <c r="BJ39" i="12" s="1"/>
  <c r="AA40" i="12"/>
  <c r="BJ40" i="12" s="1"/>
  <c r="AA41" i="12"/>
  <c r="BJ41" i="12" s="1"/>
  <c r="AA42" i="12"/>
  <c r="BJ42" i="12" s="1"/>
  <c r="AA14" i="12"/>
  <c r="BJ14" i="12" s="1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14" i="12"/>
  <c r="P45" i="12" l="1"/>
  <c r="I13" i="12" l="1"/>
  <c r="I12" i="12"/>
  <c r="D13" i="12"/>
  <c r="E13" i="12" s="1"/>
  <c r="DT81" i="12"/>
  <c r="DT80" i="12"/>
  <c r="DT79" i="12"/>
  <c r="DT78" i="12"/>
  <c r="DT77" i="12"/>
  <c r="DT76" i="12"/>
  <c r="Y12" i="12" l="1"/>
  <c r="Y13" i="12"/>
  <c r="K12" i="12"/>
  <c r="K13" i="12"/>
  <c r="Q13" i="12"/>
  <c r="Q12" i="12"/>
  <c r="O13" i="12"/>
  <c r="CX13" i="12" s="1"/>
  <c r="O12" i="12"/>
  <c r="CX12" i="12" s="1"/>
  <c r="G13" i="12" l="1"/>
  <c r="G14" i="12" s="1"/>
  <c r="L14" i="12" s="1"/>
  <c r="CN11" i="12" s="1"/>
  <c r="BV13" i="12"/>
  <c r="BV12" i="12"/>
  <c r="BZ12" i="12" s="1"/>
  <c r="BT13" i="12"/>
  <c r="BR13" i="12"/>
  <c r="MH13" i="12" s="1"/>
  <c r="MH14" i="12" s="1"/>
  <c r="MH15" i="12" s="1"/>
  <c r="MH16" i="12" s="1"/>
  <c r="MH17" i="12" s="1"/>
  <c r="MH18" i="12" s="1"/>
  <c r="MH19" i="12" s="1"/>
  <c r="MH20" i="12" s="1"/>
  <c r="MH21" i="12" s="1"/>
  <c r="MH22" i="12" s="1"/>
  <c r="MH23" i="12" s="1"/>
  <c r="MH24" i="12" s="1"/>
  <c r="MH25" i="12" s="1"/>
  <c r="MH26" i="12" s="1"/>
  <c r="MH27" i="12" s="1"/>
  <c r="MH28" i="12" s="1"/>
  <c r="MH29" i="12" s="1"/>
  <c r="MH30" i="12" s="1"/>
  <c r="MH31" i="12" s="1"/>
  <c r="MH32" i="12" s="1"/>
  <c r="MH33" i="12" s="1"/>
  <c r="MH34" i="12" s="1"/>
  <c r="MH35" i="12" s="1"/>
  <c r="MH36" i="12" s="1"/>
  <c r="MH37" i="12" s="1"/>
  <c r="MH38" i="12" s="1"/>
  <c r="MH39" i="12" s="1"/>
  <c r="MH40" i="12" s="1"/>
  <c r="MH41" i="12" s="1"/>
  <c r="MH42" i="12" s="1"/>
  <c r="MH43" i="12" s="1"/>
  <c r="MH44" i="12" s="1"/>
  <c r="MH45" i="12" s="1"/>
  <c r="MH46" i="12" s="1"/>
  <c r="MH47" i="12" s="1"/>
  <c r="MG47" i="12" s="1"/>
  <c r="BP13" i="12"/>
  <c r="MD13" i="12" s="1"/>
  <c r="MD14" i="12" s="1"/>
  <c r="BR12" i="12"/>
  <c r="BP12" i="12"/>
  <c r="AK6" i="12"/>
  <c r="AK7" i="12"/>
  <c r="AK8" i="12"/>
  <c r="AK9" i="12"/>
  <c r="AK10" i="12"/>
  <c r="AK11" i="12"/>
  <c r="AK5" i="12"/>
  <c r="AL13" i="12"/>
  <c r="AL12" i="12"/>
  <c r="AH6" i="12"/>
  <c r="AH7" i="12"/>
  <c r="AH8" i="12"/>
  <c r="AH9" i="12"/>
  <c r="AH5" i="12"/>
  <c r="AH13" i="12"/>
  <c r="AI12" i="12"/>
  <c r="AH12" i="12" s="1"/>
  <c r="AI11" i="12"/>
  <c r="AH11" i="12" s="1"/>
  <c r="AI10" i="12"/>
  <c r="AH10" i="12" s="1"/>
  <c r="AD6" i="12"/>
  <c r="AC6" i="12" s="1"/>
  <c r="AD7" i="12"/>
  <c r="AC7" i="12" s="1"/>
  <c r="AD8" i="12"/>
  <c r="AC8" i="12" s="1"/>
  <c r="AD9" i="12"/>
  <c r="AC9" i="12" s="1"/>
  <c r="AD10" i="12"/>
  <c r="AC10" i="12" s="1"/>
  <c r="AD11" i="12"/>
  <c r="AC11" i="12" s="1"/>
  <c r="AD5" i="12"/>
  <c r="AC5" i="12" s="1"/>
  <c r="W13" i="12"/>
  <c r="V13" i="12" s="1"/>
  <c r="W12" i="12"/>
  <c r="V12" i="12" s="1"/>
  <c r="V6" i="12"/>
  <c r="V7" i="12"/>
  <c r="V8" i="12"/>
  <c r="V11" i="12"/>
  <c r="V5" i="12"/>
  <c r="H13" i="12" l="1"/>
  <c r="BZ13" i="12"/>
  <c r="AK12" i="12"/>
  <c r="AK13" i="12"/>
  <c r="B169" i="19" s="1"/>
  <c r="AP8" i="12"/>
  <c r="AP7" i="12"/>
  <c r="AP5" i="12"/>
  <c r="G15" i="12"/>
  <c r="G16" i="12" s="1"/>
  <c r="AP11" i="12"/>
  <c r="AP6" i="12"/>
  <c r="AP10" i="12"/>
  <c r="AP9" i="12"/>
  <c r="MD15" i="12"/>
  <c r="P14" i="12"/>
  <c r="H14" i="12"/>
  <c r="AD12" i="12"/>
  <c r="AC12" i="12" s="1"/>
  <c r="AD13" i="12"/>
  <c r="B136" i="19" s="1"/>
  <c r="AP12" i="12" l="1"/>
  <c r="M14" i="12"/>
  <c r="AC13" i="12"/>
  <c r="AP13" i="12" s="1"/>
  <c r="B103" i="19" s="1"/>
  <c r="L15" i="12"/>
  <c r="BP14" i="12"/>
  <c r="BR14" i="12"/>
  <c r="MD16" i="12"/>
  <c r="O14" i="12"/>
  <c r="G17" i="12"/>
  <c r="L16" i="12"/>
  <c r="D12" i="12"/>
  <c r="E12" i="12" s="1"/>
  <c r="I14" i="12" l="1"/>
  <c r="CX14" i="12"/>
  <c r="H15" i="12"/>
  <c r="O15" i="12" s="1"/>
  <c r="CN12" i="12"/>
  <c r="AW14" i="12"/>
  <c r="CN13" i="12"/>
  <c r="P15" i="12"/>
  <c r="M15" i="12" s="1"/>
  <c r="MC15" i="12"/>
  <c r="MG15" i="12" s="1"/>
  <c r="BR15" i="12" s="1"/>
  <c r="MD17" i="12"/>
  <c r="MC16" i="12"/>
  <c r="P16" i="12"/>
  <c r="M16" i="12" s="1"/>
  <c r="H16" i="12"/>
  <c r="G18" i="12"/>
  <c r="L17" i="12"/>
  <c r="CN14" i="12" s="1"/>
  <c r="K14" i="12" l="1"/>
  <c r="BT14" i="12"/>
  <c r="I15" i="12"/>
  <c r="BT15" i="12" s="1"/>
  <c r="CX15" i="12"/>
  <c r="BP15" i="12"/>
  <c r="BU16" i="12"/>
  <c r="BX16" i="12"/>
  <c r="BQ16" i="12"/>
  <c r="Z16" i="12"/>
  <c r="BP16" i="12"/>
  <c r="MG16" i="12"/>
  <c r="BR16" i="12" s="1"/>
  <c r="MD18" i="12"/>
  <c r="O16" i="12"/>
  <c r="MC17" i="12"/>
  <c r="P17" i="12"/>
  <c r="M17" i="12" s="1"/>
  <c r="H17" i="12"/>
  <c r="G19" i="12"/>
  <c r="L18" i="12"/>
  <c r="K15" i="12" l="1"/>
  <c r="Y15" i="12" s="1"/>
  <c r="I16" i="12"/>
  <c r="BT16" i="12" s="1"/>
  <c r="CX16" i="12"/>
  <c r="H18" i="12"/>
  <c r="O18" i="12" s="1"/>
  <c r="CN15" i="12"/>
  <c r="BU17" i="12"/>
  <c r="BS16" i="12"/>
  <c r="X16" i="12" s="1"/>
  <c r="BQ17" i="12"/>
  <c r="Z17" i="12"/>
  <c r="BP17" i="12"/>
  <c r="MG17" i="12"/>
  <c r="BR17" i="12" s="1"/>
  <c r="MD19" i="12"/>
  <c r="O17" i="12"/>
  <c r="MC18" i="12"/>
  <c r="P18" i="12"/>
  <c r="M18" i="12" s="1"/>
  <c r="G20" i="12"/>
  <c r="L19" i="12"/>
  <c r="CN16" i="12" s="1"/>
  <c r="ML33" i="12"/>
  <c r="MN33" i="12"/>
  <c r="MM33" i="12"/>
  <c r="FP10" i="12"/>
  <c r="FT10" i="12" s="1"/>
  <c r="DJ42" i="12"/>
  <c r="BP10" i="12"/>
  <c r="BV11" i="12"/>
  <c r="BZ11" i="12" s="1"/>
  <c r="BP11" i="12"/>
  <c r="E11" i="12"/>
  <c r="N12" i="12"/>
  <c r="G12" i="12" s="1"/>
  <c r="H12" i="12" s="1"/>
  <c r="AQ9" i="12"/>
  <c r="AQ8" i="12"/>
  <c r="FP9" i="12"/>
  <c r="FQ9" i="12" s="1"/>
  <c r="FP8" i="12"/>
  <c r="FQ8" i="12" s="1"/>
  <c r="A4" i="12"/>
  <c r="A5" i="12"/>
  <c r="A6" i="12"/>
  <c r="BD8" i="12"/>
  <c r="BD7" i="12"/>
  <c r="HD9" i="12"/>
  <c r="HD8" i="12"/>
  <c r="A10" i="12"/>
  <c r="A9" i="12"/>
  <c r="BL9" i="12" s="1"/>
  <c r="BD9" i="12"/>
  <c r="EX11" i="12"/>
  <c r="EY12" i="12" s="1"/>
  <c r="EY11" i="12"/>
  <c r="A11" i="12"/>
  <c r="BC11" i="12" s="1"/>
  <c r="BD11" i="12" s="1"/>
  <c r="A12" i="12"/>
  <c r="A13" i="12"/>
  <c r="A14" i="12"/>
  <c r="N15" i="12"/>
  <c r="N16" i="12" s="1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R14" i="12"/>
  <c r="A35" i="12"/>
  <c r="A36" i="12"/>
  <c r="J40" i="12"/>
  <c r="A37" i="12"/>
  <c r="IH3" i="12"/>
  <c r="A7" i="12"/>
  <c r="A8" i="12"/>
  <c r="BL8" i="12" s="1"/>
  <c r="A42" i="12"/>
  <c r="A41" i="12"/>
  <c r="A40" i="12"/>
  <c r="A39" i="12"/>
  <c r="A38" i="12"/>
  <c r="LV6" i="12"/>
  <c r="LW6" i="12"/>
  <c r="LW7" i="12" s="1"/>
  <c r="LW8" i="12" s="1"/>
  <c r="LW9" i="12" s="1"/>
  <c r="LW10" i="12" s="1"/>
  <c r="LW11" i="12" s="1"/>
  <c r="LW12" i="12" s="1"/>
  <c r="LW13" i="12" s="1"/>
  <c r="LW14" i="12" s="1"/>
  <c r="LW15" i="12" s="1"/>
  <c r="LW16" i="12" s="1"/>
  <c r="LW17" i="12" s="1"/>
  <c r="LW18" i="12" s="1"/>
  <c r="LW19" i="12" s="1"/>
  <c r="LW20" i="12" s="1"/>
  <c r="LW21" i="12" s="1"/>
  <c r="LW22" i="12" s="1"/>
  <c r="LW23" i="12" s="1"/>
  <c r="LW24" i="12" s="1"/>
  <c r="LW25" i="12" s="1"/>
  <c r="LW26" i="12" s="1"/>
  <c r="LW27" i="12" s="1"/>
  <c r="LW28" i="12" s="1"/>
  <c r="LW29" i="12" s="1"/>
  <c r="LW30" i="12" s="1"/>
  <c r="LW31" i="12" s="1"/>
  <c r="LW32" i="12" s="1"/>
  <c r="LW33" i="12" s="1"/>
  <c r="LW34" i="12" s="1"/>
  <c r="LW35" i="12" s="1"/>
  <c r="LW36" i="12" s="1"/>
  <c r="LW37" i="12" s="1"/>
  <c r="LW38" i="12" s="1"/>
  <c r="LW39" i="12" s="1"/>
  <c r="L7" i="12"/>
  <c r="F7" i="12" s="1"/>
  <c r="LV7" i="12" s="1"/>
  <c r="L8" i="12"/>
  <c r="F8" i="12" s="1"/>
  <c r="LV8" i="12" s="1"/>
  <c r="L9" i="12"/>
  <c r="F9" i="12" s="1"/>
  <c r="LV9" i="12" s="1"/>
  <c r="LU10" i="12"/>
  <c r="F10" i="12"/>
  <c r="LU11" i="12"/>
  <c r="LU12" i="12"/>
  <c r="LU13" i="12"/>
  <c r="LU14" i="12"/>
  <c r="LU15" i="12"/>
  <c r="LU16" i="12"/>
  <c r="LU17" i="12"/>
  <c r="LU18" i="12"/>
  <c r="LU19" i="12"/>
  <c r="LU20" i="12"/>
  <c r="LU21" i="12"/>
  <c r="LU22" i="12"/>
  <c r="LU23" i="12"/>
  <c r="LU24" i="12"/>
  <c r="LU25" i="12"/>
  <c r="LU26" i="12"/>
  <c r="LU27" i="12"/>
  <c r="LU28" i="12"/>
  <c r="LU29" i="12"/>
  <c r="LU30" i="12"/>
  <c r="LU31" i="12"/>
  <c r="LU32" i="12"/>
  <c r="LU33" i="12"/>
  <c r="LU34" i="12"/>
  <c r="LU35" i="12"/>
  <c r="LU36" i="12"/>
  <c r="LU37" i="12"/>
  <c r="LU38" i="12"/>
  <c r="LU39" i="12"/>
  <c r="BP9" i="12"/>
  <c r="LZ8" i="12" s="1"/>
  <c r="C6" i="14"/>
  <c r="C14" i="14" s="1"/>
  <c r="D5" i="14"/>
  <c r="D13" i="14" s="1"/>
  <c r="B5" i="14"/>
  <c r="B6" i="14" s="1"/>
  <c r="B14" i="14" s="1"/>
  <c r="AO8" i="12"/>
  <c r="BM8" i="12" s="1"/>
  <c r="AO9" i="12"/>
  <c r="D6" i="17"/>
  <c r="C6" i="17" s="1"/>
  <c r="D4" i="17"/>
  <c r="D5" i="17"/>
  <c r="C5" i="17" s="1"/>
  <c r="G13" i="17"/>
  <c r="F13" i="17"/>
  <c r="C13" i="17"/>
  <c r="G12" i="17"/>
  <c r="F12" i="17"/>
  <c r="C12" i="17"/>
  <c r="G11" i="17"/>
  <c r="F11" i="17"/>
  <c r="C11" i="17"/>
  <c r="G10" i="17"/>
  <c r="F10" i="17"/>
  <c r="C10" i="17"/>
  <c r="C9" i="17"/>
  <c r="F6" i="17"/>
  <c r="F5" i="17"/>
  <c r="F4" i="17"/>
  <c r="F3" i="17"/>
  <c r="C3" i="17"/>
  <c r="G6" i="17"/>
  <c r="G3" i="17"/>
  <c r="G4" i="17"/>
  <c r="G5" i="17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AQ7" i="12"/>
  <c r="C13" i="14"/>
  <c r="B13" i="14"/>
  <c r="D12" i="14"/>
  <c r="C12" i="14"/>
  <c r="B12" i="14"/>
  <c r="R6" i="12"/>
  <c r="R7" i="12"/>
  <c r="R8" i="12"/>
  <c r="R9" i="12"/>
  <c r="R10" i="12"/>
  <c r="R11" i="12"/>
  <c r="R12" i="12"/>
  <c r="J7" i="12" s="1"/>
  <c r="R13" i="12"/>
  <c r="J8" i="12" s="1"/>
  <c r="R5" i="12"/>
  <c r="E7" i="12"/>
  <c r="E8" i="12"/>
  <c r="E9" i="12"/>
  <c r="E10" i="12"/>
  <c r="MU3" i="12"/>
  <c r="MV3" i="12" s="1"/>
  <c r="MJ9" i="12"/>
  <c r="MJ10" i="12" s="1"/>
  <c r="MJ11" i="12" s="1"/>
  <c r="MJ12" i="12" s="1"/>
  <c r="MJ13" i="12" s="1"/>
  <c r="MJ14" i="12" s="1"/>
  <c r="MJ15" i="12" s="1"/>
  <c r="M11" i="15"/>
  <c r="I11" i="15"/>
  <c r="LY9" i="12"/>
  <c r="I5" i="15"/>
  <c r="AQ5" i="12"/>
  <c r="AQ6" i="12"/>
  <c r="MT6" i="12"/>
  <c r="MT10" i="12" s="1"/>
  <c r="MS6" i="12"/>
  <c r="MS10" i="12" s="1"/>
  <c r="I18" i="15"/>
  <c r="K8" i="12"/>
  <c r="AO7" i="12"/>
  <c r="FL8" i="12" s="1"/>
  <c r="J18" i="15"/>
  <c r="K18" i="15" s="1"/>
  <c r="I25" i="15"/>
  <c r="J25" i="15" s="1"/>
  <c r="I32" i="15"/>
  <c r="FU9" i="12"/>
  <c r="I39" i="15"/>
  <c r="J39" i="15" s="1"/>
  <c r="I40" i="15" s="1"/>
  <c r="J40" i="15" s="1"/>
  <c r="K40" i="15" s="1"/>
  <c r="E38" i="15"/>
  <c r="D38" i="15"/>
  <c r="C38" i="15"/>
  <c r="B38" i="15"/>
  <c r="E31" i="15"/>
  <c r="D31" i="15"/>
  <c r="C31" i="15"/>
  <c r="B31" i="15"/>
  <c r="E24" i="15"/>
  <c r="D24" i="15"/>
  <c r="C24" i="15"/>
  <c r="B24" i="15"/>
  <c r="E17" i="15"/>
  <c r="D17" i="15"/>
  <c r="C17" i="15"/>
  <c r="B17" i="15"/>
  <c r="MJ19" i="12"/>
  <c r="MJ20" i="12" s="1"/>
  <c r="MJ21" i="12" s="1"/>
  <c r="FU8" i="12"/>
  <c r="AD4" i="13"/>
  <c r="AE4" i="13" s="1"/>
  <c r="CM5" i="12"/>
  <c r="CO5" i="12" s="1"/>
  <c r="G2" i="13"/>
  <c r="J3" i="13"/>
  <c r="J4" i="13" s="1"/>
  <c r="L2" i="13"/>
  <c r="M2" i="13" s="1"/>
  <c r="K3" i="13"/>
  <c r="K4" i="13" s="1"/>
  <c r="K5" i="13" s="1"/>
  <c r="K6" i="13" s="1"/>
  <c r="B2" i="13"/>
  <c r="E2" i="13" s="1"/>
  <c r="F2" i="13" s="1"/>
  <c r="D3" i="13"/>
  <c r="D14" i="13"/>
  <c r="O3" i="13"/>
  <c r="O4" i="13" s="1"/>
  <c r="Q2" i="13"/>
  <c r="R2" i="13" s="1"/>
  <c r="W2" i="13"/>
  <c r="X2" i="13" s="1"/>
  <c r="U3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P3" i="13"/>
  <c r="P4" i="13" s="1"/>
  <c r="P5" i="13" s="1"/>
  <c r="MR10" i="12"/>
  <c r="MR11" i="12" s="1"/>
  <c r="MR12" i="12" s="1"/>
  <c r="MR13" i="12" s="1"/>
  <c r="MR14" i="12" s="1"/>
  <c r="MR15" i="12" s="1"/>
  <c r="MR16" i="12" s="1"/>
  <c r="MR17" i="12" s="1"/>
  <c r="MR18" i="12" s="1"/>
  <c r="MR19" i="12" s="1"/>
  <c r="MR20" i="12" s="1"/>
  <c r="MR21" i="12" s="1"/>
  <c r="MR22" i="12" s="1"/>
  <c r="MR23" i="12" s="1"/>
  <c r="MR24" i="12" s="1"/>
  <c r="MR25" i="12" s="1"/>
  <c r="MR26" i="12" s="1"/>
  <c r="MR27" i="12" s="1"/>
  <c r="MR28" i="12" s="1"/>
  <c r="MR29" i="12" s="1"/>
  <c r="MR30" i="12" s="1"/>
  <c r="MR31" i="12" s="1"/>
  <c r="MR32" i="12" s="1"/>
  <c r="LO3" i="12"/>
  <c r="LO6" i="12" s="1"/>
  <c r="LO7" i="12" s="1"/>
  <c r="LO8" i="12" s="1"/>
  <c r="LO9" i="12" s="1"/>
  <c r="LO10" i="12" s="1"/>
  <c r="LO11" i="12" s="1"/>
  <c r="LO12" i="12" s="1"/>
  <c r="LO13" i="12" s="1"/>
  <c r="LO14" i="12" s="1"/>
  <c r="LO15" i="12" s="1"/>
  <c r="LO16" i="12" s="1"/>
  <c r="LO17" i="12" s="1"/>
  <c r="LO18" i="12" s="1"/>
  <c r="LO19" i="12" s="1"/>
  <c r="LO20" i="12" s="1"/>
  <c r="LO21" i="12" s="1"/>
  <c r="LO22" i="12" s="1"/>
  <c r="LO23" i="12" s="1"/>
  <c r="LO24" i="12" s="1"/>
  <c r="LO25" i="12" s="1"/>
  <c r="LO26" i="12" s="1"/>
  <c r="LO27" i="12" s="1"/>
  <c r="LO28" i="12" s="1"/>
  <c r="LO29" i="12" s="1"/>
  <c r="LO30" i="12" s="1"/>
  <c r="LO31" i="12" s="1"/>
  <c r="LO32" i="12" s="1"/>
  <c r="LO33" i="12" s="1"/>
  <c r="LO34" i="12" s="1"/>
  <c r="LO35" i="12" s="1"/>
  <c r="LO36" i="12" s="1"/>
  <c r="DS84" i="12"/>
  <c r="LP3" i="12"/>
  <c r="LP6" i="12" s="1"/>
  <c r="LP7" i="12" s="1"/>
  <c r="LP8" i="12" s="1"/>
  <c r="LP9" i="12" s="1"/>
  <c r="LP10" i="12" s="1"/>
  <c r="LP11" i="12" s="1"/>
  <c r="LP12" i="12" s="1"/>
  <c r="LP13" i="12" s="1"/>
  <c r="LP14" i="12" s="1"/>
  <c r="LP15" i="12" s="1"/>
  <c r="LP16" i="12" s="1"/>
  <c r="LP17" i="12" s="1"/>
  <c r="LP18" i="12" s="1"/>
  <c r="LP19" i="12" s="1"/>
  <c r="LP20" i="12" s="1"/>
  <c r="LP21" i="12" s="1"/>
  <c r="LP22" i="12" s="1"/>
  <c r="LP23" i="12" s="1"/>
  <c r="LP24" i="12" s="1"/>
  <c r="LP25" i="12" s="1"/>
  <c r="LP26" i="12" s="1"/>
  <c r="LP27" i="12" s="1"/>
  <c r="LP28" i="12" s="1"/>
  <c r="LP29" i="12" s="1"/>
  <c r="LP30" i="12" s="1"/>
  <c r="LP31" i="12" s="1"/>
  <c r="LP32" i="12" s="1"/>
  <c r="LP33" i="12" s="1"/>
  <c r="LP34" i="12" s="1"/>
  <c r="LP35" i="12" s="1"/>
  <c r="LP36" i="12" s="1"/>
  <c r="DT84" i="12"/>
  <c r="AR6" i="12"/>
  <c r="AR7" i="12"/>
  <c r="AR8" i="12"/>
  <c r="AR9" i="12"/>
  <c r="AR10" i="12"/>
  <c r="AR11" i="12"/>
  <c r="B8" i="14" l="1"/>
  <c r="I19" i="15"/>
  <c r="J19" i="15" s="1"/>
  <c r="K19" i="15" s="1"/>
  <c r="W3" i="13"/>
  <c r="X3" i="13" s="1"/>
  <c r="U4" i="13" s="1"/>
  <c r="W4" i="13" s="1"/>
  <c r="X4" i="13" s="1"/>
  <c r="U5" i="13" s="1"/>
  <c r="W5" i="13" s="1"/>
  <c r="X5" i="13" s="1"/>
  <c r="U6" i="13" s="1"/>
  <c r="W6" i="13" s="1"/>
  <c r="X6" i="13" s="1"/>
  <c r="U7" i="13" s="1"/>
  <c r="K39" i="15"/>
  <c r="Q3" i="13"/>
  <c r="R3" i="13" s="1"/>
  <c r="G2" i="17"/>
  <c r="D6" i="14"/>
  <c r="K16" i="12"/>
  <c r="Y16" i="12" s="1"/>
  <c r="Q4" i="13"/>
  <c r="R4" i="13" s="1"/>
  <c r="O5" i="13"/>
  <c r="Q5" i="13" s="1"/>
  <c r="B3" i="13"/>
  <c r="B4" i="13" s="1"/>
  <c r="D8" i="14"/>
  <c r="G9" i="17"/>
  <c r="I18" i="12"/>
  <c r="BT18" i="12" s="1"/>
  <c r="CX18" i="12"/>
  <c r="I17" i="12"/>
  <c r="BT17" i="12" s="1"/>
  <c r="CX17" i="12"/>
  <c r="FL10" i="12"/>
  <c r="J41" i="12"/>
  <c r="LY11" i="12"/>
  <c r="BH7" i="12"/>
  <c r="BG7" i="12"/>
  <c r="BE8" i="12"/>
  <c r="BH8" i="12"/>
  <c r="BG8" i="12"/>
  <c r="BE9" i="12"/>
  <c r="BG9" i="12"/>
  <c r="BH9" i="12"/>
  <c r="BU18" i="12"/>
  <c r="BE7" i="12"/>
  <c r="II3" i="12"/>
  <c r="BS17" i="12"/>
  <c r="X17" i="12" s="1"/>
  <c r="BQ18" i="12"/>
  <c r="Z18" i="12"/>
  <c r="BP18" i="12"/>
  <c r="MG18" i="12"/>
  <c r="BR18" i="12" s="1"/>
  <c r="MD20" i="12"/>
  <c r="MC19" i="12"/>
  <c r="P19" i="12"/>
  <c r="M19" i="12" s="1"/>
  <c r="H19" i="12"/>
  <c r="J9" i="12"/>
  <c r="BZ9" i="12" s="1"/>
  <c r="G21" i="12"/>
  <c r="L20" i="12"/>
  <c r="CN17" i="12" s="1"/>
  <c r="LY10" i="12"/>
  <c r="MM35" i="12"/>
  <c r="DT56" i="12" s="1"/>
  <c r="FQ10" i="12"/>
  <c r="BC12" i="12"/>
  <c r="HD10" i="12"/>
  <c r="FU10" i="12"/>
  <c r="BL10" i="12"/>
  <c r="BL11" i="12" s="1"/>
  <c r="FP11" i="12" s="1"/>
  <c r="FT11" i="12" s="1"/>
  <c r="HD11" i="12" s="1"/>
  <c r="DE10" i="12"/>
  <c r="EM10" i="12" s="1"/>
  <c r="DE37" i="12"/>
  <c r="DE29" i="12"/>
  <c r="DE21" i="12"/>
  <c r="DE38" i="12"/>
  <c r="ML7" i="12"/>
  <c r="MT11" i="12"/>
  <c r="MT12" i="12" s="1"/>
  <c r="MT13" i="12" s="1"/>
  <c r="MT14" i="12" s="1"/>
  <c r="MT15" i="12" s="1"/>
  <c r="MT16" i="12" s="1"/>
  <c r="MT17" i="12" s="1"/>
  <c r="MT18" i="12" s="1"/>
  <c r="MT19" i="12" s="1"/>
  <c r="MT20" i="12" s="1"/>
  <c r="MT21" i="12" s="1"/>
  <c r="MT22" i="12" s="1"/>
  <c r="MT23" i="12" s="1"/>
  <c r="MT24" i="12" s="1"/>
  <c r="MT25" i="12" s="1"/>
  <c r="MT26" i="12" s="1"/>
  <c r="MT27" i="12" s="1"/>
  <c r="MT28" i="12" s="1"/>
  <c r="MT29" i="12" s="1"/>
  <c r="MT30" i="12" s="1"/>
  <c r="MT31" i="12" s="1"/>
  <c r="MT32" i="12" s="1"/>
  <c r="MU6" i="12"/>
  <c r="MU10" i="12" s="1"/>
  <c r="DE20" i="12"/>
  <c r="DE18" i="12"/>
  <c r="FR8" i="12"/>
  <c r="MV6" i="12"/>
  <c r="MN7" i="12" s="1"/>
  <c r="MW3" i="12"/>
  <c r="MX3" i="12" s="1"/>
  <c r="MX6" i="12" s="1"/>
  <c r="AD5" i="13"/>
  <c r="MS11" i="12"/>
  <c r="MS12" i="12" s="1"/>
  <c r="MS13" i="12" s="1"/>
  <c r="MS14" i="12" s="1"/>
  <c r="MS15" i="12" s="1"/>
  <c r="MS16" i="12" s="1"/>
  <c r="MS17" i="12" s="1"/>
  <c r="MS18" i="12" s="1"/>
  <c r="MS19" i="12" s="1"/>
  <c r="MS20" i="12" s="1"/>
  <c r="MS21" i="12" s="1"/>
  <c r="MS22" i="12" s="1"/>
  <c r="MS23" i="12" s="1"/>
  <c r="MS24" i="12" s="1"/>
  <c r="MS25" i="12" s="1"/>
  <c r="MS26" i="12" s="1"/>
  <c r="MS27" i="12" s="1"/>
  <c r="MS28" i="12" s="1"/>
  <c r="MS29" i="12" s="1"/>
  <c r="MS30" i="12" s="1"/>
  <c r="MS31" i="12" s="1"/>
  <c r="MS32" i="12" s="1"/>
  <c r="DE39" i="12"/>
  <c r="DE34" i="12"/>
  <c r="DE26" i="12"/>
  <c r="Q14" i="12"/>
  <c r="DE13" i="12"/>
  <c r="DE12" i="12"/>
  <c r="DE30" i="12"/>
  <c r="DE22" i="12"/>
  <c r="AO5" i="12"/>
  <c r="AO6" i="12"/>
  <c r="FL7" i="12" s="1"/>
  <c r="DE28" i="12"/>
  <c r="AR5" i="12"/>
  <c r="FL9" i="12"/>
  <c r="FR9" i="12" s="1"/>
  <c r="BL7" i="12"/>
  <c r="LV10" i="12"/>
  <c r="DE35" i="12"/>
  <c r="DE27" i="12"/>
  <c r="DE19" i="12"/>
  <c r="W7" i="13"/>
  <c r="X7" i="13" s="1"/>
  <c r="U8" i="13" s="1"/>
  <c r="W8" i="13" s="1"/>
  <c r="X8" i="13" s="1"/>
  <c r="U9" i="13" s="1"/>
  <c r="W9" i="13" s="1"/>
  <c r="X9" i="13" s="1"/>
  <c r="U10" i="13" s="1"/>
  <c r="W10" i="13" s="1"/>
  <c r="X10" i="13" s="1"/>
  <c r="U11" i="13" s="1"/>
  <c r="W11" i="13" s="1"/>
  <c r="X11" i="13" s="1"/>
  <c r="U12" i="13" s="1"/>
  <c r="W12" i="13" s="1"/>
  <c r="X12" i="13" s="1"/>
  <c r="U13" i="13" s="1"/>
  <c r="W13" i="13" s="1"/>
  <c r="X13" i="13" s="1"/>
  <c r="U14" i="13" s="1"/>
  <c r="W14" i="13" s="1"/>
  <c r="X14" i="13" s="1"/>
  <c r="U15" i="13" s="1"/>
  <c r="W15" i="13" s="1"/>
  <c r="X15" i="13" s="1"/>
  <c r="U16" i="13" s="1"/>
  <c r="W16" i="13" s="1"/>
  <c r="X16" i="13" s="1"/>
  <c r="U17" i="13" s="1"/>
  <c r="W17" i="13" s="1"/>
  <c r="X17" i="13" s="1"/>
  <c r="U18" i="13" s="1"/>
  <c r="W18" i="13" s="1"/>
  <c r="X18" i="13" s="1"/>
  <c r="U19" i="13" s="1"/>
  <c r="W19" i="13" s="1"/>
  <c r="X19" i="13" s="1"/>
  <c r="U20" i="13" s="1"/>
  <c r="W20" i="13" s="1"/>
  <c r="X20" i="13" s="1"/>
  <c r="U21" i="13" s="1"/>
  <c r="W21" i="13" s="1"/>
  <c r="X21" i="13" s="1"/>
  <c r="U22" i="13" s="1"/>
  <c r="W22" i="13" s="1"/>
  <c r="X22" i="13" s="1"/>
  <c r="U23" i="13" s="1"/>
  <c r="W23" i="13" s="1"/>
  <c r="X23" i="13" s="1"/>
  <c r="U24" i="13" s="1"/>
  <c r="W24" i="13" s="1"/>
  <c r="X24" i="13" s="1"/>
  <c r="U25" i="13" s="1"/>
  <c r="W25" i="13" s="1"/>
  <c r="X25" i="13" s="1"/>
  <c r="U26" i="13" s="1"/>
  <c r="W26" i="13" s="1"/>
  <c r="X26" i="13" s="1"/>
  <c r="U27" i="13" s="1"/>
  <c r="W27" i="13" s="1"/>
  <c r="X27" i="13" s="1"/>
  <c r="U28" i="13" s="1"/>
  <c r="W28" i="13" s="1"/>
  <c r="X28" i="13" s="1"/>
  <c r="U29" i="13" s="1"/>
  <c r="W29" i="13" s="1"/>
  <c r="X29" i="13" s="1"/>
  <c r="U30" i="13" s="1"/>
  <c r="W30" i="13" s="1"/>
  <c r="X30" i="13" s="1"/>
  <c r="U31" i="13" s="1"/>
  <c r="W31" i="13" s="1"/>
  <c r="X31" i="13" s="1"/>
  <c r="P6" i="13"/>
  <c r="R5" i="13"/>
  <c r="K7" i="13"/>
  <c r="O6" i="13"/>
  <c r="E3" i="13"/>
  <c r="F3" i="13" s="1"/>
  <c r="L4" i="13"/>
  <c r="M4" i="13" s="1"/>
  <c r="J5" i="13"/>
  <c r="I12" i="15"/>
  <c r="J5" i="15"/>
  <c r="K5" i="15" s="1"/>
  <c r="D4" i="13"/>
  <c r="D15" i="13"/>
  <c r="J32" i="15"/>
  <c r="K32" i="15" s="1"/>
  <c r="AF4" i="13"/>
  <c r="AF5" i="13" s="1"/>
  <c r="AE5" i="13"/>
  <c r="I26" i="15"/>
  <c r="K25" i="15"/>
  <c r="D26" i="13"/>
  <c r="J11" i="15"/>
  <c r="K11" i="15" s="1"/>
  <c r="L11" i="12"/>
  <c r="BZ10" i="12"/>
  <c r="L3" i="13"/>
  <c r="M3" i="13" s="1"/>
  <c r="DE36" i="12"/>
  <c r="DE24" i="12"/>
  <c r="C4" i="17"/>
  <c r="E4" i="17"/>
  <c r="C2" i="17"/>
  <c r="EK9" i="12"/>
  <c r="DD11" i="12"/>
  <c r="DE9" i="12"/>
  <c r="EM9" i="12" s="1"/>
  <c r="DD9" i="12"/>
  <c r="BL6" i="12"/>
  <c r="LY8" i="12"/>
  <c r="DE16" i="12"/>
  <c r="EJ9" i="12"/>
  <c r="DE15" i="12"/>
  <c r="B15" i="14"/>
  <c r="DE41" i="12"/>
  <c r="DE32" i="12"/>
  <c r="DE42" i="12"/>
  <c r="DE33" i="12"/>
  <c r="DE25" i="12"/>
  <c r="DE17" i="12"/>
  <c r="DD10" i="12"/>
  <c r="DE31" i="12"/>
  <c r="DE23" i="12"/>
  <c r="DK42" i="12"/>
  <c r="DE14" i="12"/>
  <c r="DE40" i="12"/>
  <c r="N17" i="12"/>
  <c r="DE11" i="12"/>
  <c r="MM36" i="12"/>
  <c r="DT59" i="12" s="1"/>
  <c r="C9" i="14" l="1"/>
  <c r="D14" i="14"/>
  <c r="C8" i="14"/>
  <c r="M9" i="15" s="1"/>
  <c r="FR10" i="12"/>
  <c r="K18" i="12"/>
  <c r="Y18" i="12" s="1"/>
  <c r="I33" i="15"/>
  <c r="J33" i="15" s="1"/>
  <c r="CB9" i="12"/>
  <c r="CJ9" i="12" s="1"/>
  <c r="K17" i="12"/>
  <c r="Y17" i="12" s="1"/>
  <c r="J42" i="12"/>
  <c r="J43" i="12" s="1"/>
  <c r="J44" i="12" s="1"/>
  <c r="BU19" i="12"/>
  <c r="BC13" i="12"/>
  <c r="BC14" i="12" s="1"/>
  <c r="BC15" i="12" s="1"/>
  <c r="BD12" i="12"/>
  <c r="Q15" i="12"/>
  <c r="IJ3" i="12"/>
  <c r="BS18" i="12"/>
  <c r="X18" i="12" s="1"/>
  <c r="AE16" i="12"/>
  <c r="BQ19" i="12"/>
  <c r="Z19" i="12"/>
  <c r="DT58" i="12"/>
  <c r="AE17" i="12"/>
  <c r="DT57" i="12"/>
  <c r="BP19" i="12"/>
  <c r="MG19" i="12"/>
  <c r="BR19" i="12" s="1"/>
  <c r="MD21" i="12"/>
  <c r="MC20" i="12"/>
  <c r="P20" i="12"/>
  <c r="M20" i="12" s="1"/>
  <c r="O19" i="12"/>
  <c r="H20" i="12"/>
  <c r="G22" i="12"/>
  <c r="L21" i="12"/>
  <c r="AD7" i="13"/>
  <c r="DC9" i="12"/>
  <c r="MW6" i="12"/>
  <c r="MW10" i="12" s="1"/>
  <c r="MV10" i="12"/>
  <c r="MV11" i="12" s="1"/>
  <c r="MV12" i="12" s="1"/>
  <c r="MV13" i="12" s="1"/>
  <c r="MV14" i="12" s="1"/>
  <c r="MV15" i="12" s="1"/>
  <c r="MV16" i="12" s="1"/>
  <c r="MV17" i="12" s="1"/>
  <c r="MV18" i="12" s="1"/>
  <c r="MV19" i="12" s="1"/>
  <c r="MV20" i="12" s="1"/>
  <c r="MV21" i="12" s="1"/>
  <c r="MV22" i="12" s="1"/>
  <c r="MV23" i="12" s="1"/>
  <c r="MV24" i="12" s="1"/>
  <c r="MV25" i="12" s="1"/>
  <c r="MV26" i="12" s="1"/>
  <c r="MV27" i="12" s="1"/>
  <c r="MV28" i="12" s="1"/>
  <c r="MV29" i="12" s="1"/>
  <c r="MV30" i="12" s="1"/>
  <c r="MV31" i="12" s="1"/>
  <c r="MV32" i="12" s="1"/>
  <c r="FQ11" i="12"/>
  <c r="MM7" i="12"/>
  <c r="BL12" i="12"/>
  <c r="FP12" i="12" s="1"/>
  <c r="FT12" i="12" s="1"/>
  <c r="MU11" i="12"/>
  <c r="MU12" i="12" s="1"/>
  <c r="MU13" i="12" s="1"/>
  <c r="MU14" i="12" s="1"/>
  <c r="MU15" i="12" s="1"/>
  <c r="MU16" i="12" s="1"/>
  <c r="MU17" i="12" s="1"/>
  <c r="MU18" i="12" s="1"/>
  <c r="MU19" i="12" s="1"/>
  <c r="MU20" i="12" s="1"/>
  <c r="MU21" i="12" s="1"/>
  <c r="MU22" i="12" s="1"/>
  <c r="MU23" i="12" s="1"/>
  <c r="MU24" i="12" s="1"/>
  <c r="MU25" i="12" s="1"/>
  <c r="MU26" i="12" s="1"/>
  <c r="MU27" i="12" s="1"/>
  <c r="MU28" i="12" s="1"/>
  <c r="MU29" i="12" s="1"/>
  <c r="MU30" i="12" s="1"/>
  <c r="MU31" i="12" s="1"/>
  <c r="MU32" i="12" s="1"/>
  <c r="CB10" i="12"/>
  <c r="CJ10" i="12" s="1"/>
  <c r="Q25" i="15"/>
  <c r="J26" i="15"/>
  <c r="R25" i="15"/>
  <c r="E4" i="13"/>
  <c r="F4" i="13" s="1"/>
  <c r="B5" i="13"/>
  <c r="MX10" i="12"/>
  <c r="MX11" i="12" s="1"/>
  <c r="MX12" i="12" s="1"/>
  <c r="MX13" i="12" s="1"/>
  <c r="MX14" i="12" s="1"/>
  <c r="MX15" i="12" s="1"/>
  <c r="MX16" i="12" s="1"/>
  <c r="MX17" i="12" s="1"/>
  <c r="MX18" i="12" s="1"/>
  <c r="MX19" i="12" s="1"/>
  <c r="MX20" i="12" s="1"/>
  <c r="MX21" i="12" s="1"/>
  <c r="MX22" i="12" s="1"/>
  <c r="MX23" i="12" s="1"/>
  <c r="MX24" i="12" s="1"/>
  <c r="MX25" i="12" s="1"/>
  <c r="MX26" i="12" s="1"/>
  <c r="MX27" i="12" s="1"/>
  <c r="MX28" i="12" s="1"/>
  <c r="MX29" i="12" s="1"/>
  <c r="MX30" i="12" s="1"/>
  <c r="MX31" i="12" s="1"/>
  <c r="MX32" i="12" s="1"/>
  <c r="MP7" i="12"/>
  <c r="K33" i="15"/>
  <c r="N32" i="15"/>
  <c r="O33" i="15" s="1"/>
  <c r="F11" i="12"/>
  <c r="LV11" i="12" s="1"/>
  <c r="AF7" i="13"/>
  <c r="MT8" i="12"/>
  <c r="K8" i="13"/>
  <c r="N18" i="12"/>
  <c r="Q6" i="13"/>
  <c r="R6" i="13" s="1"/>
  <c r="O7" i="13"/>
  <c r="MS8" i="12"/>
  <c r="FU11" i="12"/>
  <c r="D38" i="13"/>
  <c r="D27" i="13"/>
  <c r="L5" i="13"/>
  <c r="M5" i="13" s="1"/>
  <c r="J6" i="13"/>
  <c r="P7" i="13"/>
  <c r="J12" i="15"/>
  <c r="R18" i="15"/>
  <c r="D14" i="12"/>
  <c r="D5" i="13"/>
  <c r="D16" i="13"/>
  <c r="DC10" i="12"/>
  <c r="EM11" i="12"/>
  <c r="I6" i="15"/>
  <c r="M10" i="15" l="1"/>
  <c r="M5" i="15" s="1"/>
  <c r="O10" i="15"/>
  <c r="C16" i="14"/>
  <c r="C17" i="14"/>
  <c r="C15" i="14"/>
  <c r="CM9" i="12"/>
  <c r="CK9" i="12"/>
  <c r="CL9" i="12"/>
  <c r="DB9" i="12"/>
  <c r="CZ9" i="12"/>
  <c r="DA9" i="12" s="1"/>
  <c r="BM9" i="12"/>
  <c r="CM10" i="12"/>
  <c r="CL10" i="12"/>
  <c r="CK10" i="12"/>
  <c r="ES10" i="12" s="1"/>
  <c r="CZ10" i="12"/>
  <c r="DA10" i="12" s="1"/>
  <c r="I19" i="12"/>
  <c r="BT19" i="12" s="1"/>
  <c r="CX19" i="12"/>
  <c r="BI9" i="12"/>
  <c r="BK9" i="12" s="1"/>
  <c r="H21" i="12"/>
  <c r="O21" i="12" s="1"/>
  <c r="CN18" i="12"/>
  <c r="BU20" i="12"/>
  <c r="Q16" i="12"/>
  <c r="IK3" i="12"/>
  <c r="AE18" i="12"/>
  <c r="BQ20" i="12"/>
  <c r="Z20" i="12"/>
  <c r="AG20" i="12" s="1"/>
  <c r="AU18" i="12" s="1"/>
  <c r="AG17" i="12"/>
  <c r="AU15" i="12" s="1"/>
  <c r="AG18" i="12"/>
  <c r="AU16" i="12" s="1"/>
  <c r="BS19" i="12"/>
  <c r="X19" i="12" s="1"/>
  <c r="AG19" i="12"/>
  <c r="AU17" i="12" s="1"/>
  <c r="BP20" i="12"/>
  <c r="MG20" i="12"/>
  <c r="BR20" i="12" s="1"/>
  <c r="MD22" i="12"/>
  <c r="O20" i="12"/>
  <c r="MC21" i="12"/>
  <c r="P21" i="12"/>
  <c r="M21" i="12" s="1"/>
  <c r="G23" i="12"/>
  <c r="L22" i="12"/>
  <c r="MO7" i="12"/>
  <c r="DB10" i="12"/>
  <c r="MU8" i="12"/>
  <c r="MU7" i="12" s="1"/>
  <c r="ML17" i="12" s="1"/>
  <c r="FQ12" i="12"/>
  <c r="BL13" i="12"/>
  <c r="BL14" i="12" s="1"/>
  <c r="MS7" i="12"/>
  <c r="D15" i="12"/>
  <c r="K9" i="13"/>
  <c r="D39" i="13"/>
  <c r="N25" i="15"/>
  <c r="N18" i="15" s="1"/>
  <c r="O19" i="15" s="1"/>
  <c r="O26" i="15"/>
  <c r="K26" i="15"/>
  <c r="E5" i="13"/>
  <c r="F5" i="13" s="1"/>
  <c r="B6" i="13"/>
  <c r="D50" i="13"/>
  <c r="O8" i="13"/>
  <c r="Q7" i="13"/>
  <c r="R7" i="13" s="1"/>
  <c r="S25" i="15"/>
  <c r="MW11" i="12"/>
  <c r="MW12" i="12" s="1"/>
  <c r="MW13" i="12" s="1"/>
  <c r="MW14" i="12" s="1"/>
  <c r="MW15" i="12" s="1"/>
  <c r="MW16" i="12" s="1"/>
  <c r="MW17" i="12" s="1"/>
  <c r="MW18" i="12" s="1"/>
  <c r="MW19" i="12" s="1"/>
  <c r="MW20" i="12" s="1"/>
  <c r="MW21" i="12" s="1"/>
  <c r="MW22" i="12" s="1"/>
  <c r="MW23" i="12" s="1"/>
  <c r="MW24" i="12" s="1"/>
  <c r="MW25" i="12" s="1"/>
  <c r="MW26" i="12" s="1"/>
  <c r="MW27" i="12" s="1"/>
  <c r="MW28" i="12" s="1"/>
  <c r="MW29" i="12" s="1"/>
  <c r="MW30" i="12" s="1"/>
  <c r="MW31" i="12" s="1"/>
  <c r="MW32" i="12" s="1"/>
  <c r="L6" i="13"/>
  <c r="M6" i="13" s="1"/>
  <c r="J7" i="13"/>
  <c r="MX8" i="12"/>
  <c r="D28" i="13"/>
  <c r="N11" i="15"/>
  <c r="N10" i="15" s="1"/>
  <c r="K12" i="15"/>
  <c r="Q18" i="15"/>
  <c r="S18" i="15" s="1"/>
  <c r="MV8" i="12"/>
  <c r="P8" i="13"/>
  <c r="AF11" i="12"/>
  <c r="L12" i="12"/>
  <c r="CN9" i="12" s="1"/>
  <c r="D17" i="13"/>
  <c r="D6" i="13"/>
  <c r="J6" i="15"/>
  <c r="R11" i="15"/>
  <c r="N19" i="12"/>
  <c r="HD12" i="12"/>
  <c r="FU12" i="12"/>
  <c r="AU9" i="12" l="1"/>
  <c r="AU14" i="12"/>
  <c r="ER7" i="12"/>
  <c r="K19" i="12"/>
  <c r="Y19" i="12" s="1"/>
  <c r="ET10" i="12"/>
  <c r="I21" i="12"/>
  <c r="BT21" i="12" s="1"/>
  <c r="CX21" i="12"/>
  <c r="I20" i="12"/>
  <c r="BT20" i="12" s="1"/>
  <c r="CX20" i="12"/>
  <c r="H22" i="12"/>
  <c r="O22" i="12" s="1"/>
  <c r="CN19" i="12"/>
  <c r="BU21" i="12"/>
  <c r="Q17" i="12"/>
  <c r="BS20" i="12"/>
  <c r="X20" i="12" s="1"/>
  <c r="AE19" i="12"/>
  <c r="BQ21" i="12"/>
  <c r="Z21" i="12"/>
  <c r="AG21" i="12" s="1"/>
  <c r="AU19" i="12" s="1"/>
  <c r="BP21" i="12"/>
  <c r="MG21" i="12"/>
  <c r="BR21" i="12" s="1"/>
  <c r="MD23" i="12"/>
  <c r="MC22" i="12"/>
  <c r="P22" i="12"/>
  <c r="M22" i="12" s="1"/>
  <c r="G24" i="12"/>
  <c r="L23" i="12"/>
  <c r="CN20" i="12" s="1"/>
  <c r="MT7" i="12"/>
  <c r="MK17" i="12" s="1"/>
  <c r="MV7" i="12"/>
  <c r="MN17" i="12" s="1"/>
  <c r="FP13" i="12"/>
  <c r="FT13" i="12" s="1"/>
  <c r="AF12" i="12"/>
  <c r="L13" i="12"/>
  <c r="CN10" i="12" s="1"/>
  <c r="MW8" i="12"/>
  <c r="MW7" i="12" s="1"/>
  <c r="FP14" i="12"/>
  <c r="BL15" i="12"/>
  <c r="O12" i="15"/>
  <c r="O8" i="15" s="1"/>
  <c r="K10" i="13"/>
  <c r="CB11" i="12"/>
  <c r="DC11" i="12"/>
  <c r="D40" i="13"/>
  <c r="O9" i="13"/>
  <c r="Q8" i="13"/>
  <c r="R8" i="13" s="1"/>
  <c r="DG9" i="12"/>
  <c r="F12" i="12"/>
  <c r="LV12" i="12" s="1"/>
  <c r="K6" i="15"/>
  <c r="N5" i="15"/>
  <c r="O6" i="15" s="1"/>
  <c r="Q11" i="15"/>
  <c r="S11" i="15" s="1"/>
  <c r="D62" i="13"/>
  <c r="D16" i="12"/>
  <c r="F6" i="13"/>
  <c r="D7" i="13"/>
  <c r="D18" i="13"/>
  <c r="P9" i="13"/>
  <c r="J8" i="13"/>
  <c r="L7" i="13"/>
  <c r="M7" i="13" s="1"/>
  <c r="E6" i="13"/>
  <c r="B7" i="13"/>
  <c r="N20" i="12"/>
  <c r="D29" i="13"/>
  <c r="D51" i="13"/>
  <c r="K21" i="12" l="1"/>
  <c r="Y21" i="12" s="1"/>
  <c r="K20" i="12"/>
  <c r="Y20" i="12" s="1"/>
  <c r="I22" i="12"/>
  <c r="BT22" i="12" s="1"/>
  <c r="CX22" i="12"/>
  <c r="BU22" i="12"/>
  <c r="Q18" i="12"/>
  <c r="MK13" i="12"/>
  <c r="ML13" i="12" s="1"/>
  <c r="MM13" i="12" s="1"/>
  <c r="MN13" i="12" s="1"/>
  <c r="MO13" i="12" s="1"/>
  <c r="MK16" i="12"/>
  <c r="MK8" i="12" s="1"/>
  <c r="ML8" i="12" s="1"/>
  <c r="MM8" i="12" s="1"/>
  <c r="MN8" i="12" s="1"/>
  <c r="MO8" i="12" s="1"/>
  <c r="BS21" i="12"/>
  <c r="X21" i="12" s="1"/>
  <c r="BQ22" i="12"/>
  <c r="Z22" i="12"/>
  <c r="AG22" i="12" s="1"/>
  <c r="AU20" i="12" s="1"/>
  <c r="AE20" i="12"/>
  <c r="BP22" i="12"/>
  <c r="MG22" i="12"/>
  <c r="BR22" i="12" s="1"/>
  <c r="MD24" i="12"/>
  <c r="MC23" i="12"/>
  <c r="P23" i="12"/>
  <c r="M23" i="12" s="1"/>
  <c r="H23" i="12"/>
  <c r="G25" i="12"/>
  <c r="L24" i="12"/>
  <c r="MO17" i="12"/>
  <c r="MK20" i="12"/>
  <c r="ML20" i="12" s="1"/>
  <c r="MM20" i="12" s="1"/>
  <c r="MN20" i="12" s="1"/>
  <c r="MO20" i="12" s="1"/>
  <c r="MK9" i="12"/>
  <c r="ML9" i="12" s="1"/>
  <c r="MM9" i="12" s="1"/>
  <c r="MN9" i="12" s="1"/>
  <c r="MO9" i="12" s="1"/>
  <c r="MK18" i="12"/>
  <c r="ML18" i="12" s="1"/>
  <c r="MM18" i="12" s="1"/>
  <c r="MN18" i="12" s="1"/>
  <c r="MO18" i="12" s="1"/>
  <c r="MK15" i="12"/>
  <c r="ML15" i="12" s="1"/>
  <c r="MM15" i="12" s="1"/>
  <c r="MN15" i="12" s="1"/>
  <c r="MO15" i="12" s="1"/>
  <c r="MK11" i="12"/>
  <c r="ML11" i="12" s="1"/>
  <c r="MM11" i="12" s="1"/>
  <c r="MN11" i="12" s="1"/>
  <c r="MO11" i="12" s="1"/>
  <c r="MK21" i="12"/>
  <c r="ML21" i="12" s="1"/>
  <c r="MM21" i="12" s="1"/>
  <c r="MN21" i="12" s="1"/>
  <c r="MO21" i="12" s="1"/>
  <c r="MK10" i="12"/>
  <c r="ML10" i="12" s="1"/>
  <c r="MM10" i="12" s="1"/>
  <c r="MN10" i="12" s="1"/>
  <c r="MO10" i="12" s="1"/>
  <c r="MK19" i="12"/>
  <c r="ML19" i="12" s="1"/>
  <c r="MM19" i="12" s="1"/>
  <c r="MN19" i="12" s="1"/>
  <c r="MO19" i="12" s="1"/>
  <c r="MK14" i="12"/>
  <c r="ML14" i="12" s="1"/>
  <c r="MM14" i="12" s="1"/>
  <c r="MN14" i="12" s="1"/>
  <c r="MO14" i="12" s="1"/>
  <c r="FQ13" i="12"/>
  <c r="MK12" i="12"/>
  <c r="ML12" i="12" s="1"/>
  <c r="MM12" i="12" s="1"/>
  <c r="MN12" i="12" s="1"/>
  <c r="MO12" i="12" s="1"/>
  <c r="FP15" i="12"/>
  <c r="BL16" i="12"/>
  <c r="FQ14" i="12"/>
  <c r="FT14" i="12"/>
  <c r="J9" i="13"/>
  <c r="L8" i="13"/>
  <c r="M8" i="13" s="1"/>
  <c r="DI9" i="12"/>
  <c r="DH9" i="12"/>
  <c r="D41" i="13"/>
  <c r="DG10" i="12"/>
  <c r="F13" i="12"/>
  <c r="LV13" i="12" s="1"/>
  <c r="D74" i="13"/>
  <c r="O10" i="13"/>
  <c r="Q9" i="13"/>
  <c r="R9" i="13" s="1"/>
  <c r="D8" i="13"/>
  <c r="D19" i="13"/>
  <c r="HD13" i="12"/>
  <c r="FU13" i="12"/>
  <c r="N21" i="12"/>
  <c r="MX7" i="12"/>
  <c r="D52" i="13"/>
  <c r="K11" i="13"/>
  <c r="DJ9" i="12"/>
  <c r="LZ9" i="12"/>
  <c r="DF9" i="12"/>
  <c r="CO9" i="12"/>
  <c r="E7" i="13"/>
  <c r="F7" i="13" s="1"/>
  <c r="B8" i="13"/>
  <c r="P10" i="13"/>
  <c r="D63" i="13"/>
  <c r="D30" i="13"/>
  <c r="D17" i="12"/>
  <c r="LY12" i="12"/>
  <c r="K22" i="12" l="1"/>
  <c r="Y22" i="12" s="1"/>
  <c r="H24" i="12"/>
  <c r="O24" i="12" s="1"/>
  <c r="CN21" i="12"/>
  <c r="BU23" i="12"/>
  <c r="Q19" i="12"/>
  <c r="ML16" i="12"/>
  <c r="MM16" i="12" s="1"/>
  <c r="MN16" i="12" s="1"/>
  <c r="MO16" i="12" s="1"/>
  <c r="MP16" i="12" s="1"/>
  <c r="AE21" i="12"/>
  <c r="BQ23" i="12"/>
  <c r="Z23" i="12"/>
  <c r="AG23" i="12" s="1"/>
  <c r="AU21" i="12" s="1"/>
  <c r="BS22" i="12"/>
  <c r="X22" i="12" s="1"/>
  <c r="BP23" i="12"/>
  <c r="MG23" i="12"/>
  <c r="BR23" i="12" s="1"/>
  <c r="MD25" i="12"/>
  <c r="O23" i="12"/>
  <c r="MC24" i="12"/>
  <c r="P24" i="12"/>
  <c r="M24" i="12" s="1"/>
  <c r="G26" i="12"/>
  <c r="L25" i="12"/>
  <c r="MP17" i="12"/>
  <c r="EL9" i="12"/>
  <c r="EP9" i="12" s="1"/>
  <c r="MP11" i="12"/>
  <c r="MP10" i="12"/>
  <c r="MP8" i="12"/>
  <c r="MP14" i="12"/>
  <c r="MP9" i="12"/>
  <c r="MP18" i="12"/>
  <c r="MP13" i="12"/>
  <c r="MP20" i="12"/>
  <c r="MP15" i="12"/>
  <c r="MP21" i="12"/>
  <c r="MP12" i="12"/>
  <c r="J10" i="13"/>
  <c r="L9" i="13"/>
  <c r="M9" i="13" s="1"/>
  <c r="D64" i="13"/>
  <c r="Q10" i="13"/>
  <c r="R10" i="13" s="1"/>
  <c r="O11" i="13"/>
  <c r="DH10" i="12"/>
  <c r="DI10" i="12"/>
  <c r="FU14" i="12"/>
  <c r="HD14" i="12"/>
  <c r="DJ10" i="12"/>
  <c r="CO10" i="12"/>
  <c r="LZ10" i="12"/>
  <c r="DF10" i="12"/>
  <c r="P11" i="13"/>
  <c r="D53" i="13"/>
  <c r="FT15" i="12"/>
  <c r="FQ15" i="12"/>
  <c r="D86" i="13"/>
  <c r="FP16" i="12"/>
  <c r="BL17" i="12"/>
  <c r="D42" i="13"/>
  <c r="DK9" i="12"/>
  <c r="DL9" i="12"/>
  <c r="D31" i="13"/>
  <c r="AF13" i="12"/>
  <c r="D20" i="13"/>
  <c r="D9" i="13"/>
  <c r="MP19" i="12"/>
  <c r="D75" i="13"/>
  <c r="D18" i="12"/>
  <c r="E8" i="13"/>
  <c r="F8" i="13" s="1"/>
  <c r="B9" i="13"/>
  <c r="LY13" i="12"/>
  <c r="K12" i="13"/>
  <c r="N22" i="12"/>
  <c r="I24" i="12" l="1"/>
  <c r="BT24" i="12" s="1"/>
  <c r="CX24" i="12"/>
  <c r="I23" i="12"/>
  <c r="BT23" i="12" s="1"/>
  <c r="CX23" i="12"/>
  <c r="H25" i="12"/>
  <c r="O25" i="12" s="1"/>
  <c r="CN22" i="12"/>
  <c r="BU24" i="12"/>
  <c r="Q20" i="12"/>
  <c r="K24" i="12"/>
  <c r="Y24" i="12" s="1"/>
  <c r="BS23" i="12"/>
  <c r="X23" i="12" s="1"/>
  <c r="BQ24" i="12"/>
  <c r="Z24" i="12"/>
  <c r="AG24" i="12" s="1"/>
  <c r="AU22" i="12" s="1"/>
  <c r="AE22" i="12"/>
  <c r="BP24" i="12"/>
  <c r="MG24" i="12"/>
  <c r="BR24" i="12" s="1"/>
  <c r="MD26" i="12"/>
  <c r="MC25" i="12"/>
  <c r="P25" i="12"/>
  <c r="M25" i="12" s="1"/>
  <c r="G27" i="12"/>
  <c r="L26" i="12"/>
  <c r="EU10" i="12"/>
  <c r="EV10" i="12" s="1"/>
  <c r="EZ10" i="12" s="1"/>
  <c r="K13" i="13"/>
  <c r="N23" i="12"/>
  <c r="D19" i="12"/>
  <c r="DG11" i="12"/>
  <c r="F14" i="12"/>
  <c r="LV14" i="12" s="1"/>
  <c r="D54" i="13"/>
  <c r="D65" i="13"/>
  <c r="P12" i="13"/>
  <c r="DK10" i="12"/>
  <c r="DL10" i="12"/>
  <c r="O12" i="13"/>
  <c r="Q11" i="13"/>
  <c r="R11" i="13" s="1"/>
  <c r="FQ16" i="12"/>
  <c r="FT16" i="12"/>
  <c r="EL10" i="12"/>
  <c r="D76" i="13"/>
  <c r="D87" i="13"/>
  <c r="FP17" i="12"/>
  <c r="BL18" i="12"/>
  <c r="E9" i="13"/>
  <c r="B10" i="13"/>
  <c r="D10" i="13"/>
  <c r="D21" i="13"/>
  <c r="F9" i="13"/>
  <c r="D43" i="13"/>
  <c r="D98" i="13"/>
  <c r="D32" i="13"/>
  <c r="HD15" i="12"/>
  <c r="FU15" i="12"/>
  <c r="J11" i="13"/>
  <c r="L10" i="13"/>
  <c r="M10" i="13" s="1"/>
  <c r="K23" i="12" l="1"/>
  <c r="Y23" i="12" s="1"/>
  <c r="I25" i="12"/>
  <c r="BT25" i="12" s="1"/>
  <c r="CX25" i="12"/>
  <c r="H26" i="12"/>
  <c r="O26" i="12" s="1"/>
  <c r="CN23" i="12"/>
  <c r="BU25" i="12"/>
  <c r="Q21" i="12"/>
  <c r="BS24" i="12"/>
  <c r="X24" i="12" s="1"/>
  <c r="BQ25" i="12"/>
  <c r="Z25" i="12"/>
  <c r="AG25" i="12" s="1"/>
  <c r="AU23" i="12" s="1"/>
  <c r="AE23" i="12"/>
  <c r="BP25" i="12"/>
  <c r="MG25" i="12"/>
  <c r="BR25" i="12" s="1"/>
  <c r="MD27" i="12"/>
  <c r="MC26" i="12"/>
  <c r="P26" i="12"/>
  <c r="M26" i="12" s="1"/>
  <c r="G28" i="12"/>
  <c r="L27" i="12"/>
  <c r="CN24" i="12" s="1"/>
  <c r="EW11" i="12"/>
  <c r="EX12" i="12" s="1"/>
  <c r="EY13" i="12" s="1"/>
  <c r="D20" i="12"/>
  <c r="D44" i="13"/>
  <c r="FP18" i="12"/>
  <c r="BL19" i="12"/>
  <c r="P13" i="13"/>
  <c r="AO10" i="12"/>
  <c r="BI10" i="12" s="1"/>
  <c r="BK10" i="12" s="1"/>
  <c r="AQ10" i="12"/>
  <c r="HD16" i="12"/>
  <c r="FU16" i="12"/>
  <c r="D99" i="13"/>
  <c r="D88" i="13"/>
  <c r="DJ11" i="12"/>
  <c r="D55" i="13"/>
  <c r="FT17" i="12"/>
  <c r="FQ17" i="12"/>
  <c r="D77" i="13"/>
  <c r="D33" i="13"/>
  <c r="D66" i="13"/>
  <c r="D22" i="13"/>
  <c r="D11" i="13"/>
  <c r="Q12" i="13"/>
  <c r="R12" i="13" s="1"/>
  <c r="O13" i="13"/>
  <c r="N24" i="12"/>
  <c r="E10" i="13"/>
  <c r="F10" i="13" s="1"/>
  <c r="B11" i="13"/>
  <c r="J12" i="13"/>
  <c r="L11" i="13"/>
  <c r="M11" i="13" s="1"/>
  <c r="D110" i="13"/>
  <c r="E14" i="12"/>
  <c r="V9" i="12"/>
  <c r="DH11" i="12"/>
  <c r="DI11" i="12"/>
  <c r="K14" i="13"/>
  <c r="K25" i="12" l="1"/>
  <c r="Y25" i="12" s="1"/>
  <c r="I26" i="12"/>
  <c r="BT26" i="12" s="1"/>
  <c r="CX26" i="12"/>
  <c r="BU26" i="12"/>
  <c r="Q22" i="12"/>
  <c r="BS25" i="12"/>
  <c r="X25" i="12" s="1"/>
  <c r="AF14" i="12"/>
  <c r="AE24" i="12"/>
  <c r="BQ26" i="12"/>
  <c r="Z26" i="12"/>
  <c r="AG26" i="12" s="1"/>
  <c r="AU24" i="12" s="1"/>
  <c r="BP26" i="12"/>
  <c r="MG26" i="12"/>
  <c r="BR26" i="12" s="1"/>
  <c r="MD28" i="12"/>
  <c r="MC27" i="12"/>
  <c r="P27" i="12"/>
  <c r="M27" i="12" s="1"/>
  <c r="H27" i="12"/>
  <c r="G29" i="12"/>
  <c r="L28" i="12"/>
  <c r="CN25" i="12" s="1"/>
  <c r="FP19" i="12"/>
  <c r="BL20" i="12"/>
  <c r="O14" i="13"/>
  <c r="Q13" i="13"/>
  <c r="R13" i="13" s="1"/>
  <c r="D67" i="13"/>
  <c r="FQ18" i="12"/>
  <c r="FT18" i="12"/>
  <c r="K15" i="13"/>
  <c r="D111" i="13"/>
  <c r="D56" i="13"/>
  <c r="L12" i="13"/>
  <c r="M12" i="13" s="1"/>
  <c r="J13" i="13"/>
  <c r="D34" i="13"/>
  <c r="DK11" i="12"/>
  <c r="DL11" i="12"/>
  <c r="E15" i="12"/>
  <c r="D45" i="13"/>
  <c r="D12" i="13"/>
  <c r="D23" i="13"/>
  <c r="DG12" i="12"/>
  <c r="F15" i="12"/>
  <c r="LV15" i="12" s="1"/>
  <c r="E11" i="13"/>
  <c r="F11" i="13" s="1"/>
  <c r="B12" i="13"/>
  <c r="FU17" i="12"/>
  <c r="HD17" i="12"/>
  <c r="FL11" i="12"/>
  <c r="FR11" i="12" s="1"/>
  <c r="BM10" i="12"/>
  <c r="D21" i="12"/>
  <c r="D122" i="13"/>
  <c r="D89" i="13"/>
  <c r="D78" i="13"/>
  <c r="D100" i="13"/>
  <c r="P14" i="13"/>
  <c r="N25" i="12"/>
  <c r="K26" i="12" l="1"/>
  <c r="Y26" i="12" s="1"/>
  <c r="BU27" i="12"/>
  <c r="Q23" i="12"/>
  <c r="AF15" i="12"/>
  <c r="AT13" i="12" s="1"/>
  <c r="V10" i="12"/>
  <c r="BQ27" i="12"/>
  <c r="Z27" i="12"/>
  <c r="AG27" i="12" s="1"/>
  <c r="AU25" i="12" s="1"/>
  <c r="V14" i="12"/>
  <c r="AD14" i="12"/>
  <c r="AE25" i="12"/>
  <c r="BS26" i="12"/>
  <c r="X26" i="12" s="1"/>
  <c r="BP27" i="12"/>
  <c r="MG27" i="12"/>
  <c r="BR27" i="12" s="1"/>
  <c r="MD29" i="12"/>
  <c r="O27" i="12"/>
  <c r="MC28" i="12"/>
  <c r="P28" i="12"/>
  <c r="M28" i="12" s="1"/>
  <c r="H28" i="12"/>
  <c r="G30" i="12"/>
  <c r="L29" i="12"/>
  <c r="L13" i="13"/>
  <c r="M13" i="13" s="1"/>
  <c r="J14" i="13"/>
  <c r="FU18" i="12"/>
  <c r="HD18" i="12"/>
  <c r="D112" i="13"/>
  <c r="D13" i="13"/>
  <c r="D24" i="13"/>
  <c r="D79" i="13"/>
  <c r="D90" i="13"/>
  <c r="DJ13" i="12"/>
  <c r="DG13" i="12"/>
  <c r="F16" i="12"/>
  <c r="LV16" i="12" s="1"/>
  <c r="CJ11" i="12"/>
  <c r="DB11" i="12"/>
  <c r="DJ12" i="12"/>
  <c r="D123" i="13"/>
  <c r="O15" i="13"/>
  <c r="Q14" i="13"/>
  <c r="D22" i="12"/>
  <c r="D57" i="13"/>
  <c r="D68" i="13"/>
  <c r="N26" i="12"/>
  <c r="D101" i="13"/>
  <c r="DI12" i="12"/>
  <c r="DH12" i="12"/>
  <c r="P15" i="13"/>
  <c r="R14" i="13"/>
  <c r="FP20" i="12"/>
  <c r="BL21" i="12"/>
  <c r="E12" i="13"/>
  <c r="F12" i="13" s="1"/>
  <c r="B13" i="13"/>
  <c r="D46" i="13"/>
  <c r="D134" i="13"/>
  <c r="D35" i="13"/>
  <c r="K16" i="13"/>
  <c r="FT19" i="12"/>
  <c r="FQ19" i="12"/>
  <c r="CK11" i="12" l="1"/>
  <c r="CL11" i="12"/>
  <c r="CZ11" i="12"/>
  <c r="DA11" i="12" s="1"/>
  <c r="DF11" i="12" s="1"/>
  <c r="EL11" i="12" s="1"/>
  <c r="AC14" i="12"/>
  <c r="LY14" i="12" s="1"/>
  <c r="B137" i="19"/>
  <c r="I27" i="12"/>
  <c r="BT27" i="12" s="1"/>
  <c r="CX27" i="12"/>
  <c r="H29" i="12"/>
  <c r="O29" i="12" s="1"/>
  <c r="CN26" i="12"/>
  <c r="BU28" i="12"/>
  <c r="BH10" i="12"/>
  <c r="BG10" i="12"/>
  <c r="Q24" i="12"/>
  <c r="BS27" i="12"/>
  <c r="X27" i="12" s="1"/>
  <c r="V15" i="12"/>
  <c r="AD15" i="12"/>
  <c r="BQ28" i="12"/>
  <c r="Z28" i="12"/>
  <c r="AG28" i="12" s="1"/>
  <c r="AU26" i="12" s="1"/>
  <c r="AE26" i="12"/>
  <c r="BP28" i="12"/>
  <c r="MG28" i="12"/>
  <c r="BR28" i="12" s="1"/>
  <c r="MD30" i="12"/>
  <c r="O28" i="12"/>
  <c r="MC29" i="12"/>
  <c r="P29" i="12"/>
  <c r="M29" i="12" s="1"/>
  <c r="G31" i="12"/>
  <c r="L30" i="12"/>
  <c r="CM11" i="12"/>
  <c r="CO11" i="12" s="1"/>
  <c r="LZ11" i="12"/>
  <c r="D47" i="13"/>
  <c r="D124" i="13"/>
  <c r="D135" i="13"/>
  <c r="FQ20" i="12"/>
  <c r="FT20" i="12"/>
  <c r="B14" i="13"/>
  <c r="E13" i="13"/>
  <c r="F13" i="13" s="1"/>
  <c r="D69" i="13"/>
  <c r="DK13" i="12"/>
  <c r="DL13" i="12"/>
  <c r="D146" i="13"/>
  <c r="D113" i="13"/>
  <c r="D102" i="13"/>
  <c r="HD19" i="12"/>
  <c r="FU19" i="12"/>
  <c r="P16" i="13"/>
  <c r="L14" i="13"/>
  <c r="M14" i="13" s="1"/>
  <c r="J15" i="13"/>
  <c r="E16" i="12"/>
  <c r="D80" i="13"/>
  <c r="Q15" i="13"/>
  <c r="R15" i="13" s="1"/>
  <c r="O16" i="13"/>
  <c r="DK12" i="12"/>
  <c r="DL12" i="12"/>
  <c r="D36" i="13"/>
  <c r="FP21" i="12"/>
  <c r="BL22" i="12"/>
  <c r="D58" i="13"/>
  <c r="N27" i="12"/>
  <c r="D23" i="12"/>
  <c r="D91" i="13"/>
  <c r="K17" i="13"/>
  <c r="DH13" i="12"/>
  <c r="DI13" i="12"/>
  <c r="D25" i="13"/>
  <c r="AX10" i="12"/>
  <c r="BA10" i="12" s="1"/>
  <c r="BE10" i="12" s="1"/>
  <c r="ET11" i="12" l="1"/>
  <c r="ES11" i="12"/>
  <c r="K27" i="12"/>
  <c r="Y27" i="12" s="1"/>
  <c r="AC15" i="12"/>
  <c r="LY15" i="12" s="1"/>
  <c r="B138" i="19"/>
  <c r="I29" i="12"/>
  <c r="BT29" i="12" s="1"/>
  <c r="CX29" i="12"/>
  <c r="I28" i="12"/>
  <c r="BT28" i="12" s="1"/>
  <c r="CX28" i="12"/>
  <c r="H30" i="12"/>
  <c r="O30" i="12" s="1"/>
  <c r="CN27" i="12"/>
  <c r="BU29" i="12"/>
  <c r="Q25" i="12"/>
  <c r="BS28" i="12"/>
  <c r="X28" i="12" s="1"/>
  <c r="BQ29" i="12"/>
  <c r="Z29" i="12"/>
  <c r="AG29" i="12" s="1"/>
  <c r="AU27" i="12" s="1"/>
  <c r="AE27" i="12"/>
  <c r="AF16" i="12"/>
  <c r="AT14" i="12" s="1"/>
  <c r="BP29" i="12"/>
  <c r="MG29" i="12"/>
  <c r="BR29" i="12" s="1"/>
  <c r="MD31" i="12"/>
  <c r="MC30" i="12"/>
  <c r="P30" i="12"/>
  <c r="M30" i="12" s="1"/>
  <c r="G32" i="12"/>
  <c r="L31" i="12"/>
  <c r="CN28" i="12" s="1"/>
  <c r="EK10" i="12"/>
  <c r="D37" i="13"/>
  <c r="FP22" i="12"/>
  <c r="BL23" i="12"/>
  <c r="Q16" i="13"/>
  <c r="O17" i="13"/>
  <c r="J16" i="13"/>
  <c r="L15" i="13"/>
  <c r="M15" i="13" s="1"/>
  <c r="D114" i="13"/>
  <c r="D147" i="13"/>
  <c r="FU20" i="12"/>
  <c r="HD20" i="12"/>
  <c r="D70" i="13"/>
  <c r="D103" i="13"/>
  <c r="D125" i="13"/>
  <c r="D81" i="13"/>
  <c r="EJ10" i="12"/>
  <c r="D24" i="12"/>
  <c r="AQ11" i="12"/>
  <c r="AO11" i="12"/>
  <c r="BI11" i="12" s="1"/>
  <c r="BK11" i="12" s="1"/>
  <c r="P17" i="13"/>
  <c r="R16" i="13"/>
  <c r="D136" i="13"/>
  <c r="E17" i="12"/>
  <c r="AF17" i="12"/>
  <c r="AT15" i="12" s="1"/>
  <c r="D92" i="13"/>
  <c r="D158" i="13"/>
  <c r="FQ21" i="12"/>
  <c r="FT21" i="12"/>
  <c r="DD12" i="12"/>
  <c r="EM12" i="12"/>
  <c r="K18" i="13"/>
  <c r="N28" i="12"/>
  <c r="D48" i="13"/>
  <c r="DG14" i="12"/>
  <c r="F17" i="12"/>
  <c r="LV17" i="12" s="1"/>
  <c r="E14" i="13"/>
  <c r="F14" i="13" s="1"/>
  <c r="B15" i="13"/>
  <c r="D59" i="13"/>
  <c r="EU11" i="12" l="1"/>
  <c r="EV11" i="12" s="1"/>
  <c r="EW12" i="12" s="1"/>
  <c r="EX13" i="12" s="1"/>
  <c r="EY14" i="12" s="1"/>
  <c r="K29" i="12"/>
  <c r="Y29" i="12" s="1"/>
  <c r="I30" i="12"/>
  <c r="BT30" i="12" s="1"/>
  <c r="CX30" i="12"/>
  <c r="K28" i="12"/>
  <c r="Y28" i="12" s="1"/>
  <c r="BU30" i="12"/>
  <c r="Q26" i="12"/>
  <c r="BS29" i="12"/>
  <c r="X29" i="12" s="1"/>
  <c r="V16" i="12"/>
  <c r="AD16" i="12"/>
  <c r="BQ30" i="12"/>
  <c r="Z30" i="12"/>
  <c r="AG30" i="12" s="1"/>
  <c r="AU28" i="12" s="1"/>
  <c r="AE28" i="12"/>
  <c r="BP30" i="12"/>
  <c r="MG30" i="12"/>
  <c r="BR30" i="12" s="1"/>
  <c r="MD32" i="12"/>
  <c r="MC31" i="12"/>
  <c r="P31" i="12"/>
  <c r="M31" i="12" s="1"/>
  <c r="H31" i="12"/>
  <c r="G33" i="12"/>
  <c r="L32" i="12"/>
  <c r="CN29" i="12" s="1"/>
  <c r="EP10" i="12"/>
  <c r="E18" i="12"/>
  <c r="AF18" i="12"/>
  <c r="AT16" i="12" s="1"/>
  <c r="D137" i="13"/>
  <c r="FP23" i="12"/>
  <c r="BL24" i="12"/>
  <c r="E15" i="13"/>
  <c r="F15" i="13" s="1"/>
  <c r="B16" i="13"/>
  <c r="D170" i="13"/>
  <c r="D115" i="13"/>
  <c r="D25" i="12"/>
  <c r="D82" i="13"/>
  <c r="D126" i="13"/>
  <c r="D49" i="13"/>
  <c r="DJ14" i="12"/>
  <c r="D71" i="13"/>
  <c r="D60" i="13"/>
  <c r="FU21" i="12"/>
  <c r="HD21" i="12"/>
  <c r="D159" i="13"/>
  <c r="FQ22" i="12"/>
  <c r="FT22" i="12"/>
  <c r="N29" i="12"/>
  <c r="D148" i="13"/>
  <c r="CB12" i="12"/>
  <c r="K19" i="13"/>
  <c r="J17" i="13"/>
  <c r="L16" i="13"/>
  <c r="M16" i="13" s="1"/>
  <c r="DH14" i="12"/>
  <c r="DI14" i="12"/>
  <c r="P18" i="13"/>
  <c r="D93" i="13"/>
  <c r="O18" i="13"/>
  <c r="Q17" i="13"/>
  <c r="R17" i="13" s="1"/>
  <c r="D104" i="13"/>
  <c r="DJ15" i="12"/>
  <c r="DG15" i="12"/>
  <c r="F18" i="12"/>
  <c r="LV18" i="12" s="1"/>
  <c r="BM11" i="12"/>
  <c r="DS96" i="12"/>
  <c r="FL12" i="12"/>
  <c r="FR12" i="12" s="1"/>
  <c r="EZ11" i="12" l="1"/>
  <c r="K30" i="12"/>
  <c r="Y30" i="12" s="1"/>
  <c r="AC16" i="12"/>
  <c r="LY16" i="12" s="1"/>
  <c r="B139" i="19"/>
  <c r="BU31" i="12"/>
  <c r="Q27" i="12"/>
  <c r="V17" i="12"/>
  <c r="AD17" i="12"/>
  <c r="AE29" i="12"/>
  <c r="BQ31" i="12"/>
  <c r="Z31" i="12"/>
  <c r="AG31" i="12" s="1"/>
  <c r="AU29" i="12" s="1"/>
  <c r="BS30" i="12"/>
  <c r="X30" i="12" s="1"/>
  <c r="BP31" i="12"/>
  <c r="MG31" i="12"/>
  <c r="BR31" i="12" s="1"/>
  <c r="MD33" i="12"/>
  <c r="MC32" i="12"/>
  <c r="P32" i="12"/>
  <c r="M32" i="12" s="1"/>
  <c r="H32" i="12"/>
  <c r="O31" i="12"/>
  <c r="G34" i="12"/>
  <c r="L33" i="12"/>
  <c r="CJ12" i="12"/>
  <c r="J18" i="13"/>
  <c r="L17" i="13"/>
  <c r="M17" i="13" s="1"/>
  <c r="FQ23" i="12"/>
  <c r="FT23" i="12"/>
  <c r="K20" i="13"/>
  <c r="N30" i="12"/>
  <c r="D138" i="13"/>
  <c r="D182" i="13"/>
  <c r="D94" i="13"/>
  <c r="E16" i="13"/>
  <c r="F16" i="13" s="1"/>
  <c r="B17" i="13"/>
  <c r="DG16" i="12"/>
  <c r="DJ16" i="12"/>
  <c r="F19" i="12"/>
  <c r="LV19" i="12" s="1"/>
  <c r="P19" i="13"/>
  <c r="D116" i="13"/>
  <c r="DB12" i="12"/>
  <c r="FU22" i="12"/>
  <c r="HD22" i="12"/>
  <c r="D83" i="13"/>
  <c r="D149" i="13"/>
  <c r="D105" i="13"/>
  <c r="DC12" i="12"/>
  <c r="DK14" i="12"/>
  <c r="DL14" i="12"/>
  <c r="D26" i="12"/>
  <c r="O19" i="13"/>
  <c r="Q18" i="13"/>
  <c r="R18" i="13" s="1"/>
  <c r="D171" i="13"/>
  <c r="DH15" i="12"/>
  <c r="DI15" i="12"/>
  <c r="D160" i="13"/>
  <c r="D61" i="13"/>
  <c r="DK15" i="12"/>
  <c r="DL15" i="12"/>
  <c r="D72" i="13"/>
  <c r="D127" i="13"/>
  <c r="FP24" i="12"/>
  <c r="BL25" i="12"/>
  <c r="CM12" i="12" l="1"/>
  <c r="CO12" i="12" s="1"/>
  <c r="CK12" i="12"/>
  <c r="CL12" i="12"/>
  <c r="AC17" i="12"/>
  <c r="LY17" i="12" s="1"/>
  <c r="B140" i="19"/>
  <c r="CZ12" i="12"/>
  <c r="I31" i="12"/>
  <c r="BT31" i="12" s="1"/>
  <c r="CX31" i="12"/>
  <c r="H33" i="12"/>
  <c r="CN30" i="12"/>
  <c r="BU32" i="12"/>
  <c r="Q28" i="12"/>
  <c r="AE30" i="12"/>
  <c r="BQ32" i="12"/>
  <c r="Z32" i="12"/>
  <c r="AG32" i="12" s="1"/>
  <c r="AU30" i="12" s="1"/>
  <c r="V18" i="12"/>
  <c r="AD18" i="12"/>
  <c r="BS31" i="12"/>
  <c r="X31" i="12" s="1"/>
  <c r="BP32" i="12"/>
  <c r="MG32" i="12"/>
  <c r="BR32" i="12" s="1"/>
  <c r="MD34" i="12"/>
  <c r="O32" i="12"/>
  <c r="O33" i="12"/>
  <c r="MC33" i="12"/>
  <c r="P33" i="12"/>
  <c r="M33" i="12" s="1"/>
  <c r="G35" i="12"/>
  <c r="L34" i="12"/>
  <c r="DI16" i="12"/>
  <c r="DH16" i="12"/>
  <c r="D150" i="13"/>
  <c r="D172" i="13"/>
  <c r="E19" i="12"/>
  <c r="D161" i="13"/>
  <c r="E17" i="13"/>
  <c r="F17" i="13" s="1"/>
  <c r="B18" i="13"/>
  <c r="N31" i="12"/>
  <c r="J19" i="13"/>
  <c r="L18" i="13"/>
  <c r="M18" i="13" s="1"/>
  <c r="D84" i="13"/>
  <c r="O20" i="13"/>
  <c r="Q19" i="13"/>
  <c r="DK16" i="12"/>
  <c r="DL16" i="12"/>
  <c r="FU23" i="12"/>
  <c r="HD23" i="12"/>
  <c r="LZ12" i="12"/>
  <c r="AR12" i="12"/>
  <c r="FP25" i="12"/>
  <c r="BL26" i="12"/>
  <c r="D128" i="13"/>
  <c r="FQ24" i="12"/>
  <c r="FT24" i="12"/>
  <c r="D183" i="13"/>
  <c r="D139" i="13"/>
  <c r="K21" i="13"/>
  <c r="D194" i="13"/>
  <c r="D117" i="13"/>
  <c r="D27" i="12"/>
  <c r="D73" i="13"/>
  <c r="D95" i="13"/>
  <c r="R19" i="13"/>
  <c r="P20" i="13"/>
  <c r="D106" i="13"/>
  <c r="ES12" i="12" l="1"/>
  <c r="ET12" i="12"/>
  <c r="K31" i="12"/>
  <c r="Y31" i="12" s="1"/>
  <c r="CY12" i="12"/>
  <c r="DA12" i="12"/>
  <c r="DF12" i="12" s="1"/>
  <c r="EL12" i="12" s="1"/>
  <c r="AC18" i="12"/>
  <c r="LY18" i="12" s="1"/>
  <c r="B141" i="19"/>
  <c r="I33" i="12"/>
  <c r="BT33" i="12" s="1"/>
  <c r="CX33" i="12"/>
  <c r="I32" i="12"/>
  <c r="BT32" i="12" s="1"/>
  <c r="CX32" i="12"/>
  <c r="H34" i="12"/>
  <c r="O34" i="12" s="1"/>
  <c r="CN31" i="12"/>
  <c r="BU33" i="12"/>
  <c r="BG11" i="12"/>
  <c r="BH11" i="12"/>
  <c r="Q29" i="12"/>
  <c r="AE31" i="12"/>
  <c r="BQ33" i="12"/>
  <c r="Z33" i="12"/>
  <c r="AG33" i="12" s="1"/>
  <c r="AU31" i="12" s="1"/>
  <c r="AF19" i="12"/>
  <c r="AT17" i="12" s="1"/>
  <c r="BS32" i="12"/>
  <c r="X32" i="12" s="1"/>
  <c r="W19" i="12"/>
  <c r="BP33" i="12"/>
  <c r="MG33" i="12"/>
  <c r="BR33" i="12" s="1"/>
  <c r="MD35" i="12"/>
  <c r="MC34" i="12"/>
  <c r="P34" i="12"/>
  <c r="M34" i="12" s="1"/>
  <c r="DD13" i="12"/>
  <c r="G36" i="12"/>
  <c r="L35" i="12"/>
  <c r="AX11" i="12"/>
  <c r="D173" i="13"/>
  <c r="D195" i="13"/>
  <c r="D107" i="13"/>
  <c r="N32" i="12"/>
  <c r="DJ17" i="12"/>
  <c r="DG17" i="12"/>
  <c r="F20" i="12"/>
  <c r="LV20" i="12" s="1"/>
  <c r="D140" i="13"/>
  <c r="J20" i="13"/>
  <c r="L19" i="13"/>
  <c r="M19" i="13" s="1"/>
  <c r="D206" i="13"/>
  <c r="FU24" i="12"/>
  <c r="HD24" i="12"/>
  <c r="P21" i="13"/>
  <c r="D151" i="13"/>
  <c r="D162" i="13"/>
  <c r="D96" i="13"/>
  <c r="D129" i="13"/>
  <c r="FP26" i="12"/>
  <c r="BL27" i="12"/>
  <c r="D85" i="13"/>
  <c r="FQ25" i="12"/>
  <c r="FT25" i="12"/>
  <c r="E18" i="13"/>
  <c r="F18" i="13" s="1"/>
  <c r="B19" i="13"/>
  <c r="D184" i="13"/>
  <c r="D118" i="13"/>
  <c r="D28" i="12"/>
  <c r="K22" i="13"/>
  <c r="O21" i="13"/>
  <c r="Q20" i="13"/>
  <c r="R20" i="13" s="1"/>
  <c r="K32" i="12" l="1"/>
  <c r="Y32" i="12" s="1"/>
  <c r="EU12" i="12"/>
  <c r="EV12" i="12" s="1"/>
  <c r="EW13" i="12" s="1"/>
  <c r="EX14" i="12" s="1"/>
  <c r="EY15" i="12" s="1"/>
  <c r="K33" i="12"/>
  <c r="Y33" i="12" s="1"/>
  <c r="I34" i="12"/>
  <c r="BT34" i="12" s="1"/>
  <c r="CX34" i="12"/>
  <c r="H35" i="12"/>
  <c r="O35" i="12" s="1"/>
  <c r="CN32" i="12"/>
  <c r="BU34" i="12"/>
  <c r="EK11" i="12"/>
  <c r="BA11" i="12"/>
  <c r="BE11" i="12" s="1"/>
  <c r="Q30" i="12"/>
  <c r="BS33" i="12"/>
  <c r="X33" i="12" s="1"/>
  <c r="AE32" i="12"/>
  <c r="BQ34" i="12"/>
  <c r="Z34" i="12"/>
  <c r="AG34" i="12" s="1"/>
  <c r="AU32" i="12" s="1"/>
  <c r="V19" i="12"/>
  <c r="AD19" i="12"/>
  <c r="BP34" i="12"/>
  <c r="MG34" i="12"/>
  <c r="BR34" i="12" s="1"/>
  <c r="MD36" i="12"/>
  <c r="EM13" i="12"/>
  <c r="MC35" i="12"/>
  <c r="P35" i="12"/>
  <c r="M35" i="12" s="1"/>
  <c r="CB13" i="12"/>
  <c r="G37" i="12"/>
  <c r="L36" i="12"/>
  <c r="EJ11" i="12"/>
  <c r="DI17" i="12"/>
  <c r="DH17" i="12"/>
  <c r="DC13" i="12"/>
  <c r="D97" i="13"/>
  <c r="D174" i="13"/>
  <c r="D218" i="13"/>
  <c r="D207" i="13"/>
  <c r="D29" i="12"/>
  <c r="FP27" i="12"/>
  <c r="BL28" i="12"/>
  <c r="D163" i="13"/>
  <c r="DK17" i="12"/>
  <c r="DL17" i="12"/>
  <c r="D108" i="13"/>
  <c r="D130" i="13"/>
  <c r="Q21" i="13"/>
  <c r="R21" i="13" s="1"/>
  <c r="O22" i="13"/>
  <c r="FQ26" i="12"/>
  <c r="FT26" i="12"/>
  <c r="D185" i="13"/>
  <c r="D119" i="13"/>
  <c r="K23" i="13"/>
  <c r="P22" i="13"/>
  <c r="D152" i="13"/>
  <c r="N33" i="12"/>
  <c r="AQ12" i="12"/>
  <c r="AO12" i="12"/>
  <c r="BI12" i="12" s="1"/>
  <c r="BK12" i="12" s="1"/>
  <c r="D196" i="13"/>
  <c r="D141" i="13"/>
  <c r="J21" i="13"/>
  <c r="L20" i="13"/>
  <c r="M20" i="13" s="1"/>
  <c r="E20" i="12"/>
  <c r="E19" i="13"/>
  <c r="F19" i="13" s="1"/>
  <c r="B20" i="13"/>
  <c r="HD25" i="12"/>
  <c r="FU25" i="12"/>
  <c r="EZ12" i="12" l="1"/>
  <c r="K34" i="12"/>
  <c r="Y34" i="12" s="1"/>
  <c r="AC19" i="12"/>
  <c r="LY19" i="12" s="1"/>
  <c r="B142" i="19"/>
  <c r="I35" i="12"/>
  <c r="BT35" i="12" s="1"/>
  <c r="CX35" i="12"/>
  <c r="H36" i="12"/>
  <c r="O36" i="12" s="1"/>
  <c r="CN33" i="12"/>
  <c r="BU35" i="12"/>
  <c r="EP11" i="12"/>
  <c r="Q31" i="12"/>
  <c r="BS34" i="12"/>
  <c r="X34" i="12" s="1"/>
  <c r="BQ35" i="12"/>
  <c r="Z35" i="12"/>
  <c r="AG35" i="12" s="1"/>
  <c r="AU33" i="12" s="1"/>
  <c r="AF20" i="12"/>
  <c r="AT18" i="12" s="1"/>
  <c r="AE33" i="12"/>
  <c r="W20" i="12"/>
  <c r="BP35" i="12"/>
  <c r="MG35" i="12"/>
  <c r="BR35" i="12" s="1"/>
  <c r="MD37" i="12"/>
  <c r="MC36" i="12"/>
  <c r="P36" i="12"/>
  <c r="M36" i="12" s="1"/>
  <c r="G38" i="12"/>
  <c r="L37" i="12"/>
  <c r="D153" i="13"/>
  <c r="N34" i="12"/>
  <c r="D30" i="12"/>
  <c r="D120" i="13"/>
  <c r="D109" i="13"/>
  <c r="DJ18" i="12"/>
  <c r="DG18" i="12"/>
  <c r="F21" i="12"/>
  <c r="LV21" i="12" s="1"/>
  <c r="D131" i="13"/>
  <c r="D142" i="13"/>
  <c r="D186" i="13"/>
  <c r="D208" i="13"/>
  <c r="HD26" i="12"/>
  <c r="FU26" i="12"/>
  <c r="D197" i="13"/>
  <c r="FP28" i="12"/>
  <c r="BL29" i="12"/>
  <c r="FQ27" i="12"/>
  <c r="FT27" i="12"/>
  <c r="K24" i="13"/>
  <c r="O23" i="13"/>
  <c r="Q22" i="13"/>
  <c r="R22" i="13" s="1"/>
  <c r="D175" i="13"/>
  <c r="D230" i="13"/>
  <c r="D164" i="13"/>
  <c r="P23" i="13"/>
  <c r="D219" i="13"/>
  <c r="FL13" i="12"/>
  <c r="FR13" i="12" s="1"/>
  <c r="BM12" i="12"/>
  <c r="E20" i="13"/>
  <c r="F20" i="13" s="1"/>
  <c r="B21" i="13"/>
  <c r="L21" i="13"/>
  <c r="M21" i="13" s="1"/>
  <c r="J22" i="13"/>
  <c r="K35" i="12" l="1"/>
  <c r="Y35" i="12" s="1"/>
  <c r="I36" i="12"/>
  <c r="BT36" i="12" s="1"/>
  <c r="CX36" i="12"/>
  <c r="H37" i="12"/>
  <c r="O37" i="12" s="1"/>
  <c r="CN34" i="12"/>
  <c r="BU36" i="12"/>
  <c r="Q32" i="12"/>
  <c r="BS35" i="12"/>
  <c r="X35" i="12" s="1"/>
  <c r="AE34" i="12"/>
  <c r="BQ36" i="12"/>
  <c r="Z36" i="12"/>
  <c r="AG36" i="12" s="1"/>
  <c r="AU34" i="12" s="1"/>
  <c r="V20" i="12"/>
  <c r="AD20" i="12"/>
  <c r="BP36" i="12"/>
  <c r="MG36" i="12"/>
  <c r="BR36" i="12" s="1"/>
  <c r="MD38" i="12"/>
  <c r="MC37" i="12"/>
  <c r="P37" i="12"/>
  <c r="M37" i="12" s="1"/>
  <c r="G39" i="12"/>
  <c r="L38" i="12"/>
  <c r="E21" i="12"/>
  <c r="AF21" i="12"/>
  <c r="AT19" i="12" s="1"/>
  <c r="D132" i="13"/>
  <c r="FQ28" i="12"/>
  <c r="FT28" i="12"/>
  <c r="B22" i="13"/>
  <c r="E21" i="13"/>
  <c r="F21" i="13" s="1"/>
  <c r="P24" i="13"/>
  <c r="O24" i="13"/>
  <c r="Q23" i="13"/>
  <c r="R23" i="13" s="1"/>
  <c r="DK18" i="12"/>
  <c r="DL18" i="12"/>
  <c r="FP29" i="12"/>
  <c r="BL30" i="12"/>
  <c r="L22" i="13"/>
  <c r="M22" i="13" s="1"/>
  <c r="J23" i="13"/>
  <c r="D220" i="13"/>
  <c r="D176" i="13"/>
  <c r="D209" i="13"/>
  <c r="D198" i="13"/>
  <c r="N35" i="12"/>
  <c r="D187" i="13"/>
  <c r="K25" i="13"/>
  <c r="D154" i="13"/>
  <c r="D231" i="13"/>
  <c r="DH18" i="12"/>
  <c r="DI18" i="12"/>
  <c r="D121" i="13"/>
  <c r="D165" i="13"/>
  <c r="D31" i="12"/>
  <c r="DB13" i="12"/>
  <c r="CJ13" i="12"/>
  <c r="FU27" i="12"/>
  <c r="HD27" i="12"/>
  <c r="D242" i="13"/>
  <c r="D143" i="13"/>
  <c r="K36" i="12" l="1"/>
  <c r="Y36" i="12" s="1"/>
  <c r="AC20" i="12"/>
  <c r="LY20" i="12" s="1"/>
  <c r="B143" i="19"/>
  <c r="CK13" i="12"/>
  <c r="CL13" i="12"/>
  <c r="CZ13" i="12"/>
  <c r="I37" i="12"/>
  <c r="BT37" i="12" s="1"/>
  <c r="CX37" i="12"/>
  <c r="H38" i="12"/>
  <c r="O38" i="12" s="1"/>
  <c r="CN35" i="12"/>
  <c r="BU37" i="12"/>
  <c r="BG12" i="12"/>
  <c r="BH12" i="12"/>
  <c r="Q33" i="12"/>
  <c r="BQ37" i="12"/>
  <c r="Z37" i="12"/>
  <c r="AG37" i="12" s="1"/>
  <c r="AU35" i="12" s="1"/>
  <c r="BS36" i="12"/>
  <c r="X36" i="12" s="1"/>
  <c r="AE35" i="12"/>
  <c r="W21" i="12"/>
  <c r="BP37" i="12"/>
  <c r="MG37" i="12"/>
  <c r="BR37" i="12" s="1"/>
  <c r="MD39" i="12"/>
  <c r="MC46" i="12"/>
  <c r="MC45" i="12"/>
  <c r="MC38" i="12"/>
  <c r="P38" i="12"/>
  <c r="M38" i="12" s="1"/>
  <c r="G40" i="12"/>
  <c r="L39" i="12"/>
  <c r="CN36" i="12" s="1"/>
  <c r="D177" i="13"/>
  <c r="HD28" i="12"/>
  <c r="FU28" i="12"/>
  <c r="D188" i="13"/>
  <c r="D155" i="13"/>
  <c r="N36" i="12"/>
  <c r="D166" i="13"/>
  <c r="D232" i="13"/>
  <c r="K26" i="13"/>
  <c r="D254" i="13"/>
  <c r="CM13" i="12"/>
  <c r="CO13" i="12" s="1"/>
  <c r="D133" i="13"/>
  <c r="L23" i="13"/>
  <c r="M23" i="13" s="1"/>
  <c r="J24" i="13"/>
  <c r="O25" i="13"/>
  <c r="Q24" i="13"/>
  <c r="R24" i="13" s="1"/>
  <c r="D144" i="13"/>
  <c r="P25" i="13"/>
  <c r="DG19" i="12"/>
  <c r="F22" i="12"/>
  <c r="LV22" i="12" s="1"/>
  <c r="DJ19" i="12"/>
  <c r="D210" i="13"/>
  <c r="D221" i="13"/>
  <c r="FP30" i="12"/>
  <c r="BL31" i="12"/>
  <c r="D32" i="12"/>
  <c r="D243" i="13"/>
  <c r="FQ29" i="12"/>
  <c r="FT29" i="12"/>
  <c r="AX12" i="12"/>
  <c r="BV14" i="12" s="1"/>
  <c r="D199" i="13"/>
  <c r="E22" i="13"/>
  <c r="F22" i="13" s="1"/>
  <c r="B23" i="13"/>
  <c r="BZ14" i="12" l="1"/>
  <c r="K37" i="12"/>
  <c r="Y37" i="12" s="1"/>
  <c r="ET13" i="12"/>
  <c r="ES13" i="12"/>
  <c r="CY13" i="12"/>
  <c r="B4" i="19" s="1"/>
  <c r="DA13" i="12"/>
  <c r="DF13" i="12" s="1"/>
  <c r="EL13" i="12" s="1"/>
  <c r="I38" i="12"/>
  <c r="BT38" i="12" s="1"/>
  <c r="CX38" i="12"/>
  <c r="BU38" i="12"/>
  <c r="EJ12" i="12"/>
  <c r="BA12" i="12"/>
  <c r="BE12" i="12" s="1"/>
  <c r="Q34" i="12"/>
  <c r="AE36" i="12"/>
  <c r="BS37" i="12"/>
  <c r="X37" i="12" s="1"/>
  <c r="BQ38" i="12"/>
  <c r="Z38" i="12"/>
  <c r="AG38" i="12" s="1"/>
  <c r="AU36" i="12" s="1"/>
  <c r="V21" i="12"/>
  <c r="AD21" i="12"/>
  <c r="BP38" i="12"/>
  <c r="MG38" i="12"/>
  <c r="BR38" i="12" s="1"/>
  <c r="MD40" i="12"/>
  <c r="MC39" i="12"/>
  <c r="P39" i="12"/>
  <c r="M39" i="12" s="1"/>
  <c r="H39" i="12"/>
  <c r="G41" i="12"/>
  <c r="L40" i="12"/>
  <c r="CN37" i="12" s="1"/>
  <c r="D145" i="13"/>
  <c r="E22" i="12"/>
  <c r="D266" i="13"/>
  <c r="D178" i="13"/>
  <c r="D244" i="13"/>
  <c r="D33" i="12"/>
  <c r="DK19" i="12"/>
  <c r="DL19" i="12"/>
  <c r="LZ13" i="12"/>
  <c r="AR13" i="12"/>
  <c r="B70" i="19" s="1"/>
  <c r="D233" i="13"/>
  <c r="D255" i="13"/>
  <c r="D200" i="13"/>
  <c r="D222" i="13"/>
  <c r="E23" i="13"/>
  <c r="F23" i="13" s="1"/>
  <c r="B24" i="13"/>
  <c r="O26" i="13"/>
  <c r="Q25" i="13"/>
  <c r="R25" i="13" s="1"/>
  <c r="N37" i="12"/>
  <c r="D211" i="13"/>
  <c r="J25" i="13"/>
  <c r="L24" i="13"/>
  <c r="M24" i="13" s="1"/>
  <c r="D189" i="13"/>
  <c r="P26" i="13"/>
  <c r="EK12" i="12"/>
  <c r="BY14" i="12"/>
  <c r="D156" i="13"/>
  <c r="FP31" i="12"/>
  <c r="BL32" i="12"/>
  <c r="FU29" i="12"/>
  <c r="HD29" i="12"/>
  <c r="FQ30" i="12"/>
  <c r="FT30" i="12"/>
  <c r="DH19" i="12"/>
  <c r="DI19" i="12"/>
  <c r="K27" i="13"/>
  <c r="D167" i="13"/>
  <c r="EU13" i="12" l="1"/>
  <c r="EV13" i="12" s="1"/>
  <c r="EZ13" i="12" s="1"/>
  <c r="K38" i="12"/>
  <c r="Y38" i="12" s="1"/>
  <c r="AC21" i="12"/>
  <c r="LY21" i="12" s="1"/>
  <c r="B144" i="19"/>
  <c r="BU39" i="12"/>
  <c r="EP12" i="12"/>
  <c r="Q35" i="12"/>
  <c r="AE37" i="12"/>
  <c r="W22" i="12"/>
  <c r="AF22" i="12"/>
  <c r="AT20" i="12" s="1"/>
  <c r="BQ39" i="12"/>
  <c r="Z39" i="12"/>
  <c r="AG39" i="12" s="1"/>
  <c r="AU37" i="12" s="1"/>
  <c r="BS38" i="12"/>
  <c r="X38" i="12" s="1"/>
  <c r="BP39" i="12"/>
  <c r="MG39" i="12"/>
  <c r="BR39" i="12" s="1"/>
  <c r="MD41" i="12"/>
  <c r="O39" i="12"/>
  <c r="MC40" i="12"/>
  <c r="P40" i="12"/>
  <c r="M40" i="12" s="1"/>
  <c r="H40" i="12"/>
  <c r="G42" i="12"/>
  <c r="G43" i="12" s="1"/>
  <c r="L41" i="12"/>
  <c r="CN38" i="12" s="1"/>
  <c r="DC14" i="12"/>
  <c r="P27" i="13"/>
  <c r="D34" i="12"/>
  <c r="FQ31" i="12"/>
  <c r="FT31" i="12"/>
  <c r="DG20" i="12"/>
  <c r="DJ20" i="12"/>
  <c r="F23" i="12"/>
  <c r="LV23" i="12" s="1"/>
  <c r="D223" i="13"/>
  <c r="D278" i="13"/>
  <c r="D234" i="13"/>
  <c r="K28" i="13"/>
  <c r="D256" i="13"/>
  <c r="D201" i="13"/>
  <c r="N38" i="12"/>
  <c r="HD30" i="12"/>
  <c r="FU30" i="12"/>
  <c r="Q26" i="13"/>
  <c r="R26" i="13" s="1"/>
  <c r="O27" i="13"/>
  <c r="D157" i="13"/>
  <c r="FP32" i="12"/>
  <c r="BL33" i="12"/>
  <c r="D212" i="13"/>
  <c r="D168" i="13"/>
  <c r="D267" i="13"/>
  <c r="D179" i="13"/>
  <c r="J26" i="13"/>
  <c r="L25" i="13"/>
  <c r="M25" i="13" s="1"/>
  <c r="E24" i="13"/>
  <c r="F24" i="13" s="1"/>
  <c r="B25" i="13"/>
  <c r="D245" i="13"/>
  <c r="D190" i="13"/>
  <c r="EW14" i="12" l="1"/>
  <c r="EX15" i="12" s="1"/>
  <c r="EY16" i="12" s="1"/>
  <c r="L43" i="12"/>
  <c r="H43" i="12" s="1"/>
  <c r="O43" i="12" s="1"/>
  <c r="G44" i="12"/>
  <c r="L44" i="12" s="1"/>
  <c r="I39" i="12"/>
  <c r="BT39" i="12" s="1"/>
  <c r="CX39" i="12"/>
  <c r="BU40" i="12"/>
  <c r="Q36" i="12"/>
  <c r="AE38" i="12"/>
  <c r="BQ40" i="12"/>
  <c r="Z40" i="12"/>
  <c r="AG40" i="12" s="1"/>
  <c r="AU38" i="12" s="1"/>
  <c r="V22" i="12"/>
  <c r="AD22" i="12"/>
  <c r="BS39" i="12"/>
  <c r="X39" i="12" s="1"/>
  <c r="BP40" i="12"/>
  <c r="MG40" i="12"/>
  <c r="BR40" i="12" s="1"/>
  <c r="MD42" i="12"/>
  <c r="O40" i="12"/>
  <c r="MC41" i="12"/>
  <c r="P41" i="12"/>
  <c r="M41" i="12" s="1"/>
  <c r="L42" i="12"/>
  <c r="H41" i="12"/>
  <c r="D202" i="13"/>
  <c r="D257" i="13"/>
  <c r="D169" i="13"/>
  <c r="AQ13" i="12"/>
  <c r="AO13" i="12"/>
  <c r="BI13" i="12" s="1"/>
  <c r="D35" i="12"/>
  <c r="D213" i="13"/>
  <c r="DI20" i="12"/>
  <c r="DH20" i="12"/>
  <c r="D224" i="13"/>
  <c r="D191" i="13"/>
  <c r="FQ32" i="12"/>
  <c r="FT32" i="12"/>
  <c r="E25" i="13"/>
  <c r="F25" i="13" s="1"/>
  <c r="B26" i="13"/>
  <c r="Q27" i="13"/>
  <c r="R27" i="13" s="1"/>
  <c r="O28" i="13"/>
  <c r="P28" i="13"/>
  <c r="D235" i="13"/>
  <c r="N39" i="12"/>
  <c r="E23" i="12"/>
  <c r="D279" i="13"/>
  <c r="D268" i="13"/>
  <c r="D290" i="13"/>
  <c r="FU31" i="12"/>
  <c r="HD31" i="12"/>
  <c r="J27" i="13"/>
  <c r="L26" i="13"/>
  <c r="M26" i="13" s="1"/>
  <c r="FP33" i="12"/>
  <c r="BL34" i="12"/>
  <c r="K29" i="13"/>
  <c r="DK20" i="12"/>
  <c r="DL20" i="12"/>
  <c r="D180" i="13"/>
  <c r="D246" i="13"/>
  <c r="CG14" i="12" l="1"/>
  <c r="BK13" i="12"/>
  <c r="BO15" i="12"/>
  <c r="BO14" i="12"/>
  <c r="BO13" i="12"/>
  <c r="BO16" i="12"/>
  <c r="FY13" i="12"/>
  <c r="HG13" i="12" s="1"/>
  <c r="FZ13" i="12"/>
  <c r="HH13" i="12" s="1"/>
  <c r="GH13" i="12"/>
  <c r="HP13" i="12" s="1"/>
  <c r="GP13" i="12"/>
  <c r="HX13" i="12" s="1"/>
  <c r="GX13" i="12"/>
  <c r="IF13" i="12" s="1"/>
  <c r="GA13" i="12"/>
  <c r="HI13" i="12" s="1"/>
  <c r="GI13" i="12"/>
  <c r="HQ13" i="12" s="1"/>
  <c r="GQ13" i="12"/>
  <c r="HY13" i="12" s="1"/>
  <c r="GY13" i="12"/>
  <c r="IG13" i="12" s="1"/>
  <c r="GJ13" i="12"/>
  <c r="HR13" i="12" s="1"/>
  <c r="GR13" i="12"/>
  <c r="HZ13" i="12" s="1"/>
  <c r="GZ13" i="12"/>
  <c r="IH13" i="12" s="1"/>
  <c r="GC13" i="12"/>
  <c r="HK13" i="12" s="1"/>
  <c r="GK13" i="12"/>
  <c r="HS13" i="12" s="1"/>
  <c r="GS13" i="12"/>
  <c r="IA13" i="12" s="1"/>
  <c r="HA13" i="12"/>
  <c r="II13" i="12" s="1"/>
  <c r="GD13" i="12"/>
  <c r="HL13" i="12" s="1"/>
  <c r="GL13" i="12"/>
  <c r="HT13" i="12" s="1"/>
  <c r="GT13" i="12"/>
  <c r="IB13" i="12" s="1"/>
  <c r="HB13" i="12"/>
  <c r="IJ13" i="12" s="1"/>
  <c r="GE13" i="12"/>
  <c r="HM13" i="12" s="1"/>
  <c r="GM13" i="12"/>
  <c r="HU13" i="12" s="1"/>
  <c r="GU13" i="12"/>
  <c r="IC13" i="12" s="1"/>
  <c r="FX13" i="12"/>
  <c r="GF13" i="12"/>
  <c r="HN13" i="12" s="1"/>
  <c r="GN13" i="12"/>
  <c r="HV13" i="12" s="1"/>
  <c r="GV13" i="12"/>
  <c r="ID13" i="12" s="1"/>
  <c r="GG13" i="12"/>
  <c r="HO13" i="12" s="1"/>
  <c r="GO13" i="12"/>
  <c r="HW13" i="12" s="1"/>
  <c r="GW13" i="12"/>
  <c r="IE13" i="12" s="1"/>
  <c r="GB13" i="12"/>
  <c r="HJ13" i="12" s="1"/>
  <c r="AC22" i="12"/>
  <c r="LY22" i="12" s="1"/>
  <c r="B145" i="19"/>
  <c r="I40" i="12"/>
  <c r="BT40" i="12" s="1"/>
  <c r="CX40" i="12"/>
  <c r="DG40" i="12" s="1"/>
  <c r="I43" i="12"/>
  <c r="K39" i="12"/>
  <c r="Y39" i="12" s="1"/>
  <c r="H44" i="12"/>
  <c r="O44" i="12" s="1"/>
  <c r="F44" i="12"/>
  <c r="CN41" i="12"/>
  <c r="DJ41" i="12" s="1"/>
  <c r="DK41" i="12" s="1"/>
  <c r="P44" i="12"/>
  <c r="M44" i="12" s="1"/>
  <c r="MC44" i="12"/>
  <c r="F43" i="12"/>
  <c r="CN40" i="12"/>
  <c r="DJ40" i="12" s="1"/>
  <c r="DK40" i="12" s="1"/>
  <c r="P43" i="12"/>
  <c r="M43" i="12" s="1"/>
  <c r="MC43" i="12"/>
  <c r="H42" i="12"/>
  <c r="O42" i="12" s="1"/>
  <c r="CN39" i="12"/>
  <c r="BU41" i="12"/>
  <c r="K40" i="12"/>
  <c r="Y40" i="12" s="1"/>
  <c r="Q37" i="12"/>
  <c r="AE39" i="12"/>
  <c r="BQ41" i="12"/>
  <c r="Z41" i="12"/>
  <c r="AG41" i="12" s="1"/>
  <c r="AU39" i="12" s="1"/>
  <c r="W23" i="12"/>
  <c r="AF23" i="12"/>
  <c r="AT21" i="12" s="1"/>
  <c r="BS40" i="12"/>
  <c r="X40" i="12" s="1"/>
  <c r="BP41" i="12"/>
  <c r="MG41" i="12"/>
  <c r="BR41" i="12" s="1"/>
  <c r="MD43" i="12"/>
  <c r="O41" i="12"/>
  <c r="MC42" i="12"/>
  <c r="P42" i="12"/>
  <c r="M42" i="12" s="1"/>
  <c r="D258" i="13"/>
  <c r="D291" i="13"/>
  <c r="DG21" i="12"/>
  <c r="DJ21" i="12"/>
  <c r="F24" i="12"/>
  <c r="LV24" i="12" s="1"/>
  <c r="FQ33" i="12"/>
  <c r="FT33" i="12"/>
  <c r="D181" i="13"/>
  <c r="D269" i="13"/>
  <c r="P29" i="13"/>
  <c r="D36" i="12"/>
  <c r="D192" i="13"/>
  <c r="FU32" i="12"/>
  <c r="HD32" i="12"/>
  <c r="D203" i="13"/>
  <c r="D225" i="13"/>
  <c r="D236" i="13"/>
  <c r="FL14" i="12"/>
  <c r="FR14" i="12" s="1"/>
  <c r="BM13" i="12"/>
  <c r="D280" i="13"/>
  <c r="D247" i="13"/>
  <c r="L27" i="13"/>
  <c r="M27" i="13" s="1"/>
  <c r="J28" i="13"/>
  <c r="K30" i="13"/>
  <c r="D302" i="13"/>
  <c r="O29" i="13"/>
  <c r="Q28" i="13"/>
  <c r="R28" i="13" s="1"/>
  <c r="FP34" i="12"/>
  <c r="BL35" i="12"/>
  <c r="N40" i="12"/>
  <c r="E26" i="13"/>
  <c r="F26" i="13" s="1"/>
  <c r="B27" i="13"/>
  <c r="D214" i="13"/>
  <c r="CP14" i="12" l="1"/>
  <c r="CQ14" i="12"/>
  <c r="EM14" i="12"/>
  <c r="DD14" i="12"/>
  <c r="FW13" i="12"/>
  <c r="HF13" i="12"/>
  <c r="FN14" i="12" s="1"/>
  <c r="BP43" i="12"/>
  <c r="I42" i="12"/>
  <c r="BT42" i="12" s="1"/>
  <c r="CX42" i="12"/>
  <c r="DG42" i="12" s="1"/>
  <c r="I41" i="12"/>
  <c r="BT41" i="12" s="1"/>
  <c r="CX41" i="12"/>
  <c r="DG41" i="12" s="1"/>
  <c r="I44" i="12"/>
  <c r="CX44" i="12"/>
  <c r="CX43" i="12"/>
  <c r="BT43" i="12"/>
  <c r="D43" i="12"/>
  <c r="K43" i="12"/>
  <c r="BU43" i="12"/>
  <c r="BQ43" i="12"/>
  <c r="Z43" i="12"/>
  <c r="AG43" i="12" s="1"/>
  <c r="AU41" i="12" s="1"/>
  <c r="DH40" i="12"/>
  <c r="DI40" i="12"/>
  <c r="Z44" i="12"/>
  <c r="AG44" i="12" s="1"/>
  <c r="AU42" i="12" s="1"/>
  <c r="BU44" i="12"/>
  <c r="BQ44" i="12"/>
  <c r="BU42" i="12"/>
  <c r="Q38" i="12"/>
  <c r="AE40" i="12"/>
  <c r="BQ42" i="12"/>
  <c r="Z42" i="12"/>
  <c r="AG42" i="12" s="1"/>
  <c r="AU40" i="12" s="1"/>
  <c r="V23" i="12"/>
  <c r="AD23" i="12"/>
  <c r="MD44" i="12"/>
  <c r="BP44" i="12" s="1"/>
  <c r="MG43" i="12"/>
  <c r="BR43" i="12" s="1"/>
  <c r="BS41" i="12"/>
  <c r="X41" i="12" s="1"/>
  <c r="BP42" i="12"/>
  <c r="MG42" i="12"/>
  <c r="BR42" i="12" s="1"/>
  <c r="Q29" i="13"/>
  <c r="R29" i="13" s="1"/>
  <c r="O30" i="13"/>
  <c r="FQ34" i="12"/>
  <c r="FT34" i="12"/>
  <c r="D248" i="13"/>
  <c r="P30" i="13"/>
  <c r="D259" i="13"/>
  <c r="E24" i="12"/>
  <c r="AF24" i="12"/>
  <c r="AT22" i="12" s="1"/>
  <c r="D281" i="13"/>
  <c r="DK21" i="12"/>
  <c r="DL21" i="12"/>
  <c r="B28" i="13"/>
  <c r="E27" i="13"/>
  <c r="F27" i="13" s="1"/>
  <c r="D314" i="13"/>
  <c r="D292" i="13"/>
  <c r="D204" i="13"/>
  <c r="DH21" i="12"/>
  <c r="DI21" i="12"/>
  <c r="D237" i="13"/>
  <c r="D193" i="13"/>
  <c r="D303" i="13"/>
  <c r="D226" i="13"/>
  <c r="N41" i="12"/>
  <c r="K31" i="13"/>
  <c r="D37" i="12"/>
  <c r="FU33" i="12"/>
  <c r="HD33" i="12"/>
  <c r="D270" i="13"/>
  <c r="D215" i="13"/>
  <c r="FP35" i="12"/>
  <c r="BL36" i="12"/>
  <c r="J29" i="13"/>
  <c r="L28" i="13"/>
  <c r="M28" i="13" s="1"/>
  <c r="CR14" i="12" l="1"/>
  <c r="CS14" i="12" s="1"/>
  <c r="K42" i="12"/>
  <c r="Y42" i="12" s="1"/>
  <c r="K41" i="12"/>
  <c r="Y41" i="12" s="1"/>
  <c r="AC23" i="12"/>
  <c r="LY23" i="12" s="1"/>
  <c r="B146" i="19"/>
  <c r="BS43" i="12"/>
  <c r="BT44" i="12"/>
  <c r="D44" i="12"/>
  <c r="K44" i="12"/>
  <c r="DI41" i="12"/>
  <c r="DH41" i="12"/>
  <c r="Y43" i="12"/>
  <c r="AF43" i="12" s="1"/>
  <c r="AT41" i="12" s="1"/>
  <c r="E43" i="12"/>
  <c r="DI42" i="12"/>
  <c r="DH42" i="12"/>
  <c r="Q39" i="12"/>
  <c r="BS42" i="12"/>
  <c r="X42" i="12" s="1"/>
  <c r="AE41" i="12"/>
  <c r="MD45" i="12"/>
  <c r="MG44" i="12"/>
  <c r="BR44" i="12" s="1"/>
  <c r="BS44" i="12" s="1"/>
  <c r="W24" i="12"/>
  <c r="D249" i="13"/>
  <c r="D304" i="13"/>
  <c r="D227" i="13"/>
  <c r="D238" i="13"/>
  <c r="FU34" i="12"/>
  <c r="HD34" i="12"/>
  <c r="L29" i="13"/>
  <c r="M29" i="13" s="1"/>
  <c r="J30" i="13"/>
  <c r="D282" i="13"/>
  <c r="D293" i="13"/>
  <c r="FP36" i="12"/>
  <c r="BL37" i="12"/>
  <c r="N42" i="12"/>
  <c r="D326" i="13"/>
  <c r="D315" i="13"/>
  <c r="P31" i="13"/>
  <c r="FQ35" i="12"/>
  <c r="FT35" i="12"/>
  <c r="D271" i="13"/>
  <c r="Q30" i="13"/>
  <c r="R30" i="13" s="1"/>
  <c r="O31" i="13"/>
  <c r="Q31" i="13" s="1"/>
  <c r="DJ22" i="12"/>
  <c r="DG22" i="12"/>
  <c r="F25" i="12"/>
  <c r="LV25" i="12" s="1"/>
  <c r="D260" i="13"/>
  <c r="E28" i="13"/>
  <c r="F28" i="13" s="1"/>
  <c r="B29" i="13"/>
  <c r="D38" i="12"/>
  <c r="D205" i="13"/>
  <c r="D216" i="13"/>
  <c r="Y44" i="12" l="1"/>
  <c r="AF44" i="12" s="1"/>
  <c r="AT42" i="12" s="1"/>
  <c r="E44" i="12"/>
  <c r="Q40" i="12"/>
  <c r="V24" i="12"/>
  <c r="AD24" i="12"/>
  <c r="MD46" i="12"/>
  <c r="MG46" i="12" s="1"/>
  <c r="MG45" i="12"/>
  <c r="X43" i="12"/>
  <c r="AE43" i="12" s="1"/>
  <c r="AE42" i="12"/>
  <c r="DH22" i="12"/>
  <c r="DI22" i="12"/>
  <c r="D338" i="13"/>
  <c r="D294" i="13"/>
  <c r="D239" i="13"/>
  <c r="DK22" i="12"/>
  <c r="DL22" i="12"/>
  <c r="D228" i="13"/>
  <c r="D39" i="12"/>
  <c r="E29" i="13"/>
  <c r="F29" i="13" s="1"/>
  <c r="B30" i="13"/>
  <c r="L30" i="13"/>
  <c r="M30" i="13" s="1"/>
  <c r="J31" i="13"/>
  <c r="L31" i="13" s="1"/>
  <c r="M31" i="13" s="1"/>
  <c r="M1" i="13" s="1"/>
  <c r="D316" i="13"/>
  <c r="E25" i="12"/>
  <c r="R31" i="13"/>
  <c r="R1" i="13" s="1"/>
  <c r="N43" i="12"/>
  <c r="N44" i="12" s="1"/>
  <c r="D261" i="13"/>
  <c r="FQ36" i="12"/>
  <c r="FT36" i="12"/>
  <c r="FP37" i="12"/>
  <c r="BL38" i="12"/>
  <c r="D217" i="13"/>
  <c r="D283" i="13"/>
  <c r="D272" i="13"/>
  <c r="D327" i="13"/>
  <c r="D305" i="13"/>
  <c r="D250" i="13"/>
  <c r="HD35" i="12"/>
  <c r="FU35" i="12"/>
  <c r="AC24" i="12" l="1"/>
  <c r="LY24" i="12" s="1"/>
  <c r="B147" i="19"/>
  <c r="X44" i="12"/>
  <c r="Q41" i="12"/>
  <c r="W25" i="12"/>
  <c r="AF25" i="12"/>
  <c r="AT23" i="12" s="1"/>
  <c r="D262" i="13"/>
  <c r="D273" i="13"/>
  <c r="D40" i="12"/>
  <c r="DL40" i="12"/>
  <c r="FT37" i="12"/>
  <c r="FQ37" i="12"/>
  <c r="D317" i="13"/>
  <c r="D328" i="13"/>
  <c r="D306" i="13"/>
  <c r="E26" i="12"/>
  <c r="AF26" i="12"/>
  <c r="AT24" i="12" s="1"/>
  <c r="D251" i="13"/>
  <c r="D350" i="13"/>
  <c r="DG23" i="12"/>
  <c r="DJ23" i="12"/>
  <c r="F26" i="12"/>
  <c r="LV26" i="12" s="1"/>
  <c r="FU36" i="12"/>
  <c r="HD36" i="12"/>
  <c r="E30" i="13"/>
  <c r="F30" i="13" s="1"/>
  <c r="B31" i="13"/>
  <c r="D240" i="13"/>
  <c r="D339" i="13"/>
  <c r="D284" i="13"/>
  <c r="D229" i="13"/>
  <c r="D295" i="13"/>
  <c r="FP38" i="12"/>
  <c r="BL39" i="12"/>
  <c r="AE44" i="12" l="1"/>
  <c r="Q42" i="12"/>
  <c r="V25" i="12"/>
  <c r="AD25" i="12"/>
  <c r="W26" i="12"/>
  <c r="FT38" i="12"/>
  <c r="FQ38" i="12"/>
  <c r="D263" i="13"/>
  <c r="D340" i="13"/>
  <c r="D41" i="12"/>
  <c r="DL41" i="12"/>
  <c r="DK23" i="12"/>
  <c r="DL23" i="12"/>
  <c r="DG24" i="12"/>
  <c r="DJ24" i="12"/>
  <c r="F27" i="12"/>
  <c r="LV27" i="12" s="1"/>
  <c r="D329" i="13"/>
  <c r="D318" i="13"/>
  <c r="DH23" i="12"/>
  <c r="DI23" i="12"/>
  <c r="D285" i="13"/>
  <c r="D307" i="13"/>
  <c r="D241" i="13"/>
  <c r="D274" i="13"/>
  <c r="FP39" i="12"/>
  <c r="BL40" i="12"/>
  <c r="D351" i="13"/>
  <c r="D252" i="13"/>
  <c r="E31" i="13"/>
  <c r="F31" i="13" s="1"/>
  <c r="B32" i="13"/>
  <c r="D296" i="13"/>
  <c r="HD37" i="12"/>
  <c r="FU37" i="12"/>
  <c r="AC25" i="12" l="1"/>
  <c r="LY25" i="12" s="1"/>
  <c r="B148" i="19"/>
  <c r="Q43" i="12"/>
  <c r="V26" i="12"/>
  <c r="AD26" i="12"/>
  <c r="D352" i="13"/>
  <c r="FP40" i="12"/>
  <c r="BL41" i="12"/>
  <c r="D330" i="13"/>
  <c r="D275" i="13"/>
  <c r="E27" i="12"/>
  <c r="D253" i="13"/>
  <c r="D297" i="13"/>
  <c r="D341" i="13"/>
  <c r="D42" i="12"/>
  <c r="DL42" i="12"/>
  <c r="DK24" i="12"/>
  <c r="DL24" i="12"/>
  <c r="DI24" i="12"/>
  <c r="DH24" i="12"/>
  <c r="FQ39" i="12"/>
  <c r="FT39" i="12"/>
  <c r="E32" i="13"/>
  <c r="F32" i="13" s="1"/>
  <c r="B33" i="13"/>
  <c r="D286" i="13"/>
  <c r="D308" i="13"/>
  <c r="D319" i="13"/>
  <c r="D264" i="13"/>
  <c r="FU38" i="12"/>
  <c r="HD38" i="12"/>
  <c r="AC26" i="12" l="1"/>
  <c r="LY26" i="12" s="1"/>
  <c r="B149" i="19"/>
  <c r="BD13" i="12"/>
  <c r="BH13" i="12" s="1"/>
  <c r="Q44" i="12"/>
  <c r="AF27" i="12"/>
  <c r="AT25" i="12" s="1"/>
  <c r="W27" i="12"/>
  <c r="D265" i="13"/>
  <c r="D342" i="13"/>
  <c r="D320" i="13"/>
  <c r="D298" i="13"/>
  <c r="DG25" i="12"/>
  <c r="DJ25" i="12"/>
  <c r="F28" i="12"/>
  <c r="LV28" i="12" s="1"/>
  <c r="FP41" i="12"/>
  <c r="BL42" i="12"/>
  <c r="D353" i="13"/>
  <c r="FQ40" i="12"/>
  <c r="FT40" i="12"/>
  <c r="D276" i="13"/>
  <c r="E33" i="13"/>
  <c r="F33" i="13" s="1"/>
  <c r="B34" i="13"/>
  <c r="D309" i="13"/>
  <c r="D331" i="13"/>
  <c r="HD39" i="12"/>
  <c r="FU39" i="12"/>
  <c r="D287" i="13"/>
  <c r="BG13" i="12" l="1"/>
  <c r="AX13" i="12"/>
  <c r="EJ13" i="12" s="1"/>
  <c r="FP42" i="12"/>
  <c r="FQ42" i="12" s="1"/>
  <c r="BL43" i="12"/>
  <c r="V27" i="12"/>
  <c r="AD27" i="12"/>
  <c r="E28" i="12"/>
  <c r="D310" i="13"/>
  <c r="D332" i="13"/>
  <c r="E34" i="13"/>
  <c r="F34" i="13" s="1"/>
  <c r="B35" i="13"/>
  <c r="D288" i="13"/>
  <c r="HD40" i="12"/>
  <c r="FU40" i="12"/>
  <c r="D354" i="13"/>
  <c r="FT41" i="12"/>
  <c r="FQ41" i="12"/>
  <c r="DK25" i="12"/>
  <c r="DL25" i="12"/>
  <c r="D299" i="13"/>
  <c r="D343" i="13"/>
  <c r="D321" i="13"/>
  <c r="DI25" i="12"/>
  <c r="DH25" i="12"/>
  <c r="D277" i="13"/>
  <c r="BA13" i="12" l="1"/>
  <c r="BE13" i="12" s="1"/>
  <c r="BV15" i="12"/>
  <c r="BZ15" i="12" s="1"/>
  <c r="EK13" i="12"/>
  <c r="EP13" i="12" s="1"/>
  <c r="BY15" i="12"/>
  <c r="FT42" i="12"/>
  <c r="HD42" i="12" s="1"/>
  <c r="AC27" i="12"/>
  <c r="LY27" i="12" s="1"/>
  <c r="B150" i="19"/>
  <c r="FP43" i="12"/>
  <c r="BL44" i="12"/>
  <c r="FP44" i="12" s="1"/>
  <c r="W28" i="12"/>
  <c r="AF28" i="12"/>
  <c r="AT26" i="12" s="1"/>
  <c r="D355" i="13"/>
  <c r="D322" i="13"/>
  <c r="D333" i="13"/>
  <c r="DJ26" i="12"/>
  <c r="DG26" i="12"/>
  <c r="F29" i="12"/>
  <c r="LV29" i="12" s="1"/>
  <c r="D300" i="13"/>
  <c r="FU41" i="12"/>
  <c r="HD41" i="12"/>
  <c r="D311" i="13"/>
  <c r="B36" i="13"/>
  <c r="E35" i="13"/>
  <c r="F35" i="13" s="1"/>
  <c r="D289" i="13"/>
  <c r="D344" i="13"/>
  <c r="FU42" i="12" l="1"/>
  <c r="FT44" i="12"/>
  <c r="FQ44" i="12"/>
  <c r="FT43" i="12"/>
  <c r="FQ43" i="12"/>
  <c r="DC15" i="12"/>
  <c r="V28" i="12"/>
  <c r="AD28" i="12"/>
  <c r="E36" i="13"/>
  <c r="F36" i="13" s="1"/>
  <c r="B37" i="13"/>
  <c r="E29" i="12"/>
  <c r="D323" i="13"/>
  <c r="D312" i="13"/>
  <c r="D356" i="13"/>
  <c r="D301" i="13"/>
  <c r="D345" i="13"/>
  <c r="DH26" i="12"/>
  <c r="DI26" i="12"/>
  <c r="DK26" i="12"/>
  <c r="DL26" i="12"/>
  <c r="D334" i="13"/>
  <c r="AC28" i="12" l="1"/>
  <c r="LY28" i="12" s="1"/>
  <c r="B151" i="19"/>
  <c r="HD43" i="12"/>
  <c r="FU43" i="12"/>
  <c r="FU44" i="12"/>
  <c r="HD44" i="12"/>
  <c r="W29" i="12"/>
  <c r="AF29" i="12"/>
  <c r="AT27" i="12" s="1"/>
  <c r="D324" i="13"/>
  <c r="D335" i="13"/>
  <c r="D357" i="13"/>
  <c r="DG27" i="12"/>
  <c r="DJ27" i="12"/>
  <c r="F30" i="12"/>
  <c r="LV30" i="12" s="1"/>
  <c r="E37" i="13"/>
  <c r="F37" i="13" s="1"/>
  <c r="B38" i="13"/>
  <c r="D313" i="13"/>
  <c r="D346" i="13"/>
  <c r="V29" i="12" l="1"/>
  <c r="AD29" i="12"/>
  <c r="D347" i="13"/>
  <c r="D358" i="13"/>
  <c r="DK27" i="12"/>
  <c r="DL27" i="12"/>
  <c r="DH27" i="12"/>
  <c r="DI27" i="12"/>
  <c r="D325" i="13"/>
  <c r="D336" i="13"/>
  <c r="E38" i="13"/>
  <c r="F38" i="13" s="1"/>
  <c r="B39" i="13"/>
  <c r="E30" i="12"/>
  <c r="AF30" i="12"/>
  <c r="AT28" i="12" s="1"/>
  <c r="AC29" i="12" l="1"/>
  <c r="LY29" i="12" s="1"/>
  <c r="B152" i="19"/>
  <c r="W30" i="12"/>
  <c r="E31" i="12"/>
  <c r="AF31" i="12"/>
  <c r="AT29" i="12" s="1"/>
  <c r="D359" i="13"/>
  <c r="E39" i="13"/>
  <c r="F39" i="13" s="1"/>
  <c r="B40" i="13"/>
  <c r="DJ28" i="12"/>
  <c r="DG28" i="12"/>
  <c r="F31" i="12"/>
  <c r="LV31" i="12" s="1"/>
  <c r="D348" i="13"/>
  <c r="D337" i="13"/>
  <c r="V30" i="12" l="1"/>
  <c r="AD30" i="12"/>
  <c r="W31" i="12"/>
  <c r="DJ29" i="12"/>
  <c r="DG29" i="12"/>
  <c r="F32" i="12"/>
  <c r="LV32" i="12" s="1"/>
  <c r="DH28" i="12"/>
  <c r="DI28" i="12"/>
  <c r="D349" i="13"/>
  <c r="DK28" i="12"/>
  <c r="DL28" i="12"/>
  <c r="E40" i="13"/>
  <c r="F40" i="13" s="1"/>
  <c r="B41" i="13"/>
  <c r="D360" i="13"/>
  <c r="AC30" i="12" l="1"/>
  <c r="LY30" i="12" s="1"/>
  <c r="B153" i="19"/>
  <c r="V31" i="12"/>
  <c r="AD31" i="12"/>
  <c r="E41" i="13"/>
  <c r="F41" i="13" s="1"/>
  <c r="B42" i="13"/>
  <c r="D361" i="13"/>
  <c r="DK29" i="12"/>
  <c r="DL29" i="12"/>
  <c r="E32" i="12"/>
  <c r="DH29" i="12"/>
  <c r="DI29" i="12"/>
  <c r="AC31" i="12" l="1"/>
  <c r="LY31" i="12" s="1"/>
  <c r="B154" i="19"/>
  <c r="W32" i="12"/>
  <c r="AF32" i="12"/>
  <c r="AT30" i="12" s="1"/>
  <c r="DG30" i="12"/>
  <c r="DJ30" i="12"/>
  <c r="F33" i="12"/>
  <c r="LV33" i="12" s="1"/>
  <c r="E42" i="13"/>
  <c r="F42" i="13" s="1"/>
  <c r="B43" i="13"/>
  <c r="V32" i="12" l="1"/>
  <c r="AD32" i="12"/>
  <c r="E33" i="12"/>
  <c r="DK30" i="12"/>
  <c r="DL30" i="12"/>
  <c r="DI30" i="12"/>
  <c r="DH30" i="12"/>
  <c r="E43" i="13"/>
  <c r="F43" i="13" s="1"/>
  <c r="B44" i="13"/>
  <c r="AC32" i="12" l="1"/>
  <c r="LY32" i="12" s="1"/>
  <c r="B155" i="19"/>
  <c r="W33" i="12"/>
  <c r="AF33" i="12"/>
  <c r="AT31" i="12" s="1"/>
  <c r="E34" i="12"/>
  <c r="AF34" i="12"/>
  <c r="AT32" i="12" s="1"/>
  <c r="E44" i="13"/>
  <c r="F44" i="13" s="1"/>
  <c r="B45" i="13"/>
  <c r="DJ31" i="12"/>
  <c r="DG31" i="12"/>
  <c r="F34" i="12"/>
  <c r="LV34" i="12" s="1"/>
  <c r="V33" i="12" l="1"/>
  <c r="AD33" i="12"/>
  <c r="W34" i="12"/>
  <c r="DI31" i="12"/>
  <c r="DH31" i="12"/>
  <c r="DJ32" i="12"/>
  <c r="DG32" i="12"/>
  <c r="F35" i="12"/>
  <c r="LV35" i="12" s="1"/>
  <c r="DK31" i="12"/>
  <c r="DL31" i="12"/>
  <c r="B46" i="13"/>
  <c r="E45" i="13"/>
  <c r="F45" i="13" s="1"/>
  <c r="AC33" i="12" l="1"/>
  <c r="LY33" i="12" s="1"/>
  <c r="B156" i="19"/>
  <c r="V34" i="12"/>
  <c r="AD34" i="12"/>
  <c r="E46" i="13"/>
  <c r="F46" i="13" s="1"/>
  <c r="B47" i="13"/>
  <c r="DK32" i="12"/>
  <c r="DL32" i="12"/>
  <c r="E35" i="12"/>
  <c r="DH32" i="12"/>
  <c r="DI32" i="12"/>
  <c r="AC34" i="12" l="1"/>
  <c r="LY34" i="12" s="1"/>
  <c r="B157" i="19"/>
  <c r="AF35" i="12"/>
  <c r="AT33" i="12" s="1"/>
  <c r="W35" i="12"/>
  <c r="DJ33" i="12"/>
  <c r="F36" i="12"/>
  <c r="LV36" i="12" s="1"/>
  <c r="DG33" i="12"/>
  <c r="E47" i="13"/>
  <c r="F47" i="13" s="1"/>
  <c r="B48" i="13"/>
  <c r="V35" i="12" l="1"/>
  <c r="AD35" i="12"/>
  <c r="DH33" i="12"/>
  <c r="DI33" i="12"/>
  <c r="DK33" i="12"/>
  <c r="DL33" i="12"/>
  <c r="E36" i="12"/>
  <c r="E48" i="13"/>
  <c r="F48" i="13" s="1"/>
  <c r="B49" i="13"/>
  <c r="AC35" i="12" l="1"/>
  <c r="LY35" i="12" s="1"/>
  <c r="B158" i="19"/>
  <c r="W36" i="12"/>
  <c r="AF36" i="12"/>
  <c r="AT34" i="12" s="1"/>
  <c r="DG34" i="12"/>
  <c r="DJ34" i="12"/>
  <c r="F37" i="12"/>
  <c r="LV37" i="12" s="1"/>
  <c r="E49" i="13"/>
  <c r="F49" i="13" s="1"/>
  <c r="B50" i="13"/>
  <c r="V36" i="12" l="1"/>
  <c r="AD36" i="12"/>
  <c r="E37" i="12"/>
  <c r="DK34" i="12"/>
  <c r="DL34" i="12"/>
  <c r="DH34" i="12"/>
  <c r="DI34" i="12"/>
  <c r="E50" i="13"/>
  <c r="F50" i="13" s="1"/>
  <c r="B51" i="13"/>
  <c r="AC36" i="12" l="1"/>
  <c r="LY36" i="12" s="1"/>
  <c r="B159" i="19"/>
  <c r="W37" i="12"/>
  <c r="AF37" i="12"/>
  <c r="AT35" i="12" s="1"/>
  <c r="DJ35" i="12"/>
  <c r="DG35" i="12"/>
  <c r="F38" i="12"/>
  <c r="LV38" i="12" s="1"/>
  <c r="B52" i="13"/>
  <c r="E51" i="13"/>
  <c r="F51" i="13" s="1"/>
  <c r="V37" i="12" l="1"/>
  <c r="AD37" i="12"/>
  <c r="DH35" i="12"/>
  <c r="DI35" i="12"/>
  <c r="E52" i="13"/>
  <c r="F52" i="13" s="1"/>
  <c r="B53" i="13"/>
  <c r="DK35" i="12"/>
  <c r="DL35" i="12"/>
  <c r="E38" i="12"/>
  <c r="AC37" i="12" l="1"/>
  <c r="LY37" i="12" s="1"/>
  <c r="B160" i="19"/>
  <c r="W38" i="12"/>
  <c r="AF38" i="12"/>
  <c r="AT36" i="12" s="1"/>
  <c r="B54" i="13"/>
  <c r="E53" i="13"/>
  <c r="F53" i="13" s="1"/>
  <c r="DJ36" i="12"/>
  <c r="DG36" i="12"/>
  <c r="F39" i="12"/>
  <c r="LV39" i="12" s="1"/>
  <c r="V38" i="12" l="1"/>
  <c r="AD38" i="12"/>
  <c r="DK36" i="12"/>
  <c r="DL36" i="12"/>
  <c r="E39" i="12"/>
  <c r="E54" i="13"/>
  <c r="F54" i="13" s="1"/>
  <c r="B55" i="13"/>
  <c r="DH36" i="12"/>
  <c r="DI36" i="12"/>
  <c r="AC38" i="12" l="1"/>
  <c r="LY38" i="12" s="1"/>
  <c r="B161" i="19"/>
  <c r="W39" i="12"/>
  <c r="AF39" i="12"/>
  <c r="AT37" i="12" s="1"/>
  <c r="E55" i="13"/>
  <c r="F55" i="13" s="1"/>
  <c r="B56" i="13"/>
  <c r="DJ37" i="12"/>
  <c r="F40" i="12"/>
  <c r="DG37" i="12"/>
  <c r="V39" i="12" l="1"/>
  <c r="AD39" i="12"/>
  <c r="DK37" i="12"/>
  <c r="DL37" i="12"/>
  <c r="DH37" i="12"/>
  <c r="DI37" i="12"/>
  <c r="E56" i="13"/>
  <c r="F56" i="13" s="1"/>
  <c r="B57" i="13"/>
  <c r="E40" i="12"/>
  <c r="AF40" i="12"/>
  <c r="AT38" i="12" s="1"/>
  <c r="AC39" i="12" l="1"/>
  <c r="LY39" i="12" s="1"/>
  <c r="B162" i="19"/>
  <c r="W40" i="12"/>
  <c r="DJ38" i="12"/>
  <c r="DG38" i="12"/>
  <c r="F41" i="12"/>
  <c r="E57" i="13"/>
  <c r="F57" i="13" s="1"/>
  <c r="B58" i="13"/>
  <c r="V40" i="12" l="1"/>
  <c r="AD40" i="12"/>
  <c r="DH38" i="12"/>
  <c r="DI38" i="12"/>
  <c r="E41" i="12"/>
  <c r="E58" i="13"/>
  <c r="F58" i="13" s="1"/>
  <c r="B59" i="13"/>
  <c r="DK38" i="12"/>
  <c r="DL38" i="12"/>
  <c r="AC40" i="12" l="1"/>
  <c r="B163" i="19"/>
  <c r="W41" i="12"/>
  <c r="AF41" i="12"/>
  <c r="AT39" i="12" s="1"/>
  <c r="DG39" i="12"/>
  <c r="F42" i="12"/>
  <c r="B60" i="13"/>
  <c r="E59" i="13"/>
  <c r="F59" i="13" s="1"/>
  <c r="V41" i="12" l="1"/>
  <c r="AD41" i="12"/>
  <c r="E60" i="13"/>
  <c r="F60" i="13" s="1"/>
  <c r="B61" i="13"/>
  <c r="E42" i="12"/>
  <c r="AF42" i="12"/>
  <c r="AT40" i="12" s="1"/>
  <c r="DH39" i="12"/>
  <c r="DI39" i="12"/>
  <c r="DS91" i="12"/>
  <c r="DT91" i="12"/>
  <c r="DJ39" i="12"/>
  <c r="DT94" i="12"/>
  <c r="DS94" i="12"/>
  <c r="AC41" i="12" l="1"/>
  <c r="B164" i="19"/>
  <c r="W42" i="12"/>
  <c r="W43" i="12" s="1"/>
  <c r="E61" i="13"/>
  <c r="F61" i="13" s="1"/>
  <c r="B62" i="13"/>
  <c r="DK39" i="12"/>
  <c r="DL39" i="12"/>
  <c r="AD43" i="12" l="1"/>
  <c r="W44" i="12"/>
  <c r="V43" i="12"/>
  <c r="V42" i="12"/>
  <c r="AD42" i="12"/>
  <c r="E62" i="13"/>
  <c r="F62" i="13" s="1"/>
  <c r="B63" i="13"/>
  <c r="AC43" i="12" l="1"/>
  <c r="B166" i="19"/>
  <c r="AC42" i="12"/>
  <c r="B165" i="19"/>
  <c r="AD44" i="12"/>
  <c r="AC44" i="12" s="1"/>
  <c r="V44" i="12"/>
  <c r="E63" i="13"/>
  <c r="F63" i="13" s="1"/>
  <c r="B64" i="13"/>
  <c r="E64" i="13" l="1"/>
  <c r="F64" i="13" s="1"/>
  <c r="B65" i="13"/>
  <c r="B66" i="13" l="1"/>
  <c r="E65" i="13"/>
  <c r="F65" i="13" s="1"/>
  <c r="E66" i="13" l="1"/>
  <c r="F66" i="13" s="1"/>
  <c r="B67" i="13"/>
  <c r="E67" i="13" l="1"/>
  <c r="F67" i="13" s="1"/>
  <c r="B68" i="13"/>
  <c r="E68" i="13" l="1"/>
  <c r="F68" i="13" s="1"/>
  <c r="B69" i="13"/>
  <c r="E69" i="13" l="1"/>
  <c r="F69" i="13" s="1"/>
  <c r="B70" i="13"/>
  <c r="B71" i="13" l="1"/>
  <c r="E70" i="13"/>
  <c r="F70" i="13" s="1"/>
  <c r="E71" i="13" l="1"/>
  <c r="F71" i="13" s="1"/>
  <c r="B72" i="13"/>
  <c r="B73" i="13" l="1"/>
  <c r="E72" i="13"/>
  <c r="F72" i="13" s="1"/>
  <c r="E73" i="13" l="1"/>
  <c r="F73" i="13" s="1"/>
  <c r="B74" i="13"/>
  <c r="B75" i="13" l="1"/>
  <c r="E74" i="13"/>
  <c r="F74" i="13" s="1"/>
  <c r="E75" i="13" l="1"/>
  <c r="F75" i="13" s="1"/>
  <c r="B76" i="13"/>
  <c r="E76" i="13" l="1"/>
  <c r="F76" i="13" s="1"/>
  <c r="B77" i="13"/>
  <c r="E77" i="13" l="1"/>
  <c r="F77" i="13" s="1"/>
  <c r="B78" i="13"/>
  <c r="E78" i="13" l="1"/>
  <c r="F78" i="13" s="1"/>
  <c r="B79" i="13"/>
  <c r="B80" i="13" l="1"/>
  <c r="E79" i="13"/>
  <c r="F79" i="13" s="1"/>
  <c r="E80" i="13" l="1"/>
  <c r="F80" i="13" s="1"/>
  <c r="B81" i="13"/>
  <c r="B82" i="13" l="1"/>
  <c r="E81" i="13"/>
  <c r="F81" i="13" s="1"/>
  <c r="E82" i="13" l="1"/>
  <c r="F82" i="13" s="1"/>
  <c r="B83" i="13"/>
  <c r="E83" i="13" l="1"/>
  <c r="F83" i="13" s="1"/>
  <c r="B84" i="13"/>
  <c r="E84" i="13" l="1"/>
  <c r="F84" i="13" s="1"/>
  <c r="B85" i="13"/>
  <c r="B86" i="13" l="1"/>
  <c r="E85" i="13"/>
  <c r="F85" i="13" s="1"/>
  <c r="B87" i="13" l="1"/>
  <c r="E86" i="13"/>
  <c r="F86" i="13" s="1"/>
  <c r="E87" i="13" l="1"/>
  <c r="F87" i="13" s="1"/>
  <c r="B88" i="13"/>
  <c r="B89" i="13" l="1"/>
  <c r="E88" i="13"/>
  <c r="F88" i="13" s="1"/>
  <c r="E89" i="13" l="1"/>
  <c r="F89" i="13" s="1"/>
  <c r="B90" i="13"/>
  <c r="B91" i="13" l="1"/>
  <c r="E90" i="13"/>
  <c r="F90" i="13" s="1"/>
  <c r="E91" i="13" l="1"/>
  <c r="F91" i="13" s="1"/>
  <c r="B92" i="13"/>
  <c r="B93" i="13" l="1"/>
  <c r="E92" i="13"/>
  <c r="F92" i="13" s="1"/>
  <c r="E93" i="13" l="1"/>
  <c r="F93" i="13" s="1"/>
  <c r="B94" i="13"/>
  <c r="B95" i="13" l="1"/>
  <c r="E94" i="13"/>
  <c r="F94" i="13" s="1"/>
  <c r="B96" i="13" l="1"/>
  <c r="E95" i="13"/>
  <c r="F95" i="13" s="1"/>
  <c r="E96" i="13" l="1"/>
  <c r="F96" i="13" s="1"/>
  <c r="B97" i="13"/>
  <c r="B98" i="13" l="1"/>
  <c r="E97" i="13"/>
  <c r="F97" i="13" s="1"/>
  <c r="E98" i="13" l="1"/>
  <c r="F98" i="13" s="1"/>
  <c r="B99" i="13"/>
  <c r="B100" i="13" l="1"/>
  <c r="E99" i="13"/>
  <c r="F99" i="13" s="1"/>
  <c r="E100" i="13" l="1"/>
  <c r="F100" i="13" s="1"/>
  <c r="B101" i="13"/>
  <c r="E101" i="13" l="1"/>
  <c r="F101" i="13" s="1"/>
  <c r="B102" i="13"/>
  <c r="B103" i="13" l="1"/>
  <c r="E102" i="13"/>
  <c r="F102" i="13" s="1"/>
  <c r="B104" i="13" l="1"/>
  <c r="E103" i="13"/>
  <c r="F103" i="13" s="1"/>
  <c r="B105" i="13" l="1"/>
  <c r="E104" i="13"/>
  <c r="F104" i="13" s="1"/>
  <c r="E105" i="13" l="1"/>
  <c r="F105" i="13" s="1"/>
  <c r="B106" i="13"/>
  <c r="B107" i="13" l="1"/>
  <c r="E106" i="13"/>
  <c r="F106" i="13" s="1"/>
  <c r="E107" i="13" l="1"/>
  <c r="F107" i="13" s="1"/>
  <c r="B108" i="13"/>
  <c r="E108" i="13" l="1"/>
  <c r="F108" i="13" s="1"/>
  <c r="B109" i="13"/>
  <c r="E109" i="13" l="1"/>
  <c r="F109" i="13" s="1"/>
  <c r="B110" i="13"/>
  <c r="B111" i="13" l="1"/>
  <c r="E110" i="13"/>
  <c r="F110" i="13" s="1"/>
  <c r="B112" i="13" l="1"/>
  <c r="E111" i="13"/>
  <c r="F111" i="13" s="1"/>
  <c r="E112" i="13" l="1"/>
  <c r="F112" i="13" s="1"/>
  <c r="B113" i="13"/>
  <c r="B114" i="13" l="1"/>
  <c r="E113" i="13"/>
  <c r="F113" i="13" s="1"/>
  <c r="E114" i="13" l="1"/>
  <c r="F114" i="13" s="1"/>
  <c r="B115" i="13"/>
  <c r="E115" i="13" l="1"/>
  <c r="F115" i="13" s="1"/>
  <c r="B116" i="13"/>
  <c r="E116" i="13" l="1"/>
  <c r="F116" i="13" s="1"/>
  <c r="B117" i="13"/>
  <c r="B118" i="13" l="1"/>
  <c r="E117" i="13"/>
  <c r="F117" i="13" s="1"/>
  <c r="B119" i="13" l="1"/>
  <c r="E118" i="13"/>
  <c r="F118" i="13" s="1"/>
  <c r="E119" i="13" l="1"/>
  <c r="F119" i="13" s="1"/>
  <c r="B120" i="13"/>
  <c r="B121" i="13" l="1"/>
  <c r="E120" i="13"/>
  <c r="F120" i="13" s="1"/>
  <c r="E121" i="13" l="1"/>
  <c r="F121" i="13" s="1"/>
  <c r="B122" i="13"/>
  <c r="B123" i="13" l="1"/>
  <c r="E122" i="13"/>
  <c r="F122" i="13" s="1"/>
  <c r="E123" i="13" l="1"/>
  <c r="F123" i="13" s="1"/>
  <c r="B124" i="13"/>
  <c r="E124" i="13" l="1"/>
  <c r="F124" i="13" s="1"/>
  <c r="B125" i="13"/>
  <c r="E125" i="13" l="1"/>
  <c r="F125" i="13" s="1"/>
  <c r="B126" i="13"/>
  <c r="E126" i="13" l="1"/>
  <c r="F126" i="13" s="1"/>
  <c r="B127" i="13"/>
  <c r="B128" i="13" l="1"/>
  <c r="E127" i="13"/>
  <c r="F127" i="13" s="1"/>
  <c r="E128" i="13" l="1"/>
  <c r="F128" i="13" s="1"/>
  <c r="B129" i="13"/>
  <c r="B130" i="13" l="1"/>
  <c r="E129" i="13"/>
  <c r="F129" i="13" s="1"/>
  <c r="E130" i="13" l="1"/>
  <c r="F130" i="13" s="1"/>
  <c r="B131" i="13"/>
  <c r="E131" i="13" l="1"/>
  <c r="F131" i="13" s="1"/>
  <c r="B132" i="13"/>
  <c r="E132" i="13" l="1"/>
  <c r="F132" i="13" s="1"/>
  <c r="B133" i="13"/>
  <c r="E133" i="13" l="1"/>
  <c r="F133" i="13" s="1"/>
  <c r="B134" i="13"/>
  <c r="B135" i="13" l="1"/>
  <c r="E134" i="13"/>
  <c r="F134" i="13" s="1"/>
  <c r="E135" i="13" l="1"/>
  <c r="F135" i="13" s="1"/>
  <c r="B136" i="13"/>
  <c r="B137" i="13" l="1"/>
  <c r="E136" i="13"/>
  <c r="F136" i="13" s="1"/>
  <c r="E137" i="13" l="1"/>
  <c r="F137" i="13" s="1"/>
  <c r="B138" i="13"/>
  <c r="B139" i="13" l="1"/>
  <c r="E138" i="13"/>
  <c r="F138" i="13" s="1"/>
  <c r="E139" i="13" l="1"/>
  <c r="F139" i="13" s="1"/>
  <c r="B140" i="13"/>
  <c r="B141" i="13" l="1"/>
  <c r="E140" i="13"/>
  <c r="F140" i="13" s="1"/>
  <c r="E141" i="13" l="1"/>
  <c r="F141" i="13" s="1"/>
  <c r="B142" i="13"/>
  <c r="B143" i="13" l="1"/>
  <c r="E142" i="13"/>
  <c r="F142" i="13" s="1"/>
  <c r="E143" i="13" l="1"/>
  <c r="F143" i="13" s="1"/>
  <c r="B144" i="13"/>
  <c r="B145" i="13" l="1"/>
  <c r="E144" i="13"/>
  <c r="F144" i="13" s="1"/>
  <c r="E145" i="13" l="1"/>
  <c r="F145" i="13" s="1"/>
  <c r="B146" i="13"/>
  <c r="B147" i="13" l="1"/>
  <c r="E146" i="13"/>
  <c r="F146" i="13" s="1"/>
  <c r="E147" i="13" l="1"/>
  <c r="F147" i="13" s="1"/>
  <c r="B148" i="13"/>
  <c r="B149" i="13" l="1"/>
  <c r="E148" i="13"/>
  <c r="F148" i="13" s="1"/>
  <c r="E149" i="13" l="1"/>
  <c r="F149" i="13" s="1"/>
  <c r="B150" i="13"/>
  <c r="B151" i="13" l="1"/>
  <c r="E150" i="13"/>
  <c r="F150" i="13" s="1"/>
  <c r="E151" i="13" l="1"/>
  <c r="F151" i="13" s="1"/>
  <c r="B152" i="13"/>
  <c r="EJ35" i="12" l="1"/>
  <c r="EP35" i="12" s="1"/>
  <c r="B153" i="13"/>
  <c r="E152" i="13"/>
  <c r="F152" i="13" s="1"/>
  <c r="E153" i="13" l="1"/>
  <c r="F153" i="13" s="1"/>
  <c r="B154" i="13"/>
  <c r="B155" i="13" l="1"/>
  <c r="E154" i="13"/>
  <c r="F154" i="13" s="1"/>
  <c r="E155" i="13" l="1"/>
  <c r="F155" i="13" s="1"/>
  <c r="B156" i="13"/>
  <c r="B157" i="13" l="1"/>
  <c r="E156" i="13"/>
  <c r="F156" i="13" s="1"/>
  <c r="EJ36" i="12"/>
  <c r="E157" i="13" l="1"/>
  <c r="F157" i="13" s="1"/>
  <c r="B158" i="13"/>
  <c r="EP36" i="12"/>
  <c r="B159" i="13" l="1"/>
  <c r="E158" i="13"/>
  <c r="F158" i="13" s="1"/>
  <c r="E159" i="13" l="1"/>
  <c r="F159" i="13" s="1"/>
  <c r="B160" i="13"/>
  <c r="B161" i="13" l="1"/>
  <c r="E160" i="13"/>
  <c r="F160" i="13" s="1"/>
  <c r="E161" i="13" l="1"/>
  <c r="F161" i="13" s="1"/>
  <c r="B162" i="13"/>
  <c r="B163" i="13" l="1"/>
  <c r="E162" i="13"/>
  <c r="F162" i="13" s="1"/>
  <c r="EJ37" i="12"/>
  <c r="EP37" i="12" s="1"/>
  <c r="E163" i="13" l="1"/>
  <c r="F163" i="13" s="1"/>
  <c r="B164" i="13"/>
  <c r="B165" i="13" l="1"/>
  <c r="E164" i="13"/>
  <c r="F164" i="13" s="1"/>
  <c r="E165" i="13" l="1"/>
  <c r="F165" i="13" s="1"/>
  <c r="B166" i="13"/>
  <c r="B167" i="13" l="1"/>
  <c r="E166" i="13"/>
  <c r="F166" i="13" s="1"/>
  <c r="E167" i="13" l="1"/>
  <c r="F167" i="13" s="1"/>
  <c r="B168" i="13"/>
  <c r="EJ38" i="12"/>
  <c r="EP38" i="12" s="1"/>
  <c r="B169" i="13" l="1"/>
  <c r="E168" i="13"/>
  <c r="F168" i="13" s="1"/>
  <c r="E169" i="13" l="1"/>
  <c r="F169" i="13" s="1"/>
  <c r="B170" i="13"/>
  <c r="B171" i="13" l="1"/>
  <c r="E170" i="13"/>
  <c r="F170" i="13" s="1"/>
  <c r="E171" i="13" l="1"/>
  <c r="F171" i="13" s="1"/>
  <c r="B172" i="13"/>
  <c r="B173" i="13" l="1"/>
  <c r="E172" i="13"/>
  <c r="F172" i="13" s="1"/>
  <c r="E173" i="13" l="1"/>
  <c r="F173" i="13" s="1"/>
  <c r="B174" i="13"/>
  <c r="EJ39" i="12"/>
  <c r="B175" i="13" l="1"/>
  <c r="E174" i="13"/>
  <c r="F174" i="13" s="1"/>
  <c r="EP39" i="12"/>
  <c r="E175" i="13" l="1"/>
  <c r="F175" i="13" s="1"/>
  <c r="B176" i="13"/>
  <c r="B177" i="13" l="1"/>
  <c r="E176" i="13"/>
  <c r="F176" i="13" s="1"/>
  <c r="E177" i="13" l="1"/>
  <c r="F177" i="13" s="1"/>
  <c r="B178" i="13"/>
  <c r="B179" i="13" l="1"/>
  <c r="E178" i="13"/>
  <c r="F178" i="13" s="1"/>
  <c r="E179" i="13" l="1"/>
  <c r="F179" i="13" s="1"/>
  <c r="B180" i="13"/>
  <c r="B181" i="13" l="1"/>
  <c r="E180" i="13"/>
  <c r="F180" i="13" s="1"/>
  <c r="E181" i="13" l="1"/>
  <c r="F181" i="13" s="1"/>
  <c r="B182" i="13"/>
  <c r="B183" i="13" l="1"/>
  <c r="E182" i="13"/>
  <c r="F182" i="13" s="1"/>
  <c r="E183" i="13" l="1"/>
  <c r="F183" i="13" s="1"/>
  <c r="B184" i="13"/>
  <c r="B185" i="13" l="1"/>
  <c r="E184" i="13"/>
  <c r="F184" i="13" s="1"/>
  <c r="E185" i="13" l="1"/>
  <c r="F185" i="13" s="1"/>
  <c r="B186" i="13"/>
  <c r="B187" i="13" l="1"/>
  <c r="E186" i="13"/>
  <c r="F186" i="13" s="1"/>
  <c r="E187" i="13" l="1"/>
  <c r="F187" i="13" s="1"/>
  <c r="B188" i="13"/>
  <c r="B189" i="13" l="1"/>
  <c r="E188" i="13"/>
  <c r="F188" i="13" s="1"/>
  <c r="E189" i="13" l="1"/>
  <c r="F189" i="13" s="1"/>
  <c r="B190" i="13"/>
  <c r="B191" i="13" l="1"/>
  <c r="E190" i="13"/>
  <c r="F190" i="13" s="1"/>
  <c r="EJ42" i="12"/>
  <c r="EP42" i="12" s="1"/>
  <c r="E191" i="13" l="1"/>
  <c r="F191" i="13" s="1"/>
  <c r="B192" i="13"/>
  <c r="B193" i="13" l="1"/>
  <c r="E192" i="13"/>
  <c r="F192" i="13" s="1"/>
  <c r="E193" i="13" l="1"/>
  <c r="F193" i="13" s="1"/>
  <c r="B194" i="13"/>
  <c r="B195" i="13" l="1"/>
  <c r="E194" i="13"/>
  <c r="F194" i="13" s="1"/>
  <c r="E195" i="13" l="1"/>
  <c r="F195" i="13" s="1"/>
  <c r="B196" i="13"/>
  <c r="B197" i="13" l="1"/>
  <c r="E196" i="13"/>
  <c r="F196" i="13" s="1"/>
  <c r="E197" i="13" l="1"/>
  <c r="F197" i="13" s="1"/>
  <c r="B198" i="13"/>
  <c r="B199" i="13" l="1"/>
  <c r="E198" i="13"/>
  <c r="F198" i="13" s="1"/>
  <c r="E199" i="13" l="1"/>
  <c r="F199" i="13" s="1"/>
  <c r="B200" i="13"/>
  <c r="B201" i="13" l="1"/>
  <c r="E200" i="13"/>
  <c r="F200" i="13" s="1"/>
  <c r="E201" i="13" l="1"/>
  <c r="F201" i="13" s="1"/>
  <c r="B202" i="13"/>
  <c r="B203" i="13" l="1"/>
  <c r="E202" i="13"/>
  <c r="F202" i="13" s="1"/>
  <c r="E203" i="13" l="1"/>
  <c r="F203" i="13" s="1"/>
  <c r="B204" i="13"/>
  <c r="B205" i="13" l="1"/>
  <c r="E204" i="13"/>
  <c r="F204" i="13" s="1"/>
  <c r="E205" i="13" l="1"/>
  <c r="F205" i="13" s="1"/>
  <c r="B206" i="13"/>
  <c r="B207" i="13" l="1"/>
  <c r="E206" i="13"/>
  <c r="F206" i="13" s="1"/>
  <c r="E207" i="13" l="1"/>
  <c r="F207" i="13" s="1"/>
  <c r="B208" i="13"/>
  <c r="B209" i="13" l="1"/>
  <c r="E208" i="13"/>
  <c r="F208" i="13" s="1"/>
  <c r="E209" i="13" l="1"/>
  <c r="F209" i="13" s="1"/>
  <c r="B210" i="13"/>
  <c r="B211" i="13" l="1"/>
  <c r="E210" i="13"/>
  <c r="F210" i="13" s="1"/>
  <c r="E211" i="13" l="1"/>
  <c r="F211" i="13" s="1"/>
  <c r="B212" i="13"/>
  <c r="B213" i="13" l="1"/>
  <c r="E212" i="13"/>
  <c r="F212" i="13" s="1"/>
  <c r="E213" i="13" l="1"/>
  <c r="F213" i="13" s="1"/>
  <c r="B214" i="13"/>
  <c r="B215" i="13" l="1"/>
  <c r="E214" i="13"/>
  <c r="F214" i="13" s="1"/>
  <c r="E215" i="13" l="1"/>
  <c r="F215" i="13" s="1"/>
  <c r="B216" i="13"/>
  <c r="B217" i="13" l="1"/>
  <c r="E216" i="13"/>
  <c r="F216" i="13" s="1"/>
  <c r="E217" i="13" l="1"/>
  <c r="F217" i="13" s="1"/>
  <c r="B218" i="13"/>
  <c r="B219" i="13" l="1"/>
  <c r="E218" i="13"/>
  <c r="F218" i="13" s="1"/>
  <c r="E219" i="13" l="1"/>
  <c r="F219" i="13" s="1"/>
  <c r="B220" i="13"/>
  <c r="B221" i="13" l="1"/>
  <c r="E220" i="13"/>
  <c r="F220" i="13" s="1"/>
  <c r="E221" i="13" l="1"/>
  <c r="F221" i="13" s="1"/>
  <c r="B222" i="13"/>
  <c r="B223" i="13" l="1"/>
  <c r="E222" i="13"/>
  <c r="F222" i="13" s="1"/>
  <c r="E223" i="13" l="1"/>
  <c r="F223" i="13" s="1"/>
  <c r="B224" i="13"/>
  <c r="B225" i="13" l="1"/>
  <c r="E224" i="13"/>
  <c r="F224" i="13" s="1"/>
  <c r="E225" i="13" l="1"/>
  <c r="F225" i="13" s="1"/>
  <c r="B226" i="13"/>
  <c r="B227" i="13" l="1"/>
  <c r="E226" i="13"/>
  <c r="F226" i="13" s="1"/>
  <c r="E227" i="13" l="1"/>
  <c r="F227" i="13" s="1"/>
  <c r="B228" i="13"/>
  <c r="B229" i="13" l="1"/>
  <c r="E228" i="13"/>
  <c r="F228" i="13" s="1"/>
  <c r="E229" i="13" l="1"/>
  <c r="F229" i="13" s="1"/>
  <c r="B230" i="13"/>
  <c r="B231" i="13" l="1"/>
  <c r="E230" i="13"/>
  <c r="F230" i="13" s="1"/>
  <c r="E231" i="13" l="1"/>
  <c r="F231" i="13" s="1"/>
  <c r="B232" i="13"/>
  <c r="B233" i="13" l="1"/>
  <c r="E232" i="13"/>
  <c r="F232" i="13" s="1"/>
  <c r="E233" i="13" l="1"/>
  <c r="F233" i="13" s="1"/>
  <c r="B234" i="13"/>
  <c r="B235" i="13" l="1"/>
  <c r="E234" i="13"/>
  <c r="F234" i="13" s="1"/>
  <c r="E235" i="13" l="1"/>
  <c r="F235" i="13" s="1"/>
  <c r="B236" i="13"/>
  <c r="B237" i="13" l="1"/>
  <c r="E236" i="13"/>
  <c r="F236" i="13" s="1"/>
  <c r="E237" i="13" l="1"/>
  <c r="F237" i="13" s="1"/>
  <c r="B238" i="13"/>
  <c r="B239" i="13" l="1"/>
  <c r="E238" i="13"/>
  <c r="F238" i="13" s="1"/>
  <c r="E239" i="13" l="1"/>
  <c r="F239" i="13" s="1"/>
  <c r="B240" i="13"/>
  <c r="B241" i="13" l="1"/>
  <c r="E240" i="13"/>
  <c r="F240" i="13" s="1"/>
  <c r="E241" i="13" l="1"/>
  <c r="F241" i="13" s="1"/>
  <c r="B242" i="13"/>
  <c r="B243" i="13" l="1"/>
  <c r="E242" i="13"/>
  <c r="F242" i="13" s="1"/>
  <c r="E243" i="13" l="1"/>
  <c r="F243" i="13" s="1"/>
  <c r="B244" i="13"/>
  <c r="B245" i="13" l="1"/>
  <c r="E244" i="13"/>
  <c r="F244" i="13" s="1"/>
  <c r="E245" i="13" l="1"/>
  <c r="F245" i="13" s="1"/>
  <c r="B246" i="13"/>
  <c r="B247" i="13" l="1"/>
  <c r="E246" i="13"/>
  <c r="F246" i="13" s="1"/>
  <c r="E247" i="13" l="1"/>
  <c r="F247" i="13" s="1"/>
  <c r="B248" i="13"/>
  <c r="B249" i="13" l="1"/>
  <c r="E248" i="13"/>
  <c r="F248" i="13" s="1"/>
  <c r="E249" i="13" l="1"/>
  <c r="F249" i="13" s="1"/>
  <c r="B250" i="13"/>
  <c r="B251" i="13" l="1"/>
  <c r="E250" i="13"/>
  <c r="F250" i="13" s="1"/>
  <c r="E251" i="13" l="1"/>
  <c r="F251" i="13" s="1"/>
  <c r="B252" i="13"/>
  <c r="B253" i="13" l="1"/>
  <c r="E252" i="13"/>
  <c r="F252" i="13" s="1"/>
  <c r="E253" i="13" l="1"/>
  <c r="F253" i="13" s="1"/>
  <c r="B254" i="13"/>
  <c r="B255" i="13" l="1"/>
  <c r="E254" i="13"/>
  <c r="F254" i="13" s="1"/>
  <c r="E255" i="13" l="1"/>
  <c r="F255" i="13" s="1"/>
  <c r="B256" i="13"/>
  <c r="B257" i="13" l="1"/>
  <c r="E256" i="13"/>
  <c r="F256" i="13" s="1"/>
  <c r="E257" i="13" l="1"/>
  <c r="F257" i="13" s="1"/>
  <c r="B258" i="13"/>
  <c r="B259" i="13" l="1"/>
  <c r="E258" i="13"/>
  <c r="F258" i="13" s="1"/>
  <c r="E259" i="13" l="1"/>
  <c r="F259" i="13" s="1"/>
  <c r="B260" i="13"/>
  <c r="B261" i="13" l="1"/>
  <c r="E260" i="13"/>
  <c r="F260" i="13" s="1"/>
  <c r="E261" i="13" l="1"/>
  <c r="F261" i="13" s="1"/>
  <c r="B262" i="13"/>
  <c r="B263" i="13" l="1"/>
  <c r="E262" i="13"/>
  <c r="F262" i="13" s="1"/>
  <c r="E263" i="13" l="1"/>
  <c r="F263" i="13" s="1"/>
  <c r="B264" i="13"/>
  <c r="B265" i="13" l="1"/>
  <c r="E264" i="13"/>
  <c r="F264" i="13" s="1"/>
  <c r="E265" i="13" l="1"/>
  <c r="F265" i="13" s="1"/>
  <c r="B266" i="13"/>
  <c r="B267" i="13" l="1"/>
  <c r="E266" i="13"/>
  <c r="F266" i="13" s="1"/>
  <c r="E267" i="13" l="1"/>
  <c r="F267" i="13" s="1"/>
  <c r="B268" i="13"/>
  <c r="B269" i="13" l="1"/>
  <c r="E268" i="13"/>
  <c r="F268" i="13" s="1"/>
  <c r="E269" i="13" l="1"/>
  <c r="F269" i="13" s="1"/>
  <c r="B270" i="13"/>
  <c r="B271" i="13" l="1"/>
  <c r="E270" i="13"/>
  <c r="F270" i="13" s="1"/>
  <c r="E271" i="13" l="1"/>
  <c r="F271" i="13" s="1"/>
  <c r="B272" i="13"/>
  <c r="B273" i="13" l="1"/>
  <c r="E272" i="13"/>
  <c r="F272" i="13" s="1"/>
  <c r="E273" i="13" l="1"/>
  <c r="F273" i="13" s="1"/>
  <c r="B274" i="13"/>
  <c r="B275" i="13" l="1"/>
  <c r="E274" i="13"/>
  <c r="F274" i="13" s="1"/>
  <c r="E275" i="13" l="1"/>
  <c r="F275" i="13" s="1"/>
  <c r="B276" i="13"/>
  <c r="B277" i="13" l="1"/>
  <c r="E276" i="13"/>
  <c r="F276" i="13" s="1"/>
  <c r="E277" i="13" l="1"/>
  <c r="F277" i="13" s="1"/>
  <c r="B278" i="13"/>
  <c r="B279" i="13" l="1"/>
  <c r="E278" i="13"/>
  <c r="F278" i="13" s="1"/>
  <c r="E279" i="13" l="1"/>
  <c r="F279" i="13" s="1"/>
  <c r="B280" i="13"/>
  <c r="B281" i="13" l="1"/>
  <c r="E280" i="13"/>
  <c r="F280" i="13" s="1"/>
  <c r="E281" i="13" l="1"/>
  <c r="F281" i="13" s="1"/>
  <c r="B282" i="13"/>
  <c r="B283" i="13" l="1"/>
  <c r="E282" i="13"/>
  <c r="F282" i="13" s="1"/>
  <c r="E283" i="13" l="1"/>
  <c r="F283" i="13" s="1"/>
  <c r="B284" i="13"/>
  <c r="B285" i="13" l="1"/>
  <c r="E284" i="13"/>
  <c r="F284" i="13" s="1"/>
  <c r="E285" i="13" l="1"/>
  <c r="F285" i="13" s="1"/>
  <c r="B286" i="13"/>
  <c r="B287" i="13" l="1"/>
  <c r="E286" i="13"/>
  <c r="F286" i="13" s="1"/>
  <c r="E287" i="13" l="1"/>
  <c r="F287" i="13" s="1"/>
  <c r="B288" i="13"/>
  <c r="B289" i="13" l="1"/>
  <c r="E288" i="13"/>
  <c r="F288" i="13" s="1"/>
  <c r="E289" i="13" l="1"/>
  <c r="F289" i="13" s="1"/>
  <c r="B290" i="13"/>
  <c r="B291" i="13" l="1"/>
  <c r="E290" i="13"/>
  <c r="F290" i="13" s="1"/>
  <c r="E291" i="13" l="1"/>
  <c r="F291" i="13" s="1"/>
  <c r="B292" i="13"/>
  <c r="B293" i="13" l="1"/>
  <c r="E292" i="13"/>
  <c r="F292" i="13" s="1"/>
  <c r="E293" i="13" l="1"/>
  <c r="F293" i="13" s="1"/>
  <c r="B294" i="13"/>
  <c r="B295" i="13" l="1"/>
  <c r="E294" i="13"/>
  <c r="F294" i="13" s="1"/>
  <c r="E295" i="13" l="1"/>
  <c r="F295" i="13" s="1"/>
  <c r="B296" i="13"/>
  <c r="B297" i="13" l="1"/>
  <c r="E296" i="13"/>
  <c r="F296" i="13" s="1"/>
  <c r="E297" i="13" l="1"/>
  <c r="F297" i="13" s="1"/>
  <c r="B298" i="13"/>
  <c r="B299" i="13" l="1"/>
  <c r="E298" i="13"/>
  <c r="F298" i="13" s="1"/>
  <c r="E299" i="13" l="1"/>
  <c r="F299" i="13" s="1"/>
  <c r="B300" i="13"/>
  <c r="B301" i="13" l="1"/>
  <c r="E300" i="13"/>
  <c r="F300" i="13" s="1"/>
  <c r="E301" i="13" l="1"/>
  <c r="F301" i="13" s="1"/>
  <c r="B302" i="13"/>
  <c r="B303" i="13" l="1"/>
  <c r="E302" i="13"/>
  <c r="F302" i="13" s="1"/>
  <c r="E303" i="13" l="1"/>
  <c r="F303" i="13" s="1"/>
  <c r="B304" i="13"/>
  <c r="B305" i="13" l="1"/>
  <c r="E304" i="13"/>
  <c r="F304" i="13" s="1"/>
  <c r="E305" i="13" l="1"/>
  <c r="F305" i="13" s="1"/>
  <c r="B306" i="13"/>
  <c r="B307" i="13" l="1"/>
  <c r="E306" i="13"/>
  <c r="F306" i="13" s="1"/>
  <c r="E307" i="13" l="1"/>
  <c r="F307" i="13" s="1"/>
  <c r="B308" i="13"/>
  <c r="B309" i="13" l="1"/>
  <c r="E308" i="13"/>
  <c r="F308" i="13" s="1"/>
  <c r="E309" i="13" l="1"/>
  <c r="F309" i="13" s="1"/>
  <c r="B310" i="13"/>
  <c r="B311" i="13" l="1"/>
  <c r="E310" i="13"/>
  <c r="F310" i="13" s="1"/>
  <c r="E311" i="13" l="1"/>
  <c r="F311" i="13" s="1"/>
  <c r="B312" i="13"/>
  <c r="B313" i="13" l="1"/>
  <c r="E312" i="13"/>
  <c r="F312" i="13" s="1"/>
  <c r="E313" i="13" l="1"/>
  <c r="F313" i="13" s="1"/>
  <c r="B314" i="13"/>
  <c r="B315" i="13" l="1"/>
  <c r="E314" i="13"/>
  <c r="F314" i="13" s="1"/>
  <c r="E315" i="13" l="1"/>
  <c r="F315" i="13" s="1"/>
  <c r="B316" i="13"/>
  <c r="B317" i="13" l="1"/>
  <c r="E316" i="13"/>
  <c r="F316" i="13" s="1"/>
  <c r="E317" i="13" l="1"/>
  <c r="F317" i="13" s="1"/>
  <c r="B318" i="13"/>
  <c r="B319" i="13" l="1"/>
  <c r="E318" i="13"/>
  <c r="F318" i="13" s="1"/>
  <c r="E319" i="13" l="1"/>
  <c r="F319" i="13" s="1"/>
  <c r="B320" i="13"/>
  <c r="EJ40" i="12" l="1"/>
  <c r="B321" i="13"/>
  <c r="E320" i="13"/>
  <c r="F320" i="13" s="1"/>
  <c r="EP40" i="12" l="1"/>
  <c r="E321" i="13"/>
  <c r="F321" i="13" s="1"/>
  <c r="B322" i="13"/>
  <c r="B323" i="13" l="1"/>
  <c r="E322" i="13"/>
  <c r="F322" i="13" s="1"/>
  <c r="E323" i="13" l="1"/>
  <c r="F323" i="13" s="1"/>
  <c r="B324" i="13"/>
  <c r="B325" i="13" l="1"/>
  <c r="E324" i="13"/>
  <c r="F324" i="13" s="1"/>
  <c r="E325" i="13" l="1"/>
  <c r="F325" i="13" s="1"/>
  <c r="B326" i="13"/>
  <c r="B327" i="13" l="1"/>
  <c r="E326" i="13"/>
  <c r="F326" i="13" s="1"/>
  <c r="E327" i="13" l="1"/>
  <c r="F327" i="13" s="1"/>
  <c r="B328" i="13"/>
  <c r="B329" i="13" l="1"/>
  <c r="E328" i="13"/>
  <c r="F328" i="13" s="1"/>
  <c r="E329" i="13" l="1"/>
  <c r="F329" i="13" s="1"/>
  <c r="B330" i="13"/>
  <c r="B331" i="13" l="1"/>
  <c r="E330" i="13"/>
  <c r="F330" i="13" s="1"/>
  <c r="E331" i="13" l="1"/>
  <c r="F331" i="13" s="1"/>
  <c r="B332" i="13"/>
  <c r="E332" i="13" l="1"/>
  <c r="F332" i="13" s="1"/>
  <c r="B333" i="13"/>
  <c r="E333" i="13" l="1"/>
  <c r="F333" i="13" s="1"/>
  <c r="B334" i="13"/>
  <c r="E334" i="13" l="1"/>
  <c r="F334" i="13" s="1"/>
  <c r="B335" i="13"/>
  <c r="E335" i="13" l="1"/>
  <c r="F335" i="13" s="1"/>
  <c r="B336" i="13"/>
  <c r="E336" i="13" l="1"/>
  <c r="F336" i="13" s="1"/>
  <c r="B337" i="13"/>
  <c r="E337" i="13" l="1"/>
  <c r="F337" i="13" s="1"/>
  <c r="B338" i="13"/>
  <c r="E338" i="13" l="1"/>
  <c r="F338" i="13" s="1"/>
  <c r="B339" i="13"/>
  <c r="E339" i="13" l="1"/>
  <c r="F339" i="13" s="1"/>
  <c r="B340" i="13"/>
  <c r="B341" i="13" l="1"/>
  <c r="E340" i="13"/>
  <c r="F340" i="13" s="1"/>
  <c r="E341" i="13" l="1"/>
  <c r="F341" i="13" s="1"/>
  <c r="B342" i="13"/>
  <c r="B343" i="13" l="1"/>
  <c r="E342" i="13"/>
  <c r="F342" i="13" s="1"/>
  <c r="E343" i="13" l="1"/>
  <c r="F343" i="13" s="1"/>
  <c r="B344" i="13"/>
  <c r="B345" i="13" l="1"/>
  <c r="E344" i="13"/>
  <c r="F344" i="13" s="1"/>
  <c r="E345" i="13" l="1"/>
  <c r="F345" i="13" s="1"/>
  <c r="B346" i="13"/>
  <c r="B347" i="13" l="1"/>
  <c r="E346" i="13"/>
  <c r="F346" i="13" s="1"/>
  <c r="E347" i="13" l="1"/>
  <c r="F347" i="13" s="1"/>
  <c r="B348" i="13"/>
  <c r="B349" i="13" l="1"/>
  <c r="E348" i="13"/>
  <c r="F348" i="13" s="1"/>
  <c r="E349" i="13" l="1"/>
  <c r="F349" i="13" s="1"/>
  <c r="B350" i="13"/>
  <c r="B351" i="13" l="1"/>
  <c r="E350" i="13"/>
  <c r="F350" i="13" s="1"/>
  <c r="E351" i="13" l="1"/>
  <c r="F351" i="13" s="1"/>
  <c r="B352" i="13"/>
  <c r="B353" i="13" l="1"/>
  <c r="E352" i="13"/>
  <c r="F352" i="13" s="1"/>
  <c r="E353" i="13" l="1"/>
  <c r="F353" i="13" s="1"/>
  <c r="B354" i="13"/>
  <c r="B355" i="13" l="1"/>
  <c r="E354" i="13"/>
  <c r="F354" i="13" s="1"/>
  <c r="E355" i="13" l="1"/>
  <c r="F355" i="13" s="1"/>
  <c r="B356" i="13"/>
  <c r="B357" i="13" l="1"/>
  <c r="E356" i="13"/>
  <c r="F356" i="13" s="1"/>
  <c r="E357" i="13" l="1"/>
  <c r="F357" i="13" s="1"/>
  <c r="B358" i="13"/>
  <c r="B359" i="13" l="1"/>
  <c r="E358" i="13"/>
  <c r="F358" i="13" s="1"/>
  <c r="E359" i="13" l="1"/>
  <c r="F359" i="13" s="1"/>
  <c r="B360" i="13"/>
  <c r="B361" i="13" l="1"/>
  <c r="E361" i="13" s="1"/>
  <c r="F361" i="13" s="1"/>
  <c r="F1" i="13" s="1"/>
  <c r="G1" i="13" s="1"/>
  <c r="H1" i="13" s="1"/>
  <c r="E360" i="13"/>
  <c r="F360" i="13" s="1"/>
  <c r="CJ14" i="12" l="1"/>
  <c r="CK14" i="12" s="1"/>
  <c r="ES14" i="12" s="1"/>
  <c r="DB14" i="12"/>
  <c r="AL14" i="12" l="1"/>
  <c r="ET14" i="12" s="1"/>
  <c r="CZ14" i="12"/>
  <c r="CY14" i="12" s="1"/>
  <c r="B5" i="19" s="1"/>
  <c r="CM14" i="12"/>
  <c r="CO14" i="12" s="1"/>
  <c r="CL14" i="12"/>
  <c r="AK14" i="12" l="1"/>
  <c r="DA14" i="12"/>
  <c r="B37" i="19" s="1"/>
  <c r="EU14" i="12"/>
  <c r="EV14" i="12" s="1"/>
  <c r="EW15" i="12" s="1"/>
  <c r="EX16" i="12" s="1"/>
  <c r="EY17" i="12" s="1"/>
  <c r="B170" i="19" l="1"/>
  <c r="AR14" i="12"/>
  <c r="LZ14" i="12"/>
  <c r="AP14" i="12"/>
  <c r="B104" i="19" s="1"/>
  <c r="B71" i="19"/>
  <c r="DF14" i="12"/>
  <c r="EL14" i="12" s="1"/>
  <c r="EZ14" i="12"/>
  <c r="AI14" i="12" s="1"/>
  <c r="AH14" i="12" l="1"/>
  <c r="AO14" i="12" s="1"/>
  <c r="BM14" i="12" l="1"/>
  <c r="BI14" i="12"/>
  <c r="BK14" i="12" s="1"/>
  <c r="AQ14" i="12"/>
  <c r="FL15" i="12"/>
  <c r="FR15" i="12" s="1"/>
  <c r="CG15" i="12" l="1"/>
  <c r="CH15" i="12"/>
  <c r="CF15" i="12"/>
  <c r="FY14" i="12"/>
  <c r="HG14" i="12" s="1"/>
  <c r="FX14" i="12"/>
  <c r="GR14" i="12"/>
  <c r="HZ14" i="12" s="1"/>
  <c r="GY14" i="12"/>
  <c r="IG14" i="12" s="1"/>
  <c r="GV14" i="12"/>
  <c r="ID14" i="12" s="1"/>
  <c r="GB14" i="12"/>
  <c r="HJ14" i="12" s="1"/>
  <c r="GT14" i="12"/>
  <c r="IB14" i="12" s="1"/>
  <c r="GF14" i="12"/>
  <c r="HN14" i="12" s="1"/>
  <c r="GZ14" i="12"/>
  <c r="IH14" i="12" s="1"/>
  <c r="GK14" i="12"/>
  <c r="HS14" i="12" s="1"/>
  <c r="GC14" i="12"/>
  <c r="HK14" i="12" s="1"/>
  <c r="GA14" i="12"/>
  <c r="HI14" i="12" s="1"/>
  <c r="GU14" i="12"/>
  <c r="IC14" i="12" s="1"/>
  <c r="FZ14" i="12"/>
  <c r="HH14" i="12" s="1"/>
  <c r="GE14" i="12"/>
  <c r="HM14" i="12" s="1"/>
  <c r="GD14" i="12"/>
  <c r="HL14" i="12" s="1"/>
  <c r="GG14" i="12"/>
  <c r="HO14" i="12" s="1"/>
  <c r="HB14" i="12"/>
  <c r="IJ14" i="12" s="1"/>
  <c r="GP14" i="12"/>
  <c r="HX14" i="12" s="1"/>
  <c r="GL14" i="12"/>
  <c r="HT14" i="12" s="1"/>
  <c r="GJ14" i="12"/>
  <c r="HR14" i="12" s="1"/>
  <c r="GQ14" i="12"/>
  <c r="HY14" i="12" s="1"/>
  <c r="GW14" i="12"/>
  <c r="IE14" i="12" s="1"/>
  <c r="GI14" i="12"/>
  <c r="HQ14" i="12" s="1"/>
  <c r="GM14" i="12"/>
  <c r="HU14" i="12" s="1"/>
  <c r="GN14" i="12"/>
  <c r="HV14" i="12" s="1"/>
  <c r="GH14" i="12"/>
  <c r="HP14" i="12" s="1"/>
  <c r="GO14" i="12"/>
  <c r="HW14" i="12" s="1"/>
  <c r="GS14" i="12"/>
  <c r="IA14" i="12" s="1"/>
  <c r="HA14" i="12"/>
  <c r="II14" i="12" s="1"/>
  <c r="GX14" i="12"/>
  <c r="IF14" i="12" s="1"/>
  <c r="BD14" i="12"/>
  <c r="CQ15" i="12" l="1"/>
  <c r="DD15" i="12"/>
  <c r="HF14" i="12"/>
  <c r="FN15" i="12" s="1"/>
  <c r="FW14" i="12"/>
  <c r="EM15" i="12"/>
  <c r="BH14" i="12"/>
  <c r="AY14" i="12"/>
  <c r="AX14" i="12"/>
  <c r="EJ14" i="12" s="1"/>
  <c r="AV13" i="12" l="1"/>
  <c r="CB15" i="12" s="1"/>
  <c r="FS15" i="12"/>
  <c r="EK14" i="12"/>
  <c r="EP14" i="12" s="1"/>
  <c r="BA14" i="12"/>
  <c r="BY16" i="12"/>
  <c r="BV16" i="12"/>
  <c r="BB14" i="12"/>
  <c r="BF14" i="12" s="1"/>
  <c r="BW16" i="12"/>
  <c r="CP15" i="12" l="1"/>
  <c r="CR15" i="12" s="1"/>
  <c r="CS15" i="12" s="1"/>
  <c r="BE14" i="12"/>
  <c r="BG14" i="12"/>
  <c r="CJ15" i="12"/>
  <c r="DB15" i="12"/>
  <c r="BZ16" i="12"/>
  <c r="CA16" i="12"/>
  <c r="BM7" i="12" l="1"/>
  <c r="CZ15" i="12"/>
  <c r="CL15" i="12"/>
  <c r="CM15" i="12"/>
  <c r="CO15" i="12" s="1"/>
  <c r="CK15" i="12"/>
  <c r="ES15" i="12" s="1"/>
  <c r="DC16" i="12"/>
  <c r="AL15" i="12" l="1"/>
  <c r="ET15" i="12" s="1"/>
  <c r="CY15" i="12"/>
  <c r="B6" i="19" s="1"/>
  <c r="DA15" i="12"/>
  <c r="EU15" i="12" l="1"/>
  <c r="EV15" i="12" s="1"/>
  <c r="AK15" i="12"/>
  <c r="AR15" i="12" s="1"/>
  <c r="B38" i="19"/>
  <c r="DF15" i="12"/>
  <c r="EL15" i="12" s="1"/>
  <c r="EW16" i="12" l="1"/>
  <c r="EX17" i="12" s="1"/>
  <c r="EY18" i="12" s="1"/>
  <c r="EZ15" i="12"/>
  <c r="AI15" i="12" s="1"/>
  <c r="AH15" i="12" s="1"/>
  <c r="B72" i="19"/>
  <c r="LZ15" i="12"/>
  <c r="AP15" i="12"/>
  <c r="B105" i="19" s="1"/>
  <c r="B171" i="19"/>
  <c r="AQ15" i="12" l="1"/>
  <c r="AO15" i="12"/>
  <c r="BM15" i="12" s="1"/>
  <c r="CC16" i="12" l="1"/>
  <c r="CG16" i="12"/>
  <c r="CH16" i="12"/>
  <c r="CF16" i="12"/>
  <c r="FL16" i="12"/>
  <c r="FR16" i="12" s="1"/>
  <c r="BI15" i="12"/>
  <c r="BK15" i="12" s="1"/>
  <c r="BD15" i="12" s="1"/>
  <c r="HB15" i="12"/>
  <c r="IJ15" i="12" s="1"/>
  <c r="GH15" i="12"/>
  <c r="HP15" i="12" s="1"/>
  <c r="FY15" i="12"/>
  <c r="HG15" i="12" s="1"/>
  <c r="GZ15" i="12"/>
  <c r="IH15" i="12" s="1"/>
  <c r="GP15" i="12"/>
  <c r="HX15" i="12" s="1"/>
  <c r="GK15" i="12"/>
  <c r="HS15" i="12" s="1"/>
  <c r="GM15" i="12"/>
  <c r="HU15" i="12" s="1"/>
  <c r="BC16" i="12"/>
  <c r="GF15" i="12"/>
  <c r="HN15" i="12" s="1"/>
  <c r="GN15" i="12"/>
  <c r="HV15" i="12" s="1"/>
  <c r="FZ15" i="12"/>
  <c r="HH15" i="12" s="1"/>
  <c r="GE15" i="12"/>
  <c r="HM15" i="12" s="1"/>
  <c r="GR15" i="12"/>
  <c r="HZ15" i="12" s="1"/>
  <c r="GI15" i="12"/>
  <c r="HQ15" i="12" s="1"/>
  <c r="GO15" i="12"/>
  <c r="HW15" i="12" s="1"/>
  <c r="GU15" i="12"/>
  <c r="IC15" i="12" s="1"/>
  <c r="GC15" i="12"/>
  <c r="HK15" i="12" s="1"/>
  <c r="HA15" i="12"/>
  <c r="II15" i="12" s="1"/>
  <c r="FX15" i="12"/>
  <c r="GA15" i="12"/>
  <c r="HI15" i="12" s="1"/>
  <c r="GD15" i="12"/>
  <c r="HL15" i="12" s="1"/>
  <c r="GY15" i="12"/>
  <c r="IG15" i="12" s="1"/>
  <c r="GV15" i="12"/>
  <c r="ID15" i="12" s="1"/>
  <c r="GW15" i="12"/>
  <c r="IE15" i="12" s="1"/>
  <c r="GB15" i="12"/>
  <c r="HJ15" i="12" s="1"/>
  <c r="GX15" i="12"/>
  <c r="IF15" i="12" s="1"/>
  <c r="GG15" i="12"/>
  <c r="HO15" i="12" s="1"/>
  <c r="GL15" i="12"/>
  <c r="HT15" i="12" s="1"/>
  <c r="GJ15" i="12"/>
  <c r="HR15" i="12" s="1"/>
  <c r="GQ15" i="12"/>
  <c r="HY15" i="12" s="1"/>
  <c r="GS15" i="12"/>
  <c r="IA15" i="12" s="1"/>
  <c r="GT15" i="12"/>
  <c r="IB15" i="12" s="1"/>
  <c r="CQ16" i="12" l="1"/>
  <c r="EM16" i="12"/>
  <c r="DD16" i="12"/>
  <c r="BH15" i="12"/>
  <c r="AX15" i="12"/>
  <c r="AY15" i="12"/>
  <c r="HF15" i="12"/>
  <c r="FN16" i="12" s="1"/>
  <c r="FW15" i="12"/>
  <c r="BB15" i="12" l="1"/>
  <c r="BF15" i="12" s="1"/>
  <c r="BW17" i="12"/>
  <c r="CA17" i="12" s="1"/>
  <c r="AV14" i="12"/>
  <c r="CB16" i="12" s="1"/>
  <c r="FS16" i="12"/>
  <c r="EJ15" i="12"/>
  <c r="BA15" i="12"/>
  <c r="BY17" i="12"/>
  <c r="EK15" i="12"/>
  <c r="BV17" i="12"/>
  <c r="BZ17" i="12" s="1"/>
  <c r="BE15" i="12" l="1"/>
  <c r="BG15" i="12"/>
  <c r="CD16" i="12"/>
  <c r="DB16" i="12" s="1"/>
  <c r="EP15" i="12"/>
  <c r="DC17" i="12"/>
  <c r="CP16" i="12" l="1"/>
  <c r="CR16" i="12" s="1"/>
  <c r="CJ16" i="12"/>
  <c r="CM16" i="12" s="1"/>
  <c r="CO16" i="12" s="1"/>
  <c r="CS16" i="12" l="1"/>
  <c r="CZ16" i="12"/>
  <c r="CY16" i="12" s="1"/>
  <c r="B7" i="19" s="1"/>
  <c r="CL16" i="12"/>
  <c r="CK16" i="12"/>
  <c r="ES16" i="12" s="1"/>
  <c r="AM16" i="12" l="1"/>
  <c r="FC16" i="12" s="1"/>
  <c r="FB16" i="12"/>
  <c r="AL16" i="12"/>
  <c r="ET16" i="12" s="1"/>
  <c r="DA16" i="12"/>
  <c r="B39" i="19" s="1"/>
  <c r="EU16" i="12" l="1"/>
  <c r="EV16" i="12" s="1"/>
  <c r="EZ16" i="12" s="1"/>
  <c r="AI16" i="12" s="1"/>
  <c r="DF16" i="12"/>
  <c r="EL16" i="12" s="1"/>
  <c r="AK16" i="12"/>
  <c r="LZ16" i="12" s="1"/>
  <c r="FD16" i="12"/>
  <c r="FE16" i="12" s="1"/>
  <c r="FF17" i="12" s="1"/>
  <c r="FG18" i="12" s="1"/>
  <c r="FH19" i="12" s="1"/>
  <c r="EW17" i="12" l="1"/>
  <c r="EX18" i="12" s="1"/>
  <c r="EY19" i="12" s="1"/>
  <c r="AP16" i="12"/>
  <c r="B106" i="19" s="1"/>
  <c r="AR16" i="12"/>
  <c r="B73" i="19" s="1"/>
  <c r="B172" i="19"/>
  <c r="FI16" i="12"/>
  <c r="AJ16" i="12" s="1"/>
  <c r="AH16" i="12" s="1"/>
  <c r="AQ16" i="12" l="1"/>
  <c r="AO16" i="12"/>
  <c r="CC17" i="12" l="1"/>
  <c r="CG17" i="12"/>
  <c r="CH17" i="12"/>
  <c r="CF17" i="12"/>
  <c r="FL17" i="12"/>
  <c r="FR17" i="12" s="1"/>
  <c r="BI16" i="12"/>
  <c r="BK16" i="12" s="1"/>
  <c r="BD16" i="12" s="1"/>
  <c r="BM16" i="12"/>
  <c r="JF16" i="12"/>
  <c r="KN16" i="12" s="1"/>
  <c r="IU16" i="12"/>
  <c r="KC16" i="12" s="1"/>
  <c r="IR16" i="12"/>
  <c r="JZ16" i="12" s="1"/>
  <c r="IV16" i="12"/>
  <c r="KD16" i="12" s="1"/>
  <c r="GV16" i="12"/>
  <c r="ID16" i="12" s="1"/>
  <c r="GX16" i="12"/>
  <c r="IF16" i="12" s="1"/>
  <c r="GY16" i="12"/>
  <c r="IG16" i="12" s="1"/>
  <c r="GC16" i="12"/>
  <c r="HK16" i="12" s="1"/>
  <c r="BC17" i="12"/>
  <c r="GD16" i="12"/>
  <c r="HL16" i="12" s="1"/>
  <c r="JM16" i="12"/>
  <c r="KU16" i="12" s="1"/>
  <c r="GS16" i="12"/>
  <c r="IA16" i="12" s="1"/>
  <c r="IT16" i="12"/>
  <c r="KB16" i="12" s="1"/>
  <c r="GZ16" i="12"/>
  <c r="IH16" i="12" s="1"/>
  <c r="JI16" i="12"/>
  <c r="KQ16" i="12" s="1"/>
  <c r="FZ16" i="12"/>
  <c r="HH16" i="12" s="1"/>
  <c r="JG16" i="12"/>
  <c r="KO16" i="12" s="1"/>
  <c r="GU16" i="12"/>
  <c r="IC16" i="12" s="1"/>
  <c r="JS16" i="12"/>
  <c r="LA16" i="12" s="1"/>
  <c r="GI16" i="12"/>
  <c r="HQ16" i="12" s="1"/>
  <c r="JN16" i="12"/>
  <c r="KV16" i="12" s="1"/>
  <c r="JK16" i="12"/>
  <c r="KS16" i="12" s="1"/>
  <c r="JH16" i="12"/>
  <c r="KP16" i="12" s="1"/>
  <c r="JD16" i="12"/>
  <c r="KL16" i="12" s="1"/>
  <c r="FY16" i="12"/>
  <c r="HG16" i="12" s="1"/>
  <c r="GB16" i="12"/>
  <c r="HJ16" i="12" s="1"/>
  <c r="GK16" i="12"/>
  <c r="HS16" i="12" s="1"/>
  <c r="HA16" i="12"/>
  <c r="II16" i="12" s="1"/>
  <c r="GJ16" i="12"/>
  <c r="HR16" i="12" s="1"/>
  <c r="IO16" i="12"/>
  <c r="JE16" i="12"/>
  <c r="KM16" i="12" s="1"/>
  <c r="GH16" i="12"/>
  <c r="HP16" i="12" s="1"/>
  <c r="JO16" i="12"/>
  <c r="KW16" i="12" s="1"/>
  <c r="IZ16" i="12"/>
  <c r="KH16" i="12" s="1"/>
  <c r="IW16" i="12"/>
  <c r="KE16" i="12" s="1"/>
  <c r="JA16" i="12"/>
  <c r="KI16" i="12" s="1"/>
  <c r="JL16" i="12"/>
  <c r="KT16" i="12" s="1"/>
  <c r="GG16" i="12"/>
  <c r="HO16" i="12" s="1"/>
  <c r="GL16" i="12"/>
  <c r="HT16" i="12" s="1"/>
  <c r="GR16" i="12"/>
  <c r="HZ16" i="12" s="1"/>
  <c r="IS16" i="12"/>
  <c r="KA16" i="12" s="1"/>
  <c r="GM16" i="12"/>
  <c r="HU16" i="12" s="1"/>
  <c r="JJ16" i="12"/>
  <c r="KR16" i="12" s="1"/>
  <c r="GE16" i="12"/>
  <c r="HM16" i="12" s="1"/>
  <c r="JC16" i="12"/>
  <c r="KK16" i="12" s="1"/>
  <c r="GT16" i="12"/>
  <c r="IB16" i="12" s="1"/>
  <c r="JR16" i="12"/>
  <c r="KZ16" i="12" s="1"/>
  <c r="GQ16" i="12"/>
  <c r="HY16" i="12" s="1"/>
  <c r="JP16" i="12"/>
  <c r="KX16" i="12" s="1"/>
  <c r="JQ16" i="12"/>
  <c r="KY16" i="12" s="1"/>
  <c r="GO16" i="12"/>
  <c r="HW16" i="12" s="1"/>
  <c r="HB16" i="12"/>
  <c r="IJ16" i="12" s="1"/>
  <c r="IQ16" i="12"/>
  <c r="JY16" i="12" s="1"/>
  <c r="GW16" i="12"/>
  <c r="IE16" i="12" s="1"/>
  <c r="IY16" i="12"/>
  <c r="KG16" i="12" s="1"/>
  <c r="FX16" i="12"/>
  <c r="GP16" i="12"/>
  <c r="HX16" i="12" s="1"/>
  <c r="GA16" i="12"/>
  <c r="HI16" i="12" s="1"/>
  <c r="IP16" i="12"/>
  <c r="JX16" i="12" s="1"/>
  <c r="JB16" i="12"/>
  <c r="KJ16" i="12" s="1"/>
  <c r="GF16" i="12"/>
  <c r="HN16" i="12" s="1"/>
  <c r="GN16" i="12"/>
  <c r="HV16" i="12" s="1"/>
  <c r="IX16" i="12"/>
  <c r="KF16" i="12" s="1"/>
  <c r="CQ17" i="12" l="1"/>
  <c r="DD17" i="12"/>
  <c r="EM17" i="12"/>
  <c r="HF16" i="12"/>
  <c r="FN17" i="12" s="1"/>
  <c r="FW16" i="12"/>
  <c r="AY16" i="12"/>
  <c r="AX16" i="12"/>
  <c r="BH16" i="12"/>
  <c r="IN16" i="12"/>
  <c r="JW16" i="12"/>
  <c r="FO17" i="12" s="1"/>
  <c r="AW15" i="12" s="1"/>
  <c r="AZ15" i="12" s="1"/>
  <c r="BX17" i="12" s="1"/>
  <c r="EK16" i="12" l="1"/>
  <c r="BA16" i="12"/>
  <c r="BV18" i="12"/>
  <c r="BZ18" i="12" s="1"/>
  <c r="BY18" i="12"/>
  <c r="AV15" i="12"/>
  <c r="CB17" i="12" s="1"/>
  <c r="FS17" i="12"/>
  <c r="BW18" i="12"/>
  <c r="CA18" i="12" s="1"/>
  <c r="BB16" i="12"/>
  <c r="BF16" i="12" s="1"/>
  <c r="EJ16" i="12"/>
  <c r="BE16" i="12" l="1"/>
  <c r="BG16" i="12"/>
  <c r="CD17" i="12"/>
  <c r="DB17" i="12" s="1"/>
  <c r="EP16" i="12"/>
  <c r="DC18" i="12"/>
  <c r="CP17" i="12" l="1"/>
  <c r="CR17" i="12" s="1"/>
  <c r="CJ17" i="12"/>
  <c r="CM17" i="12" s="1"/>
  <c r="CO17" i="12" s="1"/>
  <c r="CS17" i="12" l="1"/>
  <c r="CK17" i="12"/>
  <c r="ES17" i="12" s="1"/>
  <c r="CL17" i="12"/>
  <c r="CZ17" i="12"/>
  <c r="AM17" i="12" l="1"/>
  <c r="FC17" i="12" s="1"/>
  <c r="FB17" i="12"/>
  <c r="AL17" i="12"/>
  <c r="ET17" i="12" s="1"/>
  <c r="DA17" i="12"/>
  <c r="CY17" i="12"/>
  <c r="B8" i="19" s="1"/>
  <c r="EU17" i="12" l="1"/>
  <c r="EV17" i="12" s="1"/>
  <c r="FD17" i="12"/>
  <c r="FE17" i="12" s="1"/>
  <c r="FF18" i="12" s="1"/>
  <c r="FG19" i="12" s="1"/>
  <c r="FH20" i="12" s="1"/>
  <c r="AK17" i="12"/>
  <c r="B40" i="19"/>
  <c r="DF17" i="12"/>
  <c r="EL17" i="12" s="1"/>
  <c r="FI17" i="12" l="1"/>
  <c r="AJ17" i="12" s="1"/>
  <c r="LZ17" i="12"/>
  <c r="B173" i="19"/>
  <c r="AP17" i="12"/>
  <c r="B107" i="19" s="1"/>
  <c r="AR17" i="12"/>
  <c r="B74" i="19" s="1"/>
  <c r="EW18" i="12"/>
  <c r="EX19" i="12" s="1"/>
  <c r="EY20" i="12" s="1"/>
  <c r="EZ17" i="12"/>
  <c r="AI17" i="12" s="1"/>
  <c r="AH17" i="12" l="1"/>
  <c r="AO17" i="12" l="1"/>
  <c r="AQ17" i="12"/>
  <c r="CC18" i="12" l="1"/>
  <c r="CG18" i="12"/>
  <c r="CH18" i="12"/>
  <c r="CF18" i="12"/>
  <c r="JH17" i="12"/>
  <c r="KP17" i="12" s="1"/>
  <c r="JJ17" i="12"/>
  <c r="KR17" i="12" s="1"/>
  <c r="IP17" i="12"/>
  <c r="JX17" i="12" s="1"/>
  <c r="IO17" i="12"/>
  <c r="GP17" i="12"/>
  <c r="HX17" i="12" s="1"/>
  <c r="GR17" i="12"/>
  <c r="HZ17" i="12" s="1"/>
  <c r="GK17" i="12"/>
  <c r="HS17" i="12" s="1"/>
  <c r="GN17" i="12"/>
  <c r="HV17" i="12" s="1"/>
  <c r="BC18" i="12"/>
  <c r="IS17" i="12"/>
  <c r="KA17" i="12" s="1"/>
  <c r="GA17" i="12"/>
  <c r="HI17" i="12" s="1"/>
  <c r="GO17" i="12"/>
  <c r="HW17" i="12" s="1"/>
  <c r="JD17" i="12"/>
  <c r="KL17" i="12" s="1"/>
  <c r="IQ17" i="12"/>
  <c r="JY17" i="12" s="1"/>
  <c r="GU17" i="12"/>
  <c r="IC17" i="12" s="1"/>
  <c r="JI17" i="12"/>
  <c r="KQ17" i="12" s="1"/>
  <c r="IU17" i="12"/>
  <c r="KC17" i="12" s="1"/>
  <c r="GC17" i="12"/>
  <c r="HK17" i="12" s="1"/>
  <c r="FX17" i="12"/>
  <c r="GV17" i="12"/>
  <c r="ID17" i="12" s="1"/>
  <c r="IT17" i="12"/>
  <c r="KB17" i="12" s="1"/>
  <c r="GB17" i="12"/>
  <c r="HJ17" i="12" s="1"/>
  <c r="JP17" i="12"/>
  <c r="KX17" i="12" s="1"/>
  <c r="JR17" i="12"/>
  <c r="KZ17" i="12" s="1"/>
  <c r="IX17" i="12"/>
  <c r="KF17" i="12" s="1"/>
  <c r="JO17" i="12"/>
  <c r="KW17" i="12" s="1"/>
  <c r="GX17" i="12"/>
  <c r="IF17" i="12" s="1"/>
  <c r="GZ17" i="12"/>
  <c r="IH17" i="12" s="1"/>
  <c r="HA17" i="12"/>
  <c r="II17" i="12" s="1"/>
  <c r="GF17" i="12"/>
  <c r="HN17" i="12" s="1"/>
  <c r="IV17" i="12"/>
  <c r="KD17" i="12" s="1"/>
  <c r="JS17" i="12"/>
  <c r="LA17" i="12" s="1"/>
  <c r="FY17" i="12"/>
  <c r="HG17" i="12" s="1"/>
  <c r="JA17" i="12"/>
  <c r="KI17" i="12" s="1"/>
  <c r="GL17" i="12"/>
  <c r="HT17" i="12" s="1"/>
  <c r="JL17" i="12"/>
  <c r="KT17" i="12" s="1"/>
  <c r="GQ17" i="12"/>
  <c r="HY17" i="12" s="1"/>
  <c r="JG17" i="12"/>
  <c r="KO17" i="12" s="1"/>
  <c r="GG17" i="12"/>
  <c r="HO17" i="12" s="1"/>
  <c r="JM17" i="12"/>
  <c r="KU17" i="12" s="1"/>
  <c r="GE17" i="12"/>
  <c r="HM17" i="12" s="1"/>
  <c r="JF17" i="12"/>
  <c r="KN17" i="12" s="1"/>
  <c r="GD17" i="12"/>
  <c r="HL17" i="12" s="1"/>
  <c r="JN17" i="12"/>
  <c r="KV17" i="12" s="1"/>
  <c r="GI17" i="12"/>
  <c r="HQ17" i="12" s="1"/>
  <c r="GS17" i="12"/>
  <c r="IA17" i="12" s="1"/>
  <c r="IY17" i="12"/>
  <c r="KG17" i="12" s="1"/>
  <c r="GT17" i="12"/>
  <c r="IB17" i="12" s="1"/>
  <c r="GY17" i="12"/>
  <c r="IG17" i="12" s="1"/>
  <c r="GM17" i="12"/>
  <c r="HU17" i="12" s="1"/>
  <c r="GH17" i="12"/>
  <c r="HP17" i="12" s="1"/>
  <c r="GJ17" i="12"/>
  <c r="HR17" i="12" s="1"/>
  <c r="JQ17" i="12"/>
  <c r="KY17" i="12" s="1"/>
  <c r="IW17" i="12"/>
  <c r="KE17" i="12" s="1"/>
  <c r="JC17" i="12"/>
  <c r="KK17" i="12" s="1"/>
  <c r="HB17" i="12"/>
  <c r="IJ17" i="12" s="1"/>
  <c r="JE17" i="12"/>
  <c r="KM17" i="12" s="1"/>
  <c r="JK17" i="12"/>
  <c r="KS17" i="12" s="1"/>
  <c r="GW17" i="12"/>
  <c r="IE17" i="12" s="1"/>
  <c r="IR17" i="12"/>
  <c r="JZ17" i="12" s="1"/>
  <c r="FZ17" i="12"/>
  <c r="HH17" i="12" s="1"/>
  <c r="JB17" i="12"/>
  <c r="KJ17" i="12" s="1"/>
  <c r="IZ17" i="12"/>
  <c r="KH17" i="12" s="1"/>
  <c r="BI17" i="12"/>
  <c r="BK17" i="12" s="1"/>
  <c r="BD17" i="12" s="1"/>
  <c r="FL18" i="12"/>
  <c r="FR18" i="12" s="1"/>
  <c r="BM17" i="12"/>
  <c r="CQ18" i="12" l="1"/>
  <c r="JW17" i="12"/>
  <c r="FO18" i="12" s="1"/>
  <c r="AW16" i="12" s="1"/>
  <c r="AZ16" i="12" s="1"/>
  <c r="BX18" i="12" s="1"/>
  <c r="IN17" i="12"/>
  <c r="HF17" i="12"/>
  <c r="FN18" i="12" s="1"/>
  <c r="FW17" i="12"/>
  <c r="DD18" i="12"/>
  <c r="EM18" i="12"/>
  <c r="AY17" i="12"/>
  <c r="AX17" i="12"/>
  <c r="BH17" i="12"/>
  <c r="BW19" i="12" l="1"/>
  <c r="CA19" i="12" s="1"/>
  <c r="BB17" i="12"/>
  <c r="BF17" i="12" s="1"/>
  <c r="FS18" i="12"/>
  <c r="AV16" i="12"/>
  <c r="CB18" i="12" s="1"/>
  <c r="EJ17" i="12"/>
  <c r="BA17" i="12"/>
  <c r="BY19" i="12"/>
  <c r="BV19" i="12"/>
  <c r="BZ19" i="12" s="1"/>
  <c r="EK17" i="12"/>
  <c r="BE17" i="12" l="1"/>
  <c r="BG17" i="12"/>
  <c r="CD18" i="12"/>
  <c r="DB18" i="12" s="1"/>
  <c r="DC19" i="12"/>
  <c r="EP17" i="12"/>
  <c r="CP18" i="12" l="1"/>
  <c r="CR18" i="12" s="1"/>
  <c r="CJ18" i="12"/>
  <c r="CS18" i="12" l="1"/>
  <c r="CM18" i="12"/>
  <c r="CO18" i="12" s="1"/>
  <c r="CK18" i="12"/>
  <c r="ES18" i="12" s="1"/>
  <c r="CL18" i="12"/>
  <c r="CZ18" i="12"/>
  <c r="AM18" i="12" l="1"/>
  <c r="FC18" i="12" s="1"/>
  <c r="FB18" i="12"/>
  <c r="AL18" i="12"/>
  <c r="ET18" i="12" s="1"/>
  <c r="DA18" i="12"/>
  <c r="CY18" i="12"/>
  <c r="B9" i="19" s="1"/>
  <c r="FD18" i="12" l="1"/>
  <c r="FE18" i="12" s="1"/>
  <c r="AK18" i="12"/>
  <c r="EU18" i="12"/>
  <c r="EV18" i="12" s="1"/>
  <c r="B41" i="19"/>
  <c r="DF18" i="12"/>
  <c r="EL18" i="12" s="1"/>
  <c r="EW19" i="12" l="1"/>
  <c r="EX20" i="12" s="1"/>
  <c r="EY21" i="12" s="1"/>
  <c r="EZ18" i="12"/>
  <c r="AI18" i="12" s="1"/>
  <c r="LZ18" i="12"/>
  <c r="B174" i="19"/>
  <c r="AP18" i="12"/>
  <c r="B108" i="19" s="1"/>
  <c r="AR18" i="12"/>
  <c r="B75" i="19" s="1"/>
  <c r="FF19" i="12"/>
  <c r="FG20" i="12" s="1"/>
  <c r="FH21" i="12" s="1"/>
  <c r="FI18" i="12"/>
  <c r="AJ18" i="12" s="1"/>
  <c r="AH18" i="12" l="1"/>
  <c r="AO18" i="12" l="1"/>
  <c r="AQ18" i="12"/>
  <c r="CC19" i="12" l="1"/>
  <c r="CG19" i="12"/>
  <c r="CH19" i="12"/>
  <c r="CF19" i="12"/>
  <c r="JB18" i="12"/>
  <c r="KJ18" i="12" s="1"/>
  <c r="JD18" i="12"/>
  <c r="KL18" i="12" s="1"/>
  <c r="JG18" i="12"/>
  <c r="KO18" i="12" s="1"/>
  <c r="JI18" i="12"/>
  <c r="KQ18" i="12" s="1"/>
  <c r="GJ18" i="12"/>
  <c r="HR18" i="12" s="1"/>
  <c r="GL18" i="12"/>
  <c r="HT18" i="12" s="1"/>
  <c r="GM18" i="12"/>
  <c r="HU18" i="12" s="1"/>
  <c r="GX18" i="12"/>
  <c r="IF18" i="12" s="1"/>
  <c r="JR18" i="12"/>
  <c r="KZ18" i="12" s="1"/>
  <c r="IR18" i="12"/>
  <c r="JZ18" i="12" s="1"/>
  <c r="GZ18" i="12"/>
  <c r="IH18" i="12" s="1"/>
  <c r="GU18" i="12"/>
  <c r="IC18" i="12" s="1"/>
  <c r="GE18" i="12"/>
  <c r="HM18" i="12" s="1"/>
  <c r="JJ18" i="12"/>
  <c r="KR18" i="12" s="1"/>
  <c r="JL18" i="12"/>
  <c r="KT18" i="12" s="1"/>
  <c r="JO18" i="12"/>
  <c r="KW18" i="12" s="1"/>
  <c r="IS18" i="12"/>
  <c r="KA18" i="12" s="1"/>
  <c r="GR18" i="12"/>
  <c r="HZ18" i="12" s="1"/>
  <c r="GT18" i="12"/>
  <c r="IB18" i="12" s="1"/>
  <c r="GO18" i="12"/>
  <c r="HW18" i="12" s="1"/>
  <c r="FZ18" i="12"/>
  <c r="HH18" i="12" s="1"/>
  <c r="IP18" i="12"/>
  <c r="JX18" i="12" s="1"/>
  <c r="JM18" i="12"/>
  <c r="KU18" i="12" s="1"/>
  <c r="GP18" i="12"/>
  <c r="HX18" i="12" s="1"/>
  <c r="BC19" i="12"/>
  <c r="IX18" i="12"/>
  <c r="KF18" i="12" s="1"/>
  <c r="IZ18" i="12"/>
  <c r="KH18" i="12" s="1"/>
  <c r="GC18" i="12"/>
  <c r="HK18" i="12" s="1"/>
  <c r="GG18" i="12"/>
  <c r="HO18" i="12" s="1"/>
  <c r="JN18" i="12"/>
  <c r="KV18" i="12" s="1"/>
  <c r="GV18" i="12"/>
  <c r="ID18" i="12" s="1"/>
  <c r="IY18" i="12"/>
  <c r="KG18" i="12" s="1"/>
  <c r="HB18" i="12"/>
  <c r="IJ18" i="12" s="1"/>
  <c r="IU18" i="12"/>
  <c r="KC18" i="12" s="1"/>
  <c r="JQ18" i="12"/>
  <c r="KY18" i="12" s="1"/>
  <c r="GA18" i="12"/>
  <c r="HI18" i="12" s="1"/>
  <c r="JP18" i="12"/>
  <c r="KX18" i="12" s="1"/>
  <c r="GQ18" i="12"/>
  <c r="HY18" i="12" s="1"/>
  <c r="GW18" i="12"/>
  <c r="IE18" i="12" s="1"/>
  <c r="JE18" i="12"/>
  <c r="KM18" i="12" s="1"/>
  <c r="GF18" i="12"/>
  <c r="HN18" i="12" s="1"/>
  <c r="GI18" i="12"/>
  <c r="HQ18" i="12" s="1"/>
  <c r="GD18" i="12"/>
  <c r="HL18" i="12" s="1"/>
  <c r="JC18" i="12"/>
  <c r="KK18" i="12" s="1"/>
  <c r="JF18" i="12"/>
  <c r="KN18" i="12" s="1"/>
  <c r="JH18" i="12"/>
  <c r="KP18" i="12" s="1"/>
  <c r="IW18" i="12"/>
  <c r="KE18" i="12" s="1"/>
  <c r="GK18" i="12"/>
  <c r="HS18" i="12" s="1"/>
  <c r="GN18" i="12"/>
  <c r="HV18" i="12" s="1"/>
  <c r="FY18" i="12"/>
  <c r="HG18" i="12" s="1"/>
  <c r="GH18" i="12"/>
  <c r="HP18" i="12" s="1"/>
  <c r="JK18" i="12"/>
  <c r="KS18" i="12" s="1"/>
  <c r="GS18" i="12"/>
  <c r="IA18" i="12" s="1"/>
  <c r="IO18" i="12"/>
  <c r="JS18" i="12"/>
  <c r="LA18" i="12" s="1"/>
  <c r="IQ18" i="12"/>
  <c r="JY18" i="12" s="1"/>
  <c r="JA18" i="12"/>
  <c r="KI18" i="12" s="1"/>
  <c r="FX18" i="12"/>
  <c r="HA18" i="12"/>
  <c r="II18" i="12" s="1"/>
  <c r="GB18" i="12"/>
  <c r="HJ18" i="12" s="1"/>
  <c r="IT18" i="12"/>
  <c r="KB18" i="12" s="1"/>
  <c r="IV18" i="12"/>
  <c r="KD18" i="12" s="1"/>
  <c r="GY18" i="12"/>
  <c r="IG18" i="12" s="1"/>
  <c r="BI18" i="12"/>
  <c r="BK18" i="12" s="1"/>
  <c r="BD18" i="12" s="1"/>
  <c r="BM18" i="12"/>
  <c r="FL19" i="12"/>
  <c r="FR19" i="12" s="1"/>
  <c r="CQ19" i="12" l="1"/>
  <c r="EM19" i="12"/>
  <c r="DD19" i="12"/>
  <c r="BH18" i="12"/>
  <c r="AY18" i="12"/>
  <c r="AX18" i="12"/>
  <c r="JW18" i="12"/>
  <c r="FO19" i="12" s="1"/>
  <c r="AW17" i="12" s="1"/>
  <c r="AZ17" i="12" s="1"/>
  <c r="BX19" i="12" s="1"/>
  <c r="IN18" i="12"/>
  <c r="HF18" i="12"/>
  <c r="FN19" i="12" s="1"/>
  <c r="FW18" i="12"/>
  <c r="EJ18" i="12" l="1"/>
  <c r="EK18" i="12"/>
  <c r="BY20" i="12"/>
  <c r="BV20" i="12"/>
  <c r="BA18" i="12"/>
  <c r="BB18" i="12"/>
  <c r="BF18" i="12" s="1"/>
  <c r="BW20" i="12"/>
  <c r="CA20" i="12" s="1"/>
  <c r="AV17" i="12"/>
  <c r="CB19" i="12" s="1"/>
  <c r="FS19" i="12"/>
  <c r="BE18" i="12" l="1"/>
  <c r="BG18" i="12"/>
  <c r="CD19" i="12"/>
  <c r="CP19" i="12" s="1"/>
  <c r="CR19" i="12" s="1"/>
  <c r="EP18" i="12"/>
  <c r="BZ20" i="12"/>
  <c r="DC20" i="12" s="1"/>
  <c r="DB19" i="12" l="1"/>
  <c r="CS19" i="12"/>
  <c r="CJ19" i="12"/>
  <c r="CL19" i="12" s="1"/>
  <c r="AM19" i="12" l="1"/>
  <c r="FC19" i="12" s="1"/>
  <c r="FB19" i="12"/>
  <c r="CM19" i="12"/>
  <c r="CO19" i="12" s="1"/>
  <c r="CZ19" i="12"/>
  <c r="DA19" i="12" s="1"/>
  <c r="CK19" i="12"/>
  <c r="ES19" i="12" s="1"/>
  <c r="AL19" i="12" l="1"/>
  <c r="ET19" i="12" s="1"/>
  <c r="CY19" i="12"/>
  <c r="B10" i="19" s="1"/>
  <c r="FD19" i="12"/>
  <c r="FE19" i="12" s="1"/>
  <c r="FI19" i="12" s="1"/>
  <c r="AJ19" i="12" s="1"/>
  <c r="B42" i="19"/>
  <c r="DF19" i="12"/>
  <c r="EL19" i="12" s="1"/>
  <c r="EU19" i="12" l="1"/>
  <c r="EV19" i="12" s="1"/>
  <c r="AK19" i="12"/>
  <c r="AP19" i="12" s="1"/>
  <c r="B109" i="19" s="1"/>
  <c r="FF20" i="12"/>
  <c r="FG21" i="12" s="1"/>
  <c r="FH22" i="12" s="1"/>
  <c r="B175" i="19" l="1"/>
  <c r="LZ19" i="12"/>
  <c r="EW20" i="12"/>
  <c r="EX21" i="12" s="1"/>
  <c r="EY22" i="12" s="1"/>
  <c r="EZ19" i="12"/>
  <c r="AI19" i="12" s="1"/>
  <c r="AH19" i="12" s="1"/>
  <c r="AR19" i="12"/>
  <c r="B76" i="19" s="1"/>
  <c r="AQ19" i="12" l="1"/>
  <c r="AO19" i="12"/>
  <c r="CC20" i="12" l="1"/>
  <c r="CG20" i="12"/>
  <c r="CH20" i="12"/>
  <c r="CF20" i="12"/>
  <c r="FL20" i="12"/>
  <c r="FR20" i="12" s="1"/>
  <c r="BM19" i="12"/>
  <c r="BI19" i="12"/>
  <c r="BK19" i="12" s="1"/>
  <c r="BD19" i="12" s="1"/>
  <c r="IP19" i="12"/>
  <c r="JX19" i="12" s="1"/>
  <c r="IS19" i="12"/>
  <c r="KA19" i="12" s="1"/>
  <c r="JC19" i="12"/>
  <c r="KK19" i="12" s="1"/>
  <c r="GU19" i="12"/>
  <c r="IC19" i="12" s="1"/>
  <c r="GK19" i="12"/>
  <c r="HS19" i="12" s="1"/>
  <c r="GQ19" i="12"/>
  <c r="HY19" i="12" s="1"/>
  <c r="JN19" i="12"/>
  <c r="KV19" i="12" s="1"/>
  <c r="GL19" i="12"/>
  <c r="HT19" i="12" s="1"/>
  <c r="GA19" i="12"/>
  <c r="HI19" i="12" s="1"/>
  <c r="IW19" i="12"/>
  <c r="KE19" i="12" s="1"/>
  <c r="GH19" i="12"/>
  <c r="HP19" i="12" s="1"/>
  <c r="GE19" i="12"/>
  <c r="HM19" i="12" s="1"/>
  <c r="GM19" i="12"/>
  <c r="HU19" i="12" s="1"/>
  <c r="GW19" i="12"/>
  <c r="IE19" i="12" s="1"/>
  <c r="IO19" i="12"/>
  <c r="IX19" i="12"/>
  <c r="KF19" i="12" s="1"/>
  <c r="JA19" i="12"/>
  <c r="KI19" i="12" s="1"/>
  <c r="JG19" i="12"/>
  <c r="KO19" i="12" s="1"/>
  <c r="FX19" i="12"/>
  <c r="GF19" i="12"/>
  <c r="HN19" i="12" s="1"/>
  <c r="HA19" i="12"/>
  <c r="II19" i="12" s="1"/>
  <c r="GR19" i="12"/>
  <c r="HZ19" i="12" s="1"/>
  <c r="GI19" i="12"/>
  <c r="HQ19" i="12" s="1"/>
  <c r="JQ19" i="12"/>
  <c r="KY19" i="12" s="1"/>
  <c r="GV19" i="12"/>
  <c r="ID19" i="12" s="1"/>
  <c r="JL19" i="12"/>
  <c r="KT19" i="12" s="1"/>
  <c r="IQ19" i="12"/>
  <c r="JY19" i="12" s="1"/>
  <c r="GC19" i="12"/>
  <c r="HK19" i="12" s="1"/>
  <c r="JB19" i="12"/>
  <c r="KJ19" i="12" s="1"/>
  <c r="GP19" i="12"/>
  <c r="HX19" i="12" s="1"/>
  <c r="JM19" i="12"/>
  <c r="KU19" i="12" s="1"/>
  <c r="IV19" i="12"/>
  <c r="KD19" i="12" s="1"/>
  <c r="JF19" i="12"/>
  <c r="KN19" i="12" s="1"/>
  <c r="JI19" i="12"/>
  <c r="KQ19" i="12" s="1"/>
  <c r="JK19" i="12"/>
  <c r="KS19" i="12" s="1"/>
  <c r="GD19" i="12"/>
  <c r="HL19" i="12" s="1"/>
  <c r="GN19" i="12"/>
  <c r="HV19" i="12" s="1"/>
  <c r="FY19" i="12"/>
  <c r="HG19" i="12" s="1"/>
  <c r="GO19" i="12"/>
  <c r="HW19" i="12" s="1"/>
  <c r="IR19" i="12"/>
  <c r="JZ19" i="12" s="1"/>
  <c r="FZ19" i="12"/>
  <c r="HH19" i="12" s="1"/>
  <c r="IZ19" i="12"/>
  <c r="KH19" i="12" s="1"/>
  <c r="GY19" i="12"/>
  <c r="IG19" i="12" s="1"/>
  <c r="JH19" i="12"/>
  <c r="KP19" i="12" s="1"/>
  <c r="JP19" i="12"/>
  <c r="KX19" i="12" s="1"/>
  <c r="JD19" i="12"/>
  <c r="KL19" i="12" s="1"/>
  <c r="JO19" i="12"/>
  <c r="KW19" i="12" s="1"/>
  <c r="GJ19" i="12"/>
  <c r="HR19" i="12" s="1"/>
  <c r="IT19" i="12"/>
  <c r="KB19" i="12" s="1"/>
  <c r="GT19" i="12"/>
  <c r="IB19" i="12" s="1"/>
  <c r="IU19" i="12"/>
  <c r="KC19" i="12" s="1"/>
  <c r="GS19" i="12"/>
  <c r="IA19" i="12" s="1"/>
  <c r="JJ19" i="12"/>
  <c r="KR19" i="12" s="1"/>
  <c r="GB19" i="12"/>
  <c r="HJ19" i="12" s="1"/>
  <c r="IY19" i="12"/>
  <c r="KG19" i="12" s="1"/>
  <c r="GZ19" i="12"/>
  <c r="IH19" i="12" s="1"/>
  <c r="HB19" i="12"/>
  <c r="IJ19" i="12" s="1"/>
  <c r="GG19" i="12"/>
  <c r="HO19" i="12" s="1"/>
  <c r="JR19" i="12"/>
  <c r="KZ19" i="12" s="1"/>
  <c r="BC20" i="12"/>
  <c r="JE19" i="12"/>
  <c r="KM19" i="12" s="1"/>
  <c r="JS19" i="12"/>
  <c r="LA19" i="12" s="1"/>
  <c r="GX19" i="12"/>
  <c r="IF19" i="12" s="1"/>
  <c r="CQ20" i="12" l="1"/>
  <c r="HF19" i="12"/>
  <c r="FN20" i="12" s="1"/>
  <c r="FW19" i="12"/>
  <c r="DD20" i="12"/>
  <c r="EM20" i="12"/>
  <c r="JW19" i="12"/>
  <c r="FO20" i="12" s="1"/>
  <c r="AW18" i="12" s="1"/>
  <c r="IN19" i="12"/>
  <c r="BH19" i="12"/>
  <c r="AX19" i="12"/>
  <c r="EJ19" i="12" s="1"/>
  <c r="AY19" i="12"/>
  <c r="AZ18" i="12" l="1"/>
  <c r="BX20" i="12" s="1"/>
  <c r="BW21" i="12"/>
  <c r="CA21" i="12" s="1"/>
  <c r="BB19" i="12"/>
  <c r="BF19" i="12" s="1"/>
  <c r="EK19" i="12"/>
  <c r="EP19" i="12" s="1"/>
  <c r="BV21" i="12"/>
  <c r="BZ21" i="12" s="1"/>
  <c r="BA19" i="12"/>
  <c r="BY21" i="12"/>
  <c r="FS20" i="12"/>
  <c r="AV18" i="12"/>
  <c r="CB20" i="12" s="1"/>
  <c r="BE19" i="12" l="1"/>
  <c r="BG19" i="12"/>
  <c r="CD20" i="12"/>
  <c r="DB20" i="12" s="1"/>
  <c r="DC21" i="12"/>
  <c r="CP20" i="12" l="1"/>
  <c r="CR20" i="12" s="1"/>
  <c r="CS20" i="12" s="1"/>
  <c r="CJ20" i="12"/>
  <c r="CM20" i="12" s="1"/>
  <c r="CO20" i="12" s="1"/>
  <c r="CK20" i="12" l="1"/>
  <c r="ES20" i="12" s="1"/>
  <c r="CL20" i="12"/>
  <c r="CZ20" i="12"/>
  <c r="CY20" i="12" s="1"/>
  <c r="B11" i="19" s="1"/>
  <c r="AM20" i="12" l="1"/>
  <c r="FC20" i="12" s="1"/>
  <c r="FB20" i="12"/>
  <c r="AL20" i="12"/>
  <c r="ET20" i="12" s="1"/>
  <c r="DA20" i="12"/>
  <c r="B43" i="19" s="1"/>
  <c r="DF20" i="12" l="1"/>
  <c r="EL20" i="12" s="1"/>
  <c r="EU20" i="12"/>
  <c r="EV20" i="12" s="1"/>
  <c r="AK20" i="12"/>
  <c r="AP20" i="12" s="1"/>
  <c r="B110" i="19" s="1"/>
  <c r="FD20" i="12"/>
  <c r="FE20" i="12" s="1"/>
  <c r="B176" i="19" l="1"/>
  <c r="LZ20" i="12"/>
  <c r="EZ20" i="12"/>
  <c r="AI20" i="12" s="1"/>
  <c r="EW21" i="12"/>
  <c r="EX22" i="12" s="1"/>
  <c r="EY23" i="12" s="1"/>
  <c r="AR20" i="12"/>
  <c r="B77" i="19" s="1"/>
  <c r="FF21" i="12"/>
  <c r="FG22" i="12" s="1"/>
  <c r="FH23" i="12" s="1"/>
  <c r="FI20" i="12"/>
  <c r="AJ20" i="12" s="1"/>
  <c r="AH20" i="12" l="1"/>
  <c r="AQ20" i="12" s="1"/>
  <c r="AO20" i="12" l="1"/>
  <c r="BM20" i="12" s="1"/>
  <c r="CC21" i="12"/>
  <c r="CG21" i="12"/>
  <c r="CH21" i="12"/>
  <c r="CF21" i="12"/>
  <c r="IP20" i="12"/>
  <c r="JX20" i="12" s="1"/>
  <c r="IR20" i="12"/>
  <c r="JZ20" i="12" s="1"/>
  <c r="IU20" i="12"/>
  <c r="KC20" i="12" s="1"/>
  <c r="JI20" i="12"/>
  <c r="KQ20" i="12" s="1"/>
  <c r="GF20" i="12"/>
  <c r="HN20" i="12" s="1"/>
  <c r="GH20" i="12"/>
  <c r="HP20" i="12" s="1"/>
  <c r="GA20" i="12"/>
  <c r="HI20" i="12" s="1"/>
  <c r="HA20" i="12"/>
  <c r="II20" i="12" s="1"/>
  <c r="GY20" i="12"/>
  <c r="IG20" i="12" s="1"/>
  <c r="IV20" i="12"/>
  <c r="KD20" i="12" s="1"/>
  <c r="GE20" i="12"/>
  <c r="HM20" i="12" s="1"/>
  <c r="JD20" i="12"/>
  <c r="KL20" i="12" s="1"/>
  <c r="GZ20" i="12"/>
  <c r="IH20" i="12" s="1"/>
  <c r="JE20" i="12"/>
  <c r="KM20" i="12" s="1"/>
  <c r="IX20" i="12"/>
  <c r="KF20" i="12" s="1"/>
  <c r="IZ20" i="12"/>
  <c r="KH20" i="12" s="1"/>
  <c r="JC20" i="12"/>
  <c r="KK20" i="12" s="1"/>
  <c r="JM20" i="12"/>
  <c r="KU20" i="12" s="1"/>
  <c r="GN20" i="12"/>
  <c r="HV20" i="12" s="1"/>
  <c r="GP20" i="12"/>
  <c r="HX20" i="12" s="1"/>
  <c r="GQ20" i="12"/>
  <c r="HY20" i="12" s="1"/>
  <c r="GI20" i="12"/>
  <c r="HQ20" i="12" s="1"/>
  <c r="GD20" i="12"/>
  <c r="HL20" i="12" s="1"/>
  <c r="JQ20" i="12"/>
  <c r="KY20" i="12" s="1"/>
  <c r="GT20" i="12"/>
  <c r="IB20" i="12" s="1"/>
  <c r="IS20" i="12"/>
  <c r="KA20" i="12" s="1"/>
  <c r="GJ20" i="12"/>
  <c r="HR20" i="12" s="1"/>
  <c r="JA20" i="12"/>
  <c r="KI20" i="12" s="1"/>
  <c r="GL20" i="12"/>
  <c r="HT20" i="12" s="1"/>
  <c r="JG20" i="12"/>
  <c r="KO20" i="12" s="1"/>
  <c r="GC20" i="12"/>
  <c r="HK20" i="12" s="1"/>
  <c r="FX20" i="12"/>
  <c r="JF20" i="12"/>
  <c r="KN20" i="12" s="1"/>
  <c r="JH20" i="12"/>
  <c r="KP20" i="12" s="1"/>
  <c r="JK20" i="12"/>
  <c r="KS20" i="12" s="1"/>
  <c r="IW20" i="12"/>
  <c r="KE20" i="12" s="1"/>
  <c r="GV20" i="12"/>
  <c r="ID20" i="12" s="1"/>
  <c r="GX20" i="12"/>
  <c r="IF20" i="12" s="1"/>
  <c r="GS20" i="12"/>
  <c r="IA20" i="12" s="1"/>
  <c r="FY20" i="12"/>
  <c r="HG20" i="12" s="1"/>
  <c r="GB20" i="12"/>
  <c r="HJ20" i="12" s="1"/>
  <c r="BC21" i="12"/>
  <c r="GK20" i="12"/>
  <c r="HS20" i="12" s="1"/>
  <c r="IY20" i="12"/>
  <c r="KG20" i="12" s="1"/>
  <c r="GR20" i="12"/>
  <c r="HZ20" i="12" s="1"/>
  <c r="JJ20" i="12"/>
  <c r="KR20" i="12" s="1"/>
  <c r="JN20" i="12"/>
  <c r="KV20" i="12" s="1"/>
  <c r="JP20" i="12"/>
  <c r="KX20" i="12" s="1"/>
  <c r="JS20" i="12"/>
  <c r="LA20" i="12" s="1"/>
  <c r="IQ20" i="12"/>
  <c r="JY20" i="12" s="1"/>
  <c r="IT20" i="12"/>
  <c r="KB20" i="12" s="1"/>
  <c r="GG20" i="12"/>
  <c r="HO20" i="12" s="1"/>
  <c r="JB20" i="12"/>
  <c r="KJ20" i="12" s="1"/>
  <c r="HB20" i="12"/>
  <c r="IJ20" i="12" s="1"/>
  <c r="JL20" i="12"/>
  <c r="KT20" i="12" s="1"/>
  <c r="FZ20" i="12"/>
  <c r="HH20" i="12" s="1"/>
  <c r="GO20" i="12"/>
  <c r="HW20" i="12" s="1"/>
  <c r="GW20" i="12"/>
  <c r="IE20" i="12" s="1"/>
  <c r="JO20" i="12"/>
  <c r="KW20" i="12" s="1"/>
  <c r="GM20" i="12"/>
  <c r="HU20" i="12" s="1"/>
  <c r="IO20" i="12"/>
  <c r="JR20" i="12"/>
  <c r="KZ20" i="12" s="1"/>
  <c r="GU20" i="12"/>
  <c r="IC20" i="12" s="1"/>
  <c r="CQ21" i="12" l="1"/>
  <c r="BI20" i="12"/>
  <c r="BK20" i="12" s="1"/>
  <c r="BD20" i="12" s="1"/>
  <c r="FL21" i="12"/>
  <c r="FR21" i="12" s="1"/>
  <c r="HF20" i="12"/>
  <c r="FN21" i="12" s="1"/>
  <c r="FW20" i="12"/>
  <c r="EM21" i="12"/>
  <c r="DD21" i="12"/>
  <c r="JW20" i="12"/>
  <c r="FO21" i="12" s="1"/>
  <c r="AW19" i="12" s="1"/>
  <c r="AZ19" i="12" s="1"/>
  <c r="BX21" i="12" s="1"/>
  <c r="IN20" i="12"/>
  <c r="AX20" i="12" l="1"/>
  <c r="BV22" i="12" s="1"/>
  <c r="BH20" i="12"/>
  <c r="AY20" i="12"/>
  <c r="BW22" i="12" s="1"/>
  <c r="CA22" i="12" s="1"/>
  <c r="AV19" i="12"/>
  <c r="CB21" i="12" s="1"/>
  <c r="FS21" i="12"/>
  <c r="EJ20" i="12" l="1"/>
  <c r="BY22" i="12"/>
  <c r="BA20" i="12"/>
  <c r="EK20" i="12"/>
  <c r="CD21" i="12"/>
  <c r="CP21" i="12" s="1"/>
  <c r="CR21" i="12" s="1"/>
  <c r="CS21" i="12" s="1"/>
  <c r="BB20" i="12"/>
  <c r="BF20" i="12" s="1"/>
  <c r="BZ22" i="12"/>
  <c r="DC22" i="12" s="1"/>
  <c r="EP20" i="12" l="1"/>
  <c r="BE20" i="12"/>
  <c r="BG20" i="12"/>
  <c r="DB21" i="12"/>
  <c r="CJ21" i="12"/>
  <c r="CZ21" i="12" s="1"/>
  <c r="DA21" i="12" s="1"/>
  <c r="B44" i="19" s="1"/>
  <c r="CK21" i="12" l="1"/>
  <c r="ES21" i="12" s="1"/>
  <c r="CL21" i="12"/>
  <c r="FB21" i="12" s="1"/>
  <c r="CY21" i="12"/>
  <c r="B12" i="19" s="1"/>
  <c r="CM21" i="12"/>
  <c r="CO21" i="12" s="1"/>
  <c r="DF21" i="12"/>
  <c r="EL21" i="12" s="1"/>
  <c r="AM21" i="12" l="1"/>
  <c r="FC21" i="12" s="1"/>
  <c r="AL21" i="12"/>
  <c r="ET21" i="12" s="1"/>
  <c r="FD21" i="12" l="1"/>
  <c r="FE21" i="12" s="1"/>
  <c r="FF22" i="12" s="1"/>
  <c r="FG23" i="12" s="1"/>
  <c r="FH24" i="12" s="1"/>
  <c r="EU21" i="12"/>
  <c r="EV21" i="12" s="1"/>
  <c r="EW22" i="12" s="1"/>
  <c r="EX23" i="12" s="1"/>
  <c r="EY24" i="12" s="1"/>
  <c r="AK21" i="12"/>
  <c r="AR21" i="12" s="1"/>
  <c r="B78" i="19" s="1"/>
  <c r="EZ21" i="12" l="1"/>
  <c r="AI21" i="12" s="1"/>
  <c r="FI21" i="12"/>
  <c r="AJ21" i="12" s="1"/>
  <c r="B177" i="19"/>
  <c r="AP21" i="12"/>
  <c r="B111" i="19" s="1"/>
  <c r="LZ21" i="12"/>
  <c r="AH21" i="12" l="1"/>
  <c r="AO21" i="12" s="1"/>
  <c r="AQ21" i="12" l="1"/>
  <c r="CG22" i="12" s="1"/>
  <c r="BM21" i="12"/>
  <c r="FL22" i="12"/>
  <c r="FR22" i="12" s="1"/>
  <c r="BI21" i="12"/>
  <c r="BK21" i="12" s="1"/>
  <c r="BD21" i="12" s="1"/>
  <c r="GR21" i="12" l="1"/>
  <c r="HZ21" i="12" s="1"/>
  <c r="GN21" i="12"/>
  <c r="HV21" i="12" s="1"/>
  <c r="GT21" i="12"/>
  <c r="IB21" i="12" s="1"/>
  <c r="JH21" i="12"/>
  <c r="KP21" i="12" s="1"/>
  <c r="FY21" i="12"/>
  <c r="HG21" i="12" s="1"/>
  <c r="JL21" i="12"/>
  <c r="KT21" i="12" s="1"/>
  <c r="GJ21" i="12"/>
  <c r="HR21" i="12" s="1"/>
  <c r="GL21" i="12"/>
  <c r="HT21" i="12" s="1"/>
  <c r="JS21" i="12"/>
  <c r="LA21" i="12" s="1"/>
  <c r="GK21" i="12"/>
  <c r="HS21" i="12" s="1"/>
  <c r="IZ21" i="12"/>
  <c r="KH21" i="12" s="1"/>
  <c r="JF21" i="12"/>
  <c r="KN21" i="12" s="1"/>
  <c r="IQ21" i="12"/>
  <c r="JY21" i="12" s="1"/>
  <c r="GU21" i="12"/>
  <c r="IC21" i="12" s="1"/>
  <c r="IT21" i="12"/>
  <c r="KB21" i="12" s="1"/>
  <c r="GE21" i="12"/>
  <c r="HM21" i="12" s="1"/>
  <c r="GO21" i="12"/>
  <c r="HW21" i="12" s="1"/>
  <c r="GI21" i="12"/>
  <c r="HQ21" i="12" s="1"/>
  <c r="GB21" i="12"/>
  <c r="HJ21" i="12" s="1"/>
  <c r="JA21" i="12"/>
  <c r="KI21" i="12" s="1"/>
  <c r="FZ21" i="12"/>
  <c r="HH21" i="12" s="1"/>
  <c r="GF21" i="12"/>
  <c r="HN21" i="12" s="1"/>
  <c r="JO21" i="12"/>
  <c r="KW21" i="12" s="1"/>
  <c r="GX21" i="12"/>
  <c r="IF21" i="12" s="1"/>
  <c r="IX21" i="12"/>
  <c r="KF21" i="12" s="1"/>
  <c r="JG21" i="12"/>
  <c r="KO21" i="12" s="1"/>
  <c r="HA21" i="12"/>
  <c r="II21" i="12" s="1"/>
  <c r="JR21" i="12"/>
  <c r="KZ21" i="12" s="1"/>
  <c r="JJ21" i="12"/>
  <c r="KR21" i="12" s="1"/>
  <c r="JC21" i="12"/>
  <c r="KK21" i="12" s="1"/>
  <c r="GA21" i="12"/>
  <c r="HI21" i="12" s="1"/>
  <c r="IS21" i="12"/>
  <c r="KA21" i="12" s="1"/>
  <c r="GS21" i="12"/>
  <c r="IA21" i="12" s="1"/>
  <c r="GD21" i="12"/>
  <c r="HL21" i="12" s="1"/>
  <c r="IP21" i="12"/>
  <c r="JX21" i="12" s="1"/>
  <c r="GZ21" i="12"/>
  <c r="IH21" i="12" s="1"/>
  <c r="GH21" i="12"/>
  <c r="HP21" i="12" s="1"/>
  <c r="IV21" i="12"/>
  <c r="KD21" i="12" s="1"/>
  <c r="JE21" i="12"/>
  <c r="KM21" i="12" s="1"/>
  <c r="IY21" i="12"/>
  <c r="KG21" i="12" s="1"/>
  <c r="JD21" i="12"/>
  <c r="KL21" i="12" s="1"/>
  <c r="GQ21" i="12"/>
  <c r="HY21" i="12" s="1"/>
  <c r="GW21" i="12"/>
  <c r="IE21" i="12" s="1"/>
  <c r="JM21" i="12"/>
  <c r="KU21" i="12" s="1"/>
  <c r="IU21" i="12"/>
  <c r="KC21" i="12" s="1"/>
  <c r="IR21" i="12"/>
  <c r="JZ21" i="12" s="1"/>
  <c r="GC21" i="12"/>
  <c r="HK21" i="12" s="1"/>
  <c r="JP21" i="12"/>
  <c r="KX21" i="12" s="1"/>
  <c r="GG21" i="12"/>
  <c r="HO21" i="12" s="1"/>
  <c r="JI21" i="12"/>
  <c r="KQ21" i="12" s="1"/>
  <c r="GP21" i="12"/>
  <c r="HX21" i="12" s="1"/>
  <c r="JB21" i="12"/>
  <c r="KJ21" i="12" s="1"/>
  <c r="GV21" i="12"/>
  <c r="ID21" i="12" s="1"/>
  <c r="BC22" i="12"/>
  <c r="JK21" i="12"/>
  <c r="KS21" i="12" s="1"/>
  <c r="IW21" i="12"/>
  <c r="KE21" i="12" s="1"/>
  <c r="JQ21" i="12"/>
  <c r="KY21" i="12" s="1"/>
  <c r="GM21" i="12"/>
  <c r="HU21" i="12" s="1"/>
  <c r="GY21" i="12"/>
  <c r="IG21" i="12" s="1"/>
  <c r="FX21" i="12"/>
  <c r="HF21" i="12" s="1"/>
  <c r="IO21" i="12"/>
  <c r="JW21" i="12" s="1"/>
  <c r="CF22" i="12"/>
  <c r="DD22" i="12" s="1"/>
  <c r="CC22" i="12"/>
  <c r="JN21" i="12"/>
  <c r="KV21" i="12" s="1"/>
  <c r="HB21" i="12"/>
  <c r="IJ21" i="12" s="1"/>
  <c r="CH22" i="12"/>
  <c r="BH21" i="12"/>
  <c r="AX21" i="12"/>
  <c r="AY21" i="12"/>
  <c r="EM22" i="12" l="1"/>
  <c r="CQ22" i="12"/>
  <c r="IN21" i="12"/>
  <c r="FO22" i="12"/>
  <c r="AW20" i="12" s="1"/>
  <c r="AZ20" i="12" s="1"/>
  <c r="BX22" i="12" s="1"/>
  <c r="FW21" i="12"/>
  <c r="FN22" i="12"/>
  <c r="BB21" i="12"/>
  <c r="BF21" i="12" s="1"/>
  <c r="BW23" i="12"/>
  <c r="CA23" i="12" s="1"/>
  <c r="BV23" i="12"/>
  <c r="BZ23" i="12" s="1"/>
  <c r="BY23" i="12"/>
  <c r="BA21" i="12"/>
  <c r="EK21" i="12"/>
  <c r="EJ21" i="12"/>
  <c r="BE21" i="12" l="1"/>
  <c r="BG21" i="12"/>
  <c r="FS22" i="12"/>
  <c r="AV20" i="12"/>
  <c r="CB22" i="12" s="1"/>
  <c r="CD22" i="12" s="1"/>
  <c r="DB22" i="12" s="1"/>
  <c r="EP21" i="12"/>
  <c r="DC23" i="12"/>
  <c r="CP22" i="12" l="1"/>
  <c r="CR22" i="12" s="1"/>
  <c r="CS22" i="12" s="1"/>
  <c r="CJ22" i="12"/>
  <c r="CM22" i="12" s="1"/>
  <c r="CO22" i="12" s="1"/>
  <c r="CL22" i="12" l="1"/>
  <c r="FB22" i="12" s="1"/>
  <c r="CK22" i="12"/>
  <c r="ES22" i="12" s="1"/>
  <c r="CZ22" i="12"/>
  <c r="DA22" i="12" s="1"/>
  <c r="AM22" i="12" l="1"/>
  <c r="FC22" i="12" s="1"/>
  <c r="AL22" i="12"/>
  <c r="ET22" i="12" s="1"/>
  <c r="CY22" i="12"/>
  <c r="B13" i="19" s="1"/>
  <c r="B45" i="19"/>
  <c r="DF22" i="12"/>
  <c r="EL22" i="12" s="1"/>
  <c r="FD22" i="12" l="1"/>
  <c r="FE22" i="12" s="1"/>
  <c r="EU22" i="12"/>
  <c r="EV22" i="12" s="1"/>
  <c r="EW23" i="12" s="1"/>
  <c r="EX24" i="12" s="1"/>
  <c r="EY25" i="12" s="1"/>
  <c r="AK22" i="12"/>
  <c r="B178" i="19" s="1"/>
  <c r="AR22" i="12" l="1"/>
  <c r="B79" i="19" s="1"/>
  <c r="LZ22" i="12"/>
  <c r="FF23" i="12"/>
  <c r="FG24" i="12" s="1"/>
  <c r="FH25" i="12" s="1"/>
  <c r="FI22" i="12"/>
  <c r="AJ22" i="12" s="1"/>
  <c r="AP22" i="12"/>
  <c r="B112" i="19" s="1"/>
  <c r="EZ22" i="12"/>
  <c r="AI22" i="12" s="1"/>
  <c r="AH22" i="12" l="1"/>
  <c r="AO22" i="12" s="1"/>
  <c r="AQ22" i="12" l="1"/>
  <c r="CG23" i="12" s="1"/>
  <c r="FL23" i="12"/>
  <c r="FR23" i="12" s="1"/>
  <c r="BI22" i="12"/>
  <c r="BK22" i="12" s="1"/>
  <c r="BD22" i="12" s="1"/>
  <c r="BM22" i="12"/>
  <c r="GF22" i="12" l="1"/>
  <c r="HN22" i="12" s="1"/>
  <c r="GJ22" i="12"/>
  <c r="HR22" i="12" s="1"/>
  <c r="GS22" i="12"/>
  <c r="IA22" i="12" s="1"/>
  <c r="CC23" i="12"/>
  <c r="JM22" i="12"/>
  <c r="KU22" i="12" s="1"/>
  <c r="IY22" i="12"/>
  <c r="KG22" i="12" s="1"/>
  <c r="JP22" i="12"/>
  <c r="KX22" i="12" s="1"/>
  <c r="FY22" i="12"/>
  <c r="HG22" i="12" s="1"/>
  <c r="JN22" i="12"/>
  <c r="KV22" i="12" s="1"/>
  <c r="JI22" i="12"/>
  <c r="KQ22" i="12" s="1"/>
  <c r="GO22" i="12"/>
  <c r="HW22" i="12" s="1"/>
  <c r="GU22" i="12"/>
  <c r="IC22" i="12" s="1"/>
  <c r="IQ22" i="12"/>
  <c r="JY22" i="12" s="1"/>
  <c r="GL22" i="12"/>
  <c r="HT22" i="12" s="1"/>
  <c r="FZ22" i="12"/>
  <c r="HH22" i="12" s="1"/>
  <c r="GI22" i="12"/>
  <c r="HQ22" i="12" s="1"/>
  <c r="GP22" i="12"/>
  <c r="HX22" i="12" s="1"/>
  <c r="GN22" i="12"/>
  <c r="HV22" i="12" s="1"/>
  <c r="JA22" i="12"/>
  <c r="KI22" i="12" s="1"/>
  <c r="GZ22" i="12"/>
  <c r="IH22" i="12" s="1"/>
  <c r="GB22" i="12"/>
  <c r="HJ22" i="12" s="1"/>
  <c r="IW22" i="12"/>
  <c r="KE22" i="12" s="1"/>
  <c r="IZ22" i="12"/>
  <c r="KH22" i="12" s="1"/>
  <c r="GR22" i="12"/>
  <c r="HZ22" i="12" s="1"/>
  <c r="FX22" i="12"/>
  <c r="HF22" i="12" s="1"/>
  <c r="JQ22" i="12"/>
  <c r="KY22" i="12" s="1"/>
  <c r="JD22" i="12"/>
  <c r="KL22" i="12" s="1"/>
  <c r="IO22" i="12"/>
  <c r="JW22" i="12" s="1"/>
  <c r="GW22" i="12"/>
  <c r="IE22" i="12" s="1"/>
  <c r="IS22" i="12"/>
  <c r="KA22" i="12" s="1"/>
  <c r="JE22" i="12"/>
  <c r="KM22" i="12" s="1"/>
  <c r="GM22" i="12"/>
  <c r="HU22" i="12" s="1"/>
  <c r="CF23" i="12"/>
  <c r="IT22" i="12"/>
  <c r="KB22" i="12" s="1"/>
  <c r="IU22" i="12"/>
  <c r="KC22" i="12" s="1"/>
  <c r="GV22" i="12"/>
  <c r="ID22" i="12" s="1"/>
  <c r="JO22" i="12"/>
  <c r="KW22" i="12" s="1"/>
  <c r="JB22" i="12"/>
  <c r="KJ22" i="12" s="1"/>
  <c r="HB22" i="12"/>
  <c r="IJ22" i="12" s="1"/>
  <c r="HA22" i="12"/>
  <c r="II22" i="12" s="1"/>
  <c r="GH22" i="12"/>
  <c r="HP22" i="12" s="1"/>
  <c r="JH22" i="12"/>
  <c r="KP22" i="12" s="1"/>
  <c r="GY22" i="12"/>
  <c r="IG22" i="12" s="1"/>
  <c r="GQ22" i="12"/>
  <c r="HY22" i="12" s="1"/>
  <c r="JK22" i="12"/>
  <c r="KS22" i="12" s="1"/>
  <c r="IP22" i="12"/>
  <c r="JX22" i="12" s="1"/>
  <c r="JL22" i="12"/>
  <c r="KT22" i="12" s="1"/>
  <c r="IR22" i="12"/>
  <c r="JZ22" i="12" s="1"/>
  <c r="BC23" i="12"/>
  <c r="GG22" i="12"/>
  <c r="HO22" i="12" s="1"/>
  <c r="GD22" i="12"/>
  <c r="HL22" i="12" s="1"/>
  <c r="JF22" i="12"/>
  <c r="KN22" i="12" s="1"/>
  <c r="GA22" i="12"/>
  <c r="HI22" i="12" s="1"/>
  <c r="CH23" i="12"/>
  <c r="IX22" i="12"/>
  <c r="KF22" i="12" s="1"/>
  <c r="JG22" i="12"/>
  <c r="KO22" i="12" s="1"/>
  <c r="JS22" i="12"/>
  <c r="LA22" i="12" s="1"/>
  <c r="GK22" i="12"/>
  <c r="HS22" i="12" s="1"/>
  <c r="JR22" i="12"/>
  <c r="KZ22" i="12" s="1"/>
  <c r="JJ22" i="12"/>
  <c r="KR22" i="12" s="1"/>
  <c r="GX22" i="12"/>
  <c r="IF22" i="12" s="1"/>
  <c r="GT22" i="12"/>
  <c r="IB22" i="12" s="1"/>
  <c r="GE22" i="12"/>
  <c r="HM22" i="12" s="1"/>
  <c r="IV22" i="12"/>
  <c r="KD22" i="12" s="1"/>
  <c r="JC22" i="12"/>
  <c r="KK22" i="12" s="1"/>
  <c r="GC22" i="12"/>
  <c r="HK22" i="12" s="1"/>
  <c r="BH22" i="12"/>
  <c r="AX22" i="12"/>
  <c r="AY22" i="12"/>
  <c r="DD23" i="12" l="1"/>
  <c r="CQ23" i="12"/>
  <c r="EM23" i="12"/>
  <c r="FW22" i="12"/>
  <c r="FN23" i="12"/>
  <c r="AV21" i="12" s="1"/>
  <c r="CB23" i="12" s="1"/>
  <c r="FO23" i="12"/>
  <c r="AW21" i="12" s="1"/>
  <c r="AZ21" i="12" s="1"/>
  <c r="BX23" i="12" s="1"/>
  <c r="IN22" i="12"/>
  <c r="EJ22" i="12"/>
  <c r="BY24" i="12"/>
  <c r="EK22" i="12"/>
  <c r="BA22" i="12"/>
  <c r="BV24" i="12"/>
  <c r="BZ24" i="12" s="1"/>
  <c r="BW24" i="12"/>
  <c r="CA24" i="12" s="1"/>
  <c r="BB22" i="12"/>
  <c r="BF22" i="12" s="1"/>
  <c r="BE22" i="12" l="1"/>
  <c r="BG22" i="12"/>
  <c r="CD23" i="12"/>
  <c r="DB23" i="12" s="1"/>
  <c r="FS23" i="12"/>
  <c r="EP22" i="12"/>
  <c r="DC24" i="12"/>
  <c r="CP23" i="12" l="1"/>
  <c r="CR23" i="12" s="1"/>
  <c r="CS23" i="12" s="1"/>
  <c r="CJ23" i="12"/>
  <c r="CM23" i="12" s="1"/>
  <c r="CO23" i="12" s="1"/>
  <c r="CZ23" i="12" l="1"/>
  <c r="CY23" i="12" s="1"/>
  <c r="B14" i="19" s="1"/>
  <c r="CL23" i="12"/>
  <c r="CK23" i="12"/>
  <c r="ES23" i="12" s="1"/>
  <c r="AM23" i="12" l="1"/>
  <c r="FC23" i="12" s="1"/>
  <c r="FB23" i="12"/>
  <c r="AL23" i="12"/>
  <c r="ET23" i="12" s="1"/>
  <c r="DA23" i="12"/>
  <c r="B46" i="19" s="1"/>
  <c r="EU23" i="12" l="1"/>
  <c r="EV23" i="12" s="1"/>
  <c r="DF23" i="12"/>
  <c r="EL23" i="12" s="1"/>
  <c r="FD23" i="12"/>
  <c r="FE23" i="12" s="1"/>
  <c r="FF24" i="12" s="1"/>
  <c r="FG25" i="12" s="1"/>
  <c r="FH26" i="12" s="1"/>
  <c r="AK23" i="12"/>
  <c r="LZ23" i="12" s="1"/>
  <c r="EW24" i="12" l="1"/>
  <c r="EX25" i="12" s="1"/>
  <c r="EY26" i="12" s="1"/>
  <c r="EZ23" i="12"/>
  <c r="AI23" i="12" s="1"/>
  <c r="AR23" i="12"/>
  <c r="B80" i="19" s="1"/>
  <c r="B179" i="19"/>
  <c r="AP23" i="12"/>
  <c r="B113" i="19" s="1"/>
  <c r="FI23" i="12"/>
  <c r="AJ23" i="12" s="1"/>
  <c r="AH23" i="12" l="1"/>
  <c r="AO23" i="12" s="1"/>
  <c r="AQ23" i="12" l="1"/>
  <c r="CC24" i="12" s="1"/>
  <c r="BI23" i="12"/>
  <c r="BK23" i="12" s="1"/>
  <c r="BD23" i="12" s="1"/>
  <c r="BM23" i="12"/>
  <c r="FL24" i="12"/>
  <c r="FR24" i="12" s="1"/>
  <c r="JB23" i="12" l="1"/>
  <c r="KJ23" i="12" s="1"/>
  <c r="GX23" i="12"/>
  <c r="IF23" i="12" s="1"/>
  <c r="JD23" i="12"/>
  <c r="KL23" i="12" s="1"/>
  <c r="GE23" i="12"/>
  <c r="HM23" i="12" s="1"/>
  <c r="FZ23" i="12"/>
  <c r="HH23" i="12" s="1"/>
  <c r="BC24" i="12"/>
  <c r="JL23" i="12"/>
  <c r="KT23" i="12" s="1"/>
  <c r="JE23" i="12"/>
  <c r="KM23" i="12" s="1"/>
  <c r="GW23" i="12"/>
  <c r="IE23" i="12" s="1"/>
  <c r="GA23" i="12"/>
  <c r="HI23" i="12" s="1"/>
  <c r="GP23" i="12"/>
  <c r="HX23" i="12" s="1"/>
  <c r="GU23" i="12"/>
  <c r="IC23" i="12" s="1"/>
  <c r="GC23" i="12"/>
  <c r="HK23" i="12" s="1"/>
  <c r="IU23" i="12"/>
  <c r="KC23" i="12" s="1"/>
  <c r="IY23" i="12"/>
  <c r="KG23" i="12" s="1"/>
  <c r="HB23" i="12"/>
  <c r="IJ23" i="12" s="1"/>
  <c r="IQ23" i="12"/>
  <c r="JY23" i="12" s="1"/>
  <c r="FX23" i="12"/>
  <c r="HF23" i="12" s="1"/>
  <c r="JS23" i="12"/>
  <c r="LA23" i="12" s="1"/>
  <c r="IS23" i="12"/>
  <c r="KA23" i="12" s="1"/>
  <c r="GJ23" i="12"/>
  <c r="HR23" i="12" s="1"/>
  <c r="JJ23" i="12"/>
  <c r="KR23" i="12" s="1"/>
  <c r="JC23" i="12"/>
  <c r="KK23" i="12" s="1"/>
  <c r="JF23" i="12"/>
  <c r="KN23" i="12" s="1"/>
  <c r="GV23" i="12"/>
  <c r="ID23" i="12" s="1"/>
  <c r="IV23" i="12"/>
  <c r="KD23" i="12" s="1"/>
  <c r="JK23" i="12"/>
  <c r="KS23" i="12" s="1"/>
  <c r="IZ23" i="12"/>
  <c r="KH23" i="12" s="1"/>
  <c r="JQ23" i="12"/>
  <c r="KY23" i="12" s="1"/>
  <c r="JO23" i="12"/>
  <c r="KW23" i="12" s="1"/>
  <c r="JI23" i="12"/>
  <c r="KQ23" i="12" s="1"/>
  <c r="IP23" i="12"/>
  <c r="JX23" i="12" s="1"/>
  <c r="GN23" i="12"/>
  <c r="HV23" i="12" s="1"/>
  <c r="GB23" i="12"/>
  <c r="HJ23" i="12" s="1"/>
  <c r="JA23" i="12"/>
  <c r="KI23" i="12" s="1"/>
  <c r="GF23" i="12"/>
  <c r="HN23" i="12" s="1"/>
  <c r="FY23" i="12"/>
  <c r="HG23" i="12" s="1"/>
  <c r="JH23" i="12"/>
  <c r="KP23" i="12" s="1"/>
  <c r="GZ23" i="12"/>
  <c r="IH23" i="12" s="1"/>
  <c r="GT23" i="12"/>
  <c r="IB23" i="12" s="1"/>
  <c r="GL23" i="12"/>
  <c r="HT23" i="12" s="1"/>
  <c r="GD23" i="12"/>
  <c r="HL23" i="12" s="1"/>
  <c r="GQ23" i="12"/>
  <c r="HY23" i="12" s="1"/>
  <c r="GR23" i="12"/>
  <c r="HZ23" i="12" s="1"/>
  <c r="JN23" i="12"/>
  <c r="KV23" i="12" s="1"/>
  <c r="IO23" i="12"/>
  <c r="JW23" i="12" s="1"/>
  <c r="GO23" i="12"/>
  <c r="HW23" i="12" s="1"/>
  <c r="GK23" i="12"/>
  <c r="HS23" i="12" s="1"/>
  <c r="IX23" i="12"/>
  <c r="KF23" i="12" s="1"/>
  <c r="GS23" i="12"/>
  <c r="IA23" i="12" s="1"/>
  <c r="GY23" i="12"/>
  <c r="IG23" i="12" s="1"/>
  <c r="GM23" i="12"/>
  <c r="HU23" i="12" s="1"/>
  <c r="IT23" i="12"/>
  <c r="KB23" i="12" s="1"/>
  <c r="JG23" i="12"/>
  <c r="KO23" i="12" s="1"/>
  <c r="IR23" i="12"/>
  <c r="JZ23" i="12" s="1"/>
  <c r="CF24" i="12"/>
  <c r="EM24" i="12" s="1"/>
  <c r="JR23" i="12"/>
  <c r="KZ23" i="12" s="1"/>
  <c r="IW23" i="12"/>
  <c r="KE23" i="12" s="1"/>
  <c r="HA23" i="12"/>
  <c r="II23" i="12" s="1"/>
  <c r="GG23" i="12"/>
  <c r="HO23" i="12" s="1"/>
  <c r="GH23" i="12"/>
  <c r="HP23" i="12" s="1"/>
  <c r="JP23" i="12"/>
  <c r="KX23" i="12" s="1"/>
  <c r="JM23" i="12"/>
  <c r="KU23" i="12" s="1"/>
  <c r="GI23" i="12"/>
  <c r="HQ23" i="12" s="1"/>
  <c r="CH24" i="12"/>
  <c r="CG24" i="12"/>
  <c r="BH23" i="12"/>
  <c r="AX23" i="12"/>
  <c r="AY23" i="12"/>
  <c r="DD24" i="12" l="1"/>
  <c r="IN23" i="12"/>
  <c r="FW23" i="12"/>
  <c r="FN24" i="12"/>
  <c r="AV22" i="12" s="1"/>
  <c r="CB24" i="12" s="1"/>
  <c r="FO24" i="12"/>
  <c r="AW22" i="12" s="1"/>
  <c r="AZ22" i="12" s="1"/>
  <c r="BX24" i="12" s="1"/>
  <c r="CQ24" i="12"/>
  <c r="BY25" i="12"/>
  <c r="BA23" i="12"/>
  <c r="EK23" i="12"/>
  <c r="BV25" i="12"/>
  <c r="BZ25" i="12" s="1"/>
  <c r="BW25" i="12"/>
  <c r="CA25" i="12" s="1"/>
  <c r="BB23" i="12"/>
  <c r="BF23" i="12" s="1"/>
  <c r="BE23" i="12" l="1"/>
  <c r="BG23" i="12"/>
  <c r="FS24" i="12"/>
  <c r="CD24" i="12"/>
  <c r="CP24" i="12" s="1"/>
  <c r="CR24" i="12" s="1"/>
  <c r="CS24" i="12" s="1"/>
  <c r="DC25" i="12"/>
  <c r="DB24" i="12" l="1"/>
  <c r="CJ24" i="12"/>
  <c r="CM24" i="12" s="1"/>
  <c r="CO24" i="12" s="1"/>
  <c r="CZ24" i="12" l="1"/>
  <c r="DA24" i="12" s="1"/>
  <c r="CL24" i="12"/>
  <c r="CK24" i="12"/>
  <c r="ES24" i="12" s="1"/>
  <c r="AM24" i="12" l="1"/>
  <c r="FC24" i="12" s="1"/>
  <c r="FB24" i="12"/>
  <c r="AL24" i="12"/>
  <c r="ET24" i="12" s="1"/>
  <c r="CY24" i="12"/>
  <c r="B15" i="19" s="1"/>
  <c r="B47" i="19"/>
  <c r="DF24" i="12"/>
  <c r="EL24" i="12" s="1"/>
  <c r="EU24" i="12" l="1"/>
  <c r="EV24" i="12" s="1"/>
  <c r="FD24" i="12"/>
  <c r="FE24" i="12" s="1"/>
  <c r="FF25" i="12" s="1"/>
  <c r="FG26" i="12" s="1"/>
  <c r="FH27" i="12" s="1"/>
  <c r="AK24" i="12"/>
  <c r="AR24" i="12" s="1"/>
  <c r="B81" i="19" s="1"/>
  <c r="EW25" i="12" l="1"/>
  <c r="EX26" i="12" s="1"/>
  <c r="EY27" i="12" s="1"/>
  <c r="EZ24" i="12"/>
  <c r="AI24" i="12" s="1"/>
  <c r="FI24" i="12"/>
  <c r="AJ24" i="12" s="1"/>
  <c r="B180" i="19"/>
  <c r="LZ24" i="12"/>
  <c r="AP24" i="12"/>
  <c r="B114" i="19" s="1"/>
  <c r="AH24" i="12" l="1"/>
  <c r="AQ24" i="12" s="1"/>
  <c r="AO24" i="12" l="1"/>
  <c r="FL25" i="12" s="1"/>
  <c r="FR25" i="12" s="1"/>
  <c r="CC25" i="12"/>
  <c r="CG25" i="12"/>
  <c r="CH25" i="12"/>
  <c r="CF25" i="12"/>
  <c r="BI24" i="12"/>
  <c r="BK24" i="12" s="1"/>
  <c r="BD24" i="12" s="1"/>
  <c r="IO24" i="12"/>
  <c r="JO24" i="12"/>
  <c r="KW24" i="12" s="1"/>
  <c r="JR24" i="12"/>
  <c r="KZ24" i="12" s="1"/>
  <c r="JM24" i="12"/>
  <c r="KU24" i="12" s="1"/>
  <c r="FX24" i="12"/>
  <c r="GB24" i="12"/>
  <c r="HJ24" i="12" s="1"/>
  <c r="GK24" i="12"/>
  <c r="HS24" i="12" s="1"/>
  <c r="GP24" i="12"/>
  <c r="HX24" i="12" s="1"/>
  <c r="JK24" i="12"/>
  <c r="KS24" i="12" s="1"/>
  <c r="GV24" i="12"/>
  <c r="ID24" i="12" s="1"/>
  <c r="JN24" i="12"/>
  <c r="KV24" i="12" s="1"/>
  <c r="GH24" i="12"/>
  <c r="HP24" i="12" s="1"/>
  <c r="JB24" i="12"/>
  <c r="KJ24" i="12" s="1"/>
  <c r="JJ24" i="12"/>
  <c r="KR24" i="12" s="1"/>
  <c r="IP24" i="12"/>
  <c r="JX24" i="12" s="1"/>
  <c r="IR24" i="12"/>
  <c r="JZ24" i="12" s="1"/>
  <c r="IU24" i="12"/>
  <c r="KC24" i="12" s="1"/>
  <c r="JQ24" i="12"/>
  <c r="KY24" i="12" s="1"/>
  <c r="GF24" i="12"/>
  <c r="HN24" i="12" s="1"/>
  <c r="GJ24" i="12"/>
  <c r="HR24" i="12" s="1"/>
  <c r="HA24" i="12"/>
  <c r="II24" i="12" s="1"/>
  <c r="GE24" i="12"/>
  <c r="HM24" i="12" s="1"/>
  <c r="JH24" i="12"/>
  <c r="KP24" i="12" s="1"/>
  <c r="GX24" i="12"/>
  <c r="IF24" i="12" s="1"/>
  <c r="IW24" i="12"/>
  <c r="KE24" i="12" s="1"/>
  <c r="FY24" i="12"/>
  <c r="HG24" i="12" s="1"/>
  <c r="GC24" i="12"/>
  <c r="HK24" i="12" s="1"/>
  <c r="GI24" i="12"/>
  <c r="HQ24" i="12" s="1"/>
  <c r="JG24" i="12"/>
  <c r="KO24" i="12" s="1"/>
  <c r="IX24" i="12"/>
  <c r="KF24" i="12" s="1"/>
  <c r="IZ24" i="12"/>
  <c r="KH24" i="12" s="1"/>
  <c r="JC24" i="12"/>
  <c r="KK24" i="12" s="1"/>
  <c r="JE24" i="12"/>
  <c r="KM24" i="12" s="1"/>
  <c r="GN24" i="12"/>
  <c r="HV24" i="12" s="1"/>
  <c r="GR24" i="12"/>
  <c r="HZ24" i="12" s="1"/>
  <c r="GL24" i="12"/>
  <c r="HT24" i="12" s="1"/>
  <c r="GS24" i="12"/>
  <c r="IA24" i="12" s="1"/>
  <c r="HB24" i="12"/>
  <c r="IJ24" i="12" s="1"/>
  <c r="JP24" i="12"/>
  <c r="KX24" i="12" s="1"/>
  <c r="GY24" i="12"/>
  <c r="IG24" i="12" s="1"/>
  <c r="GM24" i="12"/>
  <c r="HU24" i="12" s="1"/>
  <c r="GO24" i="12"/>
  <c r="HW24" i="12" s="1"/>
  <c r="BC25" i="12"/>
  <c r="FZ24" i="12"/>
  <c r="HH24" i="12" s="1"/>
  <c r="JF24" i="12"/>
  <c r="KN24" i="12" s="1"/>
  <c r="IS24" i="12"/>
  <c r="KA24" i="12" s="1"/>
  <c r="GZ24" i="12"/>
  <c r="IH24" i="12" s="1"/>
  <c r="JS24" i="12"/>
  <c r="LA24" i="12" s="1"/>
  <c r="GA24" i="12"/>
  <c r="HI24" i="12" s="1"/>
  <c r="GD24" i="12"/>
  <c r="HL24" i="12" s="1"/>
  <c r="JL24" i="12"/>
  <c r="KT24" i="12" s="1"/>
  <c r="IQ24" i="12"/>
  <c r="JY24" i="12" s="1"/>
  <c r="IT24" i="12"/>
  <c r="KB24" i="12" s="1"/>
  <c r="IV24" i="12"/>
  <c r="KD24" i="12" s="1"/>
  <c r="JA24" i="12"/>
  <c r="KI24" i="12" s="1"/>
  <c r="GG24" i="12"/>
  <c r="HO24" i="12" s="1"/>
  <c r="GT24" i="12"/>
  <c r="IB24" i="12" s="1"/>
  <c r="JI24" i="12"/>
  <c r="KQ24" i="12" s="1"/>
  <c r="IY24" i="12"/>
  <c r="KG24" i="12" s="1"/>
  <c r="JD24" i="12"/>
  <c r="KL24" i="12" s="1"/>
  <c r="GQ24" i="12"/>
  <c r="HY24" i="12" s="1"/>
  <c r="GW24" i="12"/>
  <c r="IE24" i="12" s="1"/>
  <c r="GU24" i="12"/>
  <c r="IC24" i="12" s="1"/>
  <c r="BM24" i="12" l="1"/>
  <c r="CQ25" i="12"/>
  <c r="HF24" i="12"/>
  <c r="FN25" i="12" s="1"/>
  <c r="FW24" i="12"/>
  <c r="JW24" i="12"/>
  <c r="FO25" i="12" s="1"/>
  <c r="AW23" i="12" s="1"/>
  <c r="AZ23" i="12" s="1"/>
  <c r="BX25" i="12" s="1"/>
  <c r="IN24" i="12"/>
  <c r="EM25" i="12"/>
  <c r="DD25" i="12"/>
  <c r="BH24" i="12"/>
  <c r="AY24" i="12"/>
  <c r="AX24" i="12"/>
  <c r="BA24" i="12" l="1"/>
  <c r="BY26" i="12"/>
  <c r="BV26" i="12"/>
  <c r="EK24" i="12"/>
  <c r="BB24" i="12"/>
  <c r="BF24" i="12" s="1"/>
  <c r="BW26" i="12"/>
  <c r="CA26" i="12" s="1"/>
  <c r="FS25" i="12"/>
  <c r="AV23" i="12"/>
  <c r="CB25" i="12" s="1"/>
  <c r="BE24" i="12" l="1"/>
  <c r="BG24" i="12"/>
  <c r="CD25" i="12"/>
  <c r="CP25" i="12" s="1"/>
  <c r="CR25" i="12" s="1"/>
  <c r="CS25" i="12" s="1"/>
  <c r="BZ26" i="12"/>
  <c r="DC26" i="12" s="1"/>
  <c r="DB25" i="12" l="1"/>
  <c r="CJ25" i="12"/>
  <c r="CM25" i="12" l="1"/>
  <c r="CO25" i="12" s="1"/>
  <c r="CK25" i="12"/>
  <c r="ES25" i="12" s="1"/>
  <c r="CL25" i="12"/>
  <c r="CZ25" i="12"/>
  <c r="AM25" i="12" l="1"/>
  <c r="FC25" i="12" s="1"/>
  <c r="FB25" i="12"/>
  <c r="AL25" i="12"/>
  <c r="ET25" i="12" s="1"/>
  <c r="CY25" i="12"/>
  <c r="B16" i="19" s="1"/>
  <c r="DA25" i="12"/>
  <c r="EU25" i="12" l="1"/>
  <c r="EV25" i="12" s="1"/>
  <c r="FD25" i="12"/>
  <c r="FE25" i="12" s="1"/>
  <c r="AK25" i="12"/>
  <c r="B48" i="19"/>
  <c r="DF25" i="12"/>
  <c r="EL25" i="12" s="1"/>
  <c r="EZ25" i="12" l="1"/>
  <c r="AI25" i="12" s="1"/>
  <c r="EW26" i="12"/>
  <c r="EX27" i="12" s="1"/>
  <c r="EY28" i="12" s="1"/>
  <c r="AP25" i="12"/>
  <c r="B115" i="19" s="1"/>
  <c r="B181" i="19"/>
  <c r="LZ25" i="12"/>
  <c r="AR25" i="12"/>
  <c r="B82" i="19" s="1"/>
  <c r="FF26" i="12"/>
  <c r="FG27" i="12" s="1"/>
  <c r="FH28" i="12" s="1"/>
  <c r="FI25" i="12"/>
  <c r="AJ25" i="12" s="1"/>
  <c r="AH25" i="12" l="1"/>
  <c r="AO25" i="12" l="1"/>
  <c r="AQ25" i="12"/>
  <c r="CC26" i="12" l="1"/>
  <c r="CG26" i="12"/>
  <c r="CH26" i="12"/>
  <c r="CF26" i="12"/>
  <c r="IR25" i="12"/>
  <c r="JZ25" i="12" s="1"/>
  <c r="IT25" i="12"/>
  <c r="KB25" i="12" s="1"/>
  <c r="JE25" i="12"/>
  <c r="KM25" i="12" s="1"/>
  <c r="IQ25" i="12"/>
  <c r="JY25" i="12" s="1"/>
  <c r="FZ25" i="12"/>
  <c r="HH25" i="12" s="1"/>
  <c r="GD25" i="12"/>
  <c r="HL25" i="12" s="1"/>
  <c r="GM25" i="12"/>
  <c r="HU25" i="12" s="1"/>
  <c r="GZ25" i="12"/>
  <c r="IH25" i="12" s="1"/>
  <c r="GK25" i="12"/>
  <c r="HS25" i="12" s="1"/>
  <c r="IV25" i="12"/>
  <c r="KD25" i="12" s="1"/>
  <c r="GA25" i="12"/>
  <c r="HI25" i="12" s="1"/>
  <c r="GI25" i="12"/>
  <c r="HQ25" i="12" s="1"/>
  <c r="GV25" i="12"/>
  <c r="ID25" i="12" s="1"/>
  <c r="JO25" i="12"/>
  <c r="KW25" i="12" s="1"/>
  <c r="GY25" i="12"/>
  <c r="IG25" i="12" s="1"/>
  <c r="IZ25" i="12"/>
  <c r="KH25" i="12" s="1"/>
  <c r="JB25" i="12"/>
  <c r="KJ25" i="12" s="1"/>
  <c r="JM25" i="12"/>
  <c r="KU25" i="12" s="1"/>
  <c r="IU25" i="12"/>
  <c r="KC25" i="12" s="1"/>
  <c r="GH25" i="12"/>
  <c r="HP25" i="12" s="1"/>
  <c r="GL25" i="12"/>
  <c r="HT25" i="12" s="1"/>
  <c r="GN25" i="12"/>
  <c r="HV25" i="12" s="1"/>
  <c r="HA25" i="12"/>
  <c r="II25" i="12" s="1"/>
  <c r="GG25" i="12"/>
  <c r="HO25" i="12" s="1"/>
  <c r="GX25" i="12"/>
  <c r="IF25" i="12" s="1"/>
  <c r="IY25" i="12"/>
  <c r="KG25" i="12" s="1"/>
  <c r="GJ25" i="12"/>
  <c r="HR25" i="12" s="1"/>
  <c r="JN25" i="12"/>
  <c r="KV25" i="12" s="1"/>
  <c r="GE25" i="12"/>
  <c r="HM25" i="12" s="1"/>
  <c r="JQ25" i="12"/>
  <c r="KY25" i="12" s="1"/>
  <c r="JH25" i="12"/>
  <c r="KP25" i="12" s="1"/>
  <c r="JJ25" i="12"/>
  <c r="KR25" i="12" s="1"/>
  <c r="IP25" i="12"/>
  <c r="JX25" i="12" s="1"/>
  <c r="JC25" i="12"/>
  <c r="KK25" i="12" s="1"/>
  <c r="GP25" i="12"/>
  <c r="HX25" i="12" s="1"/>
  <c r="GT25" i="12"/>
  <c r="IB25" i="12" s="1"/>
  <c r="GF25" i="12"/>
  <c r="HN25" i="12" s="1"/>
  <c r="JG25" i="12"/>
  <c r="KO25" i="12" s="1"/>
  <c r="FY25" i="12"/>
  <c r="HG25" i="12" s="1"/>
  <c r="JF25" i="12"/>
  <c r="KN25" i="12" s="1"/>
  <c r="GS25" i="12"/>
  <c r="IA25" i="12" s="1"/>
  <c r="JK25" i="12"/>
  <c r="KS25" i="12" s="1"/>
  <c r="GW25" i="12"/>
  <c r="IE25" i="12" s="1"/>
  <c r="JS25" i="12"/>
  <c r="LA25" i="12" s="1"/>
  <c r="JP25" i="12"/>
  <c r="KX25" i="12" s="1"/>
  <c r="JR25" i="12"/>
  <c r="KZ25" i="12" s="1"/>
  <c r="IX25" i="12"/>
  <c r="KF25" i="12" s="1"/>
  <c r="HB25" i="12"/>
  <c r="IJ25" i="12" s="1"/>
  <c r="IS25" i="12"/>
  <c r="KA25" i="12" s="1"/>
  <c r="GC25" i="12"/>
  <c r="HK25" i="12" s="1"/>
  <c r="JD25" i="12"/>
  <c r="KL25" i="12" s="1"/>
  <c r="JI25" i="12"/>
  <c r="KQ25" i="12" s="1"/>
  <c r="GB25" i="12"/>
  <c r="HJ25" i="12" s="1"/>
  <c r="IW25" i="12"/>
  <c r="KE25" i="12" s="1"/>
  <c r="JA25" i="12"/>
  <c r="KI25" i="12" s="1"/>
  <c r="GO25" i="12"/>
  <c r="HW25" i="12" s="1"/>
  <c r="GQ25" i="12"/>
  <c r="HY25" i="12" s="1"/>
  <c r="BC26" i="12"/>
  <c r="GR25" i="12"/>
  <c r="HZ25" i="12" s="1"/>
  <c r="JL25" i="12"/>
  <c r="KT25" i="12" s="1"/>
  <c r="GU25" i="12"/>
  <c r="IC25" i="12" s="1"/>
  <c r="IO25" i="12"/>
  <c r="FX25" i="12"/>
  <c r="BI25" i="12"/>
  <c r="BK25" i="12" s="1"/>
  <c r="BD25" i="12" s="1"/>
  <c r="FL26" i="12"/>
  <c r="FR26" i="12" s="1"/>
  <c r="BM25" i="12"/>
  <c r="CQ26" i="12" l="1"/>
  <c r="BH25" i="12"/>
  <c r="AX25" i="12"/>
  <c r="AY25" i="12"/>
  <c r="HF25" i="12"/>
  <c r="FN26" i="12" s="1"/>
  <c r="FW25" i="12"/>
  <c r="JW25" i="12"/>
  <c r="FO26" i="12" s="1"/>
  <c r="AW24" i="12" s="1"/>
  <c r="AZ24" i="12" s="1"/>
  <c r="BX26" i="12" s="1"/>
  <c r="IN25" i="12"/>
  <c r="DD26" i="12"/>
  <c r="EM26" i="12"/>
  <c r="EK25" i="12" l="1"/>
  <c r="BA25" i="12"/>
  <c r="BV27" i="12"/>
  <c r="BZ27" i="12" s="1"/>
  <c r="BY27" i="12"/>
  <c r="FS26" i="12"/>
  <c r="AV24" i="12"/>
  <c r="CB26" i="12" s="1"/>
  <c r="BW27" i="12"/>
  <c r="CA27" i="12" s="1"/>
  <c r="BB25" i="12"/>
  <c r="BF25" i="12" s="1"/>
  <c r="BE25" i="12" l="1"/>
  <c r="BG25" i="12"/>
  <c r="CD26" i="12"/>
  <c r="CP26" i="12" s="1"/>
  <c r="CR26" i="12" s="1"/>
  <c r="CS26" i="12" s="1"/>
  <c r="DC27" i="12"/>
  <c r="DB26" i="12" l="1"/>
  <c r="CJ26" i="12"/>
  <c r="CZ26" i="12" s="1"/>
  <c r="CM26" i="12" l="1"/>
  <c r="CO26" i="12" s="1"/>
  <c r="CL26" i="12"/>
  <c r="CK26" i="12"/>
  <c r="ES26" i="12" s="1"/>
  <c r="DA26" i="12"/>
  <c r="CY26" i="12"/>
  <c r="B17" i="19" s="1"/>
  <c r="AM26" i="12" l="1"/>
  <c r="FC26" i="12" s="1"/>
  <c r="FB26" i="12"/>
  <c r="AL26" i="12"/>
  <c r="ET26" i="12" s="1"/>
  <c r="B49" i="19"/>
  <c r="DF26" i="12"/>
  <c r="EL26" i="12" s="1"/>
  <c r="EU26" i="12" l="1"/>
  <c r="EV26" i="12" s="1"/>
  <c r="FD26" i="12"/>
  <c r="FE26" i="12" s="1"/>
  <c r="FF27" i="12" s="1"/>
  <c r="FG28" i="12" s="1"/>
  <c r="FH29" i="12" s="1"/>
  <c r="AK26" i="12"/>
  <c r="AP26" i="12" s="1"/>
  <c r="B116" i="19" s="1"/>
  <c r="EW27" i="12" l="1"/>
  <c r="EX28" i="12" s="1"/>
  <c r="EY29" i="12" s="1"/>
  <c r="EZ26" i="12"/>
  <c r="AI26" i="12" s="1"/>
  <c r="FI26" i="12"/>
  <c r="AJ26" i="12" s="1"/>
  <c r="AR26" i="12"/>
  <c r="B83" i="19" s="1"/>
  <c r="B182" i="19"/>
  <c r="LZ26" i="12"/>
  <c r="AH26" i="12" l="1"/>
  <c r="AQ26" i="12" s="1"/>
  <c r="AO26" i="12" l="1"/>
  <c r="BI26" i="12" s="1"/>
  <c r="BK26" i="12" s="1"/>
  <c r="BD26" i="12" s="1"/>
  <c r="CC27" i="12"/>
  <c r="CG27" i="12"/>
  <c r="CH27" i="12"/>
  <c r="CF27" i="12"/>
  <c r="BM26" i="12"/>
  <c r="IO26" i="12"/>
  <c r="JS26" i="12"/>
  <c r="LA26" i="12" s="1"/>
  <c r="IQ26" i="12"/>
  <c r="JY26" i="12" s="1"/>
  <c r="JQ26" i="12"/>
  <c r="KY26" i="12" s="1"/>
  <c r="FX26" i="12"/>
  <c r="HA26" i="12"/>
  <c r="II26" i="12" s="1"/>
  <c r="GM26" i="12"/>
  <c r="HU26" i="12" s="1"/>
  <c r="GU26" i="12"/>
  <c r="IC26" i="12" s="1"/>
  <c r="BC27" i="12"/>
  <c r="IT26" i="12"/>
  <c r="KB26" i="12" s="1"/>
  <c r="IV26" i="12"/>
  <c r="KD26" i="12" s="1"/>
  <c r="IY26" i="12"/>
  <c r="KG26" i="12" s="1"/>
  <c r="IS26" i="12"/>
  <c r="KA26" i="12" s="1"/>
  <c r="GB26" i="12"/>
  <c r="HJ26" i="12" s="1"/>
  <c r="GF26" i="12"/>
  <c r="HN26" i="12" s="1"/>
  <c r="GY26" i="12"/>
  <c r="IG26" i="12" s="1"/>
  <c r="HB26" i="12"/>
  <c r="IJ26" i="12" s="1"/>
  <c r="JB26" i="12"/>
  <c r="KJ26" i="12" s="1"/>
  <c r="JD26" i="12"/>
  <c r="KL26" i="12" s="1"/>
  <c r="JG26" i="12"/>
  <c r="KO26" i="12" s="1"/>
  <c r="JI26" i="12"/>
  <c r="KQ26" i="12" s="1"/>
  <c r="GJ26" i="12"/>
  <c r="HR26" i="12" s="1"/>
  <c r="GN26" i="12"/>
  <c r="HV26" i="12" s="1"/>
  <c r="GA26" i="12"/>
  <c r="HI26" i="12" s="1"/>
  <c r="GG26" i="12"/>
  <c r="HO26" i="12" s="1"/>
  <c r="JO26" i="12"/>
  <c r="KW26" i="12" s="1"/>
  <c r="IW26" i="12"/>
  <c r="KE26" i="12" s="1"/>
  <c r="GR26" i="12"/>
  <c r="HZ26" i="12" s="1"/>
  <c r="GV26" i="12"/>
  <c r="ID26" i="12" s="1"/>
  <c r="GQ26" i="12"/>
  <c r="HY26" i="12" s="1"/>
  <c r="GW26" i="12"/>
  <c r="IE26" i="12" s="1"/>
  <c r="IX26" i="12"/>
  <c r="KF26" i="12" s="1"/>
  <c r="GL26" i="12"/>
  <c r="HT26" i="12" s="1"/>
  <c r="JM26" i="12"/>
  <c r="KU26" i="12" s="1"/>
  <c r="JP26" i="12"/>
  <c r="KX26" i="12" s="1"/>
  <c r="GT26" i="12"/>
  <c r="IB26" i="12" s="1"/>
  <c r="JJ26" i="12"/>
  <c r="KR26" i="12" s="1"/>
  <c r="JL26" i="12"/>
  <c r="KT26" i="12" s="1"/>
  <c r="GK26" i="12"/>
  <c r="HS26" i="12" s="1"/>
  <c r="FZ26" i="12"/>
  <c r="HH26" i="12" s="1"/>
  <c r="JR26" i="12"/>
  <c r="KZ26" i="12" s="1"/>
  <c r="IP26" i="12"/>
  <c r="JX26" i="12" s="1"/>
  <c r="IR26" i="12"/>
  <c r="JZ26" i="12" s="1"/>
  <c r="JA26" i="12"/>
  <c r="KI26" i="12" s="1"/>
  <c r="GZ26" i="12"/>
  <c r="IH26" i="12" s="1"/>
  <c r="FY26" i="12"/>
  <c r="HG26" i="12" s="1"/>
  <c r="GD26" i="12"/>
  <c r="HL26" i="12" s="1"/>
  <c r="GP26" i="12"/>
  <c r="HX26" i="12" s="1"/>
  <c r="IU26" i="12"/>
  <c r="KC26" i="12" s="1"/>
  <c r="JE26" i="12"/>
  <c r="KM26" i="12" s="1"/>
  <c r="GO26" i="12"/>
  <c r="HW26" i="12" s="1"/>
  <c r="JK26" i="12"/>
  <c r="KS26" i="12" s="1"/>
  <c r="GS26" i="12"/>
  <c r="IA26" i="12" s="1"/>
  <c r="IZ26" i="12"/>
  <c r="KH26" i="12" s="1"/>
  <c r="GC26" i="12"/>
  <c r="HK26" i="12" s="1"/>
  <c r="GI26" i="12"/>
  <c r="HQ26" i="12" s="1"/>
  <c r="GH26" i="12"/>
  <c r="HP26" i="12" s="1"/>
  <c r="JC26" i="12"/>
  <c r="KK26" i="12" s="1"/>
  <c r="JF26" i="12"/>
  <c r="KN26" i="12" s="1"/>
  <c r="JH26" i="12"/>
  <c r="KP26" i="12" s="1"/>
  <c r="GX26" i="12"/>
  <c r="IF26" i="12" s="1"/>
  <c r="JN26" i="12"/>
  <c r="KV26" i="12" s="1"/>
  <c r="GE26" i="12"/>
  <c r="HM26" i="12" s="1"/>
  <c r="FL27" i="12" l="1"/>
  <c r="FR27" i="12" s="1"/>
  <c r="CQ27" i="12"/>
  <c r="DD27" i="12"/>
  <c r="EM27" i="12"/>
  <c r="JW26" i="12"/>
  <c r="FO27" i="12" s="1"/>
  <c r="AW25" i="12" s="1"/>
  <c r="IN26" i="12"/>
  <c r="HF26" i="12"/>
  <c r="FN27" i="12" s="1"/>
  <c r="FW26" i="12"/>
  <c r="BH26" i="12"/>
  <c r="AX26" i="12"/>
  <c r="AY26" i="12"/>
  <c r="AZ25" i="12" l="1"/>
  <c r="BX27" i="12" s="1"/>
  <c r="AV25" i="12"/>
  <c r="CB27" i="12" s="1"/>
  <c r="FS27" i="12"/>
  <c r="BB26" i="12"/>
  <c r="BF26" i="12" s="1"/>
  <c r="BW28" i="12"/>
  <c r="CA28" i="12" s="1"/>
  <c r="EK26" i="12"/>
  <c r="BY28" i="12"/>
  <c r="BV28" i="12"/>
  <c r="BA26" i="12"/>
  <c r="BE26" i="12" l="1"/>
  <c r="BG26" i="12"/>
  <c r="CD27" i="12"/>
  <c r="DB27" i="12" s="1"/>
  <c r="BZ28" i="12"/>
  <c r="CP27" i="12" l="1"/>
  <c r="CR27" i="12" s="1"/>
  <c r="CS27" i="12" s="1"/>
  <c r="CJ27" i="12"/>
  <c r="CM27" i="12" s="1"/>
  <c r="CO27" i="12" s="1"/>
  <c r="DC28" i="12"/>
  <c r="CL27" i="12" l="1"/>
  <c r="CZ27" i="12"/>
  <c r="DA27" i="12" s="1"/>
  <c r="CK27" i="12"/>
  <c r="ES27" i="12" s="1"/>
  <c r="AM27" i="12" l="1"/>
  <c r="FC27" i="12" s="1"/>
  <c r="FB27" i="12"/>
  <c r="AL27" i="12"/>
  <c r="ET27" i="12" s="1"/>
  <c r="CY27" i="12"/>
  <c r="B18" i="19" s="1"/>
  <c r="B50" i="19"/>
  <c r="DF27" i="12"/>
  <c r="EL27" i="12" s="1"/>
  <c r="EU27" i="12" l="1"/>
  <c r="EV27" i="12" s="1"/>
  <c r="EZ27" i="12" s="1"/>
  <c r="AI27" i="12" s="1"/>
  <c r="AK27" i="12"/>
  <c r="B183" i="19" s="1"/>
  <c r="FD27" i="12"/>
  <c r="FE27" i="12" s="1"/>
  <c r="EW28" i="12" l="1"/>
  <c r="EX29" i="12" s="1"/>
  <c r="EY30" i="12" s="1"/>
  <c r="AR27" i="12"/>
  <c r="B84" i="19" s="1"/>
  <c r="AP27" i="12"/>
  <c r="B117" i="19" s="1"/>
  <c r="LZ27" i="12"/>
  <c r="FI27" i="12"/>
  <c r="AJ27" i="12" s="1"/>
  <c r="AH27" i="12" s="1"/>
  <c r="FF28" i="12"/>
  <c r="FG29" i="12" s="1"/>
  <c r="FH30" i="12" s="1"/>
  <c r="AQ27" i="12" l="1"/>
  <c r="AO27" i="12"/>
  <c r="CC28" i="12" l="1"/>
  <c r="CG28" i="12"/>
  <c r="CH28" i="12"/>
  <c r="CF28" i="12"/>
  <c r="FL28" i="12"/>
  <c r="FR28" i="12" s="1"/>
  <c r="BM27" i="12"/>
  <c r="BI27" i="12"/>
  <c r="BK27" i="12" s="1"/>
  <c r="BD27" i="12" s="1"/>
  <c r="JM27" i="12"/>
  <c r="KU27" i="12" s="1"/>
  <c r="JP27" i="12"/>
  <c r="KX27" i="12" s="1"/>
  <c r="JR27" i="12"/>
  <c r="KZ27" i="12" s="1"/>
  <c r="JO27" i="12"/>
  <c r="KW27" i="12" s="1"/>
  <c r="GM27" i="12"/>
  <c r="HU27" i="12" s="1"/>
  <c r="GI27" i="12"/>
  <c r="HQ27" i="12" s="1"/>
  <c r="GJ27" i="12"/>
  <c r="HR27" i="12" s="1"/>
  <c r="GB27" i="12"/>
  <c r="HJ27" i="12" s="1"/>
  <c r="JA27" i="12"/>
  <c r="KI27" i="12" s="1"/>
  <c r="FZ27" i="12"/>
  <c r="HH27" i="12" s="1"/>
  <c r="GC27" i="12"/>
  <c r="HK27" i="12" s="1"/>
  <c r="GD27" i="12"/>
  <c r="HL27" i="12" s="1"/>
  <c r="GH27" i="12"/>
  <c r="HP27" i="12" s="1"/>
  <c r="GO27" i="12"/>
  <c r="HW27" i="12" s="1"/>
  <c r="GL27" i="12"/>
  <c r="HT27" i="12" s="1"/>
  <c r="GQ27" i="12"/>
  <c r="HY27" i="12" s="1"/>
  <c r="GX27" i="12"/>
  <c r="IF27" i="12" s="1"/>
  <c r="HB27" i="12"/>
  <c r="IJ27" i="12" s="1"/>
  <c r="GE27" i="12"/>
  <c r="HM27" i="12" s="1"/>
  <c r="IP27" i="12"/>
  <c r="JX27" i="12" s="1"/>
  <c r="IS27" i="12"/>
  <c r="KA27" i="12" s="1"/>
  <c r="JS27" i="12"/>
  <c r="LA27" i="12" s="1"/>
  <c r="GU27" i="12"/>
  <c r="IC27" i="12" s="1"/>
  <c r="GV27" i="12"/>
  <c r="ID27" i="12" s="1"/>
  <c r="GK27" i="12"/>
  <c r="HS27" i="12" s="1"/>
  <c r="BC28" i="12"/>
  <c r="JK27" i="12"/>
  <c r="KS27" i="12" s="1"/>
  <c r="GP27" i="12"/>
  <c r="HX27" i="12" s="1"/>
  <c r="JJ27" i="12"/>
  <c r="KR27" i="12" s="1"/>
  <c r="IO27" i="12"/>
  <c r="IX27" i="12"/>
  <c r="KF27" i="12" s="1"/>
  <c r="FX27" i="12"/>
  <c r="HA27" i="12"/>
  <c r="II27" i="12" s="1"/>
  <c r="GW27" i="12"/>
  <c r="IE27" i="12" s="1"/>
  <c r="JC27" i="12"/>
  <c r="KK27" i="12" s="1"/>
  <c r="IV27" i="12"/>
  <c r="KD27" i="12" s="1"/>
  <c r="JF27" i="12"/>
  <c r="KN27" i="12" s="1"/>
  <c r="JI27" i="12"/>
  <c r="KQ27" i="12" s="1"/>
  <c r="IQ27" i="12"/>
  <c r="JY27" i="12" s="1"/>
  <c r="JD27" i="12"/>
  <c r="KL27" i="12" s="1"/>
  <c r="JN27" i="12"/>
  <c r="KV27" i="12" s="1"/>
  <c r="JQ27" i="12"/>
  <c r="KY27" i="12" s="1"/>
  <c r="IU27" i="12"/>
  <c r="KC27" i="12" s="1"/>
  <c r="GF27" i="12"/>
  <c r="HN27" i="12" s="1"/>
  <c r="GR27" i="12"/>
  <c r="HZ27" i="12" s="1"/>
  <c r="GG27" i="12"/>
  <c r="HO27" i="12" s="1"/>
  <c r="GS27" i="12"/>
  <c r="IA27" i="12" s="1"/>
  <c r="JL27" i="12"/>
  <c r="KT27" i="12" s="1"/>
  <c r="IR27" i="12"/>
  <c r="JZ27" i="12" s="1"/>
  <c r="IT27" i="12"/>
  <c r="KB27" i="12" s="1"/>
  <c r="IY27" i="12"/>
  <c r="KG27" i="12" s="1"/>
  <c r="GT27" i="12"/>
  <c r="IB27" i="12" s="1"/>
  <c r="GY27" i="12"/>
  <c r="IG27" i="12" s="1"/>
  <c r="GZ27" i="12"/>
  <c r="IH27" i="12" s="1"/>
  <c r="JH27" i="12"/>
  <c r="KP27" i="12" s="1"/>
  <c r="IW27" i="12"/>
  <c r="KE27" i="12" s="1"/>
  <c r="IZ27" i="12"/>
  <c r="KH27" i="12" s="1"/>
  <c r="JB27" i="12"/>
  <c r="KJ27" i="12" s="1"/>
  <c r="JG27" i="12"/>
  <c r="KO27" i="12" s="1"/>
  <c r="GA27" i="12"/>
  <c r="HI27" i="12" s="1"/>
  <c r="GN27" i="12"/>
  <c r="HV27" i="12" s="1"/>
  <c r="JE27" i="12"/>
  <c r="KM27" i="12" s="1"/>
  <c r="FY27" i="12"/>
  <c r="HG27" i="12" s="1"/>
  <c r="CQ28" i="12" l="1"/>
  <c r="JW27" i="12"/>
  <c r="FO28" i="12" s="1"/>
  <c r="AW26" i="12" s="1"/>
  <c r="AZ26" i="12" s="1"/>
  <c r="BX28" i="12" s="1"/>
  <c r="IN27" i="12"/>
  <c r="BH27" i="12"/>
  <c r="AX27" i="12"/>
  <c r="AY27" i="12"/>
  <c r="HF27" i="12"/>
  <c r="FN28" i="12" s="1"/>
  <c r="FW27" i="12"/>
  <c r="DD28" i="12"/>
  <c r="EM28" i="12"/>
  <c r="FS28" i="12" l="1"/>
  <c r="AV26" i="12"/>
  <c r="CB28" i="12" s="1"/>
  <c r="BW29" i="12"/>
  <c r="CA29" i="12" s="1"/>
  <c r="BB27" i="12"/>
  <c r="BF27" i="12" s="1"/>
  <c r="BA27" i="12"/>
  <c r="BV29" i="12"/>
  <c r="BY29" i="12"/>
  <c r="EK27" i="12"/>
  <c r="BE27" i="12" l="1"/>
  <c r="BG27" i="12"/>
  <c r="CD28" i="12"/>
  <c r="CP28" i="12" s="1"/>
  <c r="CR28" i="12" s="1"/>
  <c r="CS28" i="12" s="1"/>
  <c r="BZ29" i="12"/>
  <c r="DC29" i="12" s="1"/>
  <c r="CJ28" i="12" l="1"/>
  <c r="CM28" i="12" s="1"/>
  <c r="CO28" i="12" s="1"/>
  <c r="DB28" i="12"/>
  <c r="CZ28" i="12" l="1"/>
  <c r="DA28" i="12" s="1"/>
  <c r="CK28" i="12"/>
  <c r="ES28" i="12" s="1"/>
  <c r="CL28" i="12"/>
  <c r="AM28" i="12" l="1"/>
  <c r="FC28" i="12" s="1"/>
  <c r="FB28" i="12"/>
  <c r="AL28" i="12"/>
  <c r="ET28" i="12" s="1"/>
  <c r="CY28" i="12"/>
  <c r="B19" i="19" s="1"/>
  <c r="B51" i="19"/>
  <c r="DF28" i="12"/>
  <c r="EL28" i="12" s="1"/>
  <c r="EU28" i="12" l="1"/>
  <c r="EV28" i="12" s="1"/>
  <c r="AK28" i="12"/>
  <c r="FD28" i="12"/>
  <c r="FE28" i="12" s="1"/>
  <c r="AR28" i="12" l="1"/>
  <c r="B85" i="19" s="1"/>
  <c r="B184" i="19"/>
  <c r="LZ28" i="12"/>
  <c r="AP28" i="12"/>
  <c r="B118" i="19" s="1"/>
  <c r="FF29" i="12"/>
  <c r="FG30" i="12" s="1"/>
  <c r="FH31" i="12" s="1"/>
  <c r="FI28" i="12"/>
  <c r="AJ28" i="12" s="1"/>
  <c r="EW29" i="12"/>
  <c r="EX30" i="12" s="1"/>
  <c r="EY31" i="12" s="1"/>
  <c r="EZ28" i="12"/>
  <c r="AI28" i="12" s="1"/>
  <c r="AH28" i="12" l="1"/>
  <c r="AO28" i="12" l="1"/>
  <c r="AQ28" i="12"/>
  <c r="CC29" i="12" l="1"/>
  <c r="CG29" i="12"/>
  <c r="CH29" i="12"/>
  <c r="CF29" i="12"/>
  <c r="IQ28" i="12"/>
  <c r="JY28" i="12" s="1"/>
  <c r="IT28" i="12"/>
  <c r="KB28" i="12" s="1"/>
  <c r="IV28" i="12"/>
  <c r="KD28" i="12" s="1"/>
  <c r="JI28" i="12"/>
  <c r="KQ28" i="12" s="1"/>
  <c r="GG28" i="12"/>
  <c r="HO28" i="12" s="1"/>
  <c r="GP28" i="12"/>
  <c r="HX28" i="12" s="1"/>
  <c r="GS28" i="12"/>
  <c r="IA28" i="12" s="1"/>
  <c r="GH28" i="12"/>
  <c r="HP28" i="12" s="1"/>
  <c r="FZ28" i="12"/>
  <c r="HH28" i="12" s="1"/>
  <c r="IS28" i="12"/>
  <c r="KA28" i="12" s="1"/>
  <c r="GQ28" i="12"/>
  <c r="HY28" i="12" s="1"/>
  <c r="IU28" i="12"/>
  <c r="KC28" i="12" s="1"/>
  <c r="IW28" i="12"/>
  <c r="KE28" i="12" s="1"/>
  <c r="GI28" i="12"/>
  <c r="HQ28" i="12" s="1"/>
  <c r="IZ28" i="12"/>
  <c r="KH28" i="12" s="1"/>
  <c r="JC28" i="12"/>
  <c r="KK28" i="12" s="1"/>
  <c r="GN28" i="12"/>
  <c r="HV28" i="12" s="1"/>
  <c r="GE28" i="12"/>
  <c r="HM28" i="12" s="1"/>
  <c r="JH28" i="12"/>
  <c r="KP28" i="12" s="1"/>
  <c r="GV28" i="12"/>
  <c r="ID28" i="12" s="1"/>
  <c r="JS28" i="12"/>
  <c r="LA28" i="12" s="1"/>
  <c r="GC28" i="12"/>
  <c r="HK28" i="12" s="1"/>
  <c r="IY28" i="12"/>
  <c r="KG28" i="12" s="1"/>
  <c r="JB28" i="12"/>
  <c r="KJ28" i="12" s="1"/>
  <c r="JD28" i="12"/>
  <c r="KL28" i="12" s="1"/>
  <c r="JQ28" i="12"/>
  <c r="KY28" i="12" s="1"/>
  <c r="GO28" i="12"/>
  <c r="HW28" i="12" s="1"/>
  <c r="HB28" i="12"/>
  <c r="IJ28" i="12" s="1"/>
  <c r="GL28" i="12"/>
  <c r="HT28" i="12" s="1"/>
  <c r="GU28" i="12"/>
  <c r="IC28" i="12" s="1"/>
  <c r="GF28" i="12"/>
  <c r="HN28" i="12" s="1"/>
  <c r="GR28" i="12"/>
  <c r="HZ28" i="12" s="1"/>
  <c r="GZ28" i="12"/>
  <c r="IH28" i="12" s="1"/>
  <c r="GA28" i="12"/>
  <c r="HI28" i="12" s="1"/>
  <c r="JN28" i="12"/>
  <c r="KV28" i="12" s="1"/>
  <c r="JE28" i="12"/>
  <c r="KM28" i="12" s="1"/>
  <c r="JG28" i="12"/>
  <c r="KO28" i="12" s="1"/>
  <c r="JJ28" i="12"/>
  <c r="KR28" i="12" s="1"/>
  <c r="JL28" i="12"/>
  <c r="KT28" i="12" s="1"/>
  <c r="GW28" i="12"/>
  <c r="IE28" i="12" s="1"/>
  <c r="GD28" i="12"/>
  <c r="HL28" i="12" s="1"/>
  <c r="FX28" i="12"/>
  <c r="GM28" i="12"/>
  <c r="HU28" i="12" s="1"/>
  <c r="IR28" i="12"/>
  <c r="JZ28" i="12" s="1"/>
  <c r="GJ28" i="12"/>
  <c r="HR28" i="12" s="1"/>
  <c r="GX28" i="12"/>
  <c r="IF28" i="12" s="1"/>
  <c r="IO28" i="12"/>
  <c r="JO28" i="12"/>
  <c r="KW28" i="12" s="1"/>
  <c r="JR28" i="12"/>
  <c r="KZ28" i="12" s="1"/>
  <c r="GB28" i="12"/>
  <c r="HJ28" i="12" s="1"/>
  <c r="JA28" i="12"/>
  <c r="KI28" i="12" s="1"/>
  <c r="GY28" i="12"/>
  <c r="IG28" i="12" s="1"/>
  <c r="JF28" i="12"/>
  <c r="KN28" i="12" s="1"/>
  <c r="JM28" i="12"/>
  <c r="KU28" i="12" s="1"/>
  <c r="GK28" i="12"/>
  <c r="HS28" i="12" s="1"/>
  <c r="JP28" i="12"/>
  <c r="KX28" i="12" s="1"/>
  <c r="FY28" i="12"/>
  <c r="HG28" i="12" s="1"/>
  <c r="HA28" i="12"/>
  <c r="II28" i="12" s="1"/>
  <c r="IP28" i="12"/>
  <c r="JX28" i="12" s="1"/>
  <c r="IX28" i="12"/>
  <c r="KF28" i="12" s="1"/>
  <c r="BC29" i="12"/>
  <c r="GT28" i="12"/>
  <c r="IB28" i="12" s="1"/>
  <c r="JK28" i="12"/>
  <c r="KS28" i="12" s="1"/>
  <c r="BI28" i="12"/>
  <c r="BK28" i="12" s="1"/>
  <c r="BD28" i="12" s="1"/>
  <c r="FL29" i="12"/>
  <c r="FR29" i="12" s="1"/>
  <c r="BM28" i="12"/>
  <c r="CQ29" i="12" l="1"/>
  <c r="HF28" i="12"/>
  <c r="FN29" i="12" s="1"/>
  <c r="FW28" i="12"/>
  <c r="BH28" i="12"/>
  <c r="AX28" i="12"/>
  <c r="AY28" i="12"/>
  <c r="DD29" i="12"/>
  <c r="EM29" i="12"/>
  <c r="JW28" i="12"/>
  <c r="FO29" i="12" s="1"/>
  <c r="AW27" i="12" s="1"/>
  <c r="IN28" i="12"/>
  <c r="AZ27" i="12" l="1"/>
  <c r="BX29" i="12" s="1"/>
  <c r="BV30" i="12"/>
  <c r="BY30" i="12"/>
  <c r="EK28" i="12"/>
  <c r="BA28" i="12"/>
  <c r="BW30" i="12"/>
  <c r="CA30" i="12" s="1"/>
  <c r="BB28" i="12"/>
  <c r="BF28" i="12" s="1"/>
  <c r="FS29" i="12"/>
  <c r="AV27" i="12"/>
  <c r="CB29" i="12" s="1"/>
  <c r="BE28" i="12" l="1"/>
  <c r="BG28" i="12"/>
  <c r="CD29" i="12"/>
  <c r="DB29" i="12" s="1"/>
  <c r="BZ30" i="12"/>
  <c r="CP29" i="12" l="1"/>
  <c r="CR29" i="12" s="1"/>
  <c r="CS29" i="12" s="1"/>
  <c r="DC30" i="12"/>
  <c r="CJ29" i="12"/>
  <c r="CZ29" i="12" l="1"/>
  <c r="CK29" i="12"/>
  <c r="ES29" i="12" s="1"/>
  <c r="CL29" i="12"/>
  <c r="CM29" i="12"/>
  <c r="CO29" i="12" s="1"/>
  <c r="AM29" i="12" l="1"/>
  <c r="FC29" i="12" s="1"/>
  <c r="FB29" i="12"/>
  <c r="AL29" i="12"/>
  <c r="ET29" i="12" s="1"/>
  <c r="DA29" i="12"/>
  <c r="CY29" i="12"/>
  <c r="B20" i="19" s="1"/>
  <c r="B52" i="19" l="1"/>
  <c r="DF29" i="12"/>
  <c r="EL29" i="12" s="1"/>
  <c r="FD29" i="12"/>
  <c r="FE29" i="12" s="1"/>
  <c r="AK29" i="12"/>
  <c r="EU29" i="12"/>
  <c r="EV29" i="12" s="1"/>
  <c r="EW30" i="12" l="1"/>
  <c r="EX31" i="12" s="1"/>
  <c r="EY32" i="12" s="1"/>
  <c r="EZ29" i="12"/>
  <c r="AI29" i="12" s="1"/>
  <c r="AP29" i="12"/>
  <c r="B119" i="19" s="1"/>
  <c r="AR29" i="12"/>
  <c r="B86" i="19" s="1"/>
  <c r="LZ29" i="12"/>
  <c r="B185" i="19"/>
  <c r="FF30" i="12"/>
  <c r="FG31" i="12" s="1"/>
  <c r="FH32" i="12" s="1"/>
  <c r="FI29" i="12"/>
  <c r="AJ29" i="12" s="1"/>
  <c r="AH29" i="12" l="1"/>
  <c r="AQ29" i="12" l="1"/>
  <c r="AO29" i="12"/>
  <c r="CC30" i="12" l="1"/>
  <c r="CG30" i="12"/>
  <c r="CH30" i="12"/>
  <c r="CF30" i="12"/>
  <c r="FL30" i="12"/>
  <c r="FR30" i="12" s="1"/>
  <c r="BI29" i="12"/>
  <c r="BK29" i="12" s="1"/>
  <c r="BD29" i="12" s="1"/>
  <c r="BM29" i="12"/>
  <c r="IO29" i="12"/>
  <c r="JQ29" i="12"/>
  <c r="KY29" i="12" s="1"/>
  <c r="IW29" i="12"/>
  <c r="KE29" i="12" s="1"/>
  <c r="IU29" i="12"/>
  <c r="KC29" i="12" s="1"/>
  <c r="FX29" i="12"/>
  <c r="GL29" i="12"/>
  <c r="HT29" i="12" s="1"/>
  <c r="GN29" i="12"/>
  <c r="HV29" i="12" s="1"/>
  <c r="GR29" i="12"/>
  <c r="HZ29" i="12" s="1"/>
  <c r="JM29" i="12"/>
  <c r="KU29" i="12" s="1"/>
  <c r="GH29" i="12"/>
  <c r="HP29" i="12" s="1"/>
  <c r="HB29" i="12"/>
  <c r="IJ29" i="12" s="1"/>
  <c r="GX29" i="12"/>
  <c r="IF29" i="12" s="1"/>
  <c r="GJ29" i="12"/>
  <c r="HR29" i="12" s="1"/>
  <c r="IV29" i="12"/>
  <c r="KD29" i="12" s="1"/>
  <c r="JG29" i="12"/>
  <c r="KO29" i="12" s="1"/>
  <c r="GQ29" i="12"/>
  <c r="HY29" i="12" s="1"/>
  <c r="JA29" i="12"/>
  <c r="KI29" i="12" s="1"/>
  <c r="GM29" i="12"/>
  <c r="HU29" i="12" s="1"/>
  <c r="JI29" i="12"/>
  <c r="KQ29" i="12" s="1"/>
  <c r="GW29" i="12"/>
  <c r="IE29" i="12" s="1"/>
  <c r="IR29" i="12"/>
  <c r="JZ29" i="12" s="1"/>
  <c r="IT29" i="12"/>
  <c r="KB29" i="12" s="1"/>
  <c r="JE29" i="12"/>
  <c r="KM29" i="12" s="1"/>
  <c r="IY29" i="12"/>
  <c r="KG29" i="12" s="1"/>
  <c r="FZ29" i="12"/>
  <c r="HH29" i="12" s="1"/>
  <c r="GT29" i="12"/>
  <c r="IB29" i="12" s="1"/>
  <c r="HA29" i="12"/>
  <c r="II29" i="12" s="1"/>
  <c r="GF29" i="12"/>
  <c r="HN29" i="12" s="1"/>
  <c r="JO29" i="12"/>
  <c r="KW29" i="12" s="1"/>
  <c r="GO29" i="12"/>
  <c r="HW29" i="12" s="1"/>
  <c r="GG29" i="12"/>
  <c r="HO29" i="12" s="1"/>
  <c r="GU29" i="12"/>
  <c r="IC29" i="12" s="1"/>
  <c r="JR29" i="12"/>
  <c r="KZ29" i="12" s="1"/>
  <c r="IX29" i="12"/>
  <c r="KF29" i="12" s="1"/>
  <c r="JK29" i="12"/>
  <c r="KS29" i="12" s="1"/>
  <c r="GV29" i="12"/>
  <c r="ID29" i="12" s="1"/>
  <c r="BC30" i="12"/>
  <c r="GA29" i="12"/>
  <c r="HI29" i="12" s="1"/>
  <c r="GZ29" i="12"/>
  <c r="IH29" i="12" s="1"/>
  <c r="JD29" i="12"/>
  <c r="KL29" i="12" s="1"/>
  <c r="GI29" i="12"/>
  <c r="HQ29" i="12" s="1"/>
  <c r="IQ29" i="12"/>
  <c r="JY29" i="12" s="1"/>
  <c r="IZ29" i="12"/>
  <c r="KH29" i="12" s="1"/>
  <c r="JB29" i="12"/>
  <c r="KJ29" i="12" s="1"/>
  <c r="JH29" i="12"/>
  <c r="KP29" i="12" s="1"/>
  <c r="JJ29" i="12"/>
  <c r="KR29" i="12" s="1"/>
  <c r="IP29" i="12"/>
  <c r="JX29" i="12" s="1"/>
  <c r="JC29" i="12"/>
  <c r="KK29" i="12" s="1"/>
  <c r="GP29" i="12"/>
  <c r="HX29" i="12" s="1"/>
  <c r="GK29" i="12"/>
  <c r="HS29" i="12" s="1"/>
  <c r="GS29" i="12"/>
  <c r="IA29" i="12" s="1"/>
  <c r="GB29" i="12"/>
  <c r="HJ29" i="12" s="1"/>
  <c r="IS29" i="12"/>
  <c r="KA29" i="12" s="1"/>
  <c r="JF29" i="12"/>
  <c r="KN29" i="12" s="1"/>
  <c r="FY29" i="12"/>
  <c r="HG29" i="12" s="1"/>
  <c r="JN29" i="12"/>
  <c r="KV29" i="12" s="1"/>
  <c r="JS29" i="12"/>
  <c r="LA29" i="12" s="1"/>
  <c r="GY29" i="12"/>
  <c r="IG29" i="12" s="1"/>
  <c r="JL29" i="12"/>
  <c r="KT29" i="12" s="1"/>
  <c r="GC29" i="12"/>
  <c r="HK29" i="12" s="1"/>
  <c r="JP29" i="12"/>
  <c r="KX29" i="12" s="1"/>
  <c r="GE29" i="12"/>
  <c r="HM29" i="12" s="1"/>
  <c r="GD29" i="12"/>
  <c r="HL29" i="12" s="1"/>
  <c r="CQ30" i="12" l="1"/>
  <c r="HF29" i="12"/>
  <c r="FN30" i="12" s="1"/>
  <c r="FW29" i="12"/>
  <c r="JW29" i="12"/>
  <c r="FO30" i="12" s="1"/>
  <c r="AW28" i="12" s="1"/>
  <c r="AZ28" i="12" s="1"/>
  <c r="BX30" i="12" s="1"/>
  <c r="IN29" i="12"/>
  <c r="EM30" i="12"/>
  <c r="DD30" i="12"/>
  <c r="BH29" i="12"/>
  <c r="AY29" i="12"/>
  <c r="AX29" i="12"/>
  <c r="EJ29" i="12" l="1"/>
  <c r="BY31" i="12"/>
  <c r="EK29" i="12"/>
  <c r="BV31" i="12"/>
  <c r="BZ31" i="12" s="1"/>
  <c r="BA29" i="12"/>
  <c r="BB29" i="12"/>
  <c r="BF29" i="12" s="1"/>
  <c r="BW31" i="12"/>
  <c r="CA31" i="12" s="1"/>
  <c r="AV28" i="12"/>
  <c r="CB30" i="12" s="1"/>
  <c r="FS30" i="12"/>
  <c r="BE29" i="12" l="1"/>
  <c r="BG29" i="12"/>
  <c r="CD30" i="12"/>
  <c r="CP30" i="12" s="1"/>
  <c r="CR30" i="12" s="1"/>
  <c r="CS30" i="12" s="1"/>
  <c r="EP29" i="12"/>
  <c r="DC31" i="12"/>
  <c r="DB30" i="12" l="1"/>
  <c r="CJ30" i="12"/>
  <c r="CK30" i="12" s="1"/>
  <c r="ES30" i="12" s="1"/>
  <c r="AL30" i="12" l="1"/>
  <c r="ET30" i="12" s="1"/>
  <c r="CM30" i="12"/>
  <c r="CO30" i="12" s="1"/>
  <c r="CZ30" i="12"/>
  <c r="CY30" i="12" s="1"/>
  <c r="B21" i="19" s="1"/>
  <c r="CL30" i="12"/>
  <c r="AM30" i="12" l="1"/>
  <c r="FC30" i="12" s="1"/>
  <c r="FB30" i="12"/>
  <c r="EU30" i="12"/>
  <c r="EV30" i="12" s="1"/>
  <c r="DA30" i="12"/>
  <c r="B53" i="19" s="1"/>
  <c r="DF30" i="12" l="1"/>
  <c r="EL30" i="12" s="1"/>
  <c r="FD30" i="12"/>
  <c r="FE30" i="12" s="1"/>
  <c r="FF31" i="12" s="1"/>
  <c r="FG32" i="12" s="1"/>
  <c r="FH33" i="12" s="1"/>
  <c r="AK30" i="12"/>
  <c r="AR30" i="12" s="1"/>
  <c r="B87" i="19" s="1"/>
  <c r="EZ30" i="12"/>
  <c r="AI30" i="12" s="1"/>
  <c r="EW31" i="12"/>
  <c r="EX32" i="12" s="1"/>
  <c r="EY33" i="12" s="1"/>
  <c r="B186" i="19" l="1"/>
  <c r="FI30" i="12"/>
  <c r="AJ30" i="12" s="1"/>
  <c r="AH30" i="12" s="1"/>
  <c r="AP30" i="12"/>
  <c r="B120" i="19" s="1"/>
  <c r="LZ30" i="12"/>
  <c r="AQ30" i="12" l="1"/>
  <c r="AO30" i="12"/>
  <c r="CC31" i="12" l="1"/>
  <c r="CG31" i="12"/>
  <c r="CH31" i="12"/>
  <c r="CF31" i="12"/>
  <c r="FL31" i="12"/>
  <c r="FR31" i="12" s="1"/>
  <c r="BM30" i="12"/>
  <c r="BI30" i="12"/>
  <c r="BK30" i="12" s="1"/>
  <c r="BD30" i="12" s="1"/>
  <c r="JK30" i="12"/>
  <c r="KS30" i="12" s="1"/>
  <c r="JN30" i="12"/>
  <c r="KV30" i="12" s="1"/>
  <c r="JP30" i="12"/>
  <c r="KX30" i="12" s="1"/>
  <c r="GV30" i="12"/>
  <c r="ID30" i="12" s="1"/>
  <c r="HA30" i="12"/>
  <c r="II30" i="12" s="1"/>
  <c r="GA30" i="12"/>
  <c r="HI30" i="12" s="1"/>
  <c r="BC31" i="12"/>
  <c r="HB30" i="12"/>
  <c r="IJ30" i="12" s="1"/>
  <c r="JJ30" i="12"/>
  <c r="KR30" i="12" s="1"/>
  <c r="JQ30" i="12"/>
  <c r="KY30" i="12" s="1"/>
  <c r="GI30" i="12"/>
  <c r="HQ30" i="12" s="1"/>
  <c r="IP30" i="12"/>
  <c r="JX30" i="12" s="1"/>
  <c r="GZ30" i="12"/>
  <c r="IH30" i="12" s="1"/>
  <c r="GG30" i="12"/>
  <c r="HO30" i="12" s="1"/>
  <c r="JI30" i="12"/>
  <c r="KQ30" i="12" s="1"/>
  <c r="GT30" i="12"/>
  <c r="IB30" i="12" s="1"/>
  <c r="JC30" i="12"/>
  <c r="KK30" i="12" s="1"/>
  <c r="JM30" i="12"/>
  <c r="KU30" i="12" s="1"/>
  <c r="GE30" i="12"/>
  <c r="HM30" i="12" s="1"/>
  <c r="IO30" i="12"/>
  <c r="JS30" i="12"/>
  <c r="LA30" i="12" s="1"/>
  <c r="IQ30" i="12"/>
  <c r="JY30" i="12" s="1"/>
  <c r="IS30" i="12"/>
  <c r="KA30" i="12" s="1"/>
  <c r="FX30" i="12"/>
  <c r="GC30" i="12"/>
  <c r="HK30" i="12" s="1"/>
  <c r="FY30" i="12"/>
  <c r="HG30" i="12" s="1"/>
  <c r="GQ30" i="12"/>
  <c r="HY30" i="12" s="1"/>
  <c r="JA30" i="12"/>
  <c r="KI30" i="12" s="1"/>
  <c r="GW30" i="12"/>
  <c r="IE30" i="12" s="1"/>
  <c r="JL30" i="12"/>
  <c r="KT30" i="12" s="1"/>
  <c r="JO30" i="12"/>
  <c r="KW30" i="12" s="1"/>
  <c r="GR30" i="12"/>
  <c r="HZ30" i="12" s="1"/>
  <c r="GS30" i="12"/>
  <c r="IA30" i="12" s="1"/>
  <c r="JR30" i="12"/>
  <c r="KZ30" i="12" s="1"/>
  <c r="IR30" i="12"/>
  <c r="JZ30" i="12" s="1"/>
  <c r="JE30" i="12"/>
  <c r="KM30" i="12" s="1"/>
  <c r="FZ30" i="12"/>
  <c r="HH30" i="12" s="1"/>
  <c r="IZ30" i="12"/>
  <c r="KH30" i="12" s="1"/>
  <c r="GP30" i="12"/>
  <c r="HX30" i="12" s="1"/>
  <c r="JF30" i="12"/>
  <c r="KN30" i="12" s="1"/>
  <c r="GN30" i="12"/>
  <c r="HV30" i="12" s="1"/>
  <c r="IT30" i="12"/>
  <c r="KB30" i="12" s="1"/>
  <c r="IV30" i="12"/>
  <c r="KD30" i="12" s="1"/>
  <c r="IY30" i="12"/>
  <c r="KG30" i="12" s="1"/>
  <c r="IW30" i="12"/>
  <c r="KE30" i="12" s="1"/>
  <c r="GB30" i="12"/>
  <c r="HJ30" i="12" s="1"/>
  <c r="GM30" i="12"/>
  <c r="HU30" i="12" s="1"/>
  <c r="GL30" i="12"/>
  <c r="HT30" i="12" s="1"/>
  <c r="GH30" i="12"/>
  <c r="HP30" i="12" s="1"/>
  <c r="JB30" i="12"/>
  <c r="KJ30" i="12" s="1"/>
  <c r="JD30" i="12"/>
  <c r="KL30" i="12" s="1"/>
  <c r="JG30" i="12"/>
  <c r="KO30" i="12" s="1"/>
  <c r="GJ30" i="12"/>
  <c r="HR30" i="12" s="1"/>
  <c r="GX30" i="12"/>
  <c r="IF30" i="12" s="1"/>
  <c r="GD30" i="12"/>
  <c r="HL30" i="12" s="1"/>
  <c r="GO30" i="12"/>
  <c r="HW30" i="12" s="1"/>
  <c r="GF30" i="12"/>
  <c r="HN30" i="12" s="1"/>
  <c r="GK30" i="12"/>
  <c r="HS30" i="12" s="1"/>
  <c r="IU30" i="12"/>
  <c r="KC30" i="12" s="1"/>
  <c r="IX30" i="12"/>
  <c r="KF30" i="12" s="1"/>
  <c r="GY30" i="12"/>
  <c r="IG30" i="12" s="1"/>
  <c r="JH30" i="12"/>
  <c r="KP30" i="12" s="1"/>
  <c r="GU30" i="12"/>
  <c r="IC30" i="12" s="1"/>
  <c r="CQ31" i="12" l="1"/>
  <c r="JW30" i="12"/>
  <c r="FO31" i="12" s="1"/>
  <c r="AW29" i="12" s="1"/>
  <c r="AZ29" i="12" s="1"/>
  <c r="BX31" i="12" s="1"/>
  <c r="IN30" i="12"/>
  <c r="EM31" i="12"/>
  <c r="DD31" i="12"/>
  <c r="HF30" i="12"/>
  <c r="FN31" i="12" s="1"/>
  <c r="FW30" i="12"/>
  <c r="BH30" i="12"/>
  <c r="AY30" i="12"/>
  <c r="AX30" i="12"/>
  <c r="AV29" i="12" l="1"/>
  <c r="CB31" i="12" s="1"/>
  <c r="FS31" i="12"/>
  <c r="EK30" i="12"/>
  <c r="BV32" i="12"/>
  <c r="BY32" i="12"/>
  <c r="BA30" i="12"/>
  <c r="BB30" i="12"/>
  <c r="BF30" i="12" s="1"/>
  <c r="BW32" i="12"/>
  <c r="CA32" i="12" s="1"/>
  <c r="BE30" i="12" l="1"/>
  <c r="BG30" i="12"/>
  <c r="CD31" i="12"/>
  <c r="CP31" i="12" s="1"/>
  <c r="CR31" i="12" s="1"/>
  <c r="CS31" i="12" s="1"/>
  <c r="BZ32" i="12"/>
  <c r="DB31" i="12" l="1"/>
  <c r="CJ31" i="12"/>
  <c r="DC32" i="12"/>
  <c r="CM31" i="12" l="1"/>
  <c r="CO31" i="12" s="1"/>
  <c r="CK31" i="12"/>
  <c r="ES31" i="12" s="1"/>
  <c r="CL31" i="12"/>
  <c r="CZ31" i="12"/>
  <c r="AM31" i="12" l="1"/>
  <c r="FC31" i="12" s="1"/>
  <c r="FB31" i="12"/>
  <c r="AL31" i="12"/>
  <c r="ET31" i="12" s="1"/>
  <c r="DA31" i="12"/>
  <c r="CY31" i="12"/>
  <c r="B22" i="19" s="1"/>
  <c r="EU31" i="12" l="1"/>
  <c r="EV31" i="12" s="1"/>
  <c r="FD31" i="12"/>
  <c r="FE31" i="12" s="1"/>
  <c r="AK31" i="12"/>
  <c r="B54" i="19"/>
  <c r="DF31" i="12"/>
  <c r="EL31" i="12" s="1"/>
  <c r="LZ31" i="12" l="1"/>
  <c r="AP31" i="12"/>
  <c r="B121" i="19" s="1"/>
  <c r="B187" i="19"/>
  <c r="AR31" i="12"/>
  <c r="B88" i="19" s="1"/>
  <c r="EZ31" i="12"/>
  <c r="AI31" i="12" s="1"/>
  <c r="EW32" i="12"/>
  <c r="EX33" i="12" s="1"/>
  <c r="EY34" i="12" s="1"/>
  <c r="FF32" i="12"/>
  <c r="FG33" i="12" s="1"/>
  <c r="FH34" i="12" s="1"/>
  <c r="FI31" i="12"/>
  <c r="AJ31" i="12" s="1"/>
  <c r="AH31" i="12" l="1"/>
  <c r="AO31" i="12" l="1"/>
  <c r="AQ31" i="12"/>
  <c r="CC32" i="12" l="1"/>
  <c r="CG32" i="12"/>
  <c r="CH32" i="12"/>
  <c r="CF32" i="12"/>
  <c r="JD31" i="12"/>
  <c r="KL31" i="12" s="1"/>
  <c r="JN31" i="12"/>
  <c r="KV31" i="12" s="1"/>
  <c r="JQ31" i="12"/>
  <c r="KY31" i="12" s="1"/>
  <c r="JG31" i="12"/>
  <c r="KO31" i="12" s="1"/>
  <c r="GL31" i="12"/>
  <c r="HT31" i="12" s="1"/>
  <c r="GO31" i="12"/>
  <c r="HW31" i="12" s="1"/>
  <c r="GY31" i="12"/>
  <c r="IG31" i="12" s="1"/>
  <c r="GU31" i="12"/>
  <c r="IC31" i="12" s="1"/>
  <c r="HB31" i="12"/>
  <c r="IJ31" i="12" s="1"/>
  <c r="GF31" i="12"/>
  <c r="HN31" i="12" s="1"/>
  <c r="GR31" i="12"/>
  <c r="HZ31" i="12" s="1"/>
  <c r="BC32" i="12"/>
  <c r="GM31" i="12"/>
  <c r="HU31" i="12" s="1"/>
  <c r="JM31" i="12"/>
  <c r="KU31" i="12" s="1"/>
  <c r="GC31" i="12"/>
  <c r="HK31" i="12" s="1"/>
  <c r="IU31" i="12"/>
  <c r="KC31" i="12" s="1"/>
  <c r="GJ31" i="12"/>
  <c r="HR31" i="12" s="1"/>
  <c r="GN31" i="12"/>
  <c r="HV31" i="12" s="1"/>
  <c r="JF31" i="12"/>
  <c r="KN31" i="12" s="1"/>
  <c r="GK31" i="12"/>
  <c r="HS31" i="12" s="1"/>
  <c r="JL31" i="12"/>
  <c r="KT31" i="12" s="1"/>
  <c r="IR31" i="12"/>
  <c r="JZ31" i="12" s="1"/>
  <c r="IT31" i="12"/>
  <c r="KB31" i="12" s="1"/>
  <c r="JO31" i="12"/>
  <c r="KW31" i="12" s="1"/>
  <c r="GT31" i="12"/>
  <c r="IB31" i="12" s="1"/>
  <c r="GZ31" i="12"/>
  <c r="IH31" i="12" s="1"/>
  <c r="FY31" i="12"/>
  <c r="HG31" i="12" s="1"/>
  <c r="GI31" i="12"/>
  <c r="HQ31" i="12" s="1"/>
  <c r="GV31" i="12"/>
  <c r="ID31" i="12" s="1"/>
  <c r="JK31" i="12"/>
  <c r="KS31" i="12" s="1"/>
  <c r="GQ31" i="12"/>
  <c r="HY31" i="12" s="1"/>
  <c r="JR31" i="12"/>
  <c r="KZ31" i="12" s="1"/>
  <c r="GH31" i="12"/>
  <c r="HP31" i="12" s="1"/>
  <c r="GB31" i="12"/>
  <c r="HJ31" i="12" s="1"/>
  <c r="IS31" i="12"/>
  <c r="KA31" i="12" s="1"/>
  <c r="GP31" i="12"/>
  <c r="HX31" i="12" s="1"/>
  <c r="GA31" i="12"/>
  <c r="HI31" i="12" s="1"/>
  <c r="GX31" i="12"/>
  <c r="IF31" i="12" s="1"/>
  <c r="IV31" i="12"/>
  <c r="KD31" i="12" s="1"/>
  <c r="GD31" i="12"/>
  <c r="HL31" i="12" s="1"/>
  <c r="GS31" i="12"/>
  <c r="IA31" i="12" s="1"/>
  <c r="IW31" i="12"/>
  <c r="KE31" i="12" s="1"/>
  <c r="IZ31" i="12"/>
  <c r="KH31" i="12" s="1"/>
  <c r="JB31" i="12"/>
  <c r="KJ31" i="12" s="1"/>
  <c r="JS31" i="12"/>
  <c r="LA31" i="12" s="1"/>
  <c r="JE31" i="12"/>
  <c r="KM31" i="12" s="1"/>
  <c r="JH31" i="12"/>
  <c r="KP31" i="12" s="1"/>
  <c r="JJ31" i="12"/>
  <c r="KR31" i="12" s="1"/>
  <c r="FZ31" i="12"/>
  <c r="HH31" i="12" s="1"/>
  <c r="GG31" i="12"/>
  <c r="HO31" i="12" s="1"/>
  <c r="JP31" i="12"/>
  <c r="KX31" i="12" s="1"/>
  <c r="IQ31" i="12"/>
  <c r="JY31" i="12" s="1"/>
  <c r="HA31" i="12"/>
  <c r="II31" i="12" s="1"/>
  <c r="IP31" i="12"/>
  <c r="JX31" i="12" s="1"/>
  <c r="IY31" i="12"/>
  <c r="KG31" i="12" s="1"/>
  <c r="IO31" i="12"/>
  <c r="IX31" i="12"/>
  <c r="KF31" i="12" s="1"/>
  <c r="JA31" i="12"/>
  <c r="KI31" i="12" s="1"/>
  <c r="JC31" i="12"/>
  <c r="KK31" i="12" s="1"/>
  <c r="FX31" i="12"/>
  <c r="GW31" i="12"/>
  <c r="IE31" i="12" s="1"/>
  <c r="JI31" i="12"/>
  <c r="KQ31" i="12" s="1"/>
  <c r="GE31" i="12"/>
  <c r="HM31" i="12" s="1"/>
  <c r="BI31" i="12"/>
  <c r="BK31" i="12" s="1"/>
  <c r="BD31" i="12" s="1"/>
  <c r="FL32" i="12"/>
  <c r="FR32" i="12" s="1"/>
  <c r="BM31" i="12"/>
  <c r="CQ32" i="12" l="1"/>
  <c r="HF31" i="12"/>
  <c r="FN32" i="12" s="1"/>
  <c r="FW31" i="12"/>
  <c r="EM32" i="12"/>
  <c r="DD32" i="12"/>
  <c r="JW31" i="12"/>
  <c r="FO32" i="12" s="1"/>
  <c r="AW30" i="12" s="1"/>
  <c r="AZ30" i="12" s="1"/>
  <c r="BX32" i="12" s="1"/>
  <c r="IN31" i="12"/>
  <c r="BH31" i="12"/>
  <c r="AY31" i="12"/>
  <c r="AX31" i="12"/>
  <c r="BY33" i="12" l="1"/>
  <c r="BA31" i="12"/>
  <c r="BV33" i="12"/>
  <c r="EK31" i="12"/>
  <c r="BW33" i="12"/>
  <c r="CA33" i="12" s="1"/>
  <c r="BB31" i="12"/>
  <c r="BF31" i="12" s="1"/>
  <c r="AV30" i="12"/>
  <c r="CB32" i="12" s="1"/>
  <c r="FS32" i="12"/>
  <c r="BE31" i="12" l="1"/>
  <c r="BG31" i="12"/>
  <c r="CD32" i="12"/>
  <c r="CP32" i="12" s="1"/>
  <c r="CR32" i="12" s="1"/>
  <c r="CS32" i="12" s="1"/>
  <c r="BZ33" i="12"/>
  <c r="DC33" i="12" s="1"/>
  <c r="DB32" i="12" l="1"/>
  <c r="CJ32" i="12"/>
  <c r="CM32" i="12" s="1"/>
  <c r="CO32" i="12" s="1"/>
  <c r="CK32" i="12" l="1"/>
  <c r="ES32" i="12" s="1"/>
  <c r="CL32" i="12"/>
  <c r="CZ32" i="12"/>
  <c r="AM32" i="12" l="1"/>
  <c r="FC32" i="12" s="1"/>
  <c r="FB32" i="12"/>
  <c r="AL32" i="12"/>
  <c r="ET32" i="12" s="1"/>
  <c r="DA32" i="12"/>
  <c r="CY32" i="12"/>
  <c r="B23" i="19" s="1"/>
  <c r="EU32" i="12" l="1"/>
  <c r="EV32" i="12" s="1"/>
  <c r="AK32" i="12"/>
  <c r="FD32" i="12"/>
  <c r="FE32" i="12" s="1"/>
  <c r="B55" i="19"/>
  <c r="DF32" i="12"/>
  <c r="EL32" i="12" s="1"/>
  <c r="FI32" i="12" l="1"/>
  <c r="AJ32" i="12" s="1"/>
  <c r="FF33" i="12"/>
  <c r="FG34" i="12" s="1"/>
  <c r="FH35" i="12" s="1"/>
  <c r="EZ32" i="12"/>
  <c r="AI32" i="12" s="1"/>
  <c r="EW33" i="12"/>
  <c r="EX34" i="12" s="1"/>
  <c r="EY35" i="12" s="1"/>
  <c r="B188" i="19"/>
  <c r="AR32" i="12"/>
  <c r="B89" i="19" s="1"/>
  <c r="AP32" i="12"/>
  <c r="B122" i="19" s="1"/>
  <c r="LZ32" i="12"/>
  <c r="AH32" i="12" l="1"/>
  <c r="AQ32" i="12" l="1"/>
  <c r="AO32" i="12"/>
  <c r="CC33" i="12" l="1"/>
  <c r="CG33" i="12"/>
  <c r="CH33" i="12"/>
  <c r="CF33" i="12"/>
  <c r="FL33" i="12"/>
  <c r="FR33" i="12" s="1"/>
  <c r="BM32" i="12"/>
  <c r="BI32" i="12"/>
  <c r="BK32" i="12" s="1"/>
  <c r="BD32" i="12" s="1"/>
  <c r="IY32" i="12"/>
  <c r="KG32" i="12" s="1"/>
  <c r="JB32" i="12"/>
  <c r="KJ32" i="12" s="1"/>
  <c r="JD32" i="12"/>
  <c r="KL32" i="12" s="1"/>
  <c r="IS32" i="12"/>
  <c r="KA32" i="12" s="1"/>
  <c r="GR32" i="12"/>
  <c r="HZ32" i="12" s="1"/>
  <c r="GW32" i="12"/>
  <c r="IE32" i="12" s="1"/>
  <c r="FZ32" i="12"/>
  <c r="HH32" i="12" s="1"/>
  <c r="GT32" i="12"/>
  <c r="IB32" i="12" s="1"/>
  <c r="GQ32" i="12"/>
  <c r="HY32" i="12" s="1"/>
  <c r="GD32" i="12"/>
  <c r="HL32" i="12" s="1"/>
  <c r="JF32" i="12"/>
  <c r="KN32" i="12" s="1"/>
  <c r="GO32" i="12"/>
  <c r="HW32" i="12" s="1"/>
  <c r="JQ32" i="12"/>
  <c r="KY32" i="12" s="1"/>
  <c r="GL32" i="12"/>
  <c r="HT32" i="12" s="1"/>
  <c r="IQ32" i="12"/>
  <c r="JY32" i="12" s="1"/>
  <c r="GI32" i="12"/>
  <c r="HQ32" i="12" s="1"/>
  <c r="BC33" i="12"/>
  <c r="JG32" i="12"/>
  <c r="KO32" i="12" s="1"/>
  <c r="JJ32" i="12"/>
  <c r="KR32" i="12" s="1"/>
  <c r="JL32" i="12"/>
  <c r="KT32" i="12" s="1"/>
  <c r="GZ32" i="12"/>
  <c r="IH32" i="12" s="1"/>
  <c r="GK32" i="12"/>
  <c r="HS32" i="12" s="1"/>
  <c r="GM32" i="12"/>
  <c r="HU32" i="12" s="1"/>
  <c r="FX32" i="12"/>
  <c r="GX32" i="12"/>
  <c r="IF32" i="12" s="1"/>
  <c r="JE32" i="12"/>
  <c r="KM32" i="12" s="1"/>
  <c r="GY32" i="12"/>
  <c r="IG32" i="12" s="1"/>
  <c r="JH32" i="12"/>
  <c r="KP32" i="12" s="1"/>
  <c r="GV32" i="12"/>
  <c r="ID32" i="12" s="1"/>
  <c r="GC32" i="12"/>
  <c r="HK32" i="12" s="1"/>
  <c r="JS32" i="12"/>
  <c r="LA32" i="12" s="1"/>
  <c r="GB32" i="12"/>
  <c r="HJ32" i="12" s="1"/>
  <c r="GP32" i="12"/>
  <c r="HX32" i="12" s="1"/>
  <c r="IV32" i="12"/>
  <c r="KD32" i="12" s="1"/>
  <c r="GJ32" i="12"/>
  <c r="HR32" i="12" s="1"/>
  <c r="GA32" i="12"/>
  <c r="HI32" i="12" s="1"/>
  <c r="IO32" i="12"/>
  <c r="JO32" i="12"/>
  <c r="KW32" i="12" s="1"/>
  <c r="JR32" i="12"/>
  <c r="KZ32" i="12" s="1"/>
  <c r="IW32" i="12"/>
  <c r="KE32" i="12" s="1"/>
  <c r="GG32" i="12"/>
  <c r="HO32" i="12" s="1"/>
  <c r="HA32" i="12"/>
  <c r="II32" i="12" s="1"/>
  <c r="GF32" i="12"/>
  <c r="HN32" i="12" s="1"/>
  <c r="GU32" i="12"/>
  <c r="IC32" i="12" s="1"/>
  <c r="IZ32" i="12"/>
  <c r="KH32" i="12" s="1"/>
  <c r="HB32" i="12"/>
  <c r="IJ32" i="12" s="1"/>
  <c r="IP32" i="12"/>
  <c r="JX32" i="12" s="1"/>
  <c r="IR32" i="12"/>
  <c r="JZ32" i="12" s="1"/>
  <c r="IU32" i="12"/>
  <c r="KC32" i="12" s="1"/>
  <c r="JA32" i="12"/>
  <c r="KI32" i="12" s="1"/>
  <c r="FY32" i="12"/>
  <c r="HG32" i="12" s="1"/>
  <c r="JC32" i="12"/>
  <c r="KK32" i="12" s="1"/>
  <c r="GN32" i="12"/>
  <c r="HV32" i="12" s="1"/>
  <c r="JK32" i="12"/>
  <c r="KS32" i="12" s="1"/>
  <c r="GH32" i="12"/>
  <c r="HP32" i="12" s="1"/>
  <c r="JP32" i="12"/>
  <c r="KX32" i="12" s="1"/>
  <c r="GS32" i="12"/>
  <c r="IA32" i="12" s="1"/>
  <c r="IT32" i="12"/>
  <c r="KB32" i="12" s="1"/>
  <c r="JM32" i="12"/>
  <c r="KU32" i="12" s="1"/>
  <c r="GE32" i="12"/>
  <c r="HM32" i="12" s="1"/>
  <c r="IX32" i="12"/>
  <c r="KF32" i="12" s="1"/>
  <c r="JI32" i="12"/>
  <c r="KQ32" i="12" s="1"/>
  <c r="JN32" i="12"/>
  <c r="KV32" i="12" s="1"/>
  <c r="CQ33" i="12" l="1"/>
  <c r="DD33" i="12"/>
  <c r="EM33" i="12"/>
  <c r="HF32" i="12"/>
  <c r="FN33" i="12" s="1"/>
  <c r="FW32" i="12"/>
  <c r="JW32" i="12"/>
  <c r="FO33" i="12" s="1"/>
  <c r="AW31" i="12" s="1"/>
  <c r="AZ31" i="12" s="1"/>
  <c r="BX33" i="12" s="1"/>
  <c r="IN32" i="12"/>
  <c r="BH32" i="12"/>
  <c r="AX32" i="12"/>
  <c r="AY32" i="12"/>
  <c r="AV31" i="12" l="1"/>
  <c r="CB33" i="12" s="1"/>
  <c r="FS33" i="12"/>
  <c r="BB32" i="12"/>
  <c r="BF32" i="12" s="1"/>
  <c r="BW34" i="12"/>
  <c r="CA34" i="12" s="1"/>
  <c r="EJ32" i="12"/>
  <c r="EK32" i="12"/>
  <c r="BV34" i="12"/>
  <c r="BA32" i="12"/>
  <c r="BY34" i="12"/>
  <c r="BE32" i="12" l="1"/>
  <c r="BG32" i="12"/>
  <c r="CD33" i="12"/>
  <c r="CP33" i="12" s="1"/>
  <c r="CR33" i="12" s="1"/>
  <c r="CS33" i="12" s="1"/>
  <c r="EP32" i="12"/>
  <c r="BZ34" i="12"/>
  <c r="DB33" i="12" l="1"/>
  <c r="DC34" i="12"/>
  <c r="CJ33" i="12"/>
  <c r="CM33" i="12" s="1"/>
  <c r="CO33" i="12" s="1"/>
  <c r="CZ33" i="12" l="1"/>
  <c r="CK33" i="12"/>
  <c r="ES33" i="12" s="1"/>
  <c r="CL33" i="12"/>
  <c r="AM33" i="12" l="1"/>
  <c r="FC33" i="12" s="1"/>
  <c r="FB33" i="12"/>
  <c r="AL33" i="12"/>
  <c r="ET33" i="12" s="1"/>
  <c r="DA33" i="12"/>
  <c r="CY33" i="12"/>
  <c r="B24" i="19" s="1"/>
  <c r="EU33" i="12" l="1"/>
  <c r="EV33" i="12" s="1"/>
  <c r="AK33" i="12"/>
  <c r="B56" i="19"/>
  <c r="DF33" i="12"/>
  <c r="EL33" i="12" s="1"/>
  <c r="FD33" i="12"/>
  <c r="FE33" i="12" s="1"/>
  <c r="EZ33" i="12" l="1"/>
  <c r="AI33" i="12" s="1"/>
  <c r="EW34" i="12"/>
  <c r="EX35" i="12" s="1"/>
  <c r="EY36" i="12" s="1"/>
  <c r="FF34" i="12"/>
  <c r="FG35" i="12" s="1"/>
  <c r="FH36" i="12" s="1"/>
  <c r="FI33" i="12"/>
  <c r="AJ33" i="12" s="1"/>
  <c r="B189" i="19"/>
  <c r="LZ33" i="12"/>
  <c r="AR33" i="12"/>
  <c r="B90" i="19" s="1"/>
  <c r="AP33" i="12"/>
  <c r="B123" i="19" s="1"/>
  <c r="AH33" i="12" l="1"/>
  <c r="AO33" i="12" l="1"/>
  <c r="AQ33" i="12"/>
  <c r="CC34" i="12" l="1"/>
  <c r="CG34" i="12"/>
  <c r="CH34" i="12"/>
  <c r="CF34" i="12"/>
  <c r="JB33" i="12"/>
  <c r="KJ33" i="12" s="1"/>
  <c r="JM33" i="12"/>
  <c r="KU33" i="12" s="1"/>
  <c r="IZ33" i="12"/>
  <c r="KH33" i="12" s="1"/>
  <c r="GT33" i="12"/>
  <c r="IB33" i="12" s="1"/>
  <c r="GV33" i="12"/>
  <c r="ID33" i="12" s="1"/>
  <c r="GM33" i="12"/>
  <c r="HU33" i="12" s="1"/>
  <c r="JR33" i="12"/>
  <c r="KZ33" i="12" s="1"/>
  <c r="IX33" i="12"/>
  <c r="KF33" i="12" s="1"/>
  <c r="FZ33" i="12"/>
  <c r="HH33" i="12" s="1"/>
  <c r="GI33" i="12"/>
  <c r="HQ33" i="12" s="1"/>
  <c r="GB33" i="12"/>
  <c r="HJ33" i="12" s="1"/>
  <c r="JD33" i="12"/>
  <c r="KL33" i="12" s="1"/>
  <c r="JK33" i="12"/>
  <c r="KS33" i="12" s="1"/>
  <c r="FY33" i="12"/>
  <c r="HG33" i="12" s="1"/>
  <c r="IQ33" i="12"/>
  <c r="JY33" i="12" s="1"/>
  <c r="JS33" i="12"/>
  <c r="LA33" i="12" s="1"/>
  <c r="GD33" i="12"/>
  <c r="HL33" i="12" s="1"/>
  <c r="JE33" i="12"/>
  <c r="KM33" i="12" s="1"/>
  <c r="HA33" i="12"/>
  <c r="II33" i="12" s="1"/>
  <c r="IO33" i="12"/>
  <c r="JJ33" i="12"/>
  <c r="KR33" i="12" s="1"/>
  <c r="IP33" i="12"/>
  <c r="JX33" i="12" s="1"/>
  <c r="JC33" i="12"/>
  <c r="KK33" i="12" s="1"/>
  <c r="FX33" i="12"/>
  <c r="HB33" i="12"/>
  <c r="IJ33" i="12" s="1"/>
  <c r="GG33" i="12"/>
  <c r="HO33" i="12" s="1"/>
  <c r="GZ33" i="12"/>
  <c r="IH33" i="12" s="1"/>
  <c r="JG33" i="12"/>
  <c r="KO33" i="12" s="1"/>
  <c r="GW33" i="12"/>
  <c r="IE33" i="12" s="1"/>
  <c r="GP33" i="12"/>
  <c r="HX33" i="12" s="1"/>
  <c r="GE33" i="12"/>
  <c r="HM33" i="12" s="1"/>
  <c r="JL33" i="12"/>
  <c r="KT33" i="12" s="1"/>
  <c r="GK33" i="12"/>
  <c r="HS33" i="12" s="1"/>
  <c r="JQ33" i="12"/>
  <c r="KY33" i="12" s="1"/>
  <c r="GU33" i="12"/>
  <c r="IC33" i="12" s="1"/>
  <c r="JP33" i="12"/>
  <c r="KX33" i="12" s="1"/>
  <c r="IR33" i="12"/>
  <c r="JZ33" i="12" s="1"/>
  <c r="GO33" i="12"/>
  <c r="HW33" i="12" s="1"/>
  <c r="IT33" i="12"/>
  <c r="KB33" i="12" s="1"/>
  <c r="GQ33" i="12"/>
  <c r="HY33" i="12" s="1"/>
  <c r="IS33" i="12"/>
  <c r="KA33" i="12" s="1"/>
  <c r="IV33" i="12"/>
  <c r="KD33" i="12" s="1"/>
  <c r="JF33" i="12"/>
  <c r="KN33" i="12" s="1"/>
  <c r="JH33" i="12"/>
  <c r="KP33" i="12" s="1"/>
  <c r="GH33" i="12"/>
  <c r="HP33" i="12" s="1"/>
  <c r="GS33" i="12"/>
  <c r="IA33" i="12" s="1"/>
  <c r="GY33" i="12"/>
  <c r="IG33" i="12" s="1"/>
  <c r="GC33" i="12"/>
  <c r="HK33" i="12" s="1"/>
  <c r="JN33" i="12"/>
  <c r="KV33" i="12" s="1"/>
  <c r="GN33" i="12"/>
  <c r="HV33" i="12" s="1"/>
  <c r="IY33" i="12"/>
  <c r="KG33" i="12" s="1"/>
  <c r="GJ33" i="12"/>
  <c r="HR33" i="12" s="1"/>
  <c r="IU33" i="12"/>
  <c r="KC33" i="12" s="1"/>
  <c r="GR33" i="12"/>
  <c r="HZ33" i="12" s="1"/>
  <c r="JO33" i="12"/>
  <c r="KW33" i="12" s="1"/>
  <c r="BC34" i="12"/>
  <c r="JA33" i="12"/>
  <c r="KI33" i="12" s="1"/>
  <c r="JI33" i="12"/>
  <c r="KQ33" i="12" s="1"/>
  <c r="GX33" i="12"/>
  <c r="IF33" i="12" s="1"/>
  <c r="GL33" i="12"/>
  <c r="HT33" i="12" s="1"/>
  <c r="IW33" i="12"/>
  <c r="KE33" i="12" s="1"/>
  <c r="GA33" i="12"/>
  <c r="HI33" i="12" s="1"/>
  <c r="GF33" i="12"/>
  <c r="HN33" i="12" s="1"/>
  <c r="BI33" i="12"/>
  <c r="BK33" i="12" s="1"/>
  <c r="BD33" i="12" s="1"/>
  <c r="FL34" i="12"/>
  <c r="FR34" i="12" s="1"/>
  <c r="BM33" i="12"/>
  <c r="CQ34" i="12" l="1"/>
  <c r="HF33" i="12"/>
  <c r="FN34" i="12" s="1"/>
  <c r="FW33" i="12"/>
  <c r="JW33" i="12"/>
  <c r="FO34" i="12" s="1"/>
  <c r="AW32" i="12" s="1"/>
  <c r="IN33" i="12"/>
  <c r="BH33" i="12"/>
  <c r="AX33" i="12"/>
  <c r="AY33" i="12"/>
  <c r="DD34" i="12"/>
  <c r="EM34" i="12"/>
  <c r="AZ32" i="12" l="1"/>
  <c r="BX34" i="12" s="1"/>
  <c r="BB33" i="12"/>
  <c r="BF33" i="12" s="1"/>
  <c r="BW35" i="12"/>
  <c r="CA35" i="12" s="1"/>
  <c r="BV35" i="12"/>
  <c r="BY35" i="12"/>
  <c r="BA33" i="12"/>
  <c r="EK33" i="12"/>
  <c r="FS34" i="12"/>
  <c r="AV32" i="12"/>
  <c r="CB34" i="12" s="1"/>
  <c r="BE33" i="12" l="1"/>
  <c r="BG33" i="12"/>
  <c r="CD34" i="12"/>
  <c r="DB34" i="12" s="1"/>
  <c r="BZ35" i="12"/>
  <c r="CP34" i="12" l="1"/>
  <c r="CR34" i="12" s="1"/>
  <c r="CS34" i="12" s="1"/>
  <c r="CJ34" i="12"/>
  <c r="DC35" i="12"/>
  <c r="CK34" i="12" l="1"/>
  <c r="ES34" i="12" s="1"/>
  <c r="CL34" i="12"/>
  <c r="CM34" i="12"/>
  <c r="CO34" i="12" s="1"/>
  <c r="CZ34" i="12"/>
  <c r="AM34" i="12" l="1"/>
  <c r="FC34" i="12" s="1"/>
  <c r="FB34" i="12"/>
  <c r="AL34" i="12"/>
  <c r="ET34" i="12" s="1"/>
  <c r="CY34" i="12"/>
  <c r="B25" i="19" s="1"/>
  <c r="DA34" i="12"/>
  <c r="EU34" i="12" l="1"/>
  <c r="EV34" i="12" s="1"/>
  <c r="AK34" i="12"/>
  <c r="FD34" i="12"/>
  <c r="FE34" i="12" s="1"/>
  <c r="B57" i="19"/>
  <c r="DF34" i="12"/>
  <c r="EL34" i="12" s="1"/>
  <c r="FF35" i="12" l="1"/>
  <c r="FG36" i="12" s="1"/>
  <c r="FH37" i="12" s="1"/>
  <c r="FI34" i="12"/>
  <c r="AJ34" i="12" s="1"/>
  <c r="EZ34" i="12"/>
  <c r="AI34" i="12" s="1"/>
  <c r="EW35" i="12"/>
  <c r="EX36" i="12" s="1"/>
  <c r="EY37" i="12" s="1"/>
  <c r="AR34" i="12"/>
  <c r="B91" i="19" s="1"/>
  <c r="B190" i="19"/>
  <c r="AP34" i="12"/>
  <c r="B124" i="19" s="1"/>
  <c r="LZ34" i="12"/>
  <c r="AH34" i="12" l="1"/>
  <c r="AQ34" i="12" l="1"/>
  <c r="AO34" i="12"/>
  <c r="CC35" i="12" l="1"/>
  <c r="CG35" i="12"/>
  <c r="CH35" i="12"/>
  <c r="CF35" i="12"/>
  <c r="BM34" i="12"/>
  <c r="BI34" i="12"/>
  <c r="BK34" i="12" s="1"/>
  <c r="BD34" i="12" s="1"/>
  <c r="FL35" i="12"/>
  <c r="FR35" i="12" s="1"/>
  <c r="IU34" i="12"/>
  <c r="KC34" i="12" s="1"/>
  <c r="IX34" i="12"/>
  <c r="KF34" i="12" s="1"/>
  <c r="IZ34" i="12"/>
  <c r="KH34" i="12" s="1"/>
  <c r="JE34" i="12"/>
  <c r="KM34" i="12" s="1"/>
  <c r="GB34" i="12"/>
  <c r="HJ34" i="12" s="1"/>
  <c r="GU34" i="12"/>
  <c r="IC34" i="12" s="1"/>
  <c r="GW34" i="12"/>
  <c r="IE34" i="12" s="1"/>
  <c r="GQ34" i="12"/>
  <c r="HY34" i="12" s="1"/>
  <c r="GP34" i="12"/>
  <c r="HX34" i="12" s="1"/>
  <c r="GV34" i="12"/>
  <c r="ID34" i="12" s="1"/>
  <c r="HB34" i="12"/>
  <c r="IJ34" i="12" s="1"/>
  <c r="IV34" i="12"/>
  <c r="KD34" i="12" s="1"/>
  <c r="GI34" i="12"/>
  <c r="HQ34" i="12" s="1"/>
  <c r="JG34" i="12"/>
  <c r="KO34" i="12" s="1"/>
  <c r="GS34" i="12"/>
  <c r="IA34" i="12" s="1"/>
  <c r="JO34" i="12"/>
  <c r="KW34" i="12" s="1"/>
  <c r="FX34" i="12"/>
  <c r="JC34" i="12"/>
  <c r="KK34" i="12" s="1"/>
  <c r="JF34" i="12"/>
  <c r="KN34" i="12" s="1"/>
  <c r="JH34" i="12"/>
  <c r="KP34" i="12" s="1"/>
  <c r="IW34" i="12"/>
  <c r="KE34" i="12" s="1"/>
  <c r="GJ34" i="12"/>
  <c r="HR34" i="12" s="1"/>
  <c r="GA34" i="12"/>
  <c r="HI34" i="12" s="1"/>
  <c r="GM34" i="12"/>
  <c r="HU34" i="12" s="1"/>
  <c r="GO34" i="12"/>
  <c r="HW34" i="12" s="1"/>
  <c r="BC35" i="12"/>
  <c r="IY34" i="12"/>
  <c r="KG34" i="12" s="1"/>
  <c r="JA34" i="12"/>
  <c r="KI34" i="12" s="1"/>
  <c r="GE34" i="12"/>
  <c r="HM34" i="12" s="1"/>
  <c r="JI34" i="12"/>
  <c r="KQ34" i="12" s="1"/>
  <c r="GN34" i="12"/>
  <c r="HV34" i="12" s="1"/>
  <c r="JM34" i="12"/>
  <c r="KU34" i="12" s="1"/>
  <c r="GG34" i="12"/>
  <c r="HO34" i="12" s="1"/>
  <c r="IR34" i="12"/>
  <c r="JZ34" i="12" s="1"/>
  <c r="GT34" i="12"/>
  <c r="IB34" i="12" s="1"/>
  <c r="JK34" i="12"/>
  <c r="KS34" i="12" s="1"/>
  <c r="JN34" i="12"/>
  <c r="KV34" i="12" s="1"/>
  <c r="JP34" i="12"/>
  <c r="KX34" i="12" s="1"/>
  <c r="JR34" i="12"/>
  <c r="KZ34" i="12" s="1"/>
  <c r="GR34" i="12"/>
  <c r="HZ34" i="12" s="1"/>
  <c r="GL34" i="12"/>
  <c r="HT34" i="12" s="1"/>
  <c r="GH34" i="12"/>
  <c r="HP34" i="12" s="1"/>
  <c r="GD34" i="12"/>
  <c r="HL34" i="12" s="1"/>
  <c r="JS34" i="12"/>
  <c r="LA34" i="12" s="1"/>
  <c r="IQ34" i="12"/>
  <c r="JY34" i="12" s="1"/>
  <c r="JJ34" i="12"/>
  <c r="KR34" i="12" s="1"/>
  <c r="JB34" i="12"/>
  <c r="KJ34" i="12" s="1"/>
  <c r="GZ34" i="12"/>
  <c r="IH34" i="12" s="1"/>
  <c r="GY34" i="12"/>
  <c r="IG34" i="12" s="1"/>
  <c r="JQ34" i="12"/>
  <c r="KY34" i="12" s="1"/>
  <c r="GF34" i="12"/>
  <c r="HN34" i="12" s="1"/>
  <c r="HA34" i="12"/>
  <c r="II34" i="12" s="1"/>
  <c r="IS34" i="12"/>
  <c r="KA34" i="12" s="1"/>
  <c r="GX34" i="12"/>
  <c r="IF34" i="12" s="1"/>
  <c r="JL34" i="12"/>
  <c r="KT34" i="12" s="1"/>
  <c r="FZ34" i="12"/>
  <c r="HH34" i="12" s="1"/>
  <c r="IO34" i="12"/>
  <c r="GK34" i="12"/>
  <c r="HS34" i="12" s="1"/>
  <c r="JD34" i="12"/>
  <c r="KL34" i="12" s="1"/>
  <c r="FY34" i="12"/>
  <c r="HG34" i="12" s="1"/>
  <c r="GC34" i="12"/>
  <c r="HK34" i="12" s="1"/>
  <c r="IP34" i="12"/>
  <c r="JX34" i="12" s="1"/>
  <c r="IT34" i="12"/>
  <c r="KB34" i="12" s="1"/>
  <c r="CQ35" i="12" l="1"/>
  <c r="EM35" i="12"/>
  <c r="DD35" i="12"/>
  <c r="HF34" i="12"/>
  <c r="FN35" i="12" s="1"/>
  <c r="FW34" i="12"/>
  <c r="JW34" i="12"/>
  <c r="FO35" i="12" s="1"/>
  <c r="AW33" i="12" s="1"/>
  <c r="AZ33" i="12" s="1"/>
  <c r="BX35" i="12" s="1"/>
  <c r="IN34" i="12"/>
  <c r="BH34" i="12"/>
  <c r="AY34" i="12"/>
  <c r="AX34" i="12"/>
  <c r="EJ34" i="12" l="1"/>
  <c r="BA34" i="12"/>
  <c r="EK34" i="12"/>
  <c r="BV36" i="12"/>
  <c r="BY36" i="12"/>
  <c r="BW36" i="12"/>
  <c r="CA36" i="12" s="1"/>
  <c r="BB34" i="12"/>
  <c r="BF34" i="12" s="1"/>
  <c r="AV33" i="12"/>
  <c r="CB35" i="12" s="1"/>
  <c r="FS35" i="12"/>
  <c r="BE34" i="12" l="1"/>
  <c r="BG34" i="12"/>
  <c r="CD35" i="12"/>
  <c r="CP35" i="12" s="1"/>
  <c r="CR35" i="12" s="1"/>
  <c r="CS35" i="12" s="1"/>
  <c r="EP34" i="12"/>
  <c r="BZ36" i="12"/>
  <c r="DB35" i="12" l="1"/>
  <c r="DC36" i="12"/>
  <c r="CJ35" i="12"/>
  <c r="CM35" i="12" s="1"/>
  <c r="CO35" i="12" s="1"/>
  <c r="CZ35" i="12" l="1"/>
  <c r="CL35" i="12"/>
  <c r="CK35" i="12"/>
  <c r="ES35" i="12" s="1"/>
  <c r="AM35" i="12" l="1"/>
  <c r="FC35" i="12" s="1"/>
  <c r="FB35" i="12"/>
  <c r="AL35" i="12"/>
  <c r="ET35" i="12" s="1"/>
  <c r="DA35" i="12"/>
  <c r="CY35" i="12"/>
  <c r="B26" i="19" s="1"/>
  <c r="B58" i="19" l="1"/>
  <c r="DF35" i="12"/>
  <c r="EL35" i="12" s="1"/>
  <c r="EU35" i="12"/>
  <c r="EV35" i="12" s="1"/>
  <c r="AK35" i="12"/>
  <c r="FD35" i="12"/>
  <c r="FE35" i="12" s="1"/>
  <c r="EZ35" i="12" l="1"/>
  <c r="AI35" i="12" s="1"/>
  <c r="EW36" i="12"/>
  <c r="EX37" i="12" s="1"/>
  <c r="EY38" i="12" s="1"/>
  <c r="FF36" i="12"/>
  <c r="FG37" i="12" s="1"/>
  <c r="FH38" i="12" s="1"/>
  <c r="FI35" i="12"/>
  <c r="AJ35" i="12" s="1"/>
  <c r="AP35" i="12"/>
  <c r="B125" i="19" s="1"/>
  <c r="LZ35" i="12"/>
  <c r="AR35" i="12"/>
  <c r="B92" i="19" s="1"/>
  <c r="B191" i="19"/>
  <c r="AH35" i="12" l="1"/>
  <c r="EJ41" i="12"/>
  <c r="AO35" i="12" l="1"/>
  <c r="AQ35" i="12"/>
  <c r="EP41" i="12"/>
  <c r="CC36" i="12" l="1"/>
  <c r="CG36" i="12"/>
  <c r="CH36" i="12"/>
  <c r="CF36" i="12"/>
  <c r="JM35" i="12"/>
  <c r="KU35" i="12" s="1"/>
  <c r="JP35" i="12"/>
  <c r="KX35" i="12" s="1"/>
  <c r="JR35" i="12"/>
  <c r="KZ35" i="12" s="1"/>
  <c r="IQ35" i="12"/>
  <c r="JY35" i="12" s="1"/>
  <c r="GT35" i="12"/>
  <c r="IB35" i="12" s="1"/>
  <c r="GS35" i="12"/>
  <c r="IA35" i="12" s="1"/>
  <c r="GE35" i="12"/>
  <c r="HM35" i="12" s="1"/>
  <c r="GW35" i="12"/>
  <c r="IE35" i="12" s="1"/>
  <c r="BC36" i="12"/>
  <c r="JD35" i="12"/>
  <c r="KL35" i="12" s="1"/>
  <c r="FZ35" i="12"/>
  <c r="HH35" i="12" s="1"/>
  <c r="GF35" i="12"/>
  <c r="HN35" i="12" s="1"/>
  <c r="JF35" i="12"/>
  <c r="KN35" i="12" s="1"/>
  <c r="JI35" i="12"/>
  <c r="KQ35" i="12" s="1"/>
  <c r="JG35" i="12"/>
  <c r="KO35" i="12" s="1"/>
  <c r="IY35" i="12"/>
  <c r="KG35" i="12" s="1"/>
  <c r="GI35" i="12"/>
  <c r="HQ35" i="12" s="1"/>
  <c r="GQ35" i="12"/>
  <c r="HY35" i="12" s="1"/>
  <c r="FY35" i="12"/>
  <c r="HG35" i="12" s="1"/>
  <c r="JN35" i="12"/>
  <c r="KV35" i="12" s="1"/>
  <c r="JK35" i="12"/>
  <c r="KS35" i="12" s="1"/>
  <c r="GR35" i="12"/>
  <c r="HZ35" i="12" s="1"/>
  <c r="GC35" i="12"/>
  <c r="HK35" i="12" s="1"/>
  <c r="IW35" i="12"/>
  <c r="KE35" i="12" s="1"/>
  <c r="GA35" i="12"/>
  <c r="HI35" i="12" s="1"/>
  <c r="JJ35" i="12"/>
  <c r="KR35" i="12" s="1"/>
  <c r="IP35" i="12"/>
  <c r="JX35" i="12" s="1"/>
  <c r="IS35" i="12"/>
  <c r="KA35" i="12" s="1"/>
  <c r="JC35" i="12"/>
  <c r="KK35" i="12" s="1"/>
  <c r="JL35" i="12"/>
  <c r="KT35" i="12" s="1"/>
  <c r="HB35" i="12"/>
  <c r="IJ35" i="12" s="1"/>
  <c r="GB35" i="12"/>
  <c r="HJ35" i="12" s="1"/>
  <c r="GU35" i="12"/>
  <c r="IC35" i="12" s="1"/>
  <c r="GZ35" i="12"/>
  <c r="IH35" i="12" s="1"/>
  <c r="JA35" i="12"/>
  <c r="KI35" i="12" s="1"/>
  <c r="IU35" i="12"/>
  <c r="KC35" i="12" s="1"/>
  <c r="GN35" i="12"/>
  <c r="HV35" i="12" s="1"/>
  <c r="GX35" i="12"/>
  <c r="IF35" i="12" s="1"/>
  <c r="GY35" i="12"/>
  <c r="IG35" i="12" s="1"/>
  <c r="JQ35" i="12"/>
  <c r="KY35" i="12" s="1"/>
  <c r="GH35" i="12"/>
  <c r="HP35" i="12" s="1"/>
  <c r="IX35" i="12"/>
  <c r="KF35" i="12" s="1"/>
  <c r="GP35" i="12"/>
  <c r="HX35" i="12" s="1"/>
  <c r="JS35" i="12"/>
  <c r="LA35" i="12" s="1"/>
  <c r="GG35" i="12"/>
  <c r="HO35" i="12" s="1"/>
  <c r="GK35" i="12"/>
  <c r="HS35" i="12" s="1"/>
  <c r="IZ35" i="12"/>
  <c r="KH35" i="12" s="1"/>
  <c r="GD35" i="12"/>
  <c r="HL35" i="12" s="1"/>
  <c r="JE35" i="12"/>
  <c r="KM35" i="12" s="1"/>
  <c r="GV35" i="12"/>
  <c r="ID35" i="12" s="1"/>
  <c r="JH35" i="12"/>
  <c r="KP35" i="12" s="1"/>
  <c r="GJ35" i="12"/>
  <c r="HR35" i="12" s="1"/>
  <c r="IO35" i="12"/>
  <c r="IR35" i="12"/>
  <c r="JZ35" i="12" s="1"/>
  <c r="IT35" i="12"/>
  <c r="KB35" i="12" s="1"/>
  <c r="JO35" i="12"/>
  <c r="KW35" i="12" s="1"/>
  <c r="FX35" i="12"/>
  <c r="HA35" i="12"/>
  <c r="II35" i="12" s="1"/>
  <c r="GO35" i="12"/>
  <c r="HW35" i="12" s="1"/>
  <c r="JB35" i="12"/>
  <c r="KJ35" i="12" s="1"/>
  <c r="IV35" i="12"/>
  <c r="KD35" i="12" s="1"/>
  <c r="GM35" i="12"/>
  <c r="HU35" i="12" s="1"/>
  <c r="GL35" i="12"/>
  <c r="HT35" i="12" s="1"/>
  <c r="BM35" i="12"/>
  <c r="FL36" i="12"/>
  <c r="FR36" i="12" s="1"/>
  <c r="BI35" i="12"/>
  <c r="BK35" i="12" s="1"/>
  <c r="BD35" i="12" s="1"/>
  <c r="CQ36" i="12" l="1"/>
  <c r="JW35" i="12"/>
  <c r="FO36" i="12" s="1"/>
  <c r="AW34" i="12" s="1"/>
  <c r="AZ34" i="12" s="1"/>
  <c r="BX36" i="12" s="1"/>
  <c r="IN35" i="12"/>
  <c r="HF35" i="12"/>
  <c r="FN36" i="12" s="1"/>
  <c r="FW35" i="12"/>
  <c r="DD36" i="12"/>
  <c r="EM36" i="12"/>
  <c r="BH35" i="12"/>
  <c r="AY35" i="12"/>
  <c r="AX35" i="12"/>
  <c r="BB35" i="12" l="1"/>
  <c r="BF35" i="12" s="1"/>
  <c r="BW37" i="12"/>
  <c r="CA37" i="12" s="1"/>
  <c r="AV34" i="12"/>
  <c r="CB36" i="12" s="1"/>
  <c r="FS36" i="12"/>
  <c r="BY37" i="12"/>
  <c r="BV37" i="12"/>
  <c r="BA35" i="12"/>
  <c r="EK35" i="12"/>
  <c r="BE35" i="12" l="1"/>
  <c r="BG35" i="12"/>
  <c r="CD36" i="12"/>
  <c r="CP36" i="12" s="1"/>
  <c r="CR36" i="12" s="1"/>
  <c r="CS36" i="12" s="1"/>
  <c r="BZ37" i="12"/>
  <c r="DB36" i="12" l="1"/>
  <c r="CJ36" i="12"/>
  <c r="DC37" i="12"/>
  <c r="CZ36" i="12" l="1"/>
  <c r="CL36" i="12"/>
  <c r="CK36" i="12"/>
  <c r="ES36" i="12" s="1"/>
  <c r="CM36" i="12"/>
  <c r="CO36" i="12" s="1"/>
  <c r="AM36" i="12" l="1"/>
  <c r="FC36" i="12" s="1"/>
  <c r="FB36" i="12"/>
  <c r="AL36" i="12"/>
  <c r="ET36" i="12" s="1"/>
  <c r="CY36" i="12"/>
  <c r="B27" i="19" s="1"/>
  <c r="DA36" i="12"/>
  <c r="B59" i="19" l="1"/>
  <c r="DF36" i="12"/>
  <c r="EL36" i="12" s="1"/>
  <c r="EU36" i="12"/>
  <c r="EV36" i="12" s="1"/>
  <c r="AK36" i="12"/>
  <c r="FD36" i="12"/>
  <c r="FE36" i="12" s="1"/>
  <c r="B192" i="19" l="1"/>
  <c r="AR36" i="12"/>
  <c r="B93" i="19" s="1"/>
  <c r="AP36" i="12"/>
  <c r="B126" i="19" s="1"/>
  <c r="LZ36" i="12"/>
  <c r="EW37" i="12"/>
  <c r="EX38" i="12" s="1"/>
  <c r="EY39" i="12" s="1"/>
  <c r="EZ36" i="12"/>
  <c r="AI36" i="12" s="1"/>
  <c r="FF37" i="12"/>
  <c r="FG38" i="12" s="1"/>
  <c r="FH39" i="12" s="1"/>
  <c r="FI36" i="12"/>
  <c r="AJ36" i="12" s="1"/>
  <c r="AH36" i="12" l="1"/>
  <c r="AQ36" i="12" l="1"/>
  <c r="AO36" i="12"/>
  <c r="CC37" i="12" l="1"/>
  <c r="CG37" i="12"/>
  <c r="CH37" i="12"/>
  <c r="CF37" i="12"/>
  <c r="BI36" i="12"/>
  <c r="BK36" i="12" s="1"/>
  <c r="BD36" i="12" s="1"/>
  <c r="BM36" i="12"/>
  <c r="FL37" i="12"/>
  <c r="FR37" i="12" s="1"/>
  <c r="IZ36" i="12"/>
  <c r="KH36" i="12" s="1"/>
  <c r="JC36" i="12"/>
  <c r="KK36" i="12" s="1"/>
  <c r="IW36" i="12"/>
  <c r="KE36" i="12" s="1"/>
  <c r="JM36" i="12"/>
  <c r="KU36" i="12" s="1"/>
  <c r="FY36" i="12"/>
  <c r="HG36" i="12" s="1"/>
  <c r="GK36" i="12"/>
  <c r="HS36" i="12" s="1"/>
  <c r="GW36" i="12"/>
  <c r="IE36" i="12" s="1"/>
  <c r="HA36" i="12"/>
  <c r="II36" i="12" s="1"/>
  <c r="JS36" i="12"/>
  <c r="LA36" i="12" s="1"/>
  <c r="GZ36" i="12"/>
  <c r="IH36" i="12" s="1"/>
  <c r="JI36" i="12"/>
  <c r="KQ36" i="12" s="1"/>
  <c r="GY36" i="12"/>
  <c r="IG36" i="12" s="1"/>
  <c r="GS36" i="12"/>
  <c r="IA36" i="12" s="1"/>
  <c r="GV36" i="12"/>
  <c r="ID36" i="12" s="1"/>
  <c r="GT36" i="12"/>
  <c r="IB36" i="12" s="1"/>
  <c r="GM36" i="12"/>
  <c r="HU36" i="12" s="1"/>
  <c r="BC37" i="12"/>
  <c r="IP36" i="12"/>
  <c r="JX36" i="12" s="1"/>
  <c r="HB36" i="12"/>
  <c r="IJ36" i="12" s="1"/>
  <c r="JH36" i="12"/>
  <c r="KP36" i="12" s="1"/>
  <c r="JK36" i="12"/>
  <c r="KS36" i="12" s="1"/>
  <c r="JQ36" i="12"/>
  <c r="KY36" i="12" s="1"/>
  <c r="GH36" i="12"/>
  <c r="HP36" i="12" s="1"/>
  <c r="GB36" i="12"/>
  <c r="HJ36" i="12" s="1"/>
  <c r="GD36" i="12"/>
  <c r="HL36" i="12" s="1"/>
  <c r="JP36" i="12"/>
  <c r="KX36" i="12" s="1"/>
  <c r="FX36" i="12"/>
  <c r="GE36" i="12"/>
  <c r="HM36" i="12" s="1"/>
  <c r="GF36" i="12"/>
  <c r="HN36" i="12" s="1"/>
  <c r="FZ36" i="12"/>
  <c r="HH36" i="12" s="1"/>
  <c r="JE36" i="12"/>
  <c r="KM36" i="12" s="1"/>
  <c r="GP36" i="12"/>
  <c r="HX36" i="12" s="1"/>
  <c r="GR36" i="12"/>
  <c r="HZ36" i="12" s="1"/>
  <c r="IU36" i="12"/>
  <c r="KC36" i="12" s="1"/>
  <c r="IO36" i="12"/>
  <c r="IX36" i="12"/>
  <c r="KF36" i="12" s="1"/>
  <c r="GQ36" i="12"/>
  <c r="HY36" i="12" s="1"/>
  <c r="IQ36" i="12"/>
  <c r="JY36" i="12" s="1"/>
  <c r="IT36" i="12"/>
  <c r="KB36" i="12" s="1"/>
  <c r="IV36" i="12"/>
  <c r="KD36" i="12" s="1"/>
  <c r="GA36" i="12"/>
  <c r="HI36" i="12" s="1"/>
  <c r="GU36" i="12"/>
  <c r="IC36" i="12" s="1"/>
  <c r="IY36" i="12"/>
  <c r="KG36" i="12" s="1"/>
  <c r="JB36" i="12"/>
  <c r="KJ36" i="12" s="1"/>
  <c r="JD36" i="12"/>
  <c r="KL36" i="12" s="1"/>
  <c r="JA36" i="12"/>
  <c r="KI36" i="12" s="1"/>
  <c r="GN36" i="12"/>
  <c r="HV36" i="12" s="1"/>
  <c r="GI36" i="12"/>
  <c r="HQ36" i="12" s="1"/>
  <c r="GC36" i="12"/>
  <c r="HK36" i="12" s="1"/>
  <c r="JJ36" i="12"/>
  <c r="KR36" i="12" s="1"/>
  <c r="JL36" i="12"/>
  <c r="KT36" i="12" s="1"/>
  <c r="GG36" i="12"/>
  <c r="HO36" i="12" s="1"/>
  <c r="GO36" i="12"/>
  <c r="HW36" i="12" s="1"/>
  <c r="JF36" i="12"/>
  <c r="KN36" i="12" s="1"/>
  <c r="IR36" i="12"/>
  <c r="JZ36" i="12" s="1"/>
  <c r="JG36" i="12"/>
  <c r="KO36" i="12" s="1"/>
  <c r="GX36" i="12"/>
  <c r="IF36" i="12" s="1"/>
  <c r="JO36" i="12"/>
  <c r="KW36" i="12" s="1"/>
  <c r="JR36" i="12"/>
  <c r="KZ36" i="12" s="1"/>
  <c r="IS36" i="12"/>
  <c r="KA36" i="12" s="1"/>
  <c r="GJ36" i="12"/>
  <c r="HR36" i="12" s="1"/>
  <c r="JN36" i="12"/>
  <c r="KV36" i="12" s="1"/>
  <c r="GL36" i="12"/>
  <c r="HT36" i="12" s="1"/>
  <c r="CQ37" i="12" l="1"/>
  <c r="HF36" i="12"/>
  <c r="FN37" i="12" s="1"/>
  <c r="FW36" i="12"/>
  <c r="JW36" i="12"/>
  <c r="FO37" i="12" s="1"/>
  <c r="AW35" i="12" s="1"/>
  <c r="IN36" i="12"/>
  <c r="EM37" i="12"/>
  <c r="DD37" i="12"/>
  <c r="BH36" i="12"/>
  <c r="AY36" i="12"/>
  <c r="AX36" i="12"/>
  <c r="AZ35" i="12" l="1"/>
  <c r="BX37" i="12" s="1"/>
  <c r="BA36" i="12"/>
  <c r="EK36" i="12"/>
  <c r="BY38" i="12"/>
  <c r="BV38" i="12"/>
  <c r="BW38" i="12"/>
  <c r="CA38" i="12" s="1"/>
  <c r="BB36" i="12"/>
  <c r="BF36" i="12" s="1"/>
  <c r="FS37" i="12"/>
  <c r="AV35" i="12"/>
  <c r="CB37" i="12" s="1"/>
  <c r="BE36" i="12" l="1"/>
  <c r="BG36" i="12"/>
  <c r="CD37" i="12"/>
  <c r="DB37" i="12" s="1"/>
  <c r="BZ38" i="12"/>
  <c r="CP37" i="12" l="1"/>
  <c r="CR37" i="12" s="1"/>
  <c r="CS37" i="12" s="1"/>
  <c r="CJ37" i="12"/>
  <c r="CZ37" i="12" s="1"/>
  <c r="DC38" i="12"/>
  <c r="CM37" i="12" l="1"/>
  <c r="CO37" i="12" s="1"/>
  <c r="CL37" i="12"/>
  <c r="FB37" i="12" s="1"/>
  <c r="CK37" i="12"/>
  <c r="ES37" i="12" s="1"/>
  <c r="CY37" i="12"/>
  <c r="B28" i="19" s="1"/>
  <c r="DA37" i="12"/>
  <c r="B60" i="19" s="1"/>
  <c r="AM37" i="12" l="1"/>
  <c r="FC37" i="12" s="1"/>
  <c r="AL37" i="12"/>
  <c r="ET37" i="12" s="1"/>
  <c r="DF37" i="12"/>
  <c r="EL37" i="12" s="1"/>
  <c r="FD37" i="12" l="1"/>
  <c r="FE37" i="12" s="1"/>
  <c r="FF38" i="12" s="1"/>
  <c r="FG39" i="12" s="1"/>
  <c r="FH40" i="12" s="1"/>
  <c r="EU37" i="12"/>
  <c r="EV37" i="12" s="1"/>
  <c r="AK37" i="12"/>
  <c r="AR37" i="12" s="1"/>
  <c r="B94" i="19" s="1"/>
  <c r="FI37" i="12" l="1"/>
  <c r="AJ37" i="12" s="1"/>
  <c r="EW38" i="12"/>
  <c r="EX39" i="12" s="1"/>
  <c r="EY40" i="12" s="1"/>
  <c r="EZ37" i="12"/>
  <c r="AI37" i="12" s="1"/>
  <c r="LZ37" i="12"/>
  <c r="B193" i="19"/>
  <c r="AP37" i="12"/>
  <c r="B127" i="19" s="1"/>
  <c r="AH37" i="12" l="1"/>
  <c r="AO37" i="12" s="1"/>
  <c r="AQ37" i="12" l="1"/>
  <c r="CG38" i="12" s="1"/>
  <c r="GX37" i="12"/>
  <c r="IF37" i="12" s="1"/>
  <c r="GG37" i="12"/>
  <c r="HO37" i="12" s="1"/>
  <c r="GL37" i="12"/>
  <c r="HT37" i="12" s="1"/>
  <c r="GF37" i="12"/>
  <c r="HN37" i="12" s="1"/>
  <c r="JH37" i="12"/>
  <c r="KP37" i="12" s="1"/>
  <c r="JC37" i="12"/>
  <c r="KK37" i="12" s="1"/>
  <c r="IS37" i="12"/>
  <c r="KA37" i="12" s="1"/>
  <c r="IV37" i="12"/>
  <c r="KD37" i="12" s="1"/>
  <c r="JF37" i="12"/>
  <c r="KN37" i="12" s="1"/>
  <c r="IY37" i="12"/>
  <c r="KG37" i="12" s="1"/>
  <c r="GU37" i="12"/>
  <c r="IC37" i="12" s="1"/>
  <c r="JA37" i="12"/>
  <c r="KI37" i="12" s="1"/>
  <c r="JD37" i="12"/>
  <c r="KL37" i="12" s="1"/>
  <c r="JN37" i="12"/>
  <c r="KV37" i="12" s="1"/>
  <c r="JS37" i="12"/>
  <c r="LA37" i="12" s="1"/>
  <c r="GJ37" i="12"/>
  <c r="HR37" i="12" s="1"/>
  <c r="GN37" i="12"/>
  <c r="HV37" i="12" s="1"/>
  <c r="GI37" i="12"/>
  <c r="HQ37" i="12" s="1"/>
  <c r="IT37" i="12"/>
  <c r="KB37" i="12" s="1"/>
  <c r="GT37" i="12"/>
  <c r="IB37" i="12" s="1"/>
  <c r="GK37" i="12"/>
  <c r="HS37" i="12" s="1"/>
  <c r="JL37" i="12"/>
  <c r="KT37" i="12" s="1"/>
  <c r="GR37" i="12"/>
  <c r="HZ37" i="12" s="1"/>
  <c r="BC38" i="12"/>
  <c r="JQ37" i="12"/>
  <c r="KY37" i="12" s="1"/>
  <c r="IW37" i="12"/>
  <c r="KE37" i="12" s="1"/>
  <c r="IQ37" i="12"/>
  <c r="JY37" i="12" s="1"/>
  <c r="JP37" i="12"/>
  <c r="KX37" i="12" s="1"/>
  <c r="GZ37" i="12"/>
  <c r="IH37" i="12" s="1"/>
  <c r="GA37" i="12"/>
  <c r="HI37" i="12" s="1"/>
  <c r="HB37" i="12"/>
  <c r="IJ37" i="12" s="1"/>
  <c r="JK37" i="12"/>
  <c r="KS37" i="12" s="1"/>
  <c r="JE37" i="12"/>
  <c r="KM37" i="12" s="1"/>
  <c r="GE37" i="12"/>
  <c r="HM37" i="12" s="1"/>
  <c r="GO37" i="12"/>
  <c r="HW37" i="12" s="1"/>
  <c r="FL38" i="12"/>
  <c r="FR38" i="12" s="1"/>
  <c r="BI37" i="12"/>
  <c r="BK37" i="12" s="1"/>
  <c r="BD37" i="12" s="1"/>
  <c r="BM37" i="12"/>
  <c r="HA37" i="12" l="1"/>
  <c r="II37" i="12" s="1"/>
  <c r="FX37" i="12"/>
  <c r="IX37" i="12"/>
  <c r="KF37" i="12" s="1"/>
  <c r="JR37" i="12"/>
  <c r="KZ37" i="12" s="1"/>
  <c r="GV37" i="12"/>
  <c r="ID37" i="12" s="1"/>
  <c r="JI37" i="12"/>
  <c r="KQ37" i="12" s="1"/>
  <c r="FY37" i="12"/>
  <c r="HG37" i="12" s="1"/>
  <c r="FZ37" i="12"/>
  <c r="HH37" i="12" s="1"/>
  <c r="GB37" i="12"/>
  <c r="HJ37" i="12" s="1"/>
  <c r="GD37" i="12"/>
  <c r="HL37" i="12" s="1"/>
  <c r="GC37" i="12"/>
  <c r="HK37" i="12" s="1"/>
  <c r="GW37" i="12"/>
  <c r="IE37" i="12" s="1"/>
  <c r="IU37" i="12"/>
  <c r="KC37" i="12" s="1"/>
  <c r="GM37" i="12"/>
  <c r="HU37" i="12" s="1"/>
  <c r="GH37" i="12"/>
  <c r="HP37" i="12" s="1"/>
  <c r="IO37" i="12"/>
  <c r="JW37" i="12" s="1"/>
  <c r="GS37" i="12"/>
  <c r="IA37" i="12" s="1"/>
  <c r="IZ37" i="12"/>
  <c r="KH37" i="12" s="1"/>
  <c r="IR37" i="12"/>
  <c r="JZ37" i="12" s="1"/>
  <c r="IP37" i="12"/>
  <c r="JX37" i="12" s="1"/>
  <c r="JJ37" i="12"/>
  <c r="KR37" i="12" s="1"/>
  <c r="JG37" i="12"/>
  <c r="KO37" i="12" s="1"/>
  <c r="JM37" i="12"/>
  <c r="KU37" i="12" s="1"/>
  <c r="GQ37" i="12"/>
  <c r="HY37" i="12" s="1"/>
  <c r="JO37" i="12"/>
  <c r="KW37" i="12" s="1"/>
  <c r="GP37" i="12"/>
  <c r="HX37" i="12" s="1"/>
  <c r="CF38" i="12"/>
  <c r="EM38" i="12" s="1"/>
  <c r="CH38" i="12"/>
  <c r="JB37" i="12"/>
  <c r="KJ37" i="12" s="1"/>
  <c r="GY37" i="12"/>
  <c r="IG37" i="12" s="1"/>
  <c r="CC38" i="12"/>
  <c r="BH37" i="12"/>
  <c r="AY37" i="12"/>
  <c r="AX37" i="12"/>
  <c r="HF37" i="12"/>
  <c r="DD38" i="12" l="1"/>
  <c r="CQ38" i="12"/>
  <c r="FW37" i="12"/>
  <c r="IN37" i="12"/>
  <c r="FN38" i="12"/>
  <c r="AV36" i="12" s="1"/>
  <c r="CB38" i="12" s="1"/>
  <c r="FO38" i="12"/>
  <c r="AW36" i="12" s="1"/>
  <c r="AZ36" i="12" s="1"/>
  <c r="BX38" i="12" s="1"/>
  <c r="BY39" i="12"/>
  <c r="EK37" i="12"/>
  <c r="BV39" i="12"/>
  <c r="BA37" i="12"/>
  <c r="BW39" i="12"/>
  <c r="CA39" i="12" s="1"/>
  <c r="BB37" i="12"/>
  <c r="BF37" i="12" s="1"/>
  <c r="BE37" i="12" l="1"/>
  <c r="BG37" i="12"/>
  <c r="FS38" i="12"/>
  <c r="CD38" i="12"/>
  <c r="DB38" i="12" s="1"/>
  <c r="BZ39" i="12"/>
  <c r="DS93" i="12"/>
  <c r="DT93" i="12"/>
  <c r="EJ31" i="12" s="1"/>
  <c r="EP31" i="12" s="1"/>
  <c r="CP38" i="12" l="1"/>
  <c r="CR38" i="12" s="1"/>
  <c r="CS38" i="12" s="1"/>
  <c r="CJ38" i="12"/>
  <c r="CM38" i="12" s="1"/>
  <c r="CO38" i="12" s="1"/>
  <c r="DC39" i="12"/>
  <c r="DT85" i="12"/>
  <c r="DS85" i="12"/>
  <c r="CZ38" i="12" l="1"/>
  <c r="DA38" i="12" s="1"/>
  <c r="CL38" i="12"/>
  <c r="CK38" i="12"/>
  <c r="ES38" i="12" s="1"/>
  <c r="EJ23" i="12"/>
  <c r="EP23" i="12" s="1"/>
  <c r="AM38" i="12" l="1"/>
  <c r="FC38" i="12" s="1"/>
  <c r="FB38" i="12"/>
  <c r="AL38" i="12"/>
  <c r="ET38" i="12" s="1"/>
  <c r="CY38" i="12"/>
  <c r="B29" i="19" s="1"/>
  <c r="B61" i="19"/>
  <c r="DF38" i="12"/>
  <c r="EL38" i="12" s="1"/>
  <c r="EU38" i="12" l="1"/>
  <c r="EV38" i="12" s="1"/>
  <c r="AK38" i="12"/>
  <c r="AP38" i="12" s="1"/>
  <c r="B128" i="19" s="1"/>
  <c r="FD38" i="12"/>
  <c r="FE38" i="12" s="1"/>
  <c r="B194" i="19" l="1"/>
  <c r="AR38" i="12"/>
  <c r="B95" i="19" s="1"/>
  <c r="EW39" i="12"/>
  <c r="EX40" i="12" s="1"/>
  <c r="EY41" i="12" s="1"/>
  <c r="EZ38" i="12"/>
  <c r="AI38" i="12" s="1"/>
  <c r="LZ38" i="12"/>
  <c r="FI38" i="12"/>
  <c r="AJ38" i="12" s="1"/>
  <c r="FF39" i="12"/>
  <c r="FG40" i="12" s="1"/>
  <c r="FH41" i="12" s="1"/>
  <c r="AH38" i="12" l="1"/>
  <c r="AO38" i="12" s="1"/>
  <c r="AQ38" i="12" l="1"/>
  <c r="CC39" i="12" s="1"/>
  <c r="BM38" i="12"/>
  <c r="FL39" i="12"/>
  <c r="FR39" i="12" s="1"/>
  <c r="BI38" i="12"/>
  <c r="BK38" i="12" s="1"/>
  <c r="BD38" i="12" s="1"/>
  <c r="JI38" i="12" l="1"/>
  <c r="KQ38" i="12" s="1"/>
  <c r="GF38" i="12"/>
  <c r="HN38" i="12" s="1"/>
  <c r="GQ38" i="12"/>
  <c r="HY38" i="12" s="1"/>
  <c r="IT38" i="12"/>
  <c r="KB38" i="12" s="1"/>
  <c r="JA38" i="12"/>
  <c r="KI38" i="12" s="1"/>
  <c r="HB38" i="12"/>
  <c r="IJ38" i="12" s="1"/>
  <c r="JR38" i="12"/>
  <c r="KZ38" i="12" s="1"/>
  <c r="JC38" i="12"/>
  <c r="KK38" i="12" s="1"/>
  <c r="IU38" i="12"/>
  <c r="KC38" i="12" s="1"/>
  <c r="GG38" i="12"/>
  <c r="HO38" i="12" s="1"/>
  <c r="JE38" i="12"/>
  <c r="KM38" i="12" s="1"/>
  <c r="GO38" i="12"/>
  <c r="HW38" i="12" s="1"/>
  <c r="JL38" i="12"/>
  <c r="KT38" i="12" s="1"/>
  <c r="JK38" i="12"/>
  <c r="KS38" i="12" s="1"/>
  <c r="JM38" i="12"/>
  <c r="KU38" i="12" s="1"/>
  <c r="GU38" i="12"/>
  <c r="IC38" i="12" s="1"/>
  <c r="FY38" i="12"/>
  <c r="HG38" i="12" s="1"/>
  <c r="GY38" i="12"/>
  <c r="IG38" i="12" s="1"/>
  <c r="BC39" i="12"/>
  <c r="IW38" i="12"/>
  <c r="KE38" i="12" s="1"/>
  <c r="JS38" i="12"/>
  <c r="LA38" i="12" s="1"/>
  <c r="GJ38" i="12"/>
  <c r="HR38" i="12" s="1"/>
  <c r="JJ38" i="12"/>
  <c r="KR38" i="12" s="1"/>
  <c r="IR38" i="12"/>
  <c r="JZ38" i="12" s="1"/>
  <c r="IQ38" i="12"/>
  <c r="JY38" i="12" s="1"/>
  <c r="CF39" i="12"/>
  <c r="IY38" i="12"/>
  <c r="KG38" i="12" s="1"/>
  <c r="GW38" i="12"/>
  <c r="IE38" i="12" s="1"/>
  <c r="JH38" i="12"/>
  <c r="KP38" i="12" s="1"/>
  <c r="IZ38" i="12"/>
  <c r="KH38" i="12" s="1"/>
  <c r="GB38" i="12"/>
  <c r="HJ38" i="12" s="1"/>
  <c r="JF38" i="12"/>
  <c r="KN38" i="12" s="1"/>
  <c r="GH38" i="12"/>
  <c r="HP38" i="12" s="1"/>
  <c r="FX38" i="12"/>
  <c r="HF38" i="12" s="1"/>
  <c r="JO38" i="12"/>
  <c r="KW38" i="12" s="1"/>
  <c r="GL38" i="12"/>
  <c r="HT38" i="12" s="1"/>
  <c r="FZ38" i="12"/>
  <c r="HH38" i="12" s="1"/>
  <c r="JB38" i="12"/>
  <c r="KJ38" i="12" s="1"/>
  <c r="GZ38" i="12"/>
  <c r="IH38" i="12" s="1"/>
  <c r="GT38" i="12"/>
  <c r="IB38" i="12" s="1"/>
  <c r="CH39" i="12"/>
  <c r="JD38" i="12"/>
  <c r="KL38" i="12" s="1"/>
  <c r="IS38" i="12"/>
  <c r="KA38" i="12" s="1"/>
  <c r="JG38" i="12"/>
  <c r="KO38" i="12" s="1"/>
  <c r="GK38" i="12"/>
  <c r="HS38" i="12" s="1"/>
  <c r="HA38" i="12"/>
  <c r="II38" i="12" s="1"/>
  <c r="JN38" i="12"/>
  <c r="KV38" i="12" s="1"/>
  <c r="IP38" i="12"/>
  <c r="JX38" i="12" s="1"/>
  <c r="GM38" i="12"/>
  <c r="HU38" i="12" s="1"/>
  <c r="GV38" i="12"/>
  <c r="ID38" i="12" s="1"/>
  <c r="GC38" i="12"/>
  <c r="HK38" i="12" s="1"/>
  <c r="GN38" i="12"/>
  <c r="HV38" i="12" s="1"/>
  <c r="JQ38" i="12"/>
  <c r="KY38" i="12" s="1"/>
  <c r="GX38" i="12"/>
  <c r="IF38" i="12" s="1"/>
  <c r="IO38" i="12"/>
  <c r="JW38" i="12" s="1"/>
  <c r="GI38" i="12"/>
  <c r="HQ38" i="12" s="1"/>
  <c r="CG39" i="12"/>
  <c r="IX38" i="12"/>
  <c r="KF38" i="12" s="1"/>
  <c r="GP38" i="12"/>
  <c r="HX38" i="12" s="1"/>
  <c r="GE38" i="12"/>
  <c r="HM38" i="12" s="1"/>
  <c r="JP38" i="12"/>
  <c r="KX38" i="12" s="1"/>
  <c r="GD38" i="12"/>
  <c r="HL38" i="12" s="1"/>
  <c r="IV38" i="12"/>
  <c r="KD38" i="12" s="1"/>
  <c r="GS38" i="12"/>
  <c r="IA38" i="12" s="1"/>
  <c r="GA38" i="12"/>
  <c r="HI38" i="12" s="1"/>
  <c r="GR38" i="12"/>
  <c r="HZ38" i="12" s="1"/>
  <c r="BH38" i="12"/>
  <c r="AX38" i="12"/>
  <c r="AY38" i="12"/>
  <c r="EM39" i="12" l="1"/>
  <c r="CQ39" i="12"/>
  <c r="DS87" i="12"/>
  <c r="DT87" i="12"/>
  <c r="EJ25" i="12" s="1"/>
  <c r="EP25" i="12" s="1"/>
  <c r="DD39" i="12"/>
  <c r="FO39" i="12"/>
  <c r="AW37" i="12" s="1"/>
  <c r="AZ37" i="12" s="1"/>
  <c r="BX39" i="12" s="1"/>
  <c r="FW38" i="12"/>
  <c r="IN38" i="12"/>
  <c r="FN39" i="12"/>
  <c r="AV37" i="12" s="1"/>
  <c r="CB39" i="12" s="1"/>
  <c r="BB38" i="12"/>
  <c r="BF38" i="12" s="1"/>
  <c r="BW40" i="12"/>
  <c r="CA40" i="12" s="1"/>
  <c r="EK38" i="12"/>
  <c r="BA38" i="12"/>
  <c r="BY40" i="12"/>
  <c r="BV40" i="12"/>
  <c r="BZ40" i="12" s="1"/>
  <c r="BE38" i="12" l="1"/>
  <c r="BG38" i="12"/>
  <c r="FS39" i="12"/>
  <c r="CD39" i="12"/>
  <c r="DS86" i="12" s="1"/>
  <c r="DC40" i="12"/>
  <c r="CP39" i="12" l="1"/>
  <c r="CR39" i="12" s="1"/>
  <c r="CS39" i="12" s="1"/>
  <c r="DT86" i="12"/>
  <c r="EJ24" i="12" s="1"/>
  <c r="EP24" i="12" s="1"/>
  <c r="CJ39" i="12"/>
  <c r="CM39" i="12" s="1"/>
  <c r="CO39" i="12" s="1"/>
  <c r="DB39" i="12"/>
  <c r="CK39" i="12" l="1"/>
  <c r="ES39" i="12" s="1"/>
  <c r="CL39" i="12"/>
  <c r="DS88" i="12"/>
  <c r="DT88" i="12"/>
  <c r="CZ39" i="12"/>
  <c r="AM39" i="12" l="1"/>
  <c r="FC39" i="12" s="1"/>
  <c r="FB39" i="12"/>
  <c r="AL39" i="12"/>
  <c r="ET39" i="12" s="1"/>
  <c r="CY39" i="12"/>
  <c r="B30" i="19" s="1"/>
  <c r="DA39" i="12"/>
  <c r="EJ26" i="12"/>
  <c r="EP26" i="12" s="1"/>
  <c r="EU39" i="12" l="1"/>
  <c r="EV39" i="12" s="1"/>
  <c r="AK39" i="12"/>
  <c r="FD39" i="12"/>
  <c r="FE39" i="12" s="1"/>
  <c r="B62" i="19"/>
  <c r="DF39" i="12"/>
  <c r="EL39" i="12" s="1"/>
  <c r="FF40" i="12" l="1"/>
  <c r="FG41" i="12" s="1"/>
  <c r="FH42" i="12" s="1"/>
  <c r="FI39" i="12"/>
  <c r="AJ39" i="12" s="1"/>
  <c r="EW40" i="12"/>
  <c r="EX41" i="12" s="1"/>
  <c r="EY42" i="12" s="1"/>
  <c r="EZ39" i="12"/>
  <c r="AI39" i="12" s="1"/>
  <c r="AP39" i="12"/>
  <c r="B129" i="19" s="1"/>
  <c r="DT89" i="12"/>
  <c r="LZ39" i="12"/>
  <c r="AR39" i="12"/>
  <c r="B96" i="19" s="1"/>
  <c r="DS89" i="12"/>
  <c r="DS90" i="12" s="1"/>
  <c r="DS92" i="12" s="1"/>
  <c r="DS95" i="12" s="1"/>
  <c r="B195" i="19"/>
  <c r="AH39" i="12" l="1"/>
  <c r="EJ27" i="12"/>
  <c r="EP27" i="12" s="1"/>
  <c r="DT90" i="12"/>
  <c r="DT92" i="12" l="1"/>
  <c r="EJ28" i="12"/>
  <c r="EP28" i="12" s="1"/>
  <c r="AO39" i="12"/>
  <c r="AQ39" i="12"/>
  <c r="CC40" i="12" l="1"/>
  <c r="CG40" i="12"/>
  <c r="CH40" i="12"/>
  <c r="CF40" i="12"/>
  <c r="IX39" i="12"/>
  <c r="KF39" i="12" s="1"/>
  <c r="JO39" i="12"/>
  <c r="KW39" i="12" s="1"/>
  <c r="JJ39" i="12"/>
  <c r="KR39" i="12" s="1"/>
  <c r="JM39" i="12"/>
  <c r="KU39" i="12" s="1"/>
  <c r="FY39" i="12"/>
  <c r="HG39" i="12" s="1"/>
  <c r="GQ39" i="12"/>
  <c r="HY39" i="12" s="1"/>
  <c r="GI39" i="12"/>
  <c r="HQ39" i="12" s="1"/>
  <c r="GL39" i="12"/>
  <c r="HT39" i="12" s="1"/>
  <c r="IR39" i="12"/>
  <c r="JZ39" i="12" s="1"/>
  <c r="JI39" i="12"/>
  <c r="KQ39" i="12" s="1"/>
  <c r="JR39" i="12"/>
  <c r="KZ39" i="12" s="1"/>
  <c r="JF39" i="12"/>
  <c r="KN39" i="12" s="1"/>
  <c r="GG39" i="12"/>
  <c r="HO39" i="12" s="1"/>
  <c r="HA39" i="12"/>
  <c r="II39" i="12" s="1"/>
  <c r="GS39" i="12"/>
  <c r="IA39" i="12" s="1"/>
  <c r="GX39" i="12"/>
  <c r="IF39" i="12" s="1"/>
  <c r="BC40" i="12"/>
  <c r="GH39" i="12"/>
  <c r="HP39" i="12" s="1"/>
  <c r="GU39" i="12"/>
  <c r="IC39" i="12" s="1"/>
  <c r="GW39" i="12"/>
  <c r="IE39" i="12" s="1"/>
  <c r="GJ39" i="12"/>
  <c r="HR39" i="12" s="1"/>
  <c r="IZ39" i="12"/>
  <c r="KH39" i="12" s="1"/>
  <c r="IQ39" i="12"/>
  <c r="JY39" i="12" s="1"/>
  <c r="JC39" i="12"/>
  <c r="KK39" i="12" s="1"/>
  <c r="JN39" i="12"/>
  <c r="KV39" i="12" s="1"/>
  <c r="GO39" i="12"/>
  <c r="HW39" i="12" s="1"/>
  <c r="GB39" i="12"/>
  <c r="HJ39" i="12" s="1"/>
  <c r="IS39" i="12"/>
  <c r="KA39" i="12" s="1"/>
  <c r="JH39" i="12"/>
  <c r="KP39" i="12" s="1"/>
  <c r="JL39" i="12"/>
  <c r="KT39" i="12" s="1"/>
  <c r="HB39" i="12"/>
  <c r="IJ39" i="12" s="1"/>
  <c r="GC39" i="12"/>
  <c r="HK39" i="12" s="1"/>
  <c r="GD39" i="12"/>
  <c r="HL39" i="12" s="1"/>
  <c r="IO39" i="12"/>
  <c r="JA39" i="12"/>
  <c r="KI39" i="12" s="1"/>
  <c r="JP39" i="12"/>
  <c r="KX39" i="12" s="1"/>
  <c r="IY39" i="12"/>
  <c r="KG39" i="12" s="1"/>
  <c r="FX39" i="12"/>
  <c r="GY39" i="12"/>
  <c r="IG39" i="12" s="1"/>
  <c r="IW39" i="12"/>
  <c r="KE39" i="12" s="1"/>
  <c r="IT39" i="12"/>
  <c r="KB39" i="12" s="1"/>
  <c r="IU39" i="12"/>
  <c r="KC39" i="12" s="1"/>
  <c r="JK39" i="12"/>
  <c r="KS39" i="12" s="1"/>
  <c r="GF39" i="12"/>
  <c r="HN39" i="12" s="1"/>
  <c r="GP39" i="12"/>
  <c r="HX39" i="12" s="1"/>
  <c r="GR39" i="12"/>
  <c r="HZ39" i="12" s="1"/>
  <c r="GM39" i="12"/>
  <c r="HU39" i="12" s="1"/>
  <c r="GT39" i="12"/>
  <c r="IB39" i="12" s="1"/>
  <c r="JE39" i="12"/>
  <c r="KM39" i="12" s="1"/>
  <c r="JB39" i="12"/>
  <c r="KJ39" i="12" s="1"/>
  <c r="JQ39" i="12"/>
  <c r="KY39" i="12" s="1"/>
  <c r="JS39" i="12"/>
  <c r="LA39" i="12" s="1"/>
  <c r="GN39" i="12"/>
  <c r="HV39" i="12" s="1"/>
  <c r="GZ39" i="12"/>
  <c r="IH39" i="12" s="1"/>
  <c r="FZ39" i="12"/>
  <c r="HH39" i="12" s="1"/>
  <c r="GA39" i="12"/>
  <c r="HI39" i="12" s="1"/>
  <c r="IP39" i="12"/>
  <c r="JX39" i="12" s="1"/>
  <c r="JG39" i="12"/>
  <c r="KO39" i="12" s="1"/>
  <c r="IV39" i="12"/>
  <c r="KD39" i="12" s="1"/>
  <c r="JD39" i="12"/>
  <c r="KL39" i="12" s="1"/>
  <c r="GV39" i="12"/>
  <c r="ID39" i="12" s="1"/>
  <c r="GE39" i="12"/>
  <c r="HM39" i="12" s="1"/>
  <c r="GK39" i="12"/>
  <c r="HS39" i="12" s="1"/>
  <c r="BI39" i="12"/>
  <c r="BK39" i="12" s="1"/>
  <c r="BD39" i="12" s="1"/>
  <c r="FL40" i="12"/>
  <c r="FR40" i="12" s="1"/>
  <c r="BM39" i="12"/>
  <c r="EJ30" i="12"/>
  <c r="EP30" i="12" s="1"/>
  <c r="DT95" i="12"/>
  <c r="EJ33" i="12" s="1"/>
  <c r="EP33" i="12" s="1"/>
  <c r="CQ40" i="12" l="1"/>
  <c r="HF39" i="12"/>
  <c r="FN40" i="12" s="1"/>
  <c r="FW39" i="12"/>
  <c r="DD40" i="12"/>
  <c r="EM40" i="12"/>
  <c r="JW39" i="12"/>
  <c r="FO40" i="12" s="1"/>
  <c r="AW38" i="12" s="1"/>
  <c r="AZ38" i="12" s="1"/>
  <c r="BX40" i="12" s="1"/>
  <c r="IN39" i="12"/>
  <c r="BH39" i="12"/>
  <c r="AX39" i="12"/>
  <c r="AY39" i="12"/>
  <c r="BW41" i="12" l="1"/>
  <c r="CA41" i="12" s="1"/>
  <c r="BB39" i="12"/>
  <c r="BF39" i="12" s="1"/>
  <c r="BA39" i="12"/>
  <c r="BV41" i="12"/>
  <c r="BY41" i="12"/>
  <c r="EK39" i="12"/>
  <c r="AV38" i="12"/>
  <c r="CB40" i="12" s="1"/>
  <c r="FS40" i="12"/>
  <c r="BE39" i="12" l="1"/>
  <c r="BG39" i="12"/>
  <c r="CD40" i="12"/>
  <c r="CP40" i="12" s="1"/>
  <c r="CR40" i="12" s="1"/>
  <c r="CS40" i="12" s="1"/>
  <c r="BZ41" i="12"/>
  <c r="DB40" i="12" l="1"/>
  <c r="CJ40" i="12"/>
  <c r="CZ40" i="12" s="1"/>
  <c r="DC41" i="12"/>
  <c r="CL40" i="12" l="1"/>
  <c r="CK40" i="12"/>
  <c r="ES40" i="12" s="1"/>
  <c r="CM40" i="12"/>
  <c r="CO40" i="12" s="1"/>
  <c r="CY40" i="12"/>
  <c r="B31" i="19" s="1"/>
  <c r="DA40" i="12"/>
  <c r="AM40" i="12" l="1"/>
  <c r="FC40" i="12" s="1"/>
  <c r="FB40" i="12"/>
  <c r="AL40" i="12"/>
  <c r="ET40" i="12" s="1"/>
  <c r="B63" i="19"/>
  <c r="DF40" i="12"/>
  <c r="EL40" i="12" s="1"/>
  <c r="EU40" i="12" l="1"/>
  <c r="EV40" i="12" s="1"/>
  <c r="EZ40" i="12" s="1"/>
  <c r="AI40" i="12" s="1"/>
  <c r="FD40" i="12"/>
  <c r="FE40" i="12" s="1"/>
  <c r="FF41" i="12" s="1"/>
  <c r="FG42" i="12" s="1"/>
  <c r="FH43" i="12" s="1"/>
  <c r="AK40" i="12"/>
  <c r="AP40" i="12" s="1"/>
  <c r="B130" i="19" s="1"/>
  <c r="B196" i="19" l="1"/>
  <c r="AR40" i="12"/>
  <c r="B97" i="19" s="1"/>
  <c r="EW41" i="12"/>
  <c r="EX42" i="12" s="1"/>
  <c r="EY43" i="12" s="1"/>
  <c r="FI40" i="12"/>
  <c r="AJ40" i="12" s="1"/>
  <c r="AH40" i="12" s="1"/>
  <c r="AQ40" i="12" l="1"/>
  <c r="AO40" i="12"/>
  <c r="CC41" i="12" l="1"/>
  <c r="CG41" i="12"/>
  <c r="CH41" i="12"/>
  <c r="CF41" i="12"/>
  <c r="FL41" i="12"/>
  <c r="FR41" i="12" s="1"/>
  <c r="BI40" i="12"/>
  <c r="BK40" i="12" s="1"/>
  <c r="BD40" i="12" s="1"/>
  <c r="BM40" i="12"/>
  <c r="IU40" i="12"/>
  <c r="KC40" i="12" s="1"/>
  <c r="IV40" i="12"/>
  <c r="KD40" i="12" s="1"/>
  <c r="IP40" i="12"/>
  <c r="JX40" i="12" s="1"/>
  <c r="IQ40" i="12"/>
  <c r="JY40" i="12" s="1"/>
  <c r="GA40" i="12"/>
  <c r="HI40" i="12" s="1"/>
  <c r="GS40" i="12"/>
  <c r="IA40" i="12" s="1"/>
  <c r="GU40" i="12"/>
  <c r="IC40" i="12" s="1"/>
  <c r="GO40" i="12"/>
  <c r="HW40" i="12" s="1"/>
  <c r="GI40" i="12"/>
  <c r="HQ40" i="12" s="1"/>
  <c r="GT40" i="12"/>
  <c r="IB40" i="12" s="1"/>
  <c r="GC40" i="12"/>
  <c r="HK40" i="12" s="1"/>
  <c r="GZ40" i="12"/>
  <c r="IH40" i="12" s="1"/>
  <c r="BC41" i="12"/>
  <c r="JS40" i="12"/>
  <c r="LA40" i="12" s="1"/>
  <c r="JG40" i="12"/>
  <c r="KO40" i="12" s="1"/>
  <c r="GQ40" i="12"/>
  <c r="HY40" i="12" s="1"/>
  <c r="HA40" i="12"/>
  <c r="II40" i="12" s="1"/>
  <c r="HB40" i="12"/>
  <c r="IJ40" i="12" s="1"/>
  <c r="JC40" i="12"/>
  <c r="KK40" i="12" s="1"/>
  <c r="GW40" i="12"/>
  <c r="IE40" i="12" s="1"/>
  <c r="JK40" i="12"/>
  <c r="KS40" i="12" s="1"/>
  <c r="JD40" i="12"/>
  <c r="KL40" i="12" s="1"/>
  <c r="JN40" i="12"/>
  <c r="KV40" i="12" s="1"/>
  <c r="IY40" i="12"/>
  <c r="KG40" i="12" s="1"/>
  <c r="JL40" i="12"/>
  <c r="KT40" i="12" s="1"/>
  <c r="GB40" i="12"/>
  <c r="HJ40" i="12" s="1"/>
  <c r="GF40" i="12"/>
  <c r="HN40" i="12" s="1"/>
  <c r="GE40" i="12"/>
  <c r="HM40" i="12" s="1"/>
  <c r="JI40" i="12"/>
  <c r="KQ40" i="12" s="1"/>
  <c r="JP40" i="12"/>
  <c r="KX40" i="12" s="1"/>
  <c r="FY40" i="12"/>
  <c r="HG40" i="12" s="1"/>
  <c r="JQ40" i="12"/>
  <c r="KY40" i="12" s="1"/>
  <c r="GG40" i="12"/>
  <c r="HO40" i="12" s="1"/>
  <c r="GJ40" i="12"/>
  <c r="HR40" i="12" s="1"/>
  <c r="JR40" i="12"/>
  <c r="KZ40" i="12" s="1"/>
  <c r="GP40" i="12"/>
  <c r="HX40" i="12" s="1"/>
  <c r="GX40" i="12"/>
  <c r="IF40" i="12" s="1"/>
  <c r="IO40" i="12"/>
  <c r="IT40" i="12"/>
  <c r="KB40" i="12" s="1"/>
  <c r="IX40" i="12"/>
  <c r="KF40" i="12" s="1"/>
  <c r="IZ40" i="12"/>
  <c r="KH40" i="12" s="1"/>
  <c r="FX40" i="12"/>
  <c r="GY40" i="12"/>
  <c r="IG40" i="12" s="1"/>
  <c r="GV40" i="12"/>
  <c r="ID40" i="12" s="1"/>
  <c r="GD40" i="12"/>
  <c r="HL40" i="12" s="1"/>
  <c r="IS40" i="12"/>
  <c r="KA40" i="12" s="1"/>
  <c r="JB40" i="12"/>
  <c r="KJ40" i="12" s="1"/>
  <c r="JF40" i="12"/>
  <c r="KN40" i="12" s="1"/>
  <c r="JH40" i="12"/>
  <c r="KP40" i="12" s="1"/>
  <c r="FZ40" i="12"/>
  <c r="HH40" i="12" s="1"/>
  <c r="IR40" i="12"/>
  <c r="JZ40" i="12" s="1"/>
  <c r="JA40" i="12"/>
  <c r="KI40" i="12" s="1"/>
  <c r="JJ40" i="12"/>
  <c r="KR40" i="12" s="1"/>
  <c r="IW40" i="12"/>
  <c r="KE40" i="12" s="1"/>
  <c r="JO40" i="12"/>
  <c r="KW40" i="12" s="1"/>
  <c r="GH40" i="12"/>
  <c r="HP40" i="12" s="1"/>
  <c r="GR40" i="12"/>
  <c r="HZ40" i="12" s="1"/>
  <c r="GL40" i="12"/>
  <c r="HT40" i="12" s="1"/>
  <c r="GN40" i="12"/>
  <c r="HV40" i="12" s="1"/>
  <c r="JE40" i="12"/>
  <c r="KM40" i="12" s="1"/>
  <c r="GM40" i="12"/>
  <c r="HU40" i="12" s="1"/>
  <c r="JM40" i="12"/>
  <c r="KU40" i="12" s="1"/>
  <c r="GK40" i="12"/>
  <c r="HS40" i="12" s="1"/>
  <c r="CQ41" i="12" l="1"/>
  <c r="HF40" i="12"/>
  <c r="FN41" i="12" s="1"/>
  <c r="FW40" i="12"/>
  <c r="JW40" i="12"/>
  <c r="FO41" i="12" s="1"/>
  <c r="AW39" i="12" s="1"/>
  <c r="IN40" i="12"/>
  <c r="BH40" i="12"/>
  <c r="AY40" i="12"/>
  <c r="AX40" i="12"/>
  <c r="EM41" i="12"/>
  <c r="DD41" i="12"/>
  <c r="AZ39" i="12" l="1"/>
  <c r="BX41" i="12" s="1"/>
  <c r="BY42" i="12"/>
  <c r="EK40" i="12"/>
  <c r="BV42" i="12"/>
  <c r="BA40" i="12"/>
  <c r="BB40" i="12"/>
  <c r="BF40" i="12" s="1"/>
  <c r="BW42" i="12"/>
  <c r="CA42" i="12" s="1"/>
  <c r="FS41" i="12"/>
  <c r="AV39" i="12"/>
  <c r="CB41" i="12" s="1"/>
  <c r="BE40" i="12" l="1"/>
  <c r="BG40" i="12"/>
  <c r="CD41" i="12"/>
  <c r="CJ41" i="12" s="1"/>
  <c r="BZ42" i="12"/>
  <c r="DC42" i="12" s="1"/>
  <c r="CP41" i="12" l="1"/>
  <c r="CR41" i="12" s="1"/>
  <c r="CS41" i="12" s="1"/>
  <c r="CZ41" i="12"/>
  <c r="CY41" i="12" s="1"/>
  <c r="B32" i="19" s="1"/>
  <c r="CK41" i="12"/>
  <c r="ES41" i="12" s="1"/>
  <c r="CL41" i="12"/>
  <c r="FB41" i="12" s="1"/>
  <c r="CM41" i="12"/>
  <c r="CO41" i="12" s="1"/>
  <c r="DB41" i="12"/>
  <c r="AM41" i="12" l="1"/>
  <c r="FC41" i="12" s="1"/>
  <c r="AL41" i="12"/>
  <c r="ET41" i="12" s="1"/>
  <c r="DA41" i="12"/>
  <c r="B64" i="19" s="1"/>
  <c r="FD41" i="12" l="1"/>
  <c r="FE41" i="12" s="1"/>
  <c r="FF42" i="12" s="1"/>
  <c r="FG43" i="12" s="1"/>
  <c r="FH44" i="12" s="1"/>
  <c r="EU41" i="12"/>
  <c r="EV41" i="12" s="1"/>
  <c r="DF41" i="12"/>
  <c r="EL41" i="12" s="1"/>
  <c r="AK41" i="12"/>
  <c r="FI41" i="12" l="1"/>
  <c r="AJ41" i="12" s="1"/>
  <c r="AP41" i="12"/>
  <c r="B131" i="19" s="1"/>
  <c r="AR41" i="12"/>
  <c r="B98" i="19" s="1"/>
  <c r="B197" i="19"/>
  <c r="EZ41" i="12"/>
  <c r="AI41" i="12" s="1"/>
  <c r="EW42" i="12"/>
  <c r="EX43" i="12" s="1"/>
  <c r="EY44" i="12" s="1"/>
  <c r="AH41" i="12" l="1"/>
  <c r="AQ41" i="12" s="1"/>
  <c r="AO41" i="12" l="1"/>
  <c r="FL42" i="12" s="1"/>
  <c r="FR42" i="12" s="1"/>
  <c r="CC42" i="12"/>
  <c r="CG42" i="12"/>
  <c r="CH42" i="12"/>
  <c r="CF42" i="12"/>
  <c r="JC41" i="12"/>
  <c r="KK41" i="12" s="1"/>
  <c r="IW41" i="12"/>
  <c r="KE41" i="12" s="1"/>
  <c r="IZ41" i="12"/>
  <c r="KH41" i="12" s="1"/>
  <c r="JR41" i="12"/>
  <c r="KZ41" i="12" s="1"/>
  <c r="GJ41" i="12"/>
  <c r="HR41" i="12" s="1"/>
  <c r="GT41" i="12"/>
  <c r="IB41" i="12" s="1"/>
  <c r="GD41" i="12"/>
  <c r="HL41" i="12" s="1"/>
  <c r="GF41" i="12"/>
  <c r="HN41" i="12" s="1"/>
  <c r="JM41" i="12"/>
  <c r="KU41" i="12" s="1"/>
  <c r="IQ41" i="12"/>
  <c r="JY41" i="12" s="1"/>
  <c r="JA41" i="12"/>
  <c r="KI41" i="12" s="1"/>
  <c r="GR41" i="12"/>
  <c r="HZ41" i="12" s="1"/>
  <c r="FY41" i="12"/>
  <c r="HG41" i="12" s="1"/>
  <c r="GX41" i="12"/>
  <c r="IF41" i="12" s="1"/>
  <c r="GG41" i="12"/>
  <c r="HO41" i="12" s="1"/>
  <c r="JS41" i="12"/>
  <c r="LA41" i="12" s="1"/>
  <c r="JH41" i="12"/>
  <c r="KP41" i="12" s="1"/>
  <c r="IY41" i="12"/>
  <c r="KG41" i="12" s="1"/>
  <c r="IS41" i="12"/>
  <c r="KA41" i="12" s="1"/>
  <c r="GZ41" i="12"/>
  <c r="IH41" i="12" s="1"/>
  <c r="GI41" i="12"/>
  <c r="HQ41" i="12" s="1"/>
  <c r="GA41" i="12"/>
  <c r="HI41" i="12" s="1"/>
  <c r="GY41" i="12"/>
  <c r="IG41" i="12" s="1"/>
  <c r="JI41" i="12"/>
  <c r="KQ41" i="12" s="1"/>
  <c r="GN41" i="12"/>
  <c r="HV41" i="12" s="1"/>
  <c r="JQ41" i="12"/>
  <c r="KY41" i="12" s="1"/>
  <c r="GE41" i="12"/>
  <c r="HM41" i="12" s="1"/>
  <c r="GB41" i="12"/>
  <c r="HJ41" i="12" s="1"/>
  <c r="JK41" i="12"/>
  <c r="KS41" i="12" s="1"/>
  <c r="GS41" i="12"/>
  <c r="IA41" i="12" s="1"/>
  <c r="JE41" i="12"/>
  <c r="KM41" i="12" s="1"/>
  <c r="IP41" i="12"/>
  <c r="JX41" i="12" s="1"/>
  <c r="JG41" i="12"/>
  <c r="KO41" i="12" s="1"/>
  <c r="IT41" i="12"/>
  <c r="KB41" i="12" s="1"/>
  <c r="GC41" i="12"/>
  <c r="HK41" i="12" s="1"/>
  <c r="GU41" i="12"/>
  <c r="IC41" i="12" s="1"/>
  <c r="GM41" i="12"/>
  <c r="HU41" i="12" s="1"/>
  <c r="GQ41" i="12"/>
  <c r="HY41" i="12" s="1"/>
  <c r="JP41" i="12"/>
  <c r="KX41" i="12" s="1"/>
  <c r="IX41" i="12"/>
  <c r="KF41" i="12" s="1"/>
  <c r="JO41" i="12"/>
  <c r="KW41" i="12" s="1"/>
  <c r="JB41" i="12"/>
  <c r="KJ41" i="12" s="1"/>
  <c r="GK41" i="12"/>
  <c r="HS41" i="12" s="1"/>
  <c r="GL41" i="12"/>
  <c r="HT41" i="12" s="1"/>
  <c r="GW41" i="12"/>
  <c r="IE41" i="12" s="1"/>
  <c r="GP41" i="12"/>
  <c r="HX41" i="12" s="1"/>
  <c r="BC42" i="12"/>
  <c r="HB41" i="12"/>
  <c r="IJ41" i="12" s="1"/>
  <c r="FX41" i="12"/>
  <c r="IU41" i="12"/>
  <c r="KC41" i="12" s="1"/>
  <c r="GH41" i="12"/>
  <c r="HP41" i="12" s="1"/>
  <c r="IR41" i="12"/>
  <c r="JZ41" i="12" s="1"/>
  <c r="IV41" i="12"/>
  <c r="KD41" i="12" s="1"/>
  <c r="JF41" i="12"/>
  <c r="KN41" i="12" s="1"/>
  <c r="FZ41" i="12"/>
  <c r="HH41" i="12" s="1"/>
  <c r="JJ41" i="12"/>
  <c r="KR41" i="12" s="1"/>
  <c r="GV41" i="12"/>
  <c r="ID41" i="12" s="1"/>
  <c r="IO41" i="12"/>
  <c r="JD41" i="12"/>
  <c r="KL41" i="12" s="1"/>
  <c r="JN41" i="12"/>
  <c r="KV41" i="12" s="1"/>
  <c r="HA41" i="12"/>
  <c r="II41" i="12" s="1"/>
  <c r="JL41" i="12"/>
  <c r="KT41" i="12" s="1"/>
  <c r="GO41" i="12"/>
  <c r="HW41" i="12" s="1"/>
  <c r="BI41" i="12" l="1"/>
  <c r="BK41" i="12" s="1"/>
  <c r="BD41" i="12" s="1"/>
  <c r="BH41" i="12" s="1"/>
  <c r="BM41" i="12"/>
  <c r="CQ42" i="12"/>
  <c r="HF41" i="12"/>
  <c r="FN42" i="12" s="1"/>
  <c r="FW41" i="12"/>
  <c r="EM42" i="12"/>
  <c r="DD42" i="12"/>
  <c r="JW41" i="12"/>
  <c r="FO42" i="12" s="1"/>
  <c r="AW40" i="12" s="1"/>
  <c r="AZ40" i="12" s="1"/>
  <c r="BX42" i="12" s="1"/>
  <c r="IN41" i="12"/>
  <c r="AY41" i="12" l="1"/>
  <c r="BW43" i="12" s="1"/>
  <c r="CA43" i="12" s="1"/>
  <c r="AX41" i="12"/>
  <c r="BY43" i="12" s="1"/>
  <c r="AV40" i="12"/>
  <c r="CB42" i="12" s="1"/>
  <c r="FS42" i="12"/>
  <c r="BB41" i="12" l="1"/>
  <c r="BF41" i="12" s="1"/>
  <c r="BV43" i="12"/>
  <c r="BZ43" i="12" s="1"/>
  <c r="EK41" i="12"/>
  <c r="BA41" i="12"/>
  <c r="BE41" i="12" s="1"/>
  <c r="BG41" i="12"/>
  <c r="CD42" i="12"/>
  <c r="CP42" i="12" s="1"/>
  <c r="CR42" i="12" s="1"/>
  <c r="CS42" i="12" s="1"/>
  <c r="DB42" i="12" l="1"/>
  <c r="CJ42" i="12"/>
  <c r="CZ42" i="12" s="1"/>
  <c r="CM42" i="12" l="1"/>
  <c r="CL42" i="12"/>
  <c r="FB42" i="12" s="1"/>
  <c r="CK42" i="12"/>
  <c r="ES42" i="12" s="1"/>
  <c r="CY42" i="12"/>
  <c r="B33" i="19" s="1"/>
  <c r="DA42" i="12"/>
  <c r="AM42" i="12" l="1"/>
  <c r="FC42" i="12" s="1"/>
  <c r="FD42" i="12" s="1"/>
  <c r="FE42" i="12" s="1"/>
  <c r="AL42" i="12"/>
  <c r="ET42" i="12" s="1"/>
  <c r="B65" i="19"/>
  <c r="DF42" i="12"/>
  <c r="EL42" i="12" s="1"/>
  <c r="EU42" i="12" l="1"/>
  <c r="EV42" i="12" s="1"/>
  <c r="EW43" i="12" s="1"/>
  <c r="EX44" i="12" s="1"/>
  <c r="AK42" i="12"/>
  <c r="AP42" i="12" s="1"/>
  <c r="B132" i="19" s="1"/>
  <c r="FI42" i="12"/>
  <c r="AJ42" i="12" s="1"/>
  <c r="FF43" i="12"/>
  <c r="FG44" i="12" s="1"/>
  <c r="AR42" i="12" l="1"/>
  <c r="B99" i="19" s="1"/>
  <c r="B198" i="19"/>
  <c r="EZ42" i="12"/>
  <c r="AI42" i="12" s="1"/>
  <c r="AH42" i="12" s="1"/>
  <c r="AO42" i="12" l="1"/>
  <c r="AQ42" i="12"/>
  <c r="CC43" i="12" l="1"/>
  <c r="CG43" i="12"/>
  <c r="CH43" i="12"/>
  <c r="CF43" i="12"/>
  <c r="JO42" i="12"/>
  <c r="KW42" i="12" s="1"/>
  <c r="IZ42" i="12"/>
  <c r="KH42" i="12" s="1"/>
  <c r="JQ42" i="12"/>
  <c r="KY42" i="12" s="1"/>
  <c r="JC42" i="12"/>
  <c r="KK42" i="12" s="1"/>
  <c r="GM42" i="12"/>
  <c r="HU42" i="12" s="1"/>
  <c r="GB42" i="12"/>
  <c r="HJ42" i="12" s="1"/>
  <c r="GY42" i="12"/>
  <c r="IG42" i="12" s="1"/>
  <c r="GQ42" i="12"/>
  <c r="HY42" i="12" s="1"/>
  <c r="GU42" i="12"/>
  <c r="IC42" i="12" s="1"/>
  <c r="HA42" i="12"/>
  <c r="II42" i="12" s="1"/>
  <c r="IO42" i="12"/>
  <c r="JP42" i="12"/>
  <c r="KX42" i="12" s="1"/>
  <c r="FX42" i="12"/>
  <c r="GF42" i="12"/>
  <c r="HN42" i="12" s="1"/>
  <c r="GJ42" i="12"/>
  <c r="HR42" i="12" s="1"/>
  <c r="JJ42" i="12"/>
  <c r="KR42" i="12" s="1"/>
  <c r="GN42" i="12"/>
  <c r="HV42" i="12" s="1"/>
  <c r="JM42" i="12"/>
  <c r="KU42" i="12" s="1"/>
  <c r="JS42" i="12"/>
  <c r="LA42" i="12" s="1"/>
  <c r="GA42" i="12"/>
  <c r="HI42" i="12" s="1"/>
  <c r="JR42" i="12"/>
  <c r="KZ42" i="12" s="1"/>
  <c r="HB42" i="12"/>
  <c r="IJ42" i="12" s="1"/>
  <c r="GC42" i="12"/>
  <c r="HK42" i="12" s="1"/>
  <c r="JG42" i="12"/>
  <c r="KO42" i="12" s="1"/>
  <c r="GW42" i="12"/>
  <c r="IE42" i="12" s="1"/>
  <c r="IP42" i="12"/>
  <c r="JX42" i="12" s="1"/>
  <c r="JH42" i="12"/>
  <c r="KP42" i="12" s="1"/>
  <c r="IT42" i="12"/>
  <c r="KB42" i="12" s="1"/>
  <c r="GX42" i="12"/>
  <c r="IF42" i="12" s="1"/>
  <c r="IX42" i="12"/>
  <c r="KF42" i="12" s="1"/>
  <c r="JK42" i="12"/>
  <c r="KS42" i="12" s="1"/>
  <c r="FZ42" i="12"/>
  <c r="HH42" i="12" s="1"/>
  <c r="GI42" i="12"/>
  <c r="HQ42" i="12" s="1"/>
  <c r="IW42" i="12"/>
  <c r="KE42" i="12" s="1"/>
  <c r="JF42" i="12"/>
  <c r="KN42" i="12" s="1"/>
  <c r="JB42" i="12"/>
  <c r="KJ42" i="12" s="1"/>
  <c r="JD42" i="12"/>
  <c r="KL42" i="12" s="1"/>
  <c r="GD42" i="12"/>
  <c r="HL42" i="12" s="1"/>
  <c r="GZ42" i="12"/>
  <c r="IH42" i="12" s="1"/>
  <c r="GS42" i="12"/>
  <c r="IA42" i="12" s="1"/>
  <c r="JE42" i="12"/>
  <c r="KM42" i="12" s="1"/>
  <c r="JN42" i="12"/>
  <c r="KV42" i="12" s="1"/>
  <c r="JL42" i="12"/>
  <c r="KT42" i="12" s="1"/>
  <c r="GV42" i="12"/>
  <c r="ID42" i="12" s="1"/>
  <c r="GR42" i="12"/>
  <c r="HZ42" i="12" s="1"/>
  <c r="JA42" i="12"/>
  <c r="KI42" i="12" s="1"/>
  <c r="GE42" i="12"/>
  <c r="HM42" i="12" s="1"/>
  <c r="GH42" i="12"/>
  <c r="HP42" i="12" s="1"/>
  <c r="GL42" i="12"/>
  <c r="HT42" i="12" s="1"/>
  <c r="FY42" i="12"/>
  <c r="HG42" i="12" s="1"/>
  <c r="IY42" i="12"/>
  <c r="KG42" i="12" s="1"/>
  <c r="IS42" i="12"/>
  <c r="KA42" i="12" s="1"/>
  <c r="GT42" i="12"/>
  <c r="IB42" i="12" s="1"/>
  <c r="GP42" i="12"/>
  <c r="HX42" i="12" s="1"/>
  <c r="IQ42" i="12"/>
  <c r="JY42" i="12" s="1"/>
  <c r="IU42" i="12"/>
  <c r="KC42" i="12" s="1"/>
  <c r="GG42" i="12"/>
  <c r="HO42" i="12" s="1"/>
  <c r="IR42" i="12"/>
  <c r="JZ42" i="12" s="1"/>
  <c r="GO42" i="12"/>
  <c r="HW42" i="12" s="1"/>
  <c r="JI42" i="12"/>
  <c r="KQ42" i="12" s="1"/>
  <c r="GK42" i="12"/>
  <c r="HS42" i="12" s="1"/>
  <c r="IV42" i="12"/>
  <c r="KD42" i="12" s="1"/>
  <c r="BI42" i="12"/>
  <c r="BK42" i="12" s="1"/>
  <c r="BD42" i="12" s="1"/>
  <c r="BM42" i="12"/>
  <c r="FL43" i="12"/>
  <c r="FR43" i="12" s="1"/>
  <c r="CQ43" i="12" l="1"/>
  <c r="AY42" i="12"/>
  <c r="BH42" i="12"/>
  <c r="AX42" i="12"/>
  <c r="JW42" i="12"/>
  <c r="FO43" i="12" s="1"/>
  <c r="AW41" i="12" s="1"/>
  <c r="AZ41" i="12" s="1"/>
  <c r="BX43" i="12" s="1"/>
  <c r="IN42" i="12"/>
  <c r="HF42" i="12"/>
  <c r="FN43" i="12" s="1"/>
  <c r="FW42" i="12"/>
  <c r="AV41" i="12" l="1"/>
  <c r="CB43" i="12" s="1"/>
  <c r="FS43" i="12"/>
  <c r="BA42" i="12"/>
  <c r="EK42" i="12"/>
  <c r="BY44" i="12"/>
  <c r="BV44" i="12"/>
  <c r="BZ44" i="12" s="1"/>
  <c r="BW44" i="12"/>
  <c r="CA44" i="12" s="1"/>
  <c r="BB42" i="12"/>
  <c r="BF42" i="12" s="1"/>
  <c r="BE42" i="12" l="1"/>
  <c r="BG42" i="12"/>
  <c r="CD43" i="12"/>
  <c r="CP43" i="12" s="1"/>
  <c r="CR43" i="12" s="1"/>
  <c r="CS43" i="12" s="1"/>
  <c r="CJ43" i="12" l="1"/>
  <c r="CM43" i="12" s="1"/>
  <c r="CK43" i="12" l="1"/>
  <c r="ES43" i="12" s="1"/>
  <c r="CL43" i="12"/>
  <c r="CZ43" i="12"/>
  <c r="CY43" i="12" s="1"/>
  <c r="B34" i="19" s="1"/>
  <c r="AL43" i="12" l="1"/>
  <c r="ET43" i="12" s="1"/>
  <c r="EU43" i="12" s="1"/>
  <c r="EV43" i="12" s="1"/>
  <c r="AM43" i="12"/>
  <c r="FC43" i="12" s="1"/>
  <c r="FB43" i="12"/>
  <c r="DA43" i="12"/>
  <c r="B66" i="19" s="1"/>
  <c r="FD43" i="12" l="1"/>
  <c r="FE43" i="12" s="1"/>
  <c r="FI43" i="12" s="1"/>
  <c r="AJ43" i="12" s="1"/>
  <c r="DO51" i="12"/>
  <c r="B201" i="19" s="1"/>
  <c r="AK43" i="12"/>
  <c r="AR43" i="12" s="1"/>
  <c r="B100" i="19" s="1"/>
  <c r="EZ43" i="12"/>
  <c r="AI43" i="12" s="1"/>
  <c r="EW44" i="12"/>
  <c r="FF44" i="12" l="1"/>
  <c r="B199" i="19"/>
  <c r="AP43" i="12"/>
  <c r="B133" i="19" s="1"/>
  <c r="AH43" i="12"/>
  <c r="DO52" i="12" l="1"/>
  <c r="B202" i="19" s="1"/>
  <c r="AQ43" i="12"/>
  <c r="AO43" i="12"/>
  <c r="FL44" i="12" s="1"/>
  <c r="FR44" i="12" s="1"/>
  <c r="DO53" i="12" l="1"/>
  <c r="B203" i="19" s="1"/>
  <c r="CC44" i="12"/>
  <c r="CG44" i="12"/>
  <c r="CH44" i="12"/>
  <c r="CF44" i="12"/>
  <c r="JI43" i="12"/>
  <c r="KQ43" i="12" s="1"/>
  <c r="IT43" i="12"/>
  <c r="KB43" i="12" s="1"/>
  <c r="JS43" i="12"/>
  <c r="LA43" i="12" s="1"/>
  <c r="IX43" i="12"/>
  <c r="KF43" i="12" s="1"/>
  <c r="GO43" i="12"/>
  <c r="HW43" i="12" s="1"/>
  <c r="GP43" i="12"/>
  <c r="HX43" i="12" s="1"/>
  <c r="HA43" i="12"/>
  <c r="II43" i="12" s="1"/>
  <c r="GK43" i="12"/>
  <c r="HS43" i="12" s="1"/>
  <c r="GB43" i="12"/>
  <c r="HJ43" i="12" s="1"/>
  <c r="FZ43" i="12"/>
  <c r="HH43" i="12" s="1"/>
  <c r="JH43" i="12"/>
  <c r="KP43" i="12" s="1"/>
  <c r="GF43" i="12"/>
  <c r="HN43" i="12" s="1"/>
  <c r="GZ43" i="12"/>
  <c r="IH43" i="12" s="1"/>
  <c r="GA43" i="12"/>
  <c r="HI43" i="12" s="1"/>
  <c r="GV43" i="12"/>
  <c r="ID43" i="12" s="1"/>
  <c r="HB43" i="12"/>
  <c r="IJ43" i="12" s="1"/>
  <c r="JC43" i="12"/>
  <c r="KK43" i="12" s="1"/>
  <c r="GJ43" i="12"/>
  <c r="HR43" i="12" s="1"/>
  <c r="IW43" i="12"/>
  <c r="KE43" i="12" s="1"/>
  <c r="GQ43" i="12"/>
  <c r="HY43" i="12" s="1"/>
  <c r="IR43" i="12"/>
  <c r="JZ43" i="12" s="1"/>
  <c r="JB43" i="12"/>
  <c r="KJ43" i="12" s="1"/>
  <c r="IV43" i="12"/>
  <c r="KD43" i="12" s="1"/>
  <c r="GW43" i="12"/>
  <c r="IE43" i="12" s="1"/>
  <c r="GR43" i="12"/>
  <c r="HZ43" i="12" s="1"/>
  <c r="GU43" i="12"/>
  <c r="IC43" i="12" s="1"/>
  <c r="JP43" i="12"/>
  <c r="KX43" i="12" s="1"/>
  <c r="GX43" i="12"/>
  <c r="IF43" i="12" s="1"/>
  <c r="JQ43" i="12"/>
  <c r="KY43" i="12" s="1"/>
  <c r="JL43" i="12"/>
  <c r="KT43" i="12" s="1"/>
  <c r="GY43" i="12"/>
  <c r="IG43" i="12" s="1"/>
  <c r="IO43" i="12"/>
  <c r="IZ43" i="12"/>
  <c r="KH43" i="12" s="1"/>
  <c r="JJ43" i="12"/>
  <c r="KR43" i="12" s="1"/>
  <c r="JM43" i="12"/>
  <c r="KU43" i="12" s="1"/>
  <c r="FX43" i="12"/>
  <c r="GD43" i="12"/>
  <c r="HL43" i="12" s="1"/>
  <c r="JR43" i="12"/>
  <c r="KZ43" i="12" s="1"/>
  <c r="JN43" i="12"/>
  <c r="KV43" i="12" s="1"/>
  <c r="GL43" i="12"/>
  <c r="HT43" i="12" s="1"/>
  <c r="GT43" i="12"/>
  <c r="IB43" i="12" s="1"/>
  <c r="JD43" i="12"/>
  <c r="KL43" i="12" s="1"/>
  <c r="IP43" i="12"/>
  <c r="JX43" i="12" s="1"/>
  <c r="GN43" i="12"/>
  <c r="HV43" i="12" s="1"/>
  <c r="GH43" i="12"/>
  <c r="HP43" i="12" s="1"/>
  <c r="JE43" i="12"/>
  <c r="KM43" i="12" s="1"/>
  <c r="GI43" i="12"/>
  <c r="HQ43" i="12" s="1"/>
  <c r="JF43" i="12"/>
  <c r="KN43" i="12" s="1"/>
  <c r="GE43" i="12"/>
  <c r="HM43" i="12" s="1"/>
  <c r="JK43" i="12"/>
  <c r="KS43" i="12" s="1"/>
  <c r="GS43" i="12"/>
  <c r="IA43" i="12" s="1"/>
  <c r="IQ43" i="12"/>
  <c r="JY43" i="12" s="1"/>
  <c r="IY43" i="12"/>
  <c r="KG43" i="12" s="1"/>
  <c r="JG43" i="12"/>
  <c r="KO43" i="12" s="1"/>
  <c r="IS43" i="12"/>
  <c r="KA43" i="12" s="1"/>
  <c r="IU43" i="12"/>
  <c r="KC43" i="12" s="1"/>
  <c r="GC43" i="12"/>
  <c r="HK43" i="12" s="1"/>
  <c r="FY43" i="12"/>
  <c r="HG43" i="12" s="1"/>
  <c r="JA43" i="12"/>
  <c r="KI43" i="12" s="1"/>
  <c r="JO43" i="12"/>
  <c r="KW43" i="12" s="1"/>
  <c r="GM43" i="12"/>
  <c r="HU43" i="12" s="1"/>
  <c r="GG43" i="12"/>
  <c r="HO43" i="12" s="1"/>
  <c r="CQ44" i="12" l="1"/>
  <c r="CH46" i="12"/>
  <c r="HF43" i="12"/>
  <c r="FN44" i="12" s="1"/>
  <c r="FW43" i="12"/>
  <c r="JW43" i="12"/>
  <c r="FO44" i="12" s="1"/>
  <c r="AW42" i="12" s="1"/>
  <c r="AZ42" i="12" s="1"/>
  <c r="BX44" i="12" s="1"/>
  <c r="IN43" i="12"/>
  <c r="FS44" i="12" l="1"/>
  <c r="AV42" i="12"/>
  <c r="CB44" i="12" s="1"/>
  <c r="CC46" i="12" l="1"/>
  <c r="CI46" i="12" s="1"/>
  <c r="CD44" i="12"/>
  <c r="CP44" i="12" s="1"/>
  <c r="CR44" i="12" s="1"/>
  <c r="CS44" i="12" s="1"/>
  <c r="CJ44" i="12" l="1"/>
  <c r="CM44" i="12" s="1"/>
  <c r="CZ44" i="12" l="1"/>
  <c r="CY44" i="12" s="1"/>
  <c r="CL44" i="12"/>
  <c r="CK44" i="12"/>
  <c r="ES44" i="12" s="1"/>
  <c r="DA44" i="12" l="1"/>
  <c r="B67" i="19" s="1"/>
  <c r="AL44" i="12"/>
  <c r="ET44" i="12" s="1"/>
  <c r="EU44" i="12" s="1"/>
  <c r="EV44" i="12" s="1"/>
  <c r="EZ44" i="12" s="1"/>
  <c r="AI44" i="12" s="1"/>
  <c r="AM44" i="12"/>
  <c r="FC44" i="12" s="1"/>
  <c r="FB44" i="12"/>
  <c r="AK44" i="12" l="1"/>
  <c r="AR44" i="12" s="1"/>
  <c r="FD44" i="12"/>
  <c r="FE44" i="12" s="1"/>
  <c r="FI44" i="12" s="1"/>
  <c r="AJ44" i="12" s="1"/>
  <c r="AH44" i="12" s="1"/>
  <c r="AP44" i="12" l="1"/>
  <c r="AQ44" i="12"/>
  <c r="AO44" i="12"/>
  <c r="IO44" i="12" l="1"/>
  <c r="IP44" i="12"/>
  <c r="JX44" i="12" s="1"/>
  <c r="JD44" i="12"/>
  <c r="KL44" i="12" s="1"/>
  <c r="IQ44" i="12"/>
  <c r="JY44" i="12" s="1"/>
  <c r="FX44" i="12"/>
  <c r="GY44" i="12"/>
  <c r="IG44" i="12" s="1"/>
  <c r="HB44" i="12"/>
  <c r="IJ44" i="12" s="1"/>
  <c r="GM44" i="12"/>
  <c r="HU44" i="12" s="1"/>
  <c r="JH44" i="12"/>
  <c r="KP44" i="12" s="1"/>
  <c r="GD44" i="12"/>
  <c r="HL44" i="12" s="1"/>
  <c r="GJ44" i="12"/>
  <c r="HR44" i="12" s="1"/>
  <c r="JB44" i="12"/>
  <c r="KJ44" i="12" s="1"/>
  <c r="JP44" i="12"/>
  <c r="KX44" i="12" s="1"/>
  <c r="GH44" i="12"/>
  <c r="HP44" i="12" s="1"/>
  <c r="GR44" i="12"/>
  <c r="HZ44" i="12" s="1"/>
  <c r="GP44" i="12"/>
  <c r="HX44" i="12" s="1"/>
  <c r="GZ44" i="12"/>
  <c r="IH44" i="12" s="1"/>
  <c r="GC44" i="12"/>
  <c r="HK44" i="12" s="1"/>
  <c r="GG44" i="12"/>
  <c r="HO44" i="12" s="1"/>
  <c r="JC44" i="12"/>
  <c r="KK44" i="12" s="1"/>
  <c r="JF44" i="12"/>
  <c r="KN44" i="12" s="1"/>
  <c r="HA44" i="12"/>
  <c r="II44" i="12" s="1"/>
  <c r="JS44" i="12"/>
  <c r="LA44" i="12" s="1"/>
  <c r="IS44" i="12"/>
  <c r="KA44" i="12" s="1"/>
  <c r="IT44" i="12"/>
  <c r="KB44" i="12" s="1"/>
  <c r="JL44" i="12"/>
  <c r="KT44" i="12" s="1"/>
  <c r="FZ44" i="12"/>
  <c r="HH44" i="12" s="1"/>
  <c r="FY44" i="12"/>
  <c r="HG44" i="12" s="1"/>
  <c r="IX44" i="12"/>
  <c r="KF44" i="12" s="1"/>
  <c r="GN44" i="12"/>
  <c r="HV44" i="12" s="1"/>
  <c r="GB44" i="12"/>
  <c r="HJ44" i="12" s="1"/>
  <c r="IR44" i="12"/>
  <c r="JZ44" i="12" s="1"/>
  <c r="GT44" i="12"/>
  <c r="IB44" i="12" s="1"/>
  <c r="GX44" i="12"/>
  <c r="IF44" i="12" s="1"/>
  <c r="GK44" i="12"/>
  <c r="HS44" i="12" s="1"/>
  <c r="IY44" i="12"/>
  <c r="KG44" i="12" s="1"/>
  <c r="GS44" i="12"/>
  <c r="IA44" i="12" s="1"/>
  <c r="JN44" i="12"/>
  <c r="KV44" i="12" s="1"/>
  <c r="GV44" i="12"/>
  <c r="ID44" i="12" s="1"/>
  <c r="JA44" i="12"/>
  <c r="KI44" i="12" s="1"/>
  <c r="IV44" i="12"/>
  <c r="KD44" i="12" s="1"/>
  <c r="GW44" i="12"/>
  <c r="IE44" i="12" s="1"/>
  <c r="JI44" i="12"/>
  <c r="KQ44" i="12" s="1"/>
  <c r="JJ44" i="12"/>
  <c r="KR44" i="12" s="1"/>
  <c r="IW44" i="12"/>
  <c r="KE44" i="12" s="1"/>
  <c r="JQ44" i="12"/>
  <c r="KY44" i="12" s="1"/>
  <c r="JR44" i="12"/>
  <c r="KZ44" i="12" s="1"/>
  <c r="JE44" i="12"/>
  <c r="KM44" i="12" s="1"/>
  <c r="IZ44" i="12"/>
  <c r="KH44" i="12" s="1"/>
  <c r="GE44" i="12"/>
  <c r="HM44" i="12" s="1"/>
  <c r="GA44" i="12"/>
  <c r="HI44" i="12" s="1"/>
  <c r="GL44" i="12"/>
  <c r="HT44" i="12" s="1"/>
  <c r="JK44" i="12"/>
  <c r="KS44" i="12" s="1"/>
  <c r="JO44" i="12"/>
  <c r="KW44" i="12" s="1"/>
  <c r="GF44" i="12"/>
  <c r="HN44" i="12" s="1"/>
  <c r="IU44" i="12"/>
  <c r="KC44" i="12" s="1"/>
  <c r="JM44" i="12"/>
  <c r="KU44" i="12" s="1"/>
  <c r="GO44" i="12"/>
  <c r="HW44" i="12" s="1"/>
  <c r="JG44" i="12"/>
  <c r="KO44" i="12" s="1"/>
  <c r="GU44" i="12"/>
  <c r="IC44" i="12" s="1"/>
  <c r="GQ44" i="12"/>
  <c r="HY44" i="12" s="1"/>
  <c r="GI44" i="12"/>
  <c r="HQ44" i="12" s="1"/>
  <c r="HF44" i="12" l="1"/>
  <c r="FW44" i="12"/>
  <c r="JW44" i="12"/>
  <c r="IN44" i="12"/>
</calcChain>
</file>

<file path=xl/sharedStrings.xml><?xml version="1.0" encoding="utf-8"?>
<sst xmlns="http://schemas.openxmlformats.org/spreadsheetml/2006/main" count="626" uniqueCount="335">
  <si>
    <t>Payroll</t>
  </si>
  <si>
    <t>AVA</t>
  </si>
  <si>
    <t>MVA</t>
  </si>
  <si>
    <t>UAL</t>
  </si>
  <si>
    <t>Accrued</t>
  </si>
  <si>
    <t>Funded</t>
  </si>
  <si>
    <t xml:space="preserve">Total </t>
  </si>
  <si>
    <t>Add'l Contrib</t>
  </si>
  <si>
    <t>Total</t>
  </si>
  <si>
    <t>Periods</t>
  </si>
  <si>
    <t>Amortization</t>
  </si>
  <si>
    <t>Date</t>
  </si>
  <si>
    <t>Liability</t>
  </si>
  <si>
    <t>ROA</t>
  </si>
  <si>
    <t>Contribution</t>
  </si>
  <si>
    <t>Inflow</t>
  </si>
  <si>
    <t>Infl Adj</t>
  </si>
  <si>
    <t>Remaining</t>
  </si>
  <si>
    <t>Factor</t>
  </si>
  <si>
    <t>Discount rate</t>
  </si>
  <si>
    <t>Employer normal cost</t>
  </si>
  <si>
    <t>Subtotal</t>
  </si>
  <si>
    <t>Employee Contributions</t>
  </si>
  <si>
    <t>Solvency</t>
  </si>
  <si>
    <t>&lt;- Not used</t>
  </si>
  <si>
    <t>&lt;- 1/2 year</t>
  </si>
  <si>
    <t>Cash Flows by Source (middle of year)</t>
  </si>
  <si>
    <t>Amo</t>
  </si>
  <si>
    <t>Policy</t>
  </si>
  <si>
    <t>Funding Policy</t>
  </si>
  <si>
    <t>Assumptions</t>
  </si>
  <si>
    <t>Assets, Liabilities, Normal Costs</t>
  </si>
  <si>
    <t>Ratio - AVA</t>
  </si>
  <si>
    <t>Ratio - MVA</t>
  </si>
  <si>
    <t>Open</t>
  </si>
  <si>
    <t>Closed</t>
  </si>
  <si>
    <t>Total DB</t>
  </si>
  <si>
    <t>DB</t>
  </si>
  <si>
    <t>DC Plan</t>
  </si>
  <si>
    <t>Plan for New Hires</t>
  </si>
  <si>
    <t>DC Contribution (as % of Pay)</t>
  </si>
  <si>
    <t>Ratio for DC Vesting</t>
  </si>
  <si>
    <t>Costs</t>
  </si>
  <si>
    <t>DC Employer</t>
  </si>
  <si>
    <t>Employer DC contribution</t>
  </si>
  <si>
    <t>Total employer DB + DC</t>
  </si>
  <si>
    <t>Hybrid</t>
  </si>
  <si>
    <t>Payroll-%</t>
  </si>
  <si>
    <t>Admin</t>
  </si>
  <si>
    <t>Baseline</t>
  </si>
  <si>
    <t>Current DB</t>
  </si>
  <si>
    <t>Employee Cont</t>
  </si>
  <si>
    <t>Yes</t>
  </si>
  <si>
    <t>No</t>
  </si>
  <si>
    <t>% of Pay</t>
  </si>
  <si>
    <t>DC Forfeitures</t>
  </si>
  <si>
    <t>Contribute DC Forfeitures into DB Plan</t>
  </si>
  <si>
    <t>Fixed Data points
(values in blue)</t>
  </si>
  <si>
    <t>AVA FR</t>
  </si>
  <si>
    <t>BP</t>
  </si>
  <si>
    <t>New Hire</t>
  </si>
  <si>
    <t>COLA</t>
  </si>
  <si>
    <t>DC</t>
  </si>
  <si>
    <t>UAL-AVA</t>
  </si>
  <si>
    <t>Existing Ees</t>
  </si>
  <si>
    <t>New Hires</t>
  </si>
  <si>
    <t>Employer NC</t>
  </si>
  <si>
    <t>Employer</t>
  </si>
  <si>
    <t>Forfeitures</t>
  </si>
  <si>
    <t>Plan Design</t>
  </si>
  <si>
    <t>Refunds</t>
  </si>
  <si>
    <t>Period</t>
  </si>
  <si>
    <t>Fresh Start</t>
  </si>
  <si>
    <t>Layered Bases</t>
  </si>
  <si>
    <t>Employer Amo</t>
  </si>
  <si>
    <t>Timing of BP (from EOY)</t>
  </si>
  <si>
    <t>Excess</t>
  </si>
  <si>
    <t>New hire</t>
  </si>
  <si>
    <t>All plan</t>
  </si>
  <si>
    <t>Reset Bases to Zero Funding Threshold</t>
  </si>
  <si>
    <t>Solvency Contribution</t>
  </si>
  <si>
    <t>(Gains)/Loss</t>
  </si>
  <si>
    <t>EOY Liability</t>
  </si>
  <si>
    <t>EOY Asset</t>
  </si>
  <si>
    <t>Liability interest rate sensitivity</t>
  </si>
  <si>
    <t>Normal cost interest rate sensitivity - Current DB Plan</t>
  </si>
  <si>
    <t>Normal cost interest rate sensitivity - New Entrants</t>
  </si>
  <si>
    <t>Multiplier</t>
  </si>
  <si>
    <t>Multiplier for New Hire Plan</t>
  </si>
  <si>
    <t>COLA for New Hire Plan</t>
  </si>
  <si>
    <t>NC%</t>
  </si>
  <si>
    <t>Tier II</t>
  </si>
  <si>
    <t>Tier III</t>
  </si>
  <si>
    <t>Tier IV</t>
  </si>
  <si>
    <t>Old Tier</t>
  </si>
  <si>
    <t>New Tier</t>
  </si>
  <si>
    <t>Projected</t>
  </si>
  <si>
    <t>Projected Payroll Ratio</t>
  </si>
  <si>
    <t>Tier II Gross Normal Cost (pre-7/1/2012 hires)</t>
  </si>
  <si>
    <t>Tier III Gross Normal Cost (post-7/1/2012 hires)</t>
  </si>
  <si>
    <t>MOY NC</t>
  </si>
  <si>
    <t>Exp Rtn</t>
  </si>
  <si>
    <t>on CF</t>
  </si>
  <si>
    <t>/(Shortfall)</t>
  </si>
  <si>
    <t>Pymnt</t>
  </si>
  <si>
    <t>Years</t>
  </si>
  <si>
    <t>Reh Ret</t>
  </si>
  <si>
    <t>RehRet</t>
  </si>
  <si>
    <t>EE</t>
  </si>
  <si>
    <t>Contribution Rate Development</t>
  </si>
  <si>
    <t>Cont-Post</t>
  </si>
  <si>
    <t>Threshold for contribution floor</t>
  </si>
  <si>
    <t>Tier II, III</t>
  </si>
  <si>
    <t xml:space="preserve">Change in </t>
  </si>
  <si>
    <t>Terminal underfunding (MVA Basis) at FYE 2046</t>
  </si>
  <si>
    <t>Fiscal Yr Ending</t>
  </si>
  <si>
    <t>NPL</t>
  </si>
  <si>
    <t>TPL</t>
  </si>
  <si>
    <t>Report date</t>
  </si>
  <si>
    <t>page 32</t>
  </si>
  <si>
    <t>Years of Service</t>
  </si>
  <si>
    <t>Normal Costs</t>
  </si>
  <si>
    <t>Y</t>
  </si>
  <si>
    <t>X</t>
  </si>
  <si>
    <t>DOH</t>
  </si>
  <si>
    <t>Post-7/1/2012</t>
  </si>
  <si>
    <t>Pre-7/1/2012</t>
  </si>
  <si>
    <t>Class II</t>
  </si>
  <si>
    <t>Class III</t>
  </si>
  <si>
    <t>Count</t>
  </si>
  <si>
    <t>Value</t>
  </si>
  <si>
    <t>Avg Sal</t>
  </si>
  <si>
    <t>Percent</t>
  </si>
  <si>
    <t>page 33</t>
  </si>
  <si>
    <t>Solve for two variables</t>
  </si>
  <si>
    <t>make about 0%</t>
  </si>
  <si>
    <t>&lt;-- Less credibility since under 1 yos info is a bit skewed</t>
  </si>
  <si>
    <t>0%/0$</t>
  </si>
  <si>
    <t>0.5%/$250</t>
  </si>
  <si>
    <t>1.0%/$500</t>
  </si>
  <si>
    <t>1.5%/$750</t>
  </si>
  <si>
    <t>2.0%/$1,000</t>
  </si>
  <si>
    <t>Min of percent / dollars</t>
  </si>
  <si>
    <t>COLA Efficacy</t>
  </si>
  <si>
    <t>2.5%/$1,250</t>
  </si>
  <si>
    <t xml:space="preserve">Implied </t>
  </si>
  <si>
    <t>Funding Period</t>
  </si>
  <si>
    <t>page 31</t>
  </si>
  <si>
    <t>Duration</t>
  </si>
  <si>
    <t>Convexity</t>
  </si>
  <si>
    <t>NC Duration 7.50%:</t>
  </si>
  <si>
    <t>Maximum employee contribution rate</t>
  </si>
  <si>
    <t>Actual Rtn</t>
  </si>
  <si>
    <t>on MVA</t>
  </si>
  <si>
    <t>Current</t>
  </si>
  <si>
    <t>Year</t>
  </si>
  <si>
    <t>Year - 1</t>
  </si>
  <si>
    <t>Year - 2</t>
  </si>
  <si>
    <t>Year - 3</t>
  </si>
  <si>
    <t>Deferral</t>
  </si>
  <si>
    <t>Minimum Amortization Period Override (FY 2018)</t>
  </si>
  <si>
    <t>Minimum Amortization Period Override (FY 2028)</t>
  </si>
  <si>
    <t>ER</t>
  </si>
  <si>
    <t xml:space="preserve">Maximum </t>
  </si>
  <si>
    <t>Cont - Pre</t>
  </si>
  <si>
    <t>Funding Period - Pre</t>
  </si>
  <si>
    <t>Implied</t>
  </si>
  <si>
    <t>Funding Per - Post</t>
  </si>
  <si>
    <t>Contributions for Rehired Retirees</t>
  </si>
  <si>
    <t>Projected UAL at 6/30/18 (AVA)</t>
  </si>
  <si>
    <t>Present Value of Contributions as of July 1, 2017 $millions (FY2017-2046)</t>
  </si>
  <si>
    <t>Statutory</t>
  </si>
  <si>
    <t xml:space="preserve">Maximum annual adjustment to contributions </t>
  </si>
  <si>
    <t>Payroll (FYE of the "Date - 1")</t>
  </si>
  <si>
    <t>If DC Plan - ERC on Total or DB Payroll?</t>
  </si>
  <si>
    <t>ORP</t>
  </si>
  <si>
    <t>TERI</t>
  </si>
  <si>
    <t>South Carolina Retirement System (SCRS) $ millions</t>
  </si>
  <si>
    <t>Delete later</t>
  </si>
  <si>
    <t>Need to fix</t>
  </si>
  <si>
    <t>Fixed</t>
  </si>
  <si>
    <t>Of Interest</t>
  </si>
  <si>
    <t>South Carolina Retirement System (SCRS)
Inflation Adjusted Contributions by Fiscal Year</t>
  </si>
  <si>
    <t>ORP Offset</t>
  </si>
  <si>
    <t>&lt;-- looks wrong, will use 1</t>
  </si>
  <si>
    <t>COLA Increase</t>
  </si>
  <si>
    <t>New Benefit Payment Percent</t>
  </si>
  <si>
    <t>Benefit Payment Turnover</t>
  </si>
  <si>
    <t>Annual Slowdown</t>
  </si>
  <si>
    <t>Additional Slowdown</t>
  </si>
  <si>
    <t>Year of Additional Slowdown</t>
  </si>
  <si>
    <t>7.50% &lt; 2017, 7.25% for 2017 and beyond</t>
  </si>
  <si>
    <t xml:space="preserve">AAL </t>
  </si>
  <si>
    <t>MOY NC (NHs)</t>
  </si>
  <si>
    <t>Reg</t>
  </si>
  <si>
    <t>FY 2017</t>
  </si>
  <si>
    <t>Other Groups</t>
  </si>
  <si>
    <t>Addt'l</t>
  </si>
  <si>
    <t>n.a.</t>
  </si>
  <si>
    <t>=Z</t>
  </si>
  <si>
    <t>Inf Adj</t>
  </si>
  <si>
    <t>Gr NC+Adm</t>
  </si>
  <si>
    <t>Administrative Expense</t>
  </si>
  <si>
    <t>Benefit Payment Trend</t>
  </si>
  <si>
    <t>MOY NC (Cur EE)</t>
  </si>
  <si>
    <t>Regular Contr Holiday Funded Ratio Threshold (100% or more)</t>
  </si>
  <si>
    <t>Plan</t>
  </si>
  <si>
    <t>New Hire Plan</t>
  </si>
  <si>
    <t>Choice</t>
  </si>
  <si>
    <t>% Electing DC</t>
  </si>
  <si>
    <t>Payroll Growth Rate (through 2023)</t>
  </si>
  <si>
    <t>Payroll Growth Rate (2024+)</t>
  </si>
  <si>
    <t>=BJ</t>
  </si>
  <si>
    <t>T2,T3,T4</t>
  </si>
  <si>
    <t>Employer Amo.</t>
  </si>
  <si>
    <t>Employer ORP</t>
  </si>
  <si>
    <t>CHECK</t>
  </si>
  <si>
    <t>ER Amo. Payments</t>
  </si>
  <si>
    <t>ER NC</t>
  </si>
  <si>
    <t>ER DC</t>
  </si>
  <si>
    <t>ER ORP (DB)</t>
  </si>
  <si>
    <t>Baselin</t>
  </si>
  <si>
    <t>Baseline (Live)</t>
  </si>
  <si>
    <t>(Statutory)</t>
  </si>
  <si>
    <t xml:space="preserve"> (ADEC)</t>
  </si>
  <si>
    <t>(Live)</t>
  </si>
  <si>
    <t>Returns1</t>
  </si>
  <si>
    <t>Returns2</t>
  </si>
  <si>
    <t>Returns3</t>
  </si>
  <si>
    <t>One Year</t>
  </si>
  <si>
    <t>Phase-Out</t>
  </si>
  <si>
    <t>Duration - 7.25%</t>
  </si>
  <si>
    <t>Crisis</t>
  </si>
  <si>
    <t>AAL Current</t>
  </si>
  <si>
    <t>AAL New</t>
  </si>
  <si>
    <t>Base DR</t>
  </si>
  <si>
    <t>Current Hires</t>
  </si>
  <si>
    <t>New DR</t>
  </si>
  <si>
    <t>AAL</t>
  </si>
  <si>
    <t>Employee Amo</t>
  </si>
  <si>
    <t>Employee NC</t>
  </si>
  <si>
    <t>Tier IV Gross Normal Cost (post-7/1/2021 hires)</t>
  </si>
  <si>
    <t>All-plan BP</t>
  </si>
  <si>
    <t>BP-%</t>
  </si>
  <si>
    <t>BP $</t>
  </si>
  <si>
    <t>ORP - Current</t>
  </si>
  <si>
    <t>All New Hires</t>
  </si>
  <si>
    <t>ORP (New Hires)</t>
  </si>
  <si>
    <t>DB (New Hires)</t>
  </si>
  <si>
    <t>DC % (Legacy Hires)</t>
  </si>
  <si>
    <t>DC % (New Hires)</t>
  </si>
  <si>
    <t>DB (Legacy Hires - exc Reh)</t>
  </si>
  <si>
    <t>Total Payroll (inclusive - exc Reh)</t>
  </si>
  <si>
    <t>All Current Hires</t>
  </si>
  <si>
    <t>Original Discount Rate (Current Hires)</t>
  </si>
  <si>
    <t>Discount rate - Valuation year 2021+ (Current Hires)</t>
  </si>
  <si>
    <t>Original Discount Rate (New Hires)</t>
  </si>
  <si>
    <t>Discount rate - Valuation year 2021+ (New Hires)</t>
  </si>
  <si>
    <t>Refunds-%</t>
  </si>
  <si>
    <t>Refunds $</t>
  </si>
  <si>
    <t>All-plan Refunds</t>
  </si>
  <si>
    <t>FNP</t>
  </si>
  <si>
    <t>UAL-MVA</t>
  </si>
  <si>
    <t>Current hires</t>
  </si>
  <si>
    <t>Normal Cost</t>
  </si>
  <si>
    <t>Amo Rate - ADC</t>
  </si>
  <si>
    <t>UAAL Layers - Current Hires</t>
  </si>
  <si>
    <t>Amortization Payments - Current Hires</t>
  </si>
  <si>
    <t>UAAL Layers - New Hires</t>
  </si>
  <si>
    <t>Amortization Payments - New Hires</t>
  </si>
  <si>
    <t>Amo period (Current Hires)</t>
  </si>
  <si>
    <t>Amo period (New Hires)</t>
  </si>
  <si>
    <t>Amo Payments</t>
  </si>
  <si>
    <t>EE NC</t>
  </si>
  <si>
    <t>EE Amo Rate</t>
  </si>
  <si>
    <t>Cost sharing - Current Hires (Amo)</t>
  </si>
  <si>
    <t>Cost sharing - Current Hires (NC)</t>
  </si>
  <si>
    <t>ER Amo</t>
  </si>
  <si>
    <t>Statutory - ORP</t>
  </si>
  <si>
    <t>Statutory - Rehire</t>
  </si>
  <si>
    <t>Statutory - New Hires DB</t>
  </si>
  <si>
    <t>Statutory - Current Hires DB</t>
  </si>
  <si>
    <t>ORP - New Hires</t>
  </si>
  <si>
    <t>Assumption</t>
  </si>
  <si>
    <t>Model</t>
  </si>
  <si>
    <t>Recurring Crisis</t>
  </si>
  <si>
    <t>Volatility</t>
  </si>
  <si>
    <t>Actual return on assets (FY 2021 and beyond)</t>
  </si>
  <si>
    <t>Deterministic Scenario</t>
  </si>
  <si>
    <t>Val Year</t>
  </si>
  <si>
    <t>SCRS CAFR FYE 2020</t>
  </si>
  <si>
    <t>Annuity</t>
  </si>
  <si>
    <t>Blended DR</t>
  </si>
  <si>
    <t>Total, 2021$</t>
  </si>
  <si>
    <t>Cont Rate</t>
  </si>
  <si>
    <t>Assumed Inflation (for 2021 real dollar cont)</t>
  </si>
  <si>
    <t>Total ER Cont (inf adj)</t>
  </si>
  <si>
    <t>Ending UAL - 2050 (inf adj)</t>
  </si>
  <si>
    <t>All-in ER Cost</t>
  </si>
  <si>
    <t>LIVE</t>
  </si>
  <si>
    <t>ER Contribution Rates</t>
  </si>
  <si>
    <t>ER Contribution $ (inf adj)</t>
  </si>
  <si>
    <t>Funded Ratio (MVA)</t>
  </si>
  <si>
    <t>Unfunded Liability (MVA) - inf adj</t>
  </si>
  <si>
    <t>AAL (inf adj)</t>
  </si>
  <si>
    <t>MVA (adj)</t>
  </si>
  <si>
    <t>Total ER Cont (2021-2050)</t>
  </si>
  <si>
    <t>Ending UAL (MVA - 2050)</t>
  </si>
  <si>
    <t>All-in ER Cost (2021-2050)</t>
  </si>
  <si>
    <t>7.25% Constant Return</t>
  </si>
  <si>
    <t>Status Quo</t>
  </si>
  <si>
    <t>Two Recessions with 6% in between</t>
  </si>
  <si>
    <t>Trigger ADEC funding for Statutory Rate after Full Funding</t>
  </si>
  <si>
    <t>Otherwise --&gt; ADEC</t>
  </si>
  <si>
    <t>If Statutory AND No Trigger---&gt; Statutory Rate</t>
  </si>
  <si>
    <t>If Statutory AND Yes Trigger AND FR &lt; 100% --&gt; Statutory Rate</t>
  </si>
  <si>
    <t>OR</t>
  </si>
  <si>
    <t>Reform Parameters:</t>
  </si>
  <si>
    <t>- New hires default to DC (assuming 75% to DC and 25% to DB)</t>
  </si>
  <si>
    <t xml:space="preserve">- Funding policy switched to ADC </t>
  </si>
  <si>
    <t>- Amo period for current hire DB: 20 years; Amo period for new hire DB: 10 years</t>
  </si>
  <si>
    <t>Amortization Base Increase Rate (Current Hires)</t>
  </si>
  <si>
    <t>Amortization Base Increase Rate (New Hires)</t>
  </si>
  <si>
    <t>- Level dolalr amortization for new hire UAL</t>
  </si>
  <si>
    <t>- 50-50 Cost sharing for new hires (NC + Amo)</t>
  </si>
  <si>
    <t>- Reduce the DR to 6% for new hires</t>
  </si>
  <si>
    <t>Status Quo + Switch to ADC at Full Funding</t>
  </si>
  <si>
    <t>Fresh Start or Layered Bases (New Hires)</t>
  </si>
  <si>
    <t xml:space="preserve">Fresh Start or Layered Bases (Current Hires) </t>
  </si>
  <si>
    <t>ADC - New Hires</t>
  </si>
  <si>
    <t>Statutory - New Hires</t>
  </si>
  <si>
    <t>DC Default</t>
  </si>
  <si>
    <t>ORP Offset using DB NC</t>
  </si>
  <si>
    <t>Reform + Better Funding</t>
  </si>
  <si>
    <t>Reform + Switch to ADC at Full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</si>
</sst>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_);_(* \(#,##0.0000\);_(* &quot;-&quot;??_);_(@_)"/>
    <numFmt numFmtId="167" formatCode="#,##0.0_);\(#,##0.0\)"/>
    <numFmt numFmtId="168" formatCode="_(* #,##0.000_);_(* \(#,##0.000\);_(* &quot;-&quot;??_);_(@_)"/>
    <numFmt numFmtId="169" formatCode="_(* #,##0.0_);_(* \(#,##0.0\);_(* &quot;-&quot;??_);_(@_)"/>
    <numFmt numFmtId="170" formatCode="0.0000000000"/>
    <numFmt numFmtId="171" formatCode="#,##0.000000_);\(#,##0.000000\)"/>
    <numFmt numFmtId="172" formatCode="_(* #,##0.00000_);_(* \(#,##0.00000\);_(* &quot;-&quot;??_);_(@_)"/>
    <numFmt numFmtId="173" formatCode="_(* #,##0.0000_);_(* \(#,##0.0000\);_(* &quot;-&quot;????_);_(@_)"/>
    <numFmt numFmtId="174" formatCode="_-* #,##0_-;\-* #,##0_-;_-* &quot;-&quot;??_-;_-@_-"/>
    <numFmt numFmtId="175" formatCode="0.00000000"/>
    <numFmt numFmtId="176" formatCode="_(* #,##0.000000_);_(* \(#,##0.000000\);_(* &quot;-&quot;??_);_(@_)"/>
    <numFmt numFmtId="177" formatCode="0.000"/>
    <numFmt numFmtId="178" formatCode="0.00000000000000000%"/>
    <numFmt numFmtId="179" formatCode="0.000000000000000%"/>
    <numFmt numFmtId="180" formatCode="0.000%"/>
    <numFmt numFmtId="181" formatCode="0.0000000000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7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rgb="FFFF0000"/>
      </top>
      <bottom style="dotted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448">
    <xf numFmtId="0" fontId="0" fillId="0" borderId="0" xfId="0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37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Border="1"/>
    <xf numFmtId="37" fontId="5" fillId="0" borderId="0" xfId="0" applyNumberFormat="1" applyFont="1" applyFill="1" applyBorder="1" applyAlignment="1">
      <alignment horizontal="left"/>
    </xf>
    <xf numFmtId="0" fontId="8" fillId="0" borderId="0" xfId="0" applyFont="1" applyFill="1" applyBorder="1"/>
    <xf numFmtId="43" fontId="0" fillId="0" borderId="0" xfId="1" applyFont="1" applyFill="1"/>
    <xf numFmtId="0" fontId="6" fillId="0" borderId="0" xfId="0" applyFont="1" applyFill="1"/>
    <xf numFmtId="0" fontId="0" fillId="0" borderId="0" xfId="0" applyBorder="1"/>
    <xf numFmtId="37" fontId="7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0" fontId="5" fillId="0" borderId="0" xfId="0" applyFont="1" applyFill="1"/>
    <xf numFmtId="164" fontId="3" fillId="0" borderId="0" xfId="1" applyNumberFormat="1" applyFont="1" applyFill="1" applyBorder="1"/>
    <xf numFmtId="14" fontId="0" fillId="0" borderId="0" xfId="0" applyNumberFormat="1" applyFill="1" applyBorder="1"/>
    <xf numFmtId="0" fontId="5" fillId="0" borderId="0" xfId="0" applyFont="1" applyFill="1" applyBorder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14" fontId="11" fillId="0" borderId="0" xfId="0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0" applyFont="1" applyFill="1"/>
    <xf numFmtId="164" fontId="11" fillId="0" borderId="0" xfId="1" applyNumberFormat="1" applyFont="1" applyFill="1" applyAlignment="1">
      <alignment horizontal="center"/>
    </xf>
    <xf numFmtId="0" fontId="13" fillId="0" borderId="0" xfId="0" applyFont="1"/>
    <xf numFmtId="167" fontId="14" fillId="0" borderId="0" xfId="0" applyNumberFormat="1" applyFont="1" applyFill="1" applyAlignment="1">
      <alignment horizontal="center"/>
    </xf>
    <xf numFmtId="167" fontId="11" fillId="0" borderId="0" xfId="0" applyNumberFormat="1" applyFont="1" applyFill="1" applyAlignment="1">
      <alignment horizontal="center"/>
    </xf>
    <xf numFmtId="167" fontId="11" fillId="0" borderId="0" xfId="0" applyNumberFormat="1" applyFont="1" applyFill="1" applyAlignment="1">
      <alignment horizontal="left"/>
    </xf>
    <xf numFmtId="0" fontId="13" fillId="0" borderId="0" xfId="0" applyFont="1" applyFill="1" applyBorder="1"/>
    <xf numFmtId="0" fontId="17" fillId="0" borderId="0" xfId="0" applyFont="1" applyFill="1"/>
    <xf numFmtId="164" fontId="17" fillId="0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0" fontId="0" fillId="0" borderId="0" xfId="0"/>
    <xf numFmtId="0" fontId="0" fillId="0" borderId="0" xfId="0" applyFill="1"/>
    <xf numFmtId="37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0" fillId="0" borderId="0" xfId="0" applyFill="1" applyBorder="1"/>
    <xf numFmtId="37" fontId="2" fillId="0" borderId="0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6" fontId="13" fillId="0" borderId="14" xfId="1" applyNumberFormat="1" applyFont="1" applyFill="1" applyBorder="1"/>
    <xf numFmtId="166" fontId="13" fillId="0" borderId="1" xfId="1" applyNumberFormat="1" applyFont="1" applyFill="1" applyBorder="1"/>
    <xf numFmtId="169" fontId="11" fillId="0" borderId="0" xfId="1" applyNumberFormat="1" applyFont="1" applyFill="1" applyAlignment="1">
      <alignment horizontal="center"/>
    </xf>
    <xf numFmtId="164" fontId="23" fillId="0" borderId="0" xfId="1" applyNumberFormat="1" applyFont="1" applyFill="1" applyBorder="1" applyAlignment="1">
      <alignment horizontal="center"/>
    </xf>
    <xf numFmtId="0" fontId="13" fillId="0" borderId="14" xfId="0" applyFont="1" applyFill="1" applyBorder="1"/>
    <xf numFmtId="0" fontId="13" fillId="0" borderId="11" xfId="0" applyFont="1" applyFill="1" applyBorder="1"/>
    <xf numFmtId="0" fontId="13" fillId="0" borderId="6" xfId="0" applyFont="1" applyFill="1" applyBorder="1"/>
    <xf numFmtId="167" fontId="11" fillId="0" borderId="14" xfId="0" applyNumberFormat="1" applyFont="1" applyFill="1" applyBorder="1" applyAlignment="1">
      <alignment horizontal="left"/>
    </xf>
    <xf numFmtId="170" fontId="5" fillId="0" borderId="0" xfId="0" quotePrefix="1" applyNumberFormat="1" applyFont="1" applyFill="1" applyBorder="1" applyAlignment="1"/>
    <xf numFmtId="0" fontId="0" fillId="0" borderId="0" xfId="0" applyFont="1" applyFill="1" applyBorder="1"/>
    <xf numFmtId="166" fontId="11" fillId="0" borderId="0" xfId="1" applyNumberFormat="1" applyFont="1" applyFill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/>
    </xf>
    <xf numFmtId="0" fontId="15" fillId="0" borderId="0" xfId="0" applyFont="1" applyFill="1" applyBorder="1"/>
    <xf numFmtId="166" fontId="13" fillId="0" borderId="0" xfId="1" applyNumberFormat="1" applyFont="1" applyFill="1"/>
    <xf numFmtId="0" fontId="13" fillId="0" borderId="0" xfId="0" quotePrefix="1" applyFont="1" applyFill="1"/>
    <xf numFmtId="166" fontId="13" fillId="0" borderId="8" xfId="1" applyNumberFormat="1" applyFont="1" applyFill="1" applyBorder="1"/>
    <xf numFmtId="166" fontId="13" fillId="0" borderId="10" xfId="1" applyNumberFormat="1" applyFont="1" applyFill="1" applyBorder="1"/>
    <xf numFmtId="168" fontId="11" fillId="0" borderId="0" xfId="1" applyNumberFormat="1" applyFont="1" applyFill="1" applyBorder="1" applyAlignment="1">
      <alignment horizontal="center"/>
    </xf>
    <xf numFmtId="168" fontId="6" fillId="0" borderId="11" xfId="1" applyNumberFormat="1" applyFont="1" applyFill="1" applyBorder="1" applyAlignment="1">
      <alignment horizontal="center"/>
    </xf>
    <xf numFmtId="0" fontId="13" fillId="0" borderId="9" xfId="0" applyFont="1" applyFill="1" applyBorder="1"/>
    <xf numFmtId="0" fontId="6" fillId="0" borderId="15" xfId="0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4" fontId="16" fillId="0" borderId="0" xfId="1" applyNumberFormat="1" applyFont="1" applyFill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7" fontId="25" fillId="0" borderId="2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wrapText="1"/>
    </xf>
    <xf numFmtId="0" fontId="24" fillId="0" borderId="2" xfId="0" applyFont="1" applyFill="1" applyBorder="1"/>
    <xf numFmtId="0" fontId="13" fillId="0" borderId="3" xfId="0" applyFont="1" applyFill="1" applyBorder="1"/>
    <xf numFmtId="0" fontId="24" fillId="0" borderId="8" xfId="0" applyFont="1" applyFill="1" applyBorder="1"/>
    <xf numFmtId="0" fontId="18" fillId="0" borderId="3" xfId="0" applyFont="1" applyFill="1" applyBorder="1" applyAlignment="1"/>
    <xf numFmtId="0" fontId="18" fillId="0" borderId="4" xfId="0" applyFont="1" applyFill="1" applyBorder="1" applyAlignment="1"/>
    <xf numFmtId="167" fontId="20" fillId="0" borderId="14" xfId="0" applyNumberFormat="1" applyFont="1" applyFill="1" applyBorder="1" applyAlignment="1">
      <alignment horizontal="left" indent="1"/>
    </xf>
    <xf numFmtId="10" fontId="18" fillId="0" borderId="0" xfId="0" applyNumberFormat="1" applyFont="1" applyFill="1" applyBorder="1"/>
    <xf numFmtId="10" fontId="18" fillId="0" borderId="1" xfId="0" applyNumberFormat="1" applyFont="1" applyFill="1" applyBorder="1"/>
    <xf numFmtId="167" fontId="11" fillId="0" borderId="14" xfId="0" applyNumberFormat="1" applyFont="1" applyFill="1" applyBorder="1" applyAlignment="1">
      <alignment horizontal="left" indent="1"/>
    </xf>
    <xf numFmtId="167" fontId="11" fillId="0" borderId="11" xfId="0" applyNumberFormat="1" applyFont="1" applyFill="1" applyBorder="1" applyAlignment="1">
      <alignment horizontal="left" indent="1"/>
    </xf>
    <xf numFmtId="167" fontId="11" fillId="0" borderId="2" xfId="0" applyNumberFormat="1" applyFont="1" applyFill="1" applyBorder="1" applyAlignment="1">
      <alignment horizontal="left" indent="1"/>
    </xf>
    <xf numFmtId="168" fontId="0" fillId="0" borderId="0" xfId="0" applyNumberFormat="1" applyFill="1" applyBorder="1"/>
    <xf numFmtId="168" fontId="0" fillId="0" borderId="0" xfId="0" applyNumberFormat="1" applyFill="1"/>
    <xf numFmtId="171" fontId="5" fillId="0" borderId="0" xfId="0" applyNumberFormat="1" applyFont="1" applyFill="1" applyAlignment="1">
      <alignment horizontal="center"/>
    </xf>
    <xf numFmtId="37" fontId="19" fillId="0" borderId="0" xfId="0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9" fontId="11" fillId="0" borderId="0" xfId="1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37" fontId="13" fillId="0" borderId="6" xfId="0" applyNumberFormat="1" applyFont="1" applyFill="1" applyBorder="1" applyAlignment="1"/>
    <xf numFmtId="164" fontId="11" fillId="0" borderId="14" xfId="1" applyNumberFormat="1" applyFont="1" applyFill="1" applyBorder="1" applyAlignment="1">
      <alignment horizontal="center"/>
    </xf>
    <xf numFmtId="164" fontId="11" fillId="0" borderId="11" xfId="1" applyNumberFormat="1" applyFont="1" applyFill="1" applyBorder="1" applyAlignment="1">
      <alignment horizontal="center"/>
    </xf>
    <xf numFmtId="9" fontId="11" fillId="0" borderId="0" xfId="2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right" indent="1"/>
    </xf>
    <xf numFmtId="164" fontId="13" fillId="0" borderId="0" xfId="1" applyNumberFormat="1" applyFont="1" applyFill="1" applyBorder="1"/>
    <xf numFmtId="168" fontId="6" fillId="0" borderId="6" xfId="1" applyNumberFormat="1" applyFont="1" applyFill="1" applyBorder="1" applyAlignment="1">
      <alignment horizontal="center"/>
    </xf>
    <xf numFmtId="0" fontId="13" fillId="0" borderId="0" xfId="0" quotePrefix="1" applyFont="1" applyFill="1" applyBorder="1"/>
    <xf numFmtId="169" fontId="23" fillId="0" borderId="0" xfId="1" applyNumberFormat="1" applyFont="1" applyFill="1" applyBorder="1" applyAlignment="1">
      <alignment horizontal="center"/>
    </xf>
    <xf numFmtId="10" fontId="13" fillId="0" borderId="0" xfId="2" applyNumberFormat="1" applyFont="1" applyFill="1"/>
    <xf numFmtId="9" fontId="13" fillId="0" borderId="0" xfId="2" applyFont="1" applyFill="1" applyBorder="1"/>
    <xf numFmtId="9" fontId="13" fillId="0" borderId="6" xfId="2" applyFont="1" applyFill="1" applyBorder="1"/>
    <xf numFmtId="164" fontId="11" fillId="0" borderId="15" xfId="1" applyNumberFormat="1" applyFont="1" applyFill="1" applyBorder="1" applyAlignment="1">
      <alignment horizontal="center"/>
    </xf>
    <xf numFmtId="0" fontId="0" fillId="0" borderId="6" xfId="0" applyFill="1" applyBorder="1"/>
    <xf numFmtId="164" fontId="11" fillId="0" borderId="6" xfId="1" applyNumberFormat="1" applyFont="1" applyFill="1" applyBorder="1" applyAlignment="1">
      <alignment horizontal="center"/>
    </xf>
    <xf numFmtId="169" fontId="16" fillId="0" borderId="9" xfId="1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center"/>
    </xf>
    <xf numFmtId="164" fontId="11" fillId="0" borderId="7" xfId="1" applyNumberFormat="1" applyFont="1" applyFill="1" applyBorder="1" applyAlignment="1">
      <alignment horizontal="center"/>
    </xf>
    <xf numFmtId="168" fontId="11" fillId="0" borderId="5" xfId="1" applyNumberFormat="1" applyFont="1" applyFill="1" applyBorder="1" applyAlignment="1">
      <alignment horizontal="center"/>
    </xf>
    <xf numFmtId="10" fontId="0" fillId="0" borderId="0" xfId="2" applyNumberFormat="1" applyFont="1" applyFill="1"/>
    <xf numFmtId="10" fontId="11" fillId="0" borderId="0" xfId="2" applyNumberFormat="1" applyFont="1" applyFill="1" applyBorder="1" applyAlignment="1">
      <alignment horizontal="center"/>
    </xf>
    <xf numFmtId="172" fontId="0" fillId="0" borderId="0" xfId="0" applyNumberFormat="1" applyFill="1"/>
    <xf numFmtId="0" fontId="8" fillId="0" borderId="13" xfId="0" applyFont="1" applyFill="1" applyBorder="1" applyAlignment="1">
      <alignment horizontal="center" wrapText="1"/>
    </xf>
    <xf numFmtId="43" fontId="0" fillId="0" borderId="0" xfId="0" applyNumberFormat="1" applyFill="1" applyBorder="1" applyAlignment="1">
      <alignment horizontal="center"/>
    </xf>
    <xf numFmtId="164" fontId="11" fillId="0" borderId="10" xfId="1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left" wrapText="1"/>
    </xf>
    <xf numFmtId="166" fontId="13" fillId="0" borderId="2" xfId="1" applyNumberFormat="1" applyFont="1" applyFill="1" applyBorder="1"/>
    <xf numFmtId="166" fontId="13" fillId="0" borderId="13" xfId="1" applyNumberFormat="1" applyFont="1" applyFill="1" applyBorder="1"/>
    <xf numFmtId="173" fontId="13" fillId="0" borderId="0" xfId="0" applyNumberFormat="1" applyFont="1" applyFill="1"/>
    <xf numFmtId="0" fontId="6" fillId="0" borderId="8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3" fontId="5" fillId="0" borderId="0" xfId="1" applyFont="1" applyFill="1" applyBorder="1" applyAlignment="1"/>
    <xf numFmtId="0" fontId="6" fillId="0" borderId="0" xfId="0" applyFont="1" applyFill="1" applyBorder="1" applyAlignment="1"/>
    <xf numFmtId="43" fontId="8" fillId="0" borderId="0" xfId="1" applyNumberFormat="1" applyFont="1" applyFill="1" applyBorder="1" applyAlignment="1">
      <alignment horizontal="center"/>
    </xf>
    <xf numFmtId="43" fontId="6" fillId="0" borderId="0" xfId="0" applyNumberFormat="1" applyFont="1" applyFill="1"/>
    <xf numFmtId="168" fontId="13" fillId="0" borderId="0" xfId="1" applyNumberFormat="1" applyFont="1" applyFill="1" applyBorder="1" applyAlignment="1">
      <alignment horizontal="center"/>
    </xf>
    <xf numFmtId="175" fontId="5" fillId="0" borderId="0" xfId="0" applyNumberFormat="1" applyFont="1" applyFill="1" applyBorder="1" applyAlignment="1">
      <alignment horizontal="center"/>
    </xf>
    <xf numFmtId="10" fontId="13" fillId="0" borderId="0" xfId="2" applyNumberFormat="1" applyFont="1" applyFill="1" applyBorder="1"/>
    <xf numFmtId="9" fontId="13" fillId="0" borderId="0" xfId="2" applyFont="1" applyFill="1"/>
    <xf numFmtId="165" fontId="13" fillId="0" borderId="0" xfId="2" applyNumberFormat="1" applyFont="1" applyFill="1"/>
    <xf numFmtId="0" fontId="6" fillId="0" borderId="8" xfId="0" applyFont="1" applyFill="1" applyBorder="1" applyAlignment="1">
      <alignment horizontal="center"/>
    </xf>
    <xf numFmtId="10" fontId="12" fillId="0" borderId="0" xfId="2" applyNumberFormat="1" applyFont="1" applyFill="1" applyBorder="1"/>
    <xf numFmtId="167" fontId="9" fillId="0" borderId="0" xfId="0" applyNumberFormat="1" applyFont="1" applyFill="1" applyAlignment="1">
      <alignment horizontal="center" vertical="center" wrapText="1"/>
    </xf>
    <xf numFmtId="168" fontId="6" fillId="0" borderId="0" xfId="1" applyNumberFormat="1" applyFont="1" applyFill="1" applyBorder="1" applyAlignment="1">
      <alignment horizontal="center"/>
    </xf>
    <xf numFmtId="168" fontId="6" fillId="0" borderId="14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168" fontId="11" fillId="0" borderId="0" xfId="1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43" fontId="0" fillId="0" borderId="0" xfId="1" applyFont="1"/>
    <xf numFmtId="43" fontId="0" fillId="0" borderId="0" xfId="0" applyNumberFormat="1"/>
    <xf numFmtId="166" fontId="0" fillId="0" borderId="0" xfId="1" applyNumberFormat="1" applyFont="1"/>
    <xf numFmtId="10" fontId="0" fillId="0" borderId="0" xfId="0" applyNumberFormat="1"/>
    <xf numFmtId="172" fontId="0" fillId="0" borderId="0" xfId="0" applyNumberFormat="1"/>
    <xf numFmtId="10" fontId="16" fillId="0" borderId="0" xfId="2" applyNumberFormat="1" applyFont="1" applyFill="1"/>
    <xf numFmtId="164" fontId="13" fillId="0" borderId="0" xfId="1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164" fontId="13" fillId="0" borderId="7" xfId="1" applyNumberFormat="1" applyFont="1" applyFill="1" applyBorder="1"/>
    <xf numFmtId="164" fontId="13" fillId="0" borderId="6" xfId="1" applyNumberFormat="1" applyFont="1" applyFill="1" applyBorder="1"/>
    <xf numFmtId="0" fontId="13" fillId="0" borderId="1" xfId="0" applyFont="1" applyFill="1" applyBorder="1"/>
    <xf numFmtId="174" fontId="11" fillId="0" borderId="0" xfId="1" applyNumberFormat="1" applyFont="1" applyFill="1" applyBorder="1" applyAlignment="1">
      <alignment horizontal="center"/>
    </xf>
    <xf numFmtId="164" fontId="16" fillId="0" borderId="15" xfId="1" applyNumberFormat="1" applyFont="1" applyFill="1" applyBorder="1" applyAlignment="1">
      <alignment horizontal="center"/>
    </xf>
    <xf numFmtId="164" fontId="13" fillId="0" borderId="0" xfId="1" applyNumberFormat="1" applyFont="1" applyFill="1"/>
    <xf numFmtId="10" fontId="15" fillId="0" borderId="0" xfId="2" applyNumberFormat="1" applyFont="1" applyFill="1" applyBorder="1"/>
    <xf numFmtId="164" fontId="13" fillId="0" borderId="0" xfId="1" applyNumberFormat="1" applyFont="1" applyFill="1" applyBorder="1" applyAlignment="1"/>
    <xf numFmtId="164" fontId="13" fillId="0" borderId="1" xfId="1" applyNumberFormat="1" applyFont="1" applyFill="1" applyBorder="1" applyAlignment="1"/>
    <xf numFmtId="164" fontId="18" fillId="0" borderId="0" xfId="1" applyNumberFormat="1" applyFont="1" applyFill="1" applyBorder="1" applyAlignment="1"/>
    <xf numFmtId="164" fontId="18" fillId="0" borderId="1" xfId="1" applyNumberFormat="1" applyFont="1" applyFill="1" applyBorder="1" applyAlignment="1"/>
    <xf numFmtId="164" fontId="13" fillId="0" borderId="6" xfId="1" applyNumberFormat="1" applyFont="1" applyFill="1" applyBorder="1" applyAlignment="1"/>
    <xf numFmtId="164" fontId="13" fillId="0" borderId="4" xfId="1" applyNumberFormat="1" applyFont="1" applyFill="1" applyBorder="1"/>
    <xf numFmtId="167" fontId="11" fillId="0" borderId="11" xfId="0" applyNumberFormat="1" applyFont="1" applyFill="1" applyBorder="1" applyAlignment="1">
      <alignment horizontal="left"/>
    </xf>
    <xf numFmtId="10" fontId="0" fillId="0" borderId="0" xfId="0" applyNumberFormat="1" applyFill="1"/>
    <xf numFmtId="165" fontId="13" fillId="0" borderId="0" xfId="0" applyNumberFormat="1" applyFont="1" applyFill="1"/>
    <xf numFmtId="0" fontId="0" fillId="0" borderId="14" xfId="0" applyFill="1" applyBorder="1"/>
    <xf numFmtId="43" fontId="9" fillId="0" borderId="3" xfId="4" applyFont="1" applyFill="1" applyBorder="1" applyAlignment="1">
      <alignment horizontal="left" wrapText="1"/>
    </xf>
    <xf numFmtId="176" fontId="5" fillId="0" borderId="0" xfId="1" applyNumberFormat="1" applyFont="1" applyFill="1" applyBorder="1" applyAlignment="1">
      <alignment horizontal="center"/>
    </xf>
    <xf numFmtId="172" fontId="11" fillId="0" borderId="0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16" fillId="0" borderId="14" xfId="1" applyNumberFormat="1" applyFont="1" applyFill="1" applyBorder="1" applyAlignment="1">
      <alignment horizontal="center"/>
    </xf>
    <xf numFmtId="174" fontId="16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/>
    <xf numFmtId="169" fontId="11" fillId="0" borderId="9" xfId="1" applyNumberFormat="1" applyFont="1" applyFill="1" applyBorder="1" applyAlignment="1">
      <alignment horizontal="center"/>
    </xf>
    <xf numFmtId="164" fontId="11" fillId="0" borderId="9" xfId="1" applyNumberFormat="1" applyFont="1" applyFill="1" applyBorder="1" applyAlignment="1">
      <alignment horizontal="center"/>
    </xf>
    <xf numFmtId="164" fontId="12" fillId="0" borderId="14" xfId="1" applyNumberFormat="1" applyFont="1" applyFill="1" applyBorder="1" applyAlignment="1">
      <alignment horizontal="center"/>
    </xf>
    <xf numFmtId="9" fontId="12" fillId="0" borderId="1" xfId="2" applyFont="1" applyFill="1" applyBorder="1"/>
    <xf numFmtId="174" fontId="13" fillId="0" borderId="0" xfId="1" applyNumberFormat="1" applyFont="1" applyFill="1" applyBorder="1"/>
    <xf numFmtId="177" fontId="13" fillId="0" borderId="0" xfId="0" applyNumberFormat="1" applyFont="1" applyFill="1"/>
    <xf numFmtId="10" fontId="16" fillId="0" borderId="0" xfId="2" applyNumberFormat="1" applyFont="1" applyFill="1" applyBorder="1"/>
    <xf numFmtId="165" fontId="0" fillId="0" borderId="0" xfId="2" applyNumberFormat="1" applyFont="1"/>
    <xf numFmtId="43" fontId="0" fillId="0" borderId="0" xfId="0" applyNumberFormat="1" applyFont="1" applyFill="1" applyBorder="1"/>
    <xf numFmtId="14" fontId="0" fillId="0" borderId="0" xfId="0" applyNumberFormat="1"/>
    <xf numFmtId="10" fontId="2" fillId="0" borderId="0" xfId="2" applyNumberFormat="1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8" fontId="0" fillId="0" borderId="0" xfId="0" applyNumberFormat="1"/>
    <xf numFmtId="0" fontId="0" fillId="0" borderId="0" xfId="0" quotePrefix="1"/>
    <xf numFmtId="10" fontId="7" fillId="0" borderId="0" xfId="2" applyNumberFormat="1" applyFont="1" applyFill="1"/>
    <xf numFmtId="10" fontId="0" fillId="0" borderId="0" xfId="2" applyNumberFormat="1" applyFont="1"/>
    <xf numFmtId="10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5" fillId="0" borderId="3" xfId="0" applyFont="1" applyFill="1" applyBorder="1" applyAlignment="1">
      <alignment horizontal="center" wrapText="1"/>
    </xf>
    <xf numFmtId="10" fontId="13" fillId="0" borderId="0" xfId="0" applyNumberFormat="1" applyFont="1" applyFill="1"/>
    <xf numFmtId="168" fontId="6" fillId="0" borderId="1" xfId="1" applyNumberFormat="1" applyFont="1" applyFill="1" applyBorder="1" applyAlignment="1">
      <alignment horizontal="center"/>
    </xf>
    <xf numFmtId="168" fontId="10" fillId="0" borderId="1" xfId="1" quotePrefix="1" applyNumberFormat="1" applyFont="1" applyFill="1" applyBorder="1" applyAlignment="1">
      <alignment horizontal="center"/>
    </xf>
    <xf numFmtId="166" fontId="11" fillId="0" borderId="0" xfId="1" applyNumberFormat="1" applyFont="1" applyFill="1" applyAlignment="1">
      <alignment horizontal="center"/>
    </xf>
    <xf numFmtId="0" fontId="28" fillId="0" borderId="0" xfId="0" applyFont="1" applyFill="1" applyBorder="1" applyAlignment="1">
      <alignment horizontal="right"/>
    </xf>
    <xf numFmtId="168" fontId="10" fillId="0" borderId="14" xfId="1" quotePrefix="1" applyNumberFormat="1" applyFont="1" applyFill="1" applyBorder="1" applyAlignment="1">
      <alignment horizontal="center"/>
    </xf>
    <xf numFmtId="176" fontId="0" fillId="0" borderId="6" xfId="1" applyNumberFormat="1" applyFont="1" applyBorder="1"/>
    <xf numFmtId="176" fontId="0" fillId="0" borderId="7" xfId="1" applyNumberFormat="1" applyFont="1" applyBorder="1"/>
    <xf numFmtId="176" fontId="0" fillId="0" borderId="0" xfId="1" applyNumberFormat="1" applyFont="1"/>
    <xf numFmtId="176" fontId="0" fillId="0" borderId="9" xfId="1" applyNumberFormat="1" applyFont="1" applyBorder="1"/>
    <xf numFmtId="176" fontId="0" fillId="0" borderId="10" xfId="1" applyNumberFormat="1" applyFont="1" applyBorder="1"/>
    <xf numFmtId="176" fontId="0" fillId="0" borderId="11" xfId="1" applyNumberFormat="1" applyFont="1" applyBorder="1"/>
    <xf numFmtId="179" fontId="0" fillId="0" borderId="0" xfId="2" applyNumberFormat="1" applyFont="1"/>
    <xf numFmtId="180" fontId="2" fillId="0" borderId="0" xfId="2" applyNumberFormat="1" applyFont="1" applyFill="1" applyBorder="1" applyAlignment="1">
      <alignment horizontal="center"/>
    </xf>
    <xf numFmtId="10" fontId="0" fillId="0" borderId="0" xfId="2" applyNumberFormat="1" applyFont="1" applyFill="1" applyBorder="1"/>
    <xf numFmtId="0" fontId="18" fillId="0" borderId="0" xfId="0" applyFont="1" applyFill="1" applyBorder="1" applyAlignment="1">
      <alignment horizontal="center"/>
    </xf>
    <xf numFmtId="43" fontId="13" fillId="0" borderId="0" xfId="1" applyFont="1" applyFill="1" applyBorder="1"/>
    <xf numFmtId="0" fontId="13" fillId="0" borderId="0" xfId="0" applyFont="1" applyFill="1" applyBorder="1" applyAlignment="1"/>
    <xf numFmtId="181" fontId="0" fillId="0" borderId="0" xfId="0" applyNumberFormat="1"/>
    <xf numFmtId="165" fontId="11" fillId="3" borderId="16" xfId="0" applyNumberFormat="1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4" fontId="13" fillId="0" borderId="1" xfId="1" applyNumberFormat="1" applyFont="1" applyFill="1" applyBorder="1"/>
    <xf numFmtId="0" fontId="29" fillId="0" borderId="10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10" fontId="0" fillId="0" borderId="1" xfId="2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11" fillId="4" borderId="0" xfId="1" applyNumberFormat="1" applyFont="1" applyFill="1" applyBorder="1" applyAlignment="1">
      <alignment horizontal="center"/>
    </xf>
    <xf numFmtId="9" fontId="7" fillId="4" borderId="0" xfId="0" applyNumberFormat="1" applyFont="1" applyFill="1"/>
    <xf numFmtId="43" fontId="5" fillId="5" borderId="0" xfId="1" applyFont="1" applyFill="1" applyBorder="1" applyAlignment="1">
      <alignment horizontal="center"/>
    </xf>
    <xf numFmtId="43" fontId="5" fillId="3" borderId="0" xfId="1" applyFont="1" applyFill="1" applyBorder="1" applyAlignment="1">
      <alignment horizontal="center"/>
    </xf>
    <xf numFmtId="43" fontId="5" fillId="6" borderId="0" xfId="1" applyFont="1" applyFill="1" applyBorder="1" applyAlignment="1">
      <alignment horizontal="center"/>
    </xf>
    <xf numFmtId="43" fontId="5" fillId="4" borderId="0" xfId="1" applyFont="1" applyFill="1" applyBorder="1" applyAlignment="1">
      <alignment horizontal="center"/>
    </xf>
    <xf numFmtId="10" fontId="13" fillId="6" borderId="0" xfId="2" applyNumberFormat="1" applyFont="1" applyFill="1"/>
    <xf numFmtId="10" fontId="16" fillId="6" borderId="0" xfId="2" applyNumberFormat="1" applyFont="1" applyFill="1"/>
    <xf numFmtId="0" fontId="13" fillId="0" borderId="4" xfId="0" applyFont="1" applyFill="1" applyBorder="1"/>
    <xf numFmtId="164" fontId="2" fillId="0" borderId="0" xfId="1" applyNumberFormat="1" applyFont="1"/>
    <xf numFmtId="43" fontId="2" fillId="0" borderId="0" xfId="1" applyNumberFormat="1" applyFont="1"/>
    <xf numFmtId="43" fontId="9" fillId="0" borderId="9" xfId="4" applyFont="1" applyFill="1" applyBorder="1" applyAlignment="1">
      <alignment horizontal="left" wrapText="1"/>
    </xf>
    <xf numFmtId="43" fontId="9" fillId="0" borderId="10" xfId="4" applyFont="1" applyFill="1" applyBorder="1" applyAlignment="1">
      <alignment horizontal="left" wrapText="1"/>
    </xf>
    <xf numFmtId="164" fontId="2" fillId="6" borderId="0" xfId="1" applyNumberFormat="1" applyFont="1" applyFill="1"/>
    <xf numFmtId="166" fontId="16" fillId="0" borderId="0" xfId="1" applyNumberFormat="1" applyFont="1" applyFill="1" applyBorder="1" applyAlignment="1">
      <alignment horizontal="center"/>
    </xf>
    <xf numFmtId="180" fontId="6" fillId="0" borderId="0" xfId="2" applyNumberFormat="1" applyFont="1" applyFill="1" applyBorder="1" applyAlignment="1">
      <alignment horizontal="center"/>
    </xf>
    <xf numFmtId="180" fontId="16" fillId="0" borderId="0" xfId="2" applyNumberFormat="1" applyFont="1" applyFill="1" applyBorder="1" applyAlignment="1">
      <alignment horizontal="center"/>
    </xf>
    <xf numFmtId="164" fontId="16" fillId="0" borderId="0" xfId="1" quotePrefix="1" applyNumberFormat="1" applyFont="1" applyFill="1" applyBorder="1" applyAlignment="1">
      <alignment horizontal="center"/>
    </xf>
    <xf numFmtId="43" fontId="11" fillId="0" borderId="0" xfId="1" applyFont="1" applyFill="1" applyBorder="1" applyAlignment="1">
      <alignment horizontal="center"/>
    </xf>
    <xf numFmtId="10" fontId="11" fillId="0" borderId="0" xfId="2" applyNumberFormat="1" applyFont="1" applyFill="1" applyAlignment="1"/>
    <xf numFmtId="10" fontId="12" fillId="0" borderId="0" xfId="2" applyNumberFormat="1" applyFont="1" applyFill="1" applyAlignment="1"/>
    <xf numFmtId="10" fontId="12" fillId="0" borderId="1" xfId="2" applyNumberFormat="1" applyFont="1" applyFill="1" applyBorder="1" applyAlignment="1"/>
    <xf numFmtId="10" fontId="11" fillId="0" borderId="1" xfId="0" applyNumberFormat="1" applyFont="1" applyFill="1" applyBorder="1"/>
    <xf numFmtId="43" fontId="11" fillId="0" borderId="1" xfId="1" applyFont="1" applyFill="1" applyBorder="1"/>
    <xf numFmtId="43" fontId="11" fillId="0" borderId="1" xfId="1" applyNumberFormat="1" applyFont="1" applyFill="1" applyBorder="1"/>
    <xf numFmtId="169" fontId="11" fillId="0" borderId="1" xfId="1" applyNumberFormat="1" applyFont="1" applyFill="1" applyBorder="1"/>
    <xf numFmtId="43" fontId="13" fillId="0" borderId="1" xfId="1" applyFont="1" applyFill="1" applyBorder="1"/>
    <xf numFmtId="10" fontId="11" fillId="0" borderId="7" xfId="0" applyNumberFormat="1" applyFont="1" applyFill="1" applyBorder="1"/>
    <xf numFmtId="9" fontId="12" fillId="0" borderId="0" xfId="2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/>
    </xf>
    <xf numFmtId="9" fontId="12" fillId="0" borderId="1" xfId="0" applyNumberFormat="1" applyFont="1" applyFill="1" applyBorder="1"/>
    <xf numFmtId="9" fontId="11" fillId="0" borderId="0" xfId="2" applyNumberFormat="1" applyFont="1" applyFill="1" applyBorder="1" applyAlignment="1">
      <alignment horizontal="center"/>
    </xf>
    <xf numFmtId="10" fontId="16" fillId="0" borderId="0" xfId="2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0" fontId="16" fillId="0" borderId="14" xfId="0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right"/>
    </xf>
    <xf numFmtId="10" fontId="12" fillId="0" borderId="1" xfId="0" applyNumberFormat="1" applyFont="1" applyFill="1" applyBorder="1"/>
    <xf numFmtId="9" fontId="11" fillId="0" borderId="1" xfId="0" applyNumberFormat="1" applyFont="1" applyFill="1" applyBorder="1"/>
    <xf numFmtId="9" fontId="11" fillId="0" borderId="7" xfId="0" applyNumberFormat="1" applyFont="1" applyFill="1" applyBorder="1"/>
    <xf numFmtId="0" fontId="12" fillId="0" borderId="1" xfId="0" applyFont="1" applyFill="1" applyBorder="1"/>
    <xf numFmtId="10" fontId="12" fillId="0" borderId="1" xfId="2" applyNumberFormat="1" applyFont="1" applyFill="1" applyBorder="1" applyAlignment="1">
      <alignment horizontal="right"/>
    </xf>
    <xf numFmtId="10" fontId="12" fillId="0" borderId="1" xfId="2" applyNumberFormat="1" applyFont="1" applyFill="1" applyBorder="1"/>
    <xf numFmtId="0" fontId="13" fillId="0" borderId="10" xfId="0" applyFont="1" applyFill="1" applyBorder="1"/>
    <xf numFmtId="43" fontId="0" fillId="0" borderId="0" xfId="0" applyNumberFormat="1" applyFill="1"/>
    <xf numFmtId="164" fontId="19" fillId="0" borderId="0" xfId="1" applyNumberFormat="1" applyFont="1" applyFill="1" applyBorder="1" applyAlignment="1">
      <alignment horizontal="center"/>
    </xf>
    <xf numFmtId="10" fontId="0" fillId="0" borderId="0" xfId="0" applyNumberFormat="1" applyFill="1" applyBorder="1"/>
    <xf numFmtId="1" fontId="0" fillId="0" borderId="0" xfId="0" applyNumberFormat="1" applyFill="1" applyBorder="1"/>
    <xf numFmtId="8" fontId="0" fillId="0" borderId="0" xfId="0" applyNumberFormat="1" applyFill="1"/>
    <xf numFmtId="43" fontId="10" fillId="0" borderId="0" xfId="1" applyFont="1" applyFill="1" applyBorder="1"/>
    <xf numFmtId="43" fontId="0" fillId="0" borderId="0" xfId="1" applyFont="1" applyFill="1" applyBorder="1"/>
    <xf numFmtId="0" fontId="18" fillId="0" borderId="9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" fontId="0" fillId="0" borderId="6" xfId="1" applyNumberFormat="1" applyFont="1" applyFill="1" applyBorder="1"/>
    <xf numFmtId="0" fontId="13" fillId="0" borderId="14" xfId="0" applyFont="1" applyBorder="1"/>
    <xf numFmtId="0" fontId="13" fillId="0" borderId="0" xfId="0" applyFont="1" applyBorder="1"/>
    <xf numFmtId="9" fontId="11" fillId="0" borderId="1" xfId="2" applyNumberFormat="1" applyFont="1" applyFill="1" applyBorder="1" applyAlignment="1"/>
    <xf numFmtId="0" fontId="12" fillId="0" borderId="7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right"/>
    </xf>
    <xf numFmtId="10" fontId="12" fillId="7" borderId="1" xfId="2" applyNumberFormat="1" applyFont="1" applyFill="1" applyBorder="1" applyAlignment="1">
      <alignment horizontal="right"/>
    </xf>
    <xf numFmtId="164" fontId="11" fillId="0" borderId="17" xfId="1" applyNumberFormat="1" applyFont="1" applyFill="1" applyBorder="1" applyAlignment="1">
      <alignment horizontal="center"/>
    </xf>
    <xf numFmtId="10" fontId="11" fillId="8" borderId="14" xfId="0" applyNumberFormat="1" applyFont="1" applyFill="1" applyBorder="1" applyAlignment="1">
      <alignment horizontal="center"/>
    </xf>
    <xf numFmtId="10" fontId="11" fillId="8" borderId="0" xfId="2" applyNumberFormat="1" applyFont="1" applyFill="1" applyBorder="1" applyAlignment="1">
      <alignment horizontal="center"/>
    </xf>
    <xf numFmtId="10" fontId="12" fillId="8" borderId="1" xfId="2" applyNumberFormat="1" applyFont="1" applyFill="1" applyBorder="1" applyAlignment="1"/>
    <xf numFmtId="10" fontId="0" fillId="8" borderId="0" xfId="2" applyNumberFormat="1" applyFont="1" applyFill="1" applyBorder="1"/>
    <xf numFmtId="167" fontId="11" fillId="8" borderId="14" xfId="0" applyNumberFormat="1" applyFont="1" applyFill="1" applyBorder="1" applyAlignment="1">
      <alignment horizontal="left"/>
    </xf>
    <xf numFmtId="0" fontId="0" fillId="8" borderId="0" xfId="0" applyFill="1" applyBorder="1"/>
    <xf numFmtId="10" fontId="11" fillId="8" borderId="1" xfId="0" applyNumberFormat="1" applyFont="1" applyFill="1" applyBorder="1"/>
    <xf numFmtId="174" fontId="13" fillId="8" borderId="0" xfId="1" applyNumberFormat="1" applyFont="1" applyFill="1" applyBorder="1" applyAlignment="1">
      <alignment horizontal="center"/>
    </xf>
    <xf numFmtId="164" fontId="11" fillId="8" borderId="0" xfId="1" applyNumberFormat="1" applyFont="1" applyFill="1" applyBorder="1" applyAlignment="1">
      <alignment horizontal="center"/>
    </xf>
    <xf numFmtId="164" fontId="11" fillId="0" borderId="13" xfId="1" applyNumberFormat="1" applyFont="1" applyFill="1" applyBorder="1" applyAlignment="1">
      <alignment horizontal="center"/>
    </xf>
    <xf numFmtId="164" fontId="12" fillId="8" borderId="14" xfId="1" applyNumberFormat="1" applyFont="1" applyFill="1" applyBorder="1" applyAlignment="1">
      <alignment horizontal="center"/>
    </xf>
    <xf numFmtId="164" fontId="12" fillId="8" borderId="11" xfId="1" applyNumberFormat="1" applyFont="1" applyFill="1" applyBorder="1" applyAlignment="1">
      <alignment horizontal="center"/>
    </xf>
    <xf numFmtId="9" fontId="12" fillId="8" borderId="1" xfId="2" applyFont="1" applyFill="1" applyBorder="1"/>
    <xf numFmtId="9" fontId="12" fillId="8" borderId="1" xfId="2" applyNumberFormat="1" applyFont="1" applyFill="1" applyBorder="1"/>
    <xf numFmtId="10" fontId="11" fillId="7" borderId="0" xfId="2" applyNumberFormat="1" applyFont="1" applyFill="1" applyBorder="1" applyAlignment="1">
      <alignment horizontal="center"/>
    </xf>
    <xf numFmtId="164" fontId="11" fillId="7" borderId="0" xfId="1" applyNumberFormat="1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10" fontId="16" fillId="7" borderId="0" xfId="2" applyNumberFormat="1" applyFont="1" applyFill="1" applyBorder="1"/>
    <xf numFmtId="10" fontId="13" fillId="7" borderId="1" xfId="0" applyNumberFormat="1" applyFont="1" applyFill="1" applyBorder="1"/>
    <xf numFmtId="169" fontId="11" fillId="7" borderId="0" xfId="1" applyNumberFormat="1" applyFont="1" applyFill="1" applyBorder="1" applyAlignment="1">
      <alignment horizontal="center"/>
    </xf>
    <xf numFmtId="43" fontId="11" fillId="0" borderId="0" xfId="1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wrapText="1"/>
    </xf>
    <xf numFmtId="0" fontId="6" fillId="9" borderId="9" xfId="0" applyFont="1" applyFill="1" applyBorder="1" applyAlignment="1">
      <alignment horizontal="center"/>
    </xf>
    <xf numFmtId="0" fontId="31" fillId="9" borderId="9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64" fontId="13" fillId="9" borderId="0" xfId="1" applyNumberFormat="1" applyFont="1" applyFill="1"/>
    <xf numFmtId="0" fontId="0" fillId="9" borderId="0" xfId="0" applyFill="1"/>
    <xf numFmtId="9" fontId="13" fillId="0" borderId="1" xfId="2" applyFont="1" applyFill="1" applyBorder="1"/>
    <xf numFmtId="9" fontId="13" fillId="0" borderId="7" xfId="2" applyFont="1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4" xfId="0" applyFill="1" applyBorder="1"/>
    <xf numFmtId="0" fontId="0" fillId="10" borderId="0" xfId="0" applyFill="1"/>
    <xf numFmtId="0" fontId="0" fillId="10" borderId="1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32" fillId="4" borderId="0" xfId="0" applyFont="1" applyFill="1"/>
    <xf numFmtId="0" fontId="13" fillId="10" borderId="14" xfId="0" applyFont="1" applyFill="1" applyBorder="1"/>
    <xf numFmtId="0" fontId="13" fillId="10" borderId="0" xfId="0" applyFont="1" applyFill="1"/>
    <xf numFmtId="0" fontId="13" fillId="10" borderId="1" xfId="0" applyFont="1" applyFill="1" applyBorder="1"/>
    <xf numFmtId="164" fontId="11" fillId="0" borderId="0" xfId="1" applyNumberFormat="1" applyFont="1" applyAlignment="1">
      <alignment horizontal="center"/>
    </xf>
    <xf numFmtId="0" fontId="13" fillId="4" borderId="0" xfId="0" applyFont="1" applyFill="1"/>
    <xf numFmtId="0" fontId="15" fillId="10" borderId="14" xfId="0" applyFont="1" applyFill="1" applyBorder="1"/>
    <xf numFmtId="0" fontId="15" fillId="10" borderId="0" xfId="0" applyFont="1" applyFill="1"/>
    <xf numFmtId="0" fontId="15" fillId="10" borderId="1" xfId="0" applyFont="1" applyFill="1" applyBorder="1"/>
    <xf numFmtId="164" fontId="14" fillId="0" borderId="0" xfId="1" applyNumberFormat="1" applyFont="1" applyAlignment="1">
      <alignment horizontal="center"/>
    </xf>
    <xf numFmtId="0" fontId="15" fillId="0" borderId="0" xfId="0" applyFont="1"/>
    <xf numFmtId="0" fontId="15" fillId="4" borderId="0" xfId="0" applyFont="1" applyFill="1"/>
    <xf numFmtId="168" fontId="11" fillId="0" borderId="0" xfId="1" applyNumberFormat="1" applyFont="1" applyAlignment="1">
      <alignment horizontal="center"/>
    </xf>
    <xf numFmtId="10" fontId="13" fillId="0" borderId="0" xfId="0" applyNumberFormat="1" applyFont="1"/>
    <xf numFmtId="10" fontId="13" fillId="4" borderId="0" xfId="0" applyNumberFormat="1" applyFont="1" applyFill="1"/>
    <xf numFmtId="0" fontId="13" fillId="0" borderId="3" xfId="0" applyFont="1" applyBorder="1"/>
    <xf numFmtId="0" fontId="17" fillId="10" borderId="14" xfId="0" applyFont="1" applyFill="1" applyBorder="1"/>
    <xf numFmtId="0" fontId="17" fillId="10" borderId="0" xfId="0" applyFont="1" applyFill="1"/>
    <xf numFmtId="0" fontId="17" fillId="10" borderId="1" xfId="0" applyFont="1" applyFill="1" applyBorder="1"/>
    <xf numFmtId="164" fontId="17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37" fontId="5" fillId="0" borderId="0" xfId="0" applyNumberFormat="1" applyFont="1" applyAlignment="1">
      <alignment horizontal="center"/>
    </xf>
    <xf numFmtId="0" fontId="13" fillId="0" borderId="0" xfId="0" quotePrefix="1" applyFont="1"/>
    <xf numFmtId="164" fontId="16" fillId="0" borderId="0" xfId="1" applyNumberFormat="1" applyFont="1" applyAlignment="1">
      <alignment horizontal="center"/>
    </xf>
    <xf numFmtId="3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74" fontId="16" fillId="8" borderId="0" xfId="1" applyNumberFormat="1" applyFont="1" applyFill="1" applyBorder="1" applyAlignment="1">
      <alignment horizontal="center"/>
    </xf>
    <xf numFmtId="164" fontId="12" fillId="0" borderId="0" xfId="1" applyNumberFormat="1" applyFont="1" applyBorder="1" applyAlignment="1">
      <alignment horizontal="center"/>
    </xf>
    <xf numFmtId="164" fontId="12" fillId="8" borderId="0" xfId="1" applyNumberFormat="1" applyFont="1" applyFill="1" applyBorder="1" applyAlignment="1">
      <alignment horizontal="center"/>
    </xf>
    <xf numFmtId="164" fontId="16" fillId="0" borderId="0" xfId="1" applyNumberFormat="1" applyFont="1" applyBorder="1" applyAlignment="1">
      <alignment horizontal="center"/>
    </xf>
    <xf numFmtId="10" fontId="16" fillId="8" borderId="0" xfId="0" applyNumberFormat="1" applyFont="1" applyFill="1" applyBorder="1" applyAlignment="1">
      <alignment horizontal="center"/>
    </xf>
    <xf numFmtId="164" fontId="16" fillId="4" borderId="0" xfId="1" applyNumberFormat="1" applyFont="1" applyFill="1" applyBorder="1" applyAlignment="1">
      <alignment horizontal="center"/>
    </xf>
    <xf numFmtId="174" fontId="16" fillId="0" borderId="0" xfId="1" applyNumberFormat="1" applyFont="1" applyBorder="1" applyAlignment="1">
      <alignment horizontal="center"/>
    </xf>
    <xf numFmtId="164" fontId="13" fillId="9" borderId="0" xfId="1" applyNumberFormat="1" applyFont="1" applyFill="1" applyBorder="1"/>
    <xf numFmtId="9" fontId="12" fillId="8" borderId="0" xfId="2" applyFont="1" applyFill="1" applyBorder="1"/>
    <xf numFmtId="167" fontId="11" fillId="0" borderId="0" xfId="0" applyNumberFormat="1" applyFont="1" applyFill="1" applyBorder="1" applyAlignment="1">
      <alignment horizontal="center"/>
    </xf>
    <xf numFmtId="0" fontId="13" fillId="10" borderId="0" xfId="0" applyFont="1" applyFill="1" applyBorder="1"/>
    <xf numFmtId="164" fontId="11" fillId="0" borderId="0" xfId="1" applyNumberFormat="1" applyFont="1" applyBorder="1" applyAlignment="1">
      <alignment horizontal="center"/>
    </xf>
    <xf numFmtId="10" fontId="13" fillId="0" borderId="0" xfId="0" applyNumberFormat="1" applyFont="1" applyBorder="1"/>
    <xf numFmtId="10" fontId="13" fillId="4" borderId="0" xfId="0" applyNumberFormat="1" applyFont="1" applyFill="1" applyBorder="1"/>
    <xf numFmtId="166" fontId="13" fillId="0" borderId="0" xfId="1" applyNumberFormat="1" applyFont="1" applyFill="1" applyBorder="1"/>
    <xf numFmtId="43" fontId="6" fillId="0" borderId="0" xfId="0" applyNumberFormat="1" applyFont="1" applyFill="1" applyBorder="1"/>
    <xf numFmtId="166" fontId="13" fillId="0" borderId="0" xfId="0" applyNumberFormat="1" applyFont="1" applyFill="1" applyBorder="1"/>
    <xf numFmtId="14" fontId="11" fillId="4" borderId="0" xfId="0" applyNumberFormat="1" applyFont="1" applyFill="1" applyBorder="1" applyAlignment="1">
      <alignment horizontal="center"/>
    </xf>
    <xf numFmtId="164" fontId="16" fillId="4" borderId="14" xfId="1" applyNumberFormat="1" applyFont="1" applyFill="1" applyBorder="1" applyAlignment="1">
      <alignment horizontal="center"/>
    </xf>
    <xf numFmtId="164" fontId="16" fillId="7" borderId="0" xfId="1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74" fontId="0" fillId="0" borderId="0" xfId="0" applyNumberFormat="1" applyFill="1"/>
    <xf numFmtId="0" fontId="15" fillId="2" borderId="0" xfId="0" applyFont="1" applyFill="1" applyBorder="1" applyAlignment="1">
      <alignment horizontal="center" wrapText="1"/>
    </xf>
    <xf numFmtId="180" fontId="11" fillId="0" borderId="0" xfId="2" applyNumberFormat="1" applyFont="1" applyFill="1" applyBorder="1" applyAlignment="1">
      <alignment horizontal="center"/>
    </xf>
    <xf numFmtId="164" fontId="16" fillId="0" borderId="0" xfId="0" applyNumberFormat="1" applyFont="1" applyFill="1"/>
    <xf numFmtId="10" fontId="0" fillId="7" borderId="1" xfId="2" applyNumberFormat="1" applyFont="1" applyFill="1" applyBorder="1"/>
    <xf numFmtId="1" fontId="0" fillId="7" borderId="1" xfId="0" applyNumberFormat="1" applyFill="1" applyBorder="1"/>
    <xf numFmtId="10" fontId="0" fillId="7" borderId="1" xfId="0" applyNumberFormat="1" applyFill="1" applyBorder="1"/>
    <xf numFmtId="1" fontId="0" fillId="7" borderId="7" xfId="1" applyNumberFormat="1" applyFont="1" applyFill="1" applyBorder="1"/>
    <xf numFmtId="10" fontId="0" fillId="11" borderId="0" xfId="2" applyNumberFormat="1" applyFont="1" applyFill="1" applyBorder="1"/>
    <xf numFmtId="1" fontId="0" fillId="11" borderId="0" xfId="0" applyNumberFormat="1" applyFill="1" applyBorder="1"/>
    <xf numFmtId="10" fontId="0" fillId="11" borderId="0" xfId="0" applyNumberFormat="1" applyFill="1" applyBorder="1"/>
    <xf numFmtId="1" fontId="0" fillId="11" borderId="6" xfId="1" applyNumberFormat="1" applyFont="1" applyFill="1" applyBorder="1"/>
    <xf numFmtId="9" fontId="13" fillId="0" borderId="1" xfId="0" applyNumberFormat="1" applyFont="1" applyBorder="1"/>
    <xf numFmtId="164" fontId="5" fillId="0" borderId="0" xfId="0" applyNumberFormat="1" applyFont="1" applyFill="1" applyBorder="1"/>
    <xf numFmtId="164" fontId="0" fillId="0" borderId="0" xfId="0" applyNumberFormat="1" applyFill="1"/>
    <xf numFmtId="43" fontId="13" fillId="0" borderId="0" xfId="0" applyNumberFormat="1" applyFont="1" applyFill="1"/>
    <xf numFmtId="167" fontId="33" fillId="0" borderId="8" xfId="0" applyNumberFormat="1" applyFont="1" applyBorder="1" applyAlignment="1">
      <alignment horizontal="left"/>
    </xf>
    <xf numFmtId="0" fontId="34" fillId="0" borderId="14" xfId="0" applyFont="1" applyBorder="1"/>
    <xf numFmtId="10" fontId="11" fillId="8" borderId="0" xfId="0" applyNumberFormat="1" applyFont="1" applyFill="1" applyBorder="1" applyAlignment="1">
      <alignment horizontal="center"/>
    </xf>
    <xf numFmtId="10" fontId="16" fillId="8" borderId="14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1" fillId="0" borderId="0" xfId="1" applyNumberFormat="1" applyFont="1" applyFill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5" fillId="2" borderId="2" xfId="0" applyFont="1" applyFill="1" applyBorder="1" applyAlignment="1">
      <alignment wrapText="1"/>
    </xf>
    <xf numFmtId="0" fontId="15" fillId="2" borderId="3" xfId="0" applyFont="1" applyFill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7" fillId="7" borderId="1" xfId="0" applyFont="1" applyFill="1" applyBorder="1" applyAlignment="1">
      <alignment horizontal="right"/>
    </xf>
    <xf numFmtId="0" fontId="13" fillId="0" borderId="8" xfId="0" applyFont="1" applyBorder="1"/>
    <xf numFmtId="0" fontId="7" fillId="7" borderId="10" xfId="0" applyFont="1" applyFill="1" applyBorder="1" applyAlignment="1">
      <alignment horizontal="right"/>
    </xf>
    <xf numFmtId="10" fontId="13" fillId="8" borderId="0" xfId="0" applyNumberFormat="1" applyFont="1" applyFill="1"/>
    <xf numFmtId="0" fontId="6" fillId="0" borderId="8" xfId="0" applyFont="1" applyFill="1" applyBorder="1" applyAlignment="1">
      <alignment horizontal="center"/>
    </xf>
    <xf numFmtId="3" fontId="16" fillId="0" borderId="0" xfId="0" applyNumberFormat="1" applyFont="1" applyFill="1" applyBorder="1"/>
    <xf numFmtId="166" fontId="15" fillId="0" borderId="0" xfId="0" applyNumberFormat="1" applyFont="1"/>
    <xf numFmtId="0" fontId="35" fillId="0" borderId="0" xfId="0" applyFont="1"/>
    <xf numFmtId="165" fontId="0" fillId="0" borderId="0" xfId="0" applyNumberFormat="1"/>
    <xf numFmtId="9" fontId="0" fillId="0" borderId="0" xfId="0" applyNumberFormat="1"/>
    <xf numFmtId="10" fontId="11" fillId="2" borderId="0" xfId="0" quotePrefix="1" applyNumberFormat="1" applyFont="1" applyFill="1" applyBorder="1" applyAlignment="1">
      <alignment horizontal="center"/>
    </xf>
    <xf numFmtId="164" fontId="13" fillId="4" borderId="1" xfId="1" applyNumberFormat="1" applyFont="1" applyFill="1" applyBorder="1"/>
    <xf numFmtId="37" fontId="5" fillId="0" borderId="0" xfId="0" applyNumberFormat="1" applyFont="1"/>
    <xf numFmtId="0" fontId="0" fillId="0" borderId="0" xfId="0" applyAlignment="1"/>
    <xf numFmtId="176" fontId="11" fillId="0" borderId="0" xfId="1" applyNumberFormat="1" applyFont="1" applyFill="1" applyBorder="1" applyAlignment="1">
      <alignment horizontal="center"/>
    </xf>
    <xf numFmtId="0" fontId="3" fillId="0" borderId="0" xfId="0" applyFont="1"/>
    <xf numFmtId="164" fontId="0" fillId="4" borderId="0" xfId="0" applyNumberFormat="1" applyFill="1"/>
    <xf numFmtId="164" fontId="5" fillId="4" borderId="0" xfId="1" applyNumberFormat="1" applyFont="1" applyFill="1" applyBorder="1" applyAlignment="1">
      <alignment horizontal="center"/>
    </xf>
    <xf numFmtId="164" fontId="11" fillId="4" borderId="0" xfId="2" applyNumberFormat="1" applyFont="1" applyFill="1" applyBorder="1" applyAlignment="1">
      <alignment horizontal="center"/>
    </xf>
    <xf numFmtId="164" fontId="0" fillId="4" borderId="0" xfId="0" applyNumberFormat="1" applyFont="1" applyFill="1"/>
    <xf numFmtId="164" fontId="0" fillId="7" borderId="0" xfId="0" applyNumberFormat="1" applyFill="1"/>
    <xf numFmtId="164" fontId="5" fillId="4" borderId="0" xfId="0" applyNumberFormat="1" applyFont="1" applyFill="1"/>
    <xf numFmtId="164" fontId="5" fillId="0" borderId="0" xfId="0" applyNumberFormat="1" applyFont="1" applyFill="1"/>
    <xf numFmtId="180" fontId="11" fillId="0" borderId="0" xfId="0" applyNumberFormat="1" applyFont="1" applyFill="1" applyBorder="1" applyAlignment="1">
      <alignment horizontal="center"/>
    </xf>
    <xf numFmtId="43" fontId="27" fillId="0" borderId="2" xfId="4" applyFont="1" applyFill="1" applyBorder="1" applyAlignment="1">
      <alignment horizontal="left" wrapText="1"/>
    </xf>
    <xf numFmtId="43" fontId="27" fillId="0" borderId="3" xfId="4" applyFont="1" applyFill="1" applyBorder="1" applyAlignment="1">
      <alignment horizontal="left" wrapText="1"/>
    </xf>
    <xf numFmtId="167" fontId="26" fillId="0" borderId="0" xfId="0" applyNumberFormat="1" applyFont="1" applyFill="1" applyAlignment="1">
      <alignment horizontal="center" vertical="center" wrapText="1"/>
    </xf>
    <xf numFmtId="0" fontId="15" fillId="2" borderId="8" xfId="0" applyFont="1" applyFill="1" applyBorder="1" applyAlignment="1">
      <alignment horizontal="center" wrapText="1"/>
    </xf>
    <xf numFmtId="0" fontId="15" fillId="2" borderId="9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15" fillId="2" borderId="4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0" fontId="30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76" fontId="11" fillId="7" borderId="0" xfId="1" applyNumberFormat="1" applyFont="1" applyFill="1" applyBorder="1" applyAlignment="1">
      <alignment horizontal="center"/>
    </xf>
  </cellXfs>
  <cellStyles count="434">
    <cellStyle name="Comma" xfId="1" builtinId="3"/>
    <cellStyle name="Comma 2" xfId="4" xr:uid="{00000000-0005-0000-0000-000001000000}"/>
    <cellStyle name="Comma 3" xfId="271" xr:uid="{00000000-0005-0000-0000-000002000000}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Normal" xfId="0" builtinId="0"/>
    <cellStyle name="Normal 2" xfId="3" xr:uid="{00000000-0005-0000-0000-0000B0010000}"/>
    <cellStyle name="Percent" xfId="2" builtinId="5"/>
  </cellStyles>
  <dxfs count="0"/>
  <tableStyles count="0" defaultTableStyle="TableStyleMedium2" defaultPivotStyle="PivotStyleLight16"/>
  <colors>
    <mruColors>
      <color rgb="FF4371C4"/>
      <color rgb="FFF76D2C"/>
      <color rgb="FFFBC00F"/>
      <color rgb="FF496FB9"/>
      <color rgb="FFFF6D2C"/>
      <color rgb="FF46B0EB"/>
      <color rgb="FF496FB8"/>
      <color rgb="FFD3D3D3"/>
      <color rgb="FF0000FF"/>
      <color rgb="FF2159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82674277381101"/>
          <c:y val="9.0776978769381095E-2"/>
          <c:w val="0.79540831453715299"/>
          <c:h val="0.69091824488481701"/>
        </c:manualLayout>
      </c:layout>
      <c:barChart>
        <c:barDir val="col"/>
        <c:grouping val="stacked"/>
        <c:varyColors val="0"/>
        <c:ser>
          <c:idx val="1"/>
          <c:order val="0"/>
          <c:tx>
            <c:v>Employer</c:v>
          </c:tx>
          <c:spPr>
            <a:solidFill>
              <a:srgbClr val="215968"/>
            </a:solidFill>
          </c:spPr>
          <c:invertIfNegative val="0"/>
          <c:cat>
            <c:numRef>
              <c:f>SCRS!$A$8:$A$40</c:f>
              <c:numCache>
                <c:formatCode>General</c:formatCode>
                <c:ptCount val="3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</c:numCache>
            </c:numRef>
          </c:cat>
          <c:val>
            <c:numRef>
              <c:f>SCRS!$DA$10:$DA$42</c:f>
              <c:numCache>
                <c:formatCode>_(* #,##0_);_(* \(#,##0\);_(* "-"??_);_(@_)</c:formatCode>
                <c:ptCount val="33"/>
                <c:pt idx="0">
                  <c:v>1238.2675999999999</c:v>
                </c:pt>
                <c:pt idx="1">
                  <c:v>1479.07185</c:v>
                </c:pt>
                <c:pt idx="2">
                  <c:v>1617.3672999999997</c:v>
                </c:pt>
                <c:pt idx="3">
                  <c:v>1820.9454500000002</c:v>
                </c:pt>
                <c:pt idx="4">
                  <c:v>1589.5757615520006</c:v>
                </c:pt>
                <c:pt idx="5">
                  <c:v>2115.4499085115926</c:v>
                </c:pt>
                <c:pt idx="6">
                  <c:v>2163.141515519264</c:v>
                </c:pt>
                <c:pt idx="7">
                  <c:v>2223.4186752133214</c:v>
                </c:pt>
                <c:pt idx="8">
                  <c:v>2287.9638886229877</c:v>
                </c:pt>
                <c:pt idx="9">
                  <c:v>2348.6474531255217</c:v>
                </c:pt>
                <c:pt idx="10">
                  <c:v>2378.7032333703314</c:v>
                </c:pt>
                <c:pt idx="11">
                  <c:v>2409.0217885057518</c:v>
                </c:pt>
                <c:pt idx="12">
                  <c:v>2440.5936132400466</c:v>
                </c:pt>
                <c:pt idx="13">
                  <c:v>2473.445181208725</c:v>
                </c:pt>
                <c:pt idx="14">
                  <c:v>2507.6013708445325</c:v>
                </c:pt>
                <c:pt idx="15">
                  <c:v>2543.0849035869987</c:v>
                </c:pt>
                <c:pt idx="16">
                  <c:v>2579.9178447344989</c:v>
                </c:pt>
                <c:pt idx="17">
                  <c:v>2618.1219682117176</c:v>
                </c:pt>
                <c:pt idx="18">
                  <c:v>2657.7244808440241</c:v>
                </c:pt>
                <c:pt idx="19">
                  <c:v>2698.7555495746169</c:v>
                </c:pt>
                <c:pt idx="20">
                  <c:v>2741.2478671311833</c:v>
                </c:pt>
                <c:pt idx="21">
                  <c:v>2785.2406452852824</c:v>
                </c:pt>
                <c:pt idx="22">
                  <c:v>2830.7761575526747</c:v>
                </c:pt>
                <c:pt idx="23">
                  <c:v>2877.9010435633745</c:v>
                </c:pt>
                <c:pt idx="24">
                  <c:v>2926.6664387833439</c:v>
                </c:pt>
                <c:pt idx="25">
                  <c:v>874.12953003325424</c:v>
                </c:pt>
                <c:pt idx="26">
                  <c:v>919.4942397182449</c:v>
                </c:pt>
                <c:pt idx="27">
                  <c:v>953.63370213350333</c:v>
                </c:pt>
                <c:pt idx="28">
                  <c:v>986.09198867712723</c:v>
                </c:pt>
                <c:pt idx="29">
                  <c:v>1026.0445247904422</c:v>
                </c:pt>
                <c:pt idx="30">
                  <c:v>1104.2757447785987</c:v>
                </c:pt>
                <c:pt idx="31">
                  <c:v>1184.85648911929</c:v>
                </c:pt>
                <c:pt idx="32">
                  <c:v>1266.640629482396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E-451A-828C-5B4E6CD3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558160"/>
        <c:axId val="338560120"/>
      </c:barChart>
      <c:lineChart>
        <c:grouping val="standard"/>
        <c:varyColors val="0"/>
        <c:ser>
          <c:idx val="0"/>
          <c:order val="1"/>
          <c:tx>
            <c:v>Baseline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SCRS!$DN$10:$DN$42</c:f>
              <c:numCache>
                <c:formatCode>_(* #,##0_);_(* \(#,##0\);_(* "-"??_);_(@_)</c:formatCode>
                <c:ptCount val="33"/>
                <c:pt idx="0">
                  <c:v>1238.2675999999999</c:v>
                </c:pt>
                <c:pt idx="1">
                  <c:v>1479.07185</c:v>
                </c:pt>
                <c:pt idx="2">
                  <c:v>1617.3672999999997</c:v>
                </c:pt>
                <c:pt idx="3">
                  <c:v>1820.9454500000002</c:v>
                </c:pt>
                <c:pt idx="4">
                  <c:v>1846.4809637440005</c:v>
                </c:pt>
                <c:pt idx="5">
                  <c:v>1979.5637049665727</c:v>
                </c:pt>
                <c:pt idx="6">
                  <c:v>2114.499416450481</c:v>
                </c:pt>
                <c:pt idx="7">
                  <c:v>2251.3081210575583</c:v>
                </c:pt>
                <c:pt idx="8">
                  <c:v>2267.8213835592028</c:v>
                </c:pt>
                <c:pt idx="9">
                  <c:v>2284.4557702356756</c:v>
                </c:pt>
                <c:pt idx="10">
                  <c:v>2301.2121695283586</c:v>
                </c:pt>
                <c:pt idx="11">
                  <c:v>2318.0914763953147</c:v>
                </c:pt>
                <c:pt idx="12">
                  <c:v>2335.0945923590948</c:v>
                </c:pt>
                <c:pt idx="13">
                  <c:v>2352.2224255548836</c:v>
                </c:pt>
                <c:pt idx="14">
                  <c:v>2369.4758907790019</c:v>
                </c:pt>
                <c:pt idx="15">
                  <c:v>2386.8559095377732</c:v>
                </c:pt>
                <c:pt idx="16">
                  <c:v>2404.3634100967297</c:v>
                </c:pt>
                <c:pt idx="17">
                  <c:v>2421.9993275302022</c:v>
                </c:pt>
                <c:pt idx="18">
                  <c:v>2439.7646037712552</c:v>
                </c:pt>
                <c:pt idx="19">
                  <c:v>2457.6601876619975</c:v>
                </c:pt>
                <c:pt idx="20">
                  <c:v>2475.6870350042618</c:v>
                </c:pt>
                <c:pt idx="21">
                  <c:v>2359.4794001725763</c:v>
                </c:pt>
                <c:pt idx="22">
                  <c:v>2241.4338117227753</c:v>
                </c:pt>
                <c:pt idx="23">
                  <c:v>2121.5295591768886</c:v>
                </c:pt>
                <c:pt idx="24">
                  <c:v>1999.7457271207566</c:v>
                </c:pt>
                <c:pt idx="25">
                  <c:v>1876.0611933118964</c:v>
                </c:pt>
                <c:pt idx="26">
                  <c:v>1750.454626770621</c:v>
                </c:pt>
                <c:pt idx="27">
                  <c:v>1622.9044858543002</c:v>
                </c:pt>
                <c:pt idx="28">
                  <c:v>1493.3890163145875</c:v>
                </c:pt>
                <c:pt idx="29">
                  <c:v>1361.8862493374897</c:v>
                </c:pt>
                <c:pt idx="30">
                  <c:v>1228.3739995661203</c:v>
                </c:pt>
                <c:pt idx="31">
                  <c:v>1092.8298631059879</c:v>
                </c:pt>
                <c:pt idx="32">
                  <c:v>955.2312155126765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E-451A-828C-5B4E6CD3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58160"/>
        <c:axId val="338560120"/>
      </c:lineChart>
      <c:lineChart>
        <c:grouping val="standard"/>
        <c:varyColors val="0"/>
        <c:ser>
          <c:idx val="2"/>
          <c:order val="2"/>
          <c:tx>
            <c:v>FR-Baseline-AVA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SCRS!$DO$10:$DO$42</c:f>
              <c:numCache>
                <c:formatCode>0%</c:formatCode>
                <c:ptCount val="33"/>
                <c:pt idx="0">
                  <c:v>0.56313643126653434</c:v>
                </c:pt>
                <c:pt idx="1">
                  <c:v>0.55047484904875732</c:v>
                </c:pt>
                <c:pt idx="2">
                  <c:v>0.54410097368084065</c:v>
                </c:pt>
                <c:pt idx="3">
                  <c:v>0.54113120037755524</c:v>
                </c:pt>
                <c:pt idx="4">
                  <c:v>0.54457480979519213</c:v>
                </c:pt>
                <c:pt idx="5">
                  <c:v>0.54749477334367014</c:v>
                </c:pt>
                <c:pt idx="6">
                  <c:v>0.55333232965782631</c:v>
                </c:pt>
                <c:pt idx="7">
                  <c:v>0.56418490765484375</c:v>
                </c:pt>
                <c:pt idx="8">
                  <c:v>0.58448884230369069</c:v>
                </c:pt>
                <c:pt idx="9">
                  <c:v>0.60582205265646216</c:v>
                </c:pt>
                <c:pt idx="10">
                  <c:v>0.62824917064618702</c:v>
                </c:pt>
                <c:pt idx="11">
                  <c:v>0.65183943336430827</c:v>
                </c:pt>
                <c:pt idx="12">
                  <c:v>0.67666709084471877</c:v>
                </c:pt>
                <c:pt idx="13">
                  <c:v>0.70281160621792638</c:v>
                </c:pt>
                <c:pt idx="14">
                  <c:v>0.7303605718563011</c:v>
                </c:pt>
                <c:pt idx="15">
                  <c:v>0.75940363948486811</c:v>
                </c:pt>
                <c:pt idx="16">
                  <c:v>0.79004184282941103</c:v>
                </c:pt>
                <c:pt idx="17">
                  <c:v>0.82238140439621144</c:v>
                </c:pt>
                <c:pt idx="18">
                  <c:v>0.85653499666288024</c:v>
                </c:pt>
                <c:pt idx="19">
                  <c:v>0.89262829385980502</c:v>
                </c:pt>
                <c:pt idx="20">
                  <c:v>0.93079459547675103</c:v>
                </c:pt>
                <c:pt idx="21">
                  <c:v>0.96762603333434072</c:v>
                </c:pt>
                <c:pt idx="22">
                  <c:v>1.0030467195087411</c:v>
                </c:pt>
                <c:pt idx="23">
                  <c:v>1.0369726566062747</c:v>
                </c:pt>
                <c:pt idx="24">
                  <c:v>1.0692749331691298</c:v>
                </c:pt>
                <c:pt idx="25">
                  <c:v>1.0997493659807147</c:v>
                </c:pt>
                <c:pt idx="26">
                  <c:v>1.1281178214136816</c:v>
                </c:pt>
                <c:pt idx="27">
                  <c:v>1.1540468668447155</c:v>
                </c:pt>
                <c:pt idx="28">
                  <c:v>1.1771650646767426</c:v>
                </c:pt>
                <c:pt idx="29">
                  <c:v>1.1970783782637879</c:v>
                </c:pt>
                <c:pt idx="30">
                  <c:v>1.2134137491985475</c:v>
                </c:pt>
                <c:pt idx="31">
                  <c:v>1.2258397172599245</c:v>
                </c:pt>
                <c:pt idx="32">
                  <c:v>1.2340997452547366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E-451A-828C-5B4E6CD36089}"/>
            </c:ext>
          </c:extLst>
        </c:ser>
        <c:ser>
          <c:idx val="3"/>
          <c:order val="3"/>
          <c:tx>
            <c:v>FR-AVA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SCRS!$AQ$10:$AQ$42</c:f>
              <c:numCache>
                <c:formatCode>0.0%</c:formatCode>
                <c:ptCount val="33"/>
                <c:pt idx="0">
                  <c:v>0.56313643126653434</c:v>
                </c:pt>
                <c:pt idx="1">
                  <c:v>0.55047484904875732</c:v>
                </c:pt>
                <c:pt idx="2" formatCode="0.000%">
                  <c:v>0.54410097368084065</c:v>
                </c:pt>
                <c:pt idx="3" formatCode="0.000%">
                  <c:v>0.54113120037755524</c:v>
                </c:pt>
                <c:pt idx="4" formatCode="0.000%">
                  <c:v>0.52400461948889132</c:v>
                </c:pt>
                <c:pt idx="5" formatCode="0.000%">
                  <c:v>0.52552195165600646</c:v>
                </c:pt>
                <c:pt idx="6" formatCode="0.000%">
                  <c:v>0.52706671041580688</c:v>
                </c:pt>
                <c:pt idx="7" formatCode="0.000%">
                  <c:v>0.53083346510478435</c:v>
                </c:pt>
                <c:pt idx="8">
                  <c:v>0.54339010390123543</c:v>
                </c:pt>
                <c:pt idx="9">
                  <c:v>0.55751464984726795</c:v>
                </c:pt>
                <c:pt idx="10">
                  <c:v>0.57247224570833877</c:v>
                </c:pt>
                <c:pt idx="11">
                  <c:v>0.58830222364805851</c:v>
                </c:pt>
                <c:pt idx="12">
                  <c:v>0.60506591869467607</c:v>
                </c:pt>
                <c:pt idx="13">
                  <c:v>0.62283019082246871</c:v>
                </c:pt>
                <c:pt idx="14">
                  <c:v>0.64167033445256116</c:v>
                </c:pt>
                <c:pt idx="15">
                  <c:v>0.66166195889538004</c:v>
                </c:pt>
                <c:pt idx="16">
                  <c:v>0.68289153353323018</c:v>
                </c:pt>
                <c:pt idx="17">
                  <c:v>0.70544860429606815</c:v>
                </c:pt>
                <c:pt idx="18">
                  <c:v>0.72942623339437318</c:v>
                </c:pt>
                <c:pt idx="19">
                  <c:v>0.75493054971984508</c:v>
                </c:pt>
                <c:pt idx="20">
                  <c:v>0.78207240400644373</c:v>
                </c:pt>
                <c:pt idx="21">
                  <c:v>0.81097123576415964</c:v>
                </c:pt>
                <c:pt idx="22">
                  <c:v>0.84175595821077687</c:v>
                </c:pt>
                <c:pt idx="23">
                  <c:v>0.87456595239614165</c:v>
                </c:pt>
                <c:pt idx="24">
                  <c:v>0.9095847444688987</c:v>
                </c:pt>
                <c:pt idx="25">
                  <c:v>0.90901461665632821</c:v>
                </c:pt>
                <c:pt idx="26">
                  <c:v>0.90803834765801905</c:v>
                </c:pt>
                <c:pt idx="27">
                  <c:v>0.90651904529220351</c:v>
                </c:pt>
                <c:pt idx="28">
                  <c:v>0.90448443406600854</c:v>
                </c:pt>
                <c:pt idx="29">
                  <c:v>0.90212921261413481</c:v>
                </c:pt>
                <c:pt idx="30">
                  <c:v>0.90015197472710551</c:v>
                </c:pt>
                <c:pt idx="31">
                  <c:v>0.89859292955634984</c:v>
                </c:pt>
                <c:pt idx="32">
                  <c:v>0.8974550273184374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E-451A-828C-5B4E6CD3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83024"/>
        <c:axId val="342084592"/>
      </c:lineChart>
      <c:catAx>
        <c:axId val="33855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560120"/>
        <c:crosses val="autoZero"/>
        <c:auto val="1"/>
        <c:lblAlgn val="ctr"/>
        <c:lblOffset val="100"/>
        <c:tickLblSkip val="5"/>
        <c:noMultiLvlLbl val="0"/>
      </c:catAx>
      <c:valAx>
        <c:axId val="338560120"/>
        <c:scaling>
          <c:orientation val="minMax"/>
          <c:max val="2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 (inflation adjusted)</a:t>
                </a:r>
              </a:p>
            </c:rich>
          </c:tx>
          <c:layout>
            <c:manualLayout>
              <c:xMode val="edge"/>
              <c:yMode val="edge"/>
              <c:x val="3.2922267817051998E-3"/>
              <c:y val="0.18558118809186899"/>
            </c:manualLayout>
          </c:layout>
          <c:overlay val="0"/>
        </c:title>
        <c:numFmt formatCode="#,##0_);\(#,##0\)" sourceLinked="0"/>
        <c:majorTickMark val="out"/>
        <c:minorTickMark val="none"/>
        <c:tickLblPos val="nextTo"/>
        <c:crossAx val="338558160"/>
        <c:crosses val="autoZero"/>
        <c:crossBetween val="between"/>
      </c:valAx>
      <c:valAx>
        <c:axId val="342084592"/>
        <c:scaling>
          <c:orientation val="minMax"/>
          <c:max val="1.3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342083024"/>
        <c:crosses val="max"/>
        <c:crossBetween val="between"/>
      </c:valAx>
      <c:catAx>
        <c:axId val="34208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42084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9999890187844703E-2"/>
          <c:y val="0.91072746516251202"/>
          <c:w val="0.75087309272518077"/>
          <c:h val="8.9272545071003934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199" l="0.70000000000000095" r="0.70000000000000095" t="0.75000000000001199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89772449920358E-2"/>
          <c:y val="2.8610070744902207E-2"/>
          <c:w val="0.88633492449640328"/>
          <c:h val="0.87496518459537131"/>
        </c:manualLayout>
      </c:layout>
      <c:lineChart>
        <c:grouping val="standard"/>
        <c:varyColors val="0"/>
        <c:ser>
          <c:idx val="0"/>
          <c:order val="0"/>
          <c:tx>
            <c:v>SB 176 (as introduced) under 7% returns</c:v>
          </c:tx>
          <c:spPr>
            <a:ln w="38100" cap="rnd">
              <a:solidFill>
                <a:srgbClr val="F76D2C"/>
              </a:solidFill>
              <a:round/>
            </a:ln>
            <a:effectLst/>
          </c:spPr>
          <c:marker>
            <c:symbol val="none"/>
          </c:marker>
          <c:cat>
            <c:numRef>
              <c:f>Outputs!$A$4:$A$34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Outputs!$F$4:$F$34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0.17560000000000001</c:v>
                </c:pt>
                <c:pt idx="4">
                  <c:v>0.1856000000000001</c:v>
                </c:pt>
                <c:pt idx="5">
                  <c:v>0.18558885067673878</c:v>
                </c:pt>
                <c:pt idx="6">
                  <c:v>0.18556313859358817</c:v>
                </c:pt>
                <c:pt idx="7">
                  <c:v>0.18552711429486388</c:v>
                </c:pt>
                <c:pt idx="8">
                  <c:v>0.18548064551752125</c:v>
                </c:pt>
                <c:pt idx="9">
                  <c:v>0.18542341149614361</c:v>
                </c:pt>
                <c:pt idx="10">
                  <c:v>0.18535500224844495</c:v>
                </c:pt>
                <c:pt idx="11">
                  <c:v>0.18527504885926721</c:v>
                </c:pt>
                <c:pt idx="12">
                  <c:v>0.18518322753250682</c:v>
                </c:pt>
                <c:pt idx="13">
                  <c:v>0.1850745838911097</c:v>
                </c:pt>
                <c:pt idx="14">
                  <c:v>0.18495367454581341</c:v>
                </c:pt>
                <c:pt idx="15">
                  <c:v>0.1848235644683292</c:v>
                </c:pt>
                <c:pt idx="16">
                  <c:v>0.18468654498191545</c:v>
                </c:pt>
                <c:pt idx="17">
                  <c:v>0.1845442569804244</c:v>
                </c:pt>
                <c:pt idx="18">
                  <c:v>0.1843911701012293</c:v>
                </c:pt>
                <c:pt idx="19">
                  <c:v>0.18422723930379098</c:v>
                </c:pt>
                <c:pt idx="20">
                  <c:v>0.18405245725689667</c:v>
                </c:pt>
                <c:pt idx="21">
                  <c:v>0.18386678336530185</c:v>
                </c:pt>
                <c:pt idx="22">
                  <c:v>0.18367012257047741</c:v>
                </c:pt>
                <c:pt idx="23">
                  <c:v>0.17346580275194981</c:v>
                </c:pt>
                <c:pt idx="24">
                  <c:v>0.16325599214806813</c:v>
                </c:pt>
                <c:pt idx="25">
                  <c:v>0.1530381530220889</c:v>
                </c:pt>
                <c:pt idx="26">
                  <c:v>6.0480160164612953E-2</c:v>
                </c:pt>
                <c:pt idx="27">
                  <c:v>5.6467912388881582E-2</c:v>
                </c:pt>
                <c:pt idx="28">
                  <c:v>5.7028256831143653E-2</c:v>
                </c:pt>
                <c:pt idx="29">
                  <c:v>5.746856846607349E-2</c:v>
                </c:pt>
                <c:pt idx="30">
                  <c:v>5.7792260243789681E-2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D-2A4C-A34A-AF348F2838F5}"/>
            </c:ext>
          </c:extLst>
        </c:ser>
        <c:ser>
          <c:idx val="2"/>
          <c:order val="1"/>
          <c:tx>
            <c:v>SB 176 (as introduced) under market stress</c:v>
          </c:tx>
          <c:spPr>
            <a:ln w="38100" cap="rnd">
              <a:solidFill>
                <a:srgbClr val="F76D2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Outputs!$K$4:$K$34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0.17560000000000001</c:v>
                </c:pt>
                <c:pt idx="4">
                  <c:v>0.1856000000000001</c:v>
                </c:pt>
                <c:pt idx="5">
                  <c:v>0.19558847598391696</c:v>
                </c:pt>
                <c:pt idx="6">
                  <c:v>0.20556066481481217</c:v>
                </c:pt>
                <c:pt idx="7">
                  <c:v>0.21552325150745566</c:v>
                </c:pt>
                <c:pt idx="8">
                  <c:v>0.22547749259564173</c:v>
                </c:pt>
                <c:pt idx="9">
                  <c:v>0.18542396668322927</c:v>
                </c:pt>
                <c:pt idx="10">
                  <c:v>0.18536361288238529</c:v>
                </c:pt>
                <c:pt idx="11">
                  <c:v>0.19529826225965799</c:v>
                </c:pt>
                <c:pt idx="12">
                  <c:v>0.20522638651214301</c:v>
                </c:pt>
                <c:pt idx="13">
                  <c:v>0.21514381512166789</c:v>
                </c:pt>
                <c:pt idx="14">
                  <c:v>0.18505587388009243</c:v>
                </c:pt>
                <c:pt idx="15">
                  <c:v>0.18496665529069253</c:v>
                </c:pt>
                <c:pt idx="16">
                  <c:v>0.1948802039168937</c:v>
                </c:pt>
                <c:pt idx="17">
                  <c:v>0.20479707605764758</c:v>
                </c:pt>
                <c:pt idx="18">
                  <c:v>0.21525712564350674</c:v>
                </c:pt>
                <c:pt idx="19">
                  <c:v>0.18573320371259205</c:v>
                </c:pt>
                <c:pt idx="20">
                  <c:v>0.18603065673076752</c:v>
                </c:pt>
                <c:pt idx="21">
                  <c:v>0.19614029251942922</c:v>
                </c:pt>
                <c:pt idx="22">
                  <c:v>0.20618805278246194</c:v>
                </c:pt>
                <c:pt idx="23">
                  <c:v>0.21574289485326259</c:v>
                </c:pt>
                <c:pt idx="24">
                  <c:v>0.18540019057049009</c:v>
                </c:pt>
                <c:pt idx="25">
                  <c:v>0.18516187153754857</c:v>
                </c:pt>
                <c:pt idx="26">
                  <c:v>0.19503931354874784</c:v>
                </c:pt>
                <c:pt idx="27">
                  <c:v>0.20492518661437209</c:v>
                </c:pt>
                <c:pt idx="28">
                  <c:v>0.18441043015322939</c:v>
                </c:pt>
                <c:pt idx="29">
                  <c:v>0.18389321693671931</c:v>
                </c:pt>
                <c:pt idx="30">
                  <c:v>0.19351754884731079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D-2A4C-A34A-AF348F2838F5}"/>
            </c:ext>
          </c:extLst>
        </c:ser>
        <c:ser>
          <c:idx val="1"/>
          <c:order val="2"/>
          <c:tx>
            <c:v>SB 176 + ADEC Legacy under 7% returns</c:v>
          </c:tx>
          <c:spPr>
            <a:ln w="38100" cap="rnd">
              <a:solidFill>
                <a:srgbClr val="FBC00F"/>
              </a:solidFill>
              <a:round/>
            </a:ln>
            <a:effectLst/>
          </c:spPr>
          <c:marker>
            <c:symbol val="none"/>
          </c:marker>
          <c:cat>
            <c:numRef>
              <c:f>Outputs!$A$4:$A$34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Outputs!$G$4:$G$34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0.17984284064740097</c:v>
                </c:pt>
                <c:pt idx="3">
                  <c:v>0.18220845359621912</c:v>
                </c:pt>
                <c:pt idx="4">
                  <c:v>0.18703983738215715</c:v>
                </c:pt>
                <c:pt idx="5">
                  <c:v>0.19130711149595053</c:v>
                </c:pt>
                <c:pt idx="6">
                  <c:v>0.19483639986447332</c:v>
                </c:pt>
                <c:pt idx="7">
                  <c:v>0.19550118714596754</c:v>
                </c:pt>
                <c:pt idx="8">
                  <c:v>0.19612433086706554</c:v>
                </c:pt>
                <c:pt idx="9">
                  <c:v>0.19677846957153466</c:v>
                </c:pt>
                <c:pt idx="10">
                  <c:v>0.19746025213608887</c:v>
                </c:pt>
                <c:pt idx="11">
                  <c:v>0.19863827198408968</c:v>
                </c:pt>
                <c:pt idx="12">
                  <c:v>0.19936595576721119</c:v>
                </c:pt>
                <c:pt idx="13">
                  <c:v>0.20058123270197636</c:v>
                </c:pt>
                <c:pt idx="14">
                  <c:v>0.20181254548960861</c:v>
                </c:pt>
                <c:pt idx="15">
                  <c:v>0.20259088012689155</c:v>
                </c:pt>
                <c:pt idx="16">
                  <c:v>0.20385993433745353</c:v>
                </c:pt>
                <c:pt idx="17">
                  <c:v>0.20514544685660022</c:v>
                </c:pt>
                <c:pt idx="18">
                  <c:v>0.20644209816466369</c:v>
                </c:pt>
                <c:pt idx="19">
                  <c:v>0.20774803802969039</c:v>
                </c:pt>
                <c:pt idx="20">
                  <c:v>0.21056870835424951</c:v>
                </c:pt>
                <c:pt idx="21">
                  <c:v>0.21306947421915662</c:v>
                </c:pt>
                <c:pt idx="22">
                  <c:v>5.6108211309029023E-2</c:v>
                </c:pt>
                <c:pt idx="23">
                  <c:v>5.6484333621948012E-2</c:v>
                </c:pt>
                <c:pt idx="24">
                  <c:v>5.7748846705615531E-2</c:v>
                </c:pt>
                <c:pt idx="25">
                  <c:v>5.8560385636584222E-2</c:v>
                </c:pt>
                <c:pt idx="26">
                  <c:v>5.9421728656223749E-2</c:v>
                </c:pt>
                <c:pt idx="27">
                  <c:v>5.9927331116083803E-2</c:v>
                </c:pt>
                <c:pt idx="28">
                  <c:v>6.0304633443923082E-2</c:v>
                </c:pt>
                <c:pt idx="29">
                  <c:v>6.0562791728197667E-2</c:v>
                </c:pt>
                <c:pt idx="30">
                  <c:v>6.0705846269913606E-2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D-2A4C-A34A-AF348F2838F5}"/>
            </c:ext>
          </c:extLst>
        </c:ser>
        <c:ser>
          <c:idx val="3"/>
          <c:order val="3"/>
          <c:tx>
            <c:v>SB 176 + ADEC Legacy under market stress</c:v>
          </c:tx>
          <c:spPr>
            <a:ln w="38100" cap="rnd">
              <a:solidFill>
                <a:srgbClr val="FBC00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Outputs!$L$4:$L$34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0.17984284064740097</c:v>
                </c:pt>
                <c:pt idx="3">
                  <c:v>0.19213111753310019</c:v>
                </c:pt>
                <c:pt idx="4">
                  <c:v>0.20837076153185971</c:v>
                </c:pt>
                <c:pt idx="5">
                  <c:v>0.22182717981450237</c:v>
                </c:pt>
                <c:pt idx="6">
                  <c:v>0.23593014154342656</c:v>
                </c:pt>
                <c:pt idx="7">
                  <c:v>0.24280190742347785</c:v>
                </c:pt>
                <c:pt idx="8">
                  <c:v>0.24086361650881796</c:v>
                </c:pt>
                <c:pt idx="9">
                  <c:v>0.2403717331693577</c:v>
                </c:pt>
                <c:pt idx="10">
                  <c:v>0.24126777546278147</c:v>
                </c:pt>
                <c:pt idx="11">
                  <c:v>0.24393314581461009</c:v>
                </c:pt>
                <c:pt idx="12">
                  <c:v>0.24624599781167153</c:v>
                </c:pt>
                <c:pt idx="13">
                  <c:v>0.24906419933620969</c:v>
                </c:pt>
                <c:pt idx="14">
                  <c:v>0.25195766253379742</c:v>
                </c:pt>
                <c:pt idx="15">
                  <c:v>0.25449931295448452</c:v>
                </c:pt>
                <c:pt idx="16">
                  <c:v>0.25755389805310125</c:v>
                </c:pt>
                <c:pt idx="17">
                  <c:v>0.26068799812123294</c:v>
                </c:pt>
                <c:pt idx="18">
                  <c:v>0.27618487347249737</c:v>
                </c:pt>
                <c:pt idx="19">
                  <c:v>0.29306739563758505</c:v>
                </c:pt>
                <c:pt idx="20">
                  <c:v>0.30660742244943345</c:v>
                </c:pt>
                <c:pt idx="21">
                  <c:v>0.31686658834769549</c:v>
                </c:pt>
                <c:pt idx="22">
                  <c:v>0.17344143162158518</c:v>
                </c:pt>
                <c:pt idx="23">
                  <c:v>0.15962192481320781</c:v>
                </c:pt>
                <c:pt idx="24">
                  <c:v>0.14387208523769754</c:v>
                </c:pt>
                <c:pt idx="25">
                  <c:v>0.13189933545481669</c:v>
                </c:pt>
                <c:pt idx="26">
                  <c:v>0.12509332698420941</c:v>
                </c:pt>
                <c:pt idx="27">
                  <c:v>0.12150836567785021</c:v>
                </c:pt>
                <c:pt idx="28">
                  <c:v>0.12639443293513763</c:v>
                </c:pt>
                <c:pt idx="29">
                  <c:v>0.12988203127992382</c:v>
                </c:pt>
                <c:pt idx="30">
                  <c:v>0.13217680603098902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D-2A4C-A34A-AF348F28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31880"/>
        <c:axId val="343828352"/>
      </c:lineChart>
      <c:catAx>
        <c:axId val="3438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8352"/>
        <c:crosses val="autoZero"/>
        <c:auto val="1"/>
        <c:lblAlgn val="ctr"/>
        <c:lblOffset val="100"/>
        <c:tickLblSkip val="2"/>
        <c:noMultiLvlLbl val="0"/>
      </c:catAx>
      <c:valAx>
        <c:axId val="34382835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Annual Employer Contribution (% of Payroll)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168655801565037E-4"/>
              <c:y val="0.1480617693063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3436557869857"/>
          <c:y val="0.58720004848661533"/>
          <c:w val="0.48317004886714016"/>
          <c:h val="0.2321441304258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52657102823361E-2"/>
          <c:y val="2.8610070744902207E-2"/>
          <c:w val="0.89227201961704239"/>
          <c:h val="0.90455930274353558"/>
        </c:manualLayout>
      </c:layout>
      <c:lineChart>
        <c:grouping val="standard"/>
        <c:varyColors val="0"/>
        <c:ser>
          <c:idx val="0"/>
          <c:order val="0"/>
          <c:tx>
            <c:v>SB 176 (as introduced) under 7% returns</c:v>
          </c:tx>
          <c:spPr>
            <a:ln w="38100" cap="rnd">
              <a:solidFill>
                <a:srgbClr val="F76D2C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Outputs!$F$103:$F$133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27517.062384632856</c:v>
                </c:pt>
                <c:pt idx="2">
                  <c:v>27057.649887408505</c:v>
                </c:pt>
                <c:pt idx="3">
                  <c:v>26446.709373179357</c:v>
                </c:pt>
                <c:pt idx="4">
                  <c:v>25681.697081335646</c:v>
                </c:pt>
                <c:pt idx="5">
                  <c:v>24874.984774475932</c:v>
                </c:pt>
                <c:pt idx="6">
                  <c:v>24025.359898527538</c:v>
                </c:pt>
                <c:pt idx="7">
                  <c:v>23131.472306974956</c:v>
                </c:pt>
                <c:pt idx="8">
                  <c:v>22191.891510431291</c:v>
                </c:pt>
                <c:pt idx="9">
                  <c:v>21205.106564765851</c:v>
                </c:pt>
                <c:pt idx="10">
                  <c:v>20169.524589178272</c:v>
                </c:pt>
                <c:pt idx="11">
                  <c:v>19089.497373113762</c:v>
                </c:pt>
                <c:pt idx="12">
                  <c:v>17957.537203642452</c:v>
                </c:pt>
                <c:pt idx="13">
                  <c:v>16777.982622884752</c:v>
                </c:pt>
                <c:pt idx="14">
                  <c:v>15549.251069687009</c:v>
                </c:pt>
                <c:pt idx="15">
                  <c:v>14263.430671987186</c:v>
                </c:pt>
                <c:pt idx="16">
                  <c:v>12924.5537957047</c:v>
                </c:pt>
                <c:pt idx="17">
                  <c:v>11530.638426812618</c:v>
                </c:pt>
                <c:pt idx="18">
                  <c:v>10079.686601212865</c:v>
                </c:pt>
                <c:pt idx="19">
                  <c:v>8569.5993079528962</c:v>
                </c:pt>
                <c:pt idx="20">
                  <c:v>6998.1720672747051</c:v>
                </c:pt>
                <c:pt idx="21">
                  <c:v>5363.9313515617732</c:v>
                </c:pt>
                <c:pt idx="22">
                  <c:v>3658.9148058705123</c:v>
                </c:pt>
                <c:pt idx="23">
                  <c:v>2050.1822578631941</c:v>
                </c:pt>
                <c:pt idx="24">
                  <c:v>535.92522008454239</c:v>
                </c:pt>
                <c:pt idx="25">
                  <c:v>-884.07039374565784</c:v>
                </c:pt>
                <c:pt idx="26">
                  <c:v>-992.44230177189627</c:v>
                </c:pt>
                <c:pt idx="27">
                  <c:v>-1018.0366776735752</c:v>
                </c:pt>
                <c:pt idx="28">
                  <c:v>-1029.7570951101677</c:v>
                </c:pt>
                <c:pt idx="29">
                  <c:v>-1026.3616182162359</c:v>
                </c:pt>
                <c:pt idx="30">
                  <c:v>-1006.6583843879772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E-F84A-8A98-EB72DA02DD90}"/>
            </c:ext>
          </c:extLst>
        </c:ser>
        <c:ser>
          <c:idx val="2"/>
          <c:order val="1"/>
          <c:tx>
            <c:v>SB 176 (as introduced) under market stress</c:v>
          </c:tx>
          <c:spPr>
            <a:ln w="38100" cap="rnd">
              <a:solidFill>
                <a:srgbClr val="F76D2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Outputs!$K$103:$K$133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35567.146707403677</c:v>
                </c:pt>
                <c:pt idx="2">
                  <c:v>34730.803655000804</c:v>
                </c:pt>
                <c:pt idx="3">
                  <c:v>33679.744419600094</c:v>
                </c:pt>
                <c:pt idx="4">
                  <c:v>32401.666165806928</c:v>
                </c:pt>
                <c:pt idx="5">
                  <c:v>32007.993049723762</c:v>
                </c:pt>
                <c:pt idx="6">
                  <c:v>31468.385578660902</c:v>
                </c:pt>
                <c:pt idx="7">
                  <c:v>30775.900848488025</c:v>
                </c:pt>
                <c:pt idx="8">
                  <c:v>29923.279172608938</c:v>
                </c:pt>
                <c:pt idx="9">
                  <c:v>29725.995027918794</c:v>
                </c:pt>
                <c:pt idx="10">
                  <c:v>29513.409391171052</c:v>
                </c:pt>
                <c:pt idx="11">
                  <c:v>29116.645635388519</c:v>
                </c:pt>
                <c:pt idx="12">
                  <c:v>28525.820945230713</c:v>
                </c:pt>
                <c:pt idx="13">
                  <c:v>27740.165244750664</c:v>
                </c:pt>
                <c:pt idx="14">
                  <c:v>27434.348399826111</c:v>
                </c:pt>
                <c:pt idx="15">
                  <c:v>27109.163971521681</c:v>
                </c:pt>
                <c:pt idx="16">
                  <c:v>34833.356739224466</c:v>
                </c:pt>
                <c:pt idx="17">
                  <c:v>33448.805177619048</c:v>
                </c:pt>
                <c:pt idx="18">
                  <c:v>31779.785943643528</c:v>
                </c:pt>
                <c:pt idx="19">
                  <c:v>30483.254845703617</c:v>
                </c:pt>
                <c:pt idx="20">
                  <c:v>30222.178809753044</c:v>
                </c:pt>
                <c:pt idx="21">
                  <c:v>29780.44524982537</c:v>
                </c:pt>
                <c:pt idx="22">
                  <c:v>29150.452679402428</c:v>
                </c:pt>
                <c:pt idx="23">
                  <c:v>28341.853274899597</c:v>
                </c:pt>
                <c:pt idx="24">
                  <c:v>27988.514140670133</c:v>
                </c:pt>
                <c:pt idx="25">
                  <c:v>27618.391707392486</c:v>
                </c:pt>
                <c:pt idx="26">
                  <c:v>27075.187753230188</c:v>
                </c:pt>
                <c:pt idx="27">
                  <c:v>26350.987680333343</c:v>
                </c:pt>
                <c:pt idx="28">
                  <c:v>25930.297512961566</c:v>
                </c:pt>
                <c:pt idx="29">
                  <c:v>25506.768348201353</c:v>
                </c:pt>
                <c:pt idx="30">
                  <c:v>24921.119373434922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E-F84A-8A98-EB72DA02DD90}"/>
            </c:ext>
          </c:extLst>
        </c:ser>
        <c:ser>
          <c:idx val="1"/>
          <c:order val="2"/>
          <c:tx>
            <c:v>SB 176 + ADEC Legacy under 7% returns</c:v>
          </c:tx>
          <c:spPr>
            <a:ln w="38100" cap="rnd">
              <a:solidFill>
                <a:srgbClr val="FBC00F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Outputs!$G$103:$G$133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27517.062384632856</c:v>
                </c:pt>
                <c:pt idx="2">
                  <c:v>26881.534357359389</c:v>
                </c:pt>
                <c:pt idx="3">
                  <c:v>26180.098231405686</c:v>
                </c:pt>
                <c:pt idx="4">
                  <c:v>25384.6345686723</c:v>
                </c:pt>
                <c:pt idx="5">
                  <c:v>24491.847520951727</c:v>
                </c:pt>
                <c:pt idx="6">
                  <c:v>23506.356919228492</c:v>
                </c:pt>
                <c:pt idx="7">
                  <c:v>22460.437790971493</c:v>
                </c:pt>
                <c:pt idx="8">
                  <c:v>21352.173535026464</c:v>
                </c:pt>
                <c:pt idx="9">
                  <c:v>20178.602376535164</c:v>
                </c:pt>
                <c:pt idx="10">
                  <c:v>18936.638357444826</c:v>
                </c:pt>
                <c:pt idx="11">
                  <c:v>17622.865038245571</c:v>
                </c:pt>
                <c:pt idx="12">
                  <c:v>16234.10408551561</c:v>
                </c:pt>
                <c:pt idx="13">
                  <c:v>14766.694309915605</c:v>
                </c:pt>
                <c:pt idx="14">
                  <c:v>13216.958085534789</c:v>
                </c:pt>
                <c:pt idx="15">
                  <c:v>11581.198940224143</c:v>
                </c:pt>
                <c:pt idx="16">
                  <c:v>9855.0954721033831</c:v>
                </c:pt>
                <c:pt idx="17">
                  <c:v>8034.3381539842403</c:v>
                </c:pt>
                <c:pt idx="18">
                  <c:v>6114.4806534295494</c:v>
                </c:pt>
                <c:pt idx="19">
                  <c:v>4090.8771342109253</c:v>
                </c:pt>
                <c:pt idx="20">
                  <c:v>1961.6032883656542</c:v>
                </c:pt>
                <c:pt idx="21">
                  <c:v>-277.39588907358382</c:v>
                </c:pt>
                <c:pt idx="22">
                  <c:v>-361.4592777606573</c:v>
                </c:pt>
                <c:pt idx="23">
                  <c:v>-416.53069430098247</c:v>
                </c:pt>
                <c:pt idx="24">
                  <c:v>-463.90531855059527</c:v>
                </c:pt>
                <c:pt idx="25">
                  <c:v>-501.93060237713911</c:v>
                </c:pt>
                <c:pt idx="26">
                  <c:v>-529.52126547246371</c:v>
                </c:pt>
                <c:pt idx="27">
                  <c:v>-545.1392568545823</c:v>
                </c:pt>
                <c:pt idx="28">
                  <c:v>-547.46136775702723</c:v>
                </c:pt>
                <c:pt idx="29">
                  <c:v>-535.29974076988537</c:v>
                </c:pt>
                <c:pt idx="30">
                  <c:v>-507.53060559115403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E-F84A-8A98-EB72DA02DD90}"/>
            </c:ext>
          </c:extLst>
        </c:ser>
        <c:ser>
          <c:idx val="3"/>
          <c:order val="3"/>
          <c:tx>
            <c:v>SB 176 + ADEC Legacy under market stress</c:v>
          </c:tx>
          <c:spPr>
            <a:ln w="38100" cap="rnd">
              <a:solidFill>
                <a:srgbClr val="FBC00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Outputs!$L$103:$L$133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35567.146707403677</c:v>
                </c:pt>
                <c:pt idx="2">
                  <c:v>34551.426449153092</c:v>
                </c:pt>
                <c:pt idx="3">
                  <c:v>33275.29374826642</c:v>
                </c:pt>
                <c:pt idx="4">
                  <c:v>31671.602776665619</c:v>
                </c:pt>
                <c:pt idx="5">
                  <c:v>30921.069419442625</c:v>
                </c:pt>
                <c:pt idx="6">
                  <c:v>30004.288212946583</c:v>
                </c:pt>
                <c:pt idx="7">
                  <c:v>28956.218185765269</c:v>
                </c:pt>
                <c:pt idx="8">
                  <c:v>27884.109948016398</c:v>
                </c:pt>
                <c:pt idx="9">
                  <c:v>26768.744517456773</c:v>
                </c:pt>
                <c:pt idx="10">
                  <c:v>25590.525790080635</c:v>
                </c:pt>
                <c:pt idx="11">
                  <c:v>24329.144388521374</c:v>
                </c:pt>
                <c:pt idx="12">
                  <c:v>22980.196888829465</c:v>
                </c:pt>
                <c:pt idx="13">
                  <c:v>21538.742653387872</c:v>
                </c:pt>
                <c:pt idx="14">
                  <c:v>19999.755969405447</c:v>
                </c:pt>
                <c:pt idx="15">
                  <c:v>18358.154042517548</c:v>
                </c:pt>
                <c:pt idx="16">
                  <c:v>27550.801311389863</c:v>
                </c:pt>
                <c:pt idx="17">
                  <c:v>24726.624374379426</c:v>
                </c:pt>
                <c:pt idx="18">
                  <c:v>21448.690000822571</c:v>
                </c:pt>
                <c:pt idx="19">
                  <c:v>17657.129861758127</c:v>
                </c:pt>
                <c:pt idx="20">
                  <c:v>15160.829609512537</c:v>
                </c:pt>
                <c:pt idx="21">
                  <c:v>12415.694451591558</c:v>
                </c:pt>
                <c:pt idx="22">
                  <c:v>11594.937762070458</c:v>
                </c:pt>
                <c:pt idx="23">
                  <c:v>10947.7589886894</c:v>
                </c:pt>
                <c:pt idx="24">
                  <c:v>10507.105774727936</c:v>
                </c:pt>
                <c:pt idx="25">
                  <c:v>10224.917776957673</c:v>
                </c:pt>
                <c:pt idx="26">
                  <c:v>10042.092699768635</c:v>
                </c:pt>
                <c:pt idx="27">
                  <c:v>9912.9408390057797</c:v>
                </c:pt>
                <c:pt idx="28">
                  <c:v>9718.0865241762094</c:v>
                </c:pt>
                <c:pt idx="29">
                  <c:v>9478.3783550509852</c:v>
                </c:pt>
                <c:pt idx="30">
                  <c:v>9212.6726735802604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E-F84A-8A98-EB72DA02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29136"/>
        <c:axId val="343833056"/>
      </c:lineChart>
      <c:catAx>
        <c:axId val="34382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3056"/>
        <c:crossesAt val="-15000000"/>
        <c:auto val="1"/>
        <c:lblAlgn val="ctr"/>
        <c:lblOffset val="100"/>
        <c:tickLblSkip val="2"/>
        <c:noMultiLvlLbl val="0"/>
      </c:catAx>
      <c:valAx>
        <c:axId val="343833056"/>
        <c:scaling>
          <c:orientation val="minMax"/>
          <c:max val="45000"/>
          <c:min val="-1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Market Liability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(in &amp;Billions)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9136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66734670598053"/>
          <c:y val="0.68393887359215622"/>
          <c:w val="0.44298550262130948"/>
          <c:h val="0.21292475302781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24872336971247E-2"/>
          <c:y val="2.8610070744902207E-2"/>
          <c:w val="0.89399982256030974"/>
          <c:h val="0.90455930274353558"/>
        </c:manualLayout>
      </c:layout>
      <c:areaChart>
        <c:grouping val="stack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Outputs!$L$169:$L$199</c:f>
              <c:numCache>
                <c:formatCode>_(* #,##0_);_(* \(#,##0\);_(* "-"??_);_(@_)</c:formatCode>
                <c:ptCount val="31"/>
                <c:pt idx="0">
                  <c:v>26292.418000000001</c:v>
                </c:pt>
                <c:pt idx="1">
                  <c:v>19443.150797895487</c:v>
                </c:pt>
                <c:pt idx="2">
                  <c:v>20751.982193686701</c:v>
                </c:pt>
                <c:pt idx="3">
                  <c:v>22285.321023455283</c:v>
                </c:pt>
                <c:pt idx="4">
                  <c:v>24103.887133327655</c:v>
                </c:pt>
                <c:pt idx="5">
                  <c:v>25032.644583721321</c:v>
                </c:pt>
                <c:pt idx="6">
                  <c:v>26090.656615873711</c:v>
                </c:pt>
                <c:pt idx="7">
                  <c:v>27242.60749001053</c:v>
                </c:pt>
                <c:pt idx="8">
                  <c:v>28380.87580933451</c:v>
                </c:pt>
                <c:pt idx="9">
                  <c:v>29524.29615343656</c:v>
                </c:pt>
                <c:pt idx="10">
                  <c:v>30692.06711188714</c:v>
                </c:pt>
                <c:pt idx="11">
                  <c:v>31899.355249021221</c:v>
                </c:pt>
                <c:pt idx="12">
                  <c:v>33154.853770907088</c:v>
                </c:pt>
                <c:pt idx="13">
                  <c:v>34458.763909453875</c:v>
                </c:pt>
                <c:pt idx="14">
                  <c:v>35815.893599030234</c:v>
                </c:pt>
                <c:pt idx="15">
                  <c:v>37234.989612119236</c:v>
                </c:pt>
                <c:pt idx="16">
                  <c:v>27775.089165103462</c:v>
                </c:pt>
                <c:pt idx="17">
                  <c:v>30287.082712033964</c:v>
                </c:pt>
                <c:pt idx="18">
                  <c:v>33207.737714776689</c:v>
                </c:pt>
                <c:pt idx="19">
                  <c:v>36596.77612683527</c:v>
                </c:pt>
                <c:pt idx="20">
                  <c:v>38645.187631066467</c:v>
                </c:pt>
                <c:pt idx="21">
                  <c:v>40927.05198613472</c:v>
                </c:pt>
                <c:pt idx="22">
                  <c:v>41303.188311858903</c:v>
                </c:pt>
                <c:pt idx="23">
                  <c:v>41555.08062222421</c:v>
                </c:pt>
                <c:pt idx="24">
                  <c:v>41685.190226432147</c:v>
                </c:pt>
                <c:pt idx="25">
                  <c:v>41776.344073571505</c:v>
                </c:pt>
                <c:pt idx="26">
                  <c:v>41918.723259205202</c:v>
                </c:pt>
                <c:pt idx="27">
                  <c:v>42190.595231953601</c:v>
                </c:pt>
                <c:pt idx="28">
                  <c:v>42740.911990734581</c:v>
                </c:pt>
                <c:pt idx="29">
                  <c:v>43576.411506751247</c:v>
                </c:pt>
                <c:pt idx="30">
                  <c:v>44703.54183419027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6-0A42-8E95-D100C9C0991C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Outputs!$O$103:$O$133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35567.146707403677</c:v>
                </c:pt>
                <c:pt idx="2">
                  <c:v>34551.426449153085</c:v>
                </c:pt>
                <c:pt idx="3">
                  <c:v>33265.935405566721</c:v>
                </c:pt>
                <c:pt idx="4">
                  <c:v>31640.420353009016</c:v>
                </c:pt>
                <c:pt idx="5">
                  <c:v>30858.521150431163</c:v>
                </c:pt>
                <c:pt idx="6">
                  <c:v>29900.790384011532</c:v>
                </c:pt>
                <c:pt idx="7">
                  <c:v>28802.153784372451</c:v>
                </c:pt>
                <c:pt idx="8">
                  <c:v>27669.837902609543</c:v>
                </c:pt>
                <c:pt idx="9">
                  <c:v>26484.60955387124</c:v>
                </c:pt>
                <c:pt idx="10">
                  <c:v>25226.868937685351</c:v>
                </c:pt>
                <c:pt idx="11">
                  <c:v>23873.764504411101</c:v>
                </c:pt>
                <c:pt idx="12">
                  <c:v>22423.413912539152</c:v>
                </c:pt>
                <c:pt idx="13">
                  <c:v>20868.512489970526</c:v>
                </c:pt>
                <c:pt idx="14">
                  <c:v>19204.120276949747</c:v>
                </c:pt>
                <c:pt idx="15">
                  <c:v>17427.495647754171</c:v>
                </c:pt>
                <c:pt idx="16">
                  <c:v>26473.422536132457</c:v>
                </c:pt>
                <c:pt idx="17">
                  <c:v>23490.977511641195</c:v>
                </c:pt>
                <c:pt idx="18">
                  <c:v>20043.401320011726</c:v>
                </c:pt>
                <c:pt idx="19">
                  <c:v>16071.025036036575</c:v>
                </c:pt>
                <c:pt idx="20">
                  <c:v>13382.960637919219</c:v>
                </c:pt>
                <c:pt idx="21">
                  <c:v>10435.368152116098</c:v>
                </c:pt>
                <c:pt idx="22">
                  <c:v>9403.3801138634008</c:v>
                </c:pt>
                <c:pt idx="23">
                  <c:v>8534.867133044856</c:v>
                </c:pt>
                <c:pt idx="24">
                  <c:v>7864.5753893121</c:v>
                </c:pt>
                <c:pt idx="25">
                  <c:v>7346.0666834213262</c:v>
                </c:pt>
                <c:pt idx="26">
                  <c:v>6919.1473722102528</c:v>
                </c:pt>
                <c:pt idx="27">
                  <c:v>6539.6103437547572</c:v>
                </c:pt>
                <c:pt idx="28">
                  <c:v>6088.2895858258271</c:v>
                </c:pt>
                <c:pt idx="29">
                  <c:v>5586.2640395207782</c:v>
                </c:pt>
                <c:pt idx="30">
                  <c:v>5052.6422308398323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6-0A42-8E95-D100C9C0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31096"/>
        <c:axId val="343834624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Outputs!$L$136:$L$166</c:f>
              <c:numCache>
                <c:formatCode>_(* #,##0_);_(* \(#,##0\);_(* "-"??_);_(@_)</c:formatCode>
                <c:ptCount val="31"/>
                <c:pt idx="0">
                  <c:v>52061.245000000003</c:v>
                </c:pt>
                <c:pt idx="1">
                  <c:v>55010.297505299168</c:v>
                </c:pt>
                <c:pt idx="2">
                  <c:v>55303.408642839786</c:v>
                </c:pt>
                <c:pt idx="3">
                  <c:v>55551.256429022003</c:v>
                </c:pt>
                <c:pt idx="4">
                  <c:v>55744.307486336671</c:v>
                </c:pt>
                <c:pt idx="5">
                  <c:v>55891.165734152484</c:v>
                </c:pt>
                <c:pt idx="6">
                  <c:v>55991.446999885244</c:v>
                </c:pt>
                <c:pt idx="7">
                  <c:v>56044.761274382981</c:v>
                </c:pt>
                <c:pt idx="8">
                  <c:v>56050.713711944052</c:v>
                </c:pt>
                <c:pt idx="9">
                  <c:v>56008.9057073078</c:v>
                </c:pt>
                <c:pt idx="10">
                  <c:v>55918.93604957249</c:v>
                </c:pt>
                <c:pt idx="11">
                  <c:v>55773.119753432322</c:v>
                </c:pt>
                <c:pt idx="12">
                  <c:v>55578.26768344624</c:v>
                </c:pt>
                <c:pt idx="13">
                  <c:v>55327.276399424401</c:v>
                </c:pt>
                <c:pt idx="14">
                  <c:v>55020.013875979981</c:v>
                </c:pt>
                <c:pt idx="15">
                  <c:v>54662.485259873407</c:v>
                </c:pt>
                <c:pt idx="16">
                  <c:v>54248.511701235919</c:v>
                </c:pt>
                <c:pt idx="17">
                  <c:v>53778.060223675158</c:v>
                </c:pt>
                <c:pt idx="18">
                  <c:v>53251.139034788415</c:v>
                </c:pt>
                <c:pt idx="19">
                  <c:v>52667.801162871845</c:v>
                </c:pt>
                <c:pt idx="20">
                  <c:v>52028.148268985686</c:v>
                </c:pt>
                <c:pt idx="21">
                  <c:v>51362.420138250818</c:v>
                </c:pt>
                <c:pt idx="22">
                  <c:v>50706.568425722304</c:v>
                </c:pt>
                <c:pt idx="23">
                  <c:v>50089.947755269066</c:v>
                </c:pt>
                <c:pt idx="24">
                  <c:v>49549.765615744247</c:v>
                </c:pt>
                <c:pt idx="25">
                  <c:v>49122.410756992831</c:v>
                </c:pt>
                <c:pt idx="26">
                  <c:v>48837.870631415455</c:v>
                </c:pt>
                <c:pt idx="27">
                  <c:v>48730.205575708358</c:v>
                </c:pt>
                <c:pt idx="28">
                  <c:v>48829.201576560408</c:v>
                </c:pt>
                <c:pt idx="29">
                  <c:v>49162.675546272025</c:v>
                </c:pt>
                <c:pt idx="30">
                  <c:v>49756.184065030102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6-0A42-8E95-D100C9C0991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Outputs!$L$169:$L$199</c:f>
              <c:numCache>
                <c:formatCode>_(* #,##0_);_(* \(#,##0\);_(* "-"??_);_(@_)</c:formatCode>
                <c:ptCount val="31"/>
                <c:pt idx="0">
                  <c:v>26292.418000000001</c:v>
                </c:pt>
                <c:pt idx="1">
                  <c:v>19443.150797895487</c:v>
                </c:pt>
                <c:pt idx="2">
                  <c:v>20751.982193686701</c:v>
                </c:pt>
                <c:pt idx="3">
                  <c:v>22285.321023455283</c:v>
                </c:pt>
                <c:pt idx="4">
                  <c:v>24103.887133327655</c:v>
                </c:pt>
                <c:pt idx="5">
                  <c:v>25032.644583721321</c:v>
                </c:pt>
                <c:pt idx="6">
                  <c:v>26090.656615873711</c:v>
                </c:pt>
                <c:pt idx="7">
                  <c:v>27242.60749001053</c:v>
                </c:pt>
                <c:pt idx="8">
                  <c:v>28380.87580933451</c:v>
                </c:pt>
                <c:pt idx="9">
                  <c:v>29524.29615343656</c:v>
                </c:pt>
                <c:pt idx="10">
                  <c:v>30692.06711188714</c:v>
                </c:pt>
                <c:pt idx="11">
                  <c:v>31899.355249021221</c:v>
                </c:pt>
                <c:pt idx="12">
                  <c:v>33154.853770907088</c:v>
                </c:pt>
                <c:pt idx="13">
                  <c:v>34458.763909453875</c:v>
                </c:pt>
                <c:pt idx="14">
                  <c:v>35815.893599030234</c:v>
                </c:pt>
                <c:pt idx="15">
                  <c:v>37234.989612119236</c:v>
                </c:pt>
                <c:pt idx="16">
                  <c:v>27775.089165103462</c:v>
                </c:pt>
                <c:pt idx="17">
                  <c:v>30287.082712033964</c:v>
                </c:pt>
                <c:pt idx="18">
                  <c:v>33207.737714776689</c:v>
                </c:pt>
                <c:pt idx="19">
                  <c:v>36596.77612683527</c:v>
                </c:pt>
                <c:pt idx="20">
                  <c:v>38645.187631066467</c:v>
                </c:pt>
                <c:pt idx="21">
                  <c:v>40927.05198613472</c:v>
                </c:pt>
                <c:pt idx="22">
                  <c:v>41303.188311858903</c:v>
                </c:pt>
                <c:pt idx="23">
                  <c:v>41555.08062222421</c:v>
                </c:pt>
                <c:pt idx="24">
                  <c:v>41685.190226432147</c:v>
                </c:pt>
                <c:pt idx="25">
                  <c:v>41776.344073571505</c:v>
                </c:pt>
                <c:pt idx="26">
                  <c:v>41918.723259205202</c:v>
                </c:pt>
                <c:pt idx="27">
                  <c:v>42190.595231953601</c:v>
                </c:pt>
                <c:pt idx="28">
                  <c:v>42740.911990734581</c:v>
                </c:pt>
                <c:pt idx="29">
                  <c:v>43576.411506751247</c:v>
                </c:pt>
                <c:pt idx="30">
                  <c:v>44703.54183419027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6-0A42-8E95-D100C9C0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31096"/>
        <c:axId val="343834624"/>
      </c:lineChart>
      <c:catAx>
        <c:axId val="34383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4624"/>
        <c:crossesAt val="-15000000000"/>
        <c:auto val="1"/>
        <c:lblAlgn val="ctr"/>
        <c:lblOffset val="100"/>
        <c:tickLblSkip val="2"/>
        <c:noMultiLvlLbl val="0"/>
      </c:catAx>
      <c:valAx>
        <c:axId val="343834624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Value of Assets and Liabilities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(in $Billions)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1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9.1196758285498045E-2"/>
          <c:y val="0.7617029968222"/>
          <c:w val="0.33109763347357507"/>
          <c:h val="0.12007397449843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89772449920358E-2"/>
          <c:y val="2.8610070744902207E-2"/>
          <c:w val="0.88633492449640328"/>
          <c:h val="0.87496518459537131"/>
        </c:manualLayout>
      </c:layout>
      <c:lineChart>
        <c:grouping val="standard"/>
        <c:varyColors val="0"/>
        <c:ser>
          <c:idx val="4"/>
          <c:order val="0"/>
          <c:tx>
            <c:v>Status Quo under 7% returns</c:v>
          </c:tx>
          <c:spPr>
            <a:ln w="38100" cap="rnd">
              <a:solidFill>
                <a:srgbClr val="4371C4"/>
              </a:solidFill>
              <a:round/>
            </a:ln>
            <a:effectLst/>
          </c:spPr>
          <c:marker>
            <c:symbol val="none"/>
          </c:marker>
          <c:val>
            <c:numRef>
              <c:f>Outputs!$E$4:$E$34</c:f>
              <c:numCache>
                <c:formatCode>0.00%</c:formatCode>
                <c:ptCount val="31"/>
                <c:pt idx="0">
                  <c:v>0.15805160795638792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0.17560000000000006</c:v>
                </c:pt>
                <c:pt idx="4">
                  <c:v>0.18560000000000007</c:v>
                </c:pt>
                <c:pt idx="5">
                  <c:v>0.18560000000000004</c:v>
                </c:pt>
                <c:pt idx="6">
                  <c:v>0.18559999999999999</c:v>
                </c:pt>
                <c:pt idx="7">
                  <c:v>0.18560000000000007</c:v>
                </c:pt>
                <c:pt idx="8">
                  <c:v>0.18560000000000007</c:v>
                </c:pt>
                <c:pt idx="9">
                  <c:v>0.18560000000000001</c:v>
                </c:pt>
                <c:pt idx="10">
                  <c:v>0.18560000000000007</c:v>
                </c:pt>
                <c:pt idx="11">
                  <c:v>0.18560000000000001</c:v>
                </c:pt>
                <c:pt idx="12">
                  <c:v>0.18560000000000004</c:v>
                </c:pt>
                <c:pt idx="13">
                  <c:v>0.18560000000000004</c:v>
                </c:pt>
                <c:pt idx="14">
                  <c:v>0.1856000000000001</c:v>
                </c:pt>
                <c:pt idx="15">
                  <c:v>0.1856000000000001</c:v>
                </c:pt>
                <c:pt idx="16">
                  <c:v>0.18560000000000004</c:v>
                </c:pt>
                <c:pt idx="17">
                  <c:v>0.18560000000000001</c:v>
                </c:pt>
                <c:pt idx="18">
                  <c:v>0.18560000000000004</c:v>
                </c:pt>
                <c:pt idx="19">
                  <c:v>0.18560000000000004</c:v>
                </c:pt>
                <c:pt idx="20">
                  <c:v>0.17560000000000006</c:v>
                </c:pt>
                <c:pt idx="21">
                  <c:v>0.16560000000000002</c:v>
                </c:pt>
                <c:pt idx="22">
                  <c:v>2.8762328092903865E-2</c:v>
                </c:pt>
                <c:pt idx="23">
                  <c:v>2.9097480565371439E-2</c:v>
                </c:pt>
                <c:pt idx="24">
                  <c:v>3.2812206857198947E-2</c:v>
                </c:pt>
                <c:pt idx="25">
                  <c:v>3.6561823959373935E-2</c:v>
                </c:pt>
                <c:pt idx="26">
                  <c:v>4.035016442197488E-2</c:v>
                </c:pt>
                <c:pt idx="27">
                  <c:v>4.4182305205808042E-2</c:v>
                </c:pt>
                <c:pt idx="28">
                  <c:v>4.8062574471430156E-2</c:v>
                </c:pt>
                <c:pt idx="29">
                  <c:v>5.1995881738351055E-2</c:v>
                </c:pt>
                <c:pt idx="30">
                  <c:v>5.5986097549609155E-2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BD-DF40-BD3A-F75D86EC1C9A}"/>
            </c:ext>
          </c:extLst>
        </c:ser>
        <c:ser>
          <c:idx val="5"/>
          <c:order val="1"/>
          <c:tx>
            <c:v>Status Quo under market stress</c:v>
          </c:tx>
          <c:spPr>
            <a:ln w="38100" cap="rnd">
              <a:solidFill>
                <a:srgbClr val="4371C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Outputs!$J$4:$J$34</c:f>
              <c:numCache>
                <c:formatCode>0.00%</c:formatCode>
                <c:ptCount val="31"/>
                <c:pt idx="0">
                  <c:v>0.15805160795638792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0.17560000000000006</c:v>
                </c:pt>
                <c:pt idx="4">
                  <c:v>0.18560000000000007</c:v>
                </c:pt>
                <c:pt idx="5">
                  <c:v>0.19560000000000005</c:v>
                </c:pt>
                <c:pt idx="6">
                  <c:v>0.20560000000000006</c:v>
                </c:pt>
                <c:pt idx="7">
                  <c:v>0.21560000000000007</c:v>
                </c:pt>
                <c:pt idx="8">
                  <c:v>0.18560000000000007</c:v>
                </c:pt>
                <c:pt idx="9">
                  <c:v>0.18560000000000001</c:v>
                </c:pt>
                <c:pt idx="10">
                  <c:v>0.19560000000000008</c:v>
                </c:pt>
                <c:pt idx="11">
                  <c:v>0.20560000000000006</c:v>
                </c:pt>
                <c:pt idx="12">
                  <c:v>0.18560000000000004</c:v>
                </c:pt>
                <c:pt idx="13">
                  <c:v>0.18560000000000004</c:v>
                </c:pt>
                <c:pt idx="14">
                  <c:v>0.1856000000000001</c:v>
                </c:pt>
                <c:pt idx="15">
                  <c:v>0.18560000000000007</c:v>
                </c:pt>
                <c:pt idx="16">
                  <c:v>0.18560000000000004</c:v>
                </c:pt>
                <c:pt idx="17">
                  <c:v>0.18560000000000007</c:v>
                </c:pt>
                <c:pt idx="18">
                  <c:v>0.18560000000000004</c:v>
                </c:pt>
                <c:pt idx="19">
                  <c:v>0.18560000000000001</c:v>
                </c:pt>
                <c:pt idx="20">
                  <c:v>0.18560000000000007</c:v>
                </c:pt>
                <c:pt idx="21">
                  <c:v>0.18560000000000001</c:v>
                </c:pt>
                <c:pt idx="22">
                  <c:v>0.18560000000000004</c:v>
                </c:pt>
                <c:pt idx="23">
                  <c:v>0.18560000000000001</c:v>
                </c:pt>
                <c:pt idx="24">
                  <c:v>0.18560000000000001</c:v>
                </c:pt>
                <c:pt idx="25">
                  <c:v>0.18560000000000004</c:v>
                </c:pt>
                <c:pt idx="26">
                  <c:v>0.18560000000000001</c:v>
                </c:pt>
                <c:pt idx="27">
                  <c:v>0.18560000000000001</c:v>
                </c:pt>
                <c:pt idx="28">
                  <c:v>0.18560000000000007</c:v>
                </c:pt>
                <c:pt idx="29">
                  <c:v>0.18560000000000004</c:v>
                </c:pt>
                <c:pt idx="30">
                  <c:v>0.18560000000000007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D-DF40-BD3A-F75D86EC1C9A}"/>
            </c:ext>
          </c:extLst>
        </c:ser>
        <c:ser>
          <c:idx val="0"/>
          <c:order val="2"/>
          <c:tx>
            <c:v>SB 176 (as introduced) under 7% returns</c:v>
          </c:tx>
          <c:spPr>
            <a:ln w="38100" cap="rnd">
              <a:solidFill>
                <a:srgbClr val="F76D2C"/>
              </a:solidFill>
              <a:round/>
            </a:ln>
            <a:effectLst/>
          </c:spPr>
          <c:marker>
            <c:symbol val="none"/>
          </c:marker>
          <c:cat>
            <c:numRef>
              <c:f>Outputs!$A$4:$A$34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Outputs!$F$4:$F$34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0.17560000000000001</c:v>
                </c:pt>
                <c:pt idx="4">
                  <c:v>0.1856000000000001</c:v>
                </c:pt>
                <c:pt idx="5">
                  <c:v>0.18558885067673878</c:v>
                </c:pt>
                <c:pt idx="6">
                  <c:v>0.18556313859358817</c:v>
                </c:pt>
                <c:pt idx="7">
                  <c:v>0.18552711429486388</c:v>
                </c:pt>
                <c:pt idx="8">
                  <c:v>0.18548064551752125</c:v>
                </c:pt>
                <c:pt idx="9">
                  <c:v>0.18542341149614361</c:v>
                </c:pt>
                <c:pt idx="10">
                  <c:v>0.18535500224844495</c:v>
                </c:pt>
                <c:pt idx="11">
                  <c:v>0.18527504885926721</c:v>
                </c:pt>
                <c:pt idx="12">
                  <c:v>0.18518322753250682</c:v>
                </c:pt>
                <c:pt idx="13">
                  <c:v>0.1850745838911097</c:v>
                </c:pt>
                <c:pt idx="14">
                  <c:v>0.18495367454581341</c:v>
                </c:pt>
                <c:pt idx="15">
                  <c:v>0.1848235644683292</c:v>
                </c:pt>
                <c:pt idx="16">
                  <c:v>0.18468654498191545</c:v>
                </c:pt>
                <c:pt idx="17">
                  <c:v>0.1845442569804244</c:v>
                </c:pt>
                <c:pt idx="18">
                  <c:v>0.1843911701012293</c:v>
                </c:pt>
                <c:pt idx="19">
                  <c:v>0.18422723930379098</c:v>
                </c:pt>
                <c:pt idx="20">
                  <c:v>0.18405245725689667</c:v>
                </c:pt>
                <c:pt idx="21">
                  <c:v>0.18386678336530185</c:v>
                </c:pt>
                <c:pt idx="22">
                  <c:v>0.18367012257047741</c:v>
                </c:pt>
                <c:pt idx="23">
                  <c:v>0.17346580275194981</c:v>
                </c:pt>
                <c:pt idx="24">
                  <c:v>0.16325599214806813</c:v>
                </c:pt>
                <c:pt idx="25">
                  <c:v>0.1530381530220889</c:v>
                </c:pt>
                <c:pt idx="26">
                  <c:v>6.0480160164612953E-2</c:v>
                </c:pt>
                <c:pt idx="27">
                  <c:v>5.6467912388881582E-2</c:v>
                </c:pt>
                <c:pt idx="28">
                  <c:v>5.7028256831143653E-2</c:v>
                </c:pt>
                <c:pt idx="29">
                  <c:v>5.746856846607349E-2</c:v>
                </c:pt>
                <c:pt idx="30">
                  <c:v>5.7792260243789681E-2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D-DF40-BD3A-F75D86EC1C9A}"/>
            </c:ext>
          </c:extLst>
        </c:ser>
        <c:ser>
          <c:idx val="2"/>
          <c:order val="3"/>
          <c:tx>
            <c:v>SB 176 (as introduced) under market stress</c:v>
          </c:tx>
          <c:spPr>
            <a:ln w="38100" cap="rnd">
              <a:solidFill>
                <a:srgbClr val="F76D2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Outputs!$K$4:$K$34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0.17560000000000001</c:v>
                </c:pt>
                <c:pt idx="4">
                  <c:v>0.1856000000000001</c:v>
                </c:pt>
                <c:pt idx="5">
                  <c:v>0.19558847598391696</c:v>
                </c:pt>
                <c:pt idx="6">
                  <c:v>0.20556066481481217</c:v>
                </c:pt>
                <c:pt idx="7">
                  <c:v>0.21552325150745566</c:v>
                </c:pt>
                <c:pt idx="8">
                  <c:v>0.22547749259564173</c:v>
                </c:pt>
                <c:pt idx="9">
                  <c:v>0.18542396668322927</c:v>
                </c:pt>
                <c:pt idx="10">
                  <c:v>0.18536361288238529</c:v>
                </c:pt>
                <c:pt idx="11">
                  <c:v>0.19529826225965799</c:v>
                </c:pt>
                <c:pt idx="12">
                  <c:v>0.20522638651214301</c:v>
                </c:pt>
                <c:pt idx="13">
                  <c:v>0.21514381512166789</c:v>
                </c:pt>
                <c:pt idx="14">
                  <c:v>0.18505587388009243</c:v>
                </c:pt>
                <c:pt idx="15">
                  <c:v>0.18496665529069253</c:v>
                </c:pt>
                <c:pt idx="16">
                  <c:v>0.1948802039168937</c:v>
                </c:pt>
                <c:pt idx="17">
                  <c:v>0.20479707605764758</c:v>
                </c:pt>
                <c:pt idx="18">
                  <c:v>0.21525712564350674</c:v>
                </c:pt>
                <c:pt idx="19">
                  <c:v>0.18573320371259205</c:v>
                </c:pt>
                <c:pt idx="20">
                  <c:v>0.18603065673076752</c:v>
                </c:pt>
                <c:pt idx="21">
                  <c:v>0.19614029251942922</c:v>
                </c:pt>
                <c:pt idx="22">
                  <c:v>0.20618805278246194</c:v>
                </c:pt>
                <c:pt idx="23">
                  <c:v>0.21574289485326259</c:v>
                </c:pt>
                <c:pt idx="24">
                  <c:v>0.18540019057049009</c:v>
                </c:pt>
                <c:pt idx="25">
                  <c:v>0.18516187153754857</c:v>
                </c:pt>
                <c:pt idx="26">
                  <c:v>0.19503931354874784</c:v>
                </c:pt>
                <c:pt idx="27">
                  <c:v>0.20492518661437209</c:v>
                </c:pt>
                <c:pt idx="28">
                  <c:v>0.18441043015322939</c:v>
                </c:pt>
                <c:pt idx="29">
                  <c:v>0.18389321693671931</c:v>
                </c:pt>
                <c:pt idx="30">
                  <c:v>0.19351754884731079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D-DF40-BD3A-F75D86EC1C9A}"/>
            </c:ext>
          </c:extLst>
        </c:ser>
        <c:ser>
          <c:idx val="1"/>
          <c:order val="4"/>
          <c:tx>
            <c:v>SB 176 + ADEC Legacy under 7% returns</c:v>
          </c:tx>
          <c:spPr>
            <a:ln w="38100" cap="rnd">
              <a:solidFill>
                <a:srgbClr val="FBC00F"/>
              </a:solidFill>
              <a:round/>
            </a:ln>
            <a:effectLst/>
          </c:spPr>
          <c:marker>
            <c:symbol val="none"/>
          </c:marker>
          <c:cat>
            <c:numRef>
              <c:f>Outputs!$A$4:$A$34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Outputs!$G$4:$G$34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0.17984284064740097</c:v>
                </c:pt>
                <c:pt idx="3">
                  <c:v>0.18220845359621912</c:v>
                </c:pt>
                <c:pt idx="4">
                  <c:v>0.18703983738215715</c:v>
                </c:pt>
                <c:pt idx="5">
                  <c:v>0.19130711149595053</c:v>
                </c:pt>
                <c:pt idx="6">
                  <c:v>0.19483639986447332</c:v>
                </c:pt>
                <c:pt idx="7">
                  <c:v>0.19550118714596754</c:v>
                </c:pt>
                <c:pt idx="8">
                  <c:v>0.19612433086706554</c:v>
                </c:pt>
                <c:pt idx="9">
                  <c:v>0.19677846957153466</c:v>
                </c:pt>
                <c:pt idx="10">
                  <c:v>0.19746025213608887</c:v>
                </c:pt>
                <c:pt idx="11">
                  <c:v>0.19863827198408968</c:v>
                </c:pt>
                <c:pt idx="12">
                  <c:v>0.19936595576721119</c:v>
                </c:pt>
                <c:pt idx="13">
                  <c:v>0.20058123270197636</c:v>
                </c:pt>
                <c:pt idx="14">
                  <c:v>0.20181254548960861</c:v>
                </c:pt>
                <c:pt idx="15">
                  <c:v>0.20259088012689155</c:v>
                </c:pt>
                <c:pt idx="16">
                  <c:v>0.20385993433745353</c:v>
                </c:pt>
                <c:pt idx="17">
                  <c:v>0.20514544685660022</c:v>
                </c:pt>
                <c:pt idx="18">
                  <c:v>0.20644209816466369</c:v>
                </c:pt>
                <c:pt idx="19">
                  <c:v>0.20774803802969039</c:v>
                </c:pt>
                <c:pt idx="20">
                  <c:v>0.21056870835424951</c:v>
                </c:pt>
                <c:pt idx="21">
                  <c:v>0.21306947421915662</c:v>
                </c:pt>
                <c:pt idx="22">
                  <c:v>5.6108211309029023E-2</c:v>
                </c:pt>
                <c:pt idx="23">
                  <c:v>5.6484333621948012E-2</c:v>
                </c:pt>
                <c:pt idx="24">
                  <c:v>5.7748846705615531E-2</c:v>
                </c:pt>
                <c:pt idx="25">
                  <c:v>5.8560385636584222E-2</c:v>
                </c:pt>
                <c:pt idx="26">
                  <c:v>5.9421728656223749E-2</c:v>
                </c:pt>
                <c:pt idx="27">
                  <c:v>5.9927331116083803E-2</c:v>
                </c:pt>
                <c:pt idx="28">
                  <c:v>6.0304633443923082E-2</c:v>
                </c:pt>
                <c:pt idx="29">
                  <c:v>6.0562791728197667E-2</c:v>
                </c:pt>
                <c:pt idx="30">
                  <c:v>6.0705846269913606E-2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D-DF40-BD3A-F75D86EC1C9A}"/>
            </c:ext>
          </c:extLst>
        </c:ser>
        <c:ser>
          <c:idx val="3"/>
          <c:order val="5"/>
          <c:tx>
            <c:v>SB 176 + ADEC Legacy under market stress</c:v>
          </c:tx>
          <c:spPr>
            <a:ln w="38100" cap="rnd">
              <a:solidFill>
                <a:srgbClr val="FBC00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Outputs!$L$4:$L$34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0.17984284064740097</c:v>
                </c:pt>
                <c:pt idx="3">
                  <c:v>0.19213111753310019</c:v>
                </c:pt>
                <c:pt idx="4">
                  <c:v>0.20837076153185971</c:v>
                </c:pt>
                <c:pt idx="5">
                  <c:v>0.22182717981450237</c:v>
                </c:pt>
                <c:pt idx="6">
                  <c:v>0.23593014154342656</c:v>
                </c:pt>
                <c:pt idx="7">
                  <c:v>0.24280190742347785</c:v>
                </c:pt>
                <c:pt idx="8">
                  <c:v>0.24086361650881796</c:v>
                </c:pt>
                <c:pt idx="9">
                  <c:v>0.2403717331693577</c:v>
                </c:pt>
                <c:pt idx="10">
                  <c:v>0.24126777546278147</c:v>
                </c:pt>
                <c:pt idx="11">
                  <c:v>0.24393314581461009</c:v>
                </c:pt>
                <c:pt idx="12">
                  <c:v>0.24624599781167153</c:v>
                </c:pt>
                <c:pt idx="13">
                  <c:v>0.24906419933620969</c:v>
                </c:pt>
                <c:pt idx="14">
                  <c:v>0.25195766253379742</c:v>
                </c:pt>
                <c:pt idx="15">
                  <c:v>0.25449931295448452</c:v>
                </c:pt>
                <c:pt idx="16">
                  <c:v>0.25755389805310125</c:v>
                </c:pt>
                <c:pt idx="17">
                  <c:v>0.26068799812123294</c:v>
                </c:pt>
                <c:pt idx="18">
                  <c:v>0.27618487347249737</c:v>
                </c:pt>
                <c:pt idx="19">
                  <c:v>0.29306739563758505</c:v>
                </c:pt>
                <c:pt idx="20">
                  <c:v>0.30660742244943345</c:v>
                </c:pt>
                <c:pt idx="21">
                  <c:v>0.31686658834769549</c:v>
                </c:pt>
                <c:pt idx="22">
                  <c:v>0.17344143162158518</c:v>
                </c:pt>
                <c:pt idx="23">
                  <c:v>0.15962192481320781</c:v>
                </c:pt>
                <c:pt idx="24">
                  <c:v>0.14387208523769754</c:v>
                </c:pt>
                <c:pt idx="25">
                  <c:v>0.13189933545481669</c:v>
                </c:pt>
                <c:pt idx="26">
                  <c:v>0.12509332698420941</c:v>
                </c:pt>
                <c:pt idx="27">
                  <c:v>0.12150836567785021</c:v>
                </c:pt>
                <c:pt idx="28">
                  <c:v>0.12639443293513763</c:v>
                </c:pt>
                <c:pt idx="29">
                  <c:v>0.12988203127992382</c:v>
                </c:pt>
                <c:pt idx="30">
                  <c:v>0.13217680603098902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D-DF40-BD3A-F75D86EC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32272"/>
        <c:axId val="343832664"/>
      </c:lineChart>
      <c:catAx>
        <c:axId val="34383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2664"/>
        <c:crosses val="autoZero"/>
        <c:auto val="1"/>
        <c:lblAlgn val="ctr"/>
        <c:lblOffset val="100"/>
        <c:tickLblSkip val="2"/>
        <c:noMultiLvlLbl val="0"/>
      </c:catAx>
      <c:valAx>
        <c:axId val="34383266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Annual Employer Contribution (% of Payroll)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168655801565037E-4"/>
              <c:y val="0.1480617693063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17666612150075E-2"/>
          <c:y val="0.56456107729020022"/>
          <c:w val="0.59013452092689811"/>
          <c:h val="0.30246299330377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52657102823361E-2"/>
          <c:y val="2.8610070744902207E-2"/>
          <c:w val="0.89227201961704239"/>
          <c:h val="0.90455930274353558"/>
        </c:manualLayout>
      </c:layout>
      <c:lineChart>
        <c:grouping val="standard"/>
        <c:varyColors val="0"/>
        <c:ser>
          <c:idx val="4"/>
          <c:order val="0"/>
          <c:tx>
            <c:v>Baseline (status quo) under 7% returns</c:v>
          </c:tx>
          <c:spPr>
            <a:ln w="38100" cap="rnd">
              <a:solidFill>
                <a:srgbClr val="4371C4"/>
              </a:solidFill>
              <a:round/>
            </a:ln>
            <a:effectLst/>
          </c:spPr>
          <c:marker>
            <c:symbol val="none"/>
          </c:marker>
          <c:val>
            <c:numRef>
              <c:f>Outputs!$E$103:$E$133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27481.767523016861</c:v>
                </c:pt>
                <c:pt idx="2">
                  <c:v>26985.161663062692</c:v>
                </c:pt>
                <c:pt idx="3">
                  <c:v>26317.910671491558</c:v>
                </c:pt>
                <c:pt idx="4">
                  <c:v>25470.654594082895</c:v>
                </c:pt>
                <c:pt idx="5">
                  <c:v>24559.940930131255</c:v>
                </c:pt>
                <c:pt idx="6">
                  <c:v>23583.147340472879</c:v>
                </c:pt>
                <c:pt idx="7">
                  <c:v>22537.503970564838</c:v>
                </c:pt>
                <c:pt idx="8">
                  <c:v>21420.087223557341</c:v>
                </c:pt>
                <c:pt idx="9">
                  <c:v>20227.813263013519</c:v>
                </c:pt>
                <c:pt idx="10">
                  <c:v>18957.431228787551</c:v>
                </c:pt>
                <c:pt idx="11">
                  <c:v>17605.52889325222</c:v>
                </c:pt>
                <c:pt idx="12">
                  <c:v>16168.490242664333</c:v>
                </c:pt>
                <c:pt idx="13">
                  <c:v>14642.535669299094</c:v>
                </c:pt>
                <c:pt idx="14">
                  <c:v>13023.677641806335</c:v>
                </c:pt>
                <c:pt idx="15">
                  <c:v>11307.704469877583</c:v>
                </c:pt>
                <c:pt idx="16">
                  <c:v>9490.2241834296747</c:v>
                </c:pt>
                <c:pt idx="17">
                  <c:v>7566.6062664492283</c:v>
                </c:pt>
                <c:pt idx="18">
                  <c:v>5531.9871687793739</c:v>
                </c:pt>
                <c:pt idx="19">
                  <c:v>3381.2601410240591</c:v>
                </c:pt>
                <c:pt idx="20">
                  <c:v>1310.4811840177078</c:v>
                </c:pt>
                <c:pt idx="21">
                  <c:v>-672.82386427173572</c:v>
                </c:pt>
                <c:pt idx="22">
                  <c:v>-745.49809135583735</c:v>
                </c:pt>
                <c:pt idx="23">
                  <c:v>-765.65172999161575</c:v>
                </c:pt>
                <c:pt idx="24">
                  <c:v>-777.97608436477958</c:v>
                </c:pt>
                <c:pt idx="25">
                  <c:v>-781.36605227533812</c:v>
                </c:pt>
                <c:pt idx="26">
                  <c:v>-774.65663200366259</c:v>
                </c:pt>
                <c:pt idx="27">
                  <c:v>-756.78120394019288</c:v>
                </c:pt>
                <c:pt idx="28">
                  <c:v>-726.69341472809526</c:v>
                </c:pt>
                <c:pt idx="29">
                  <c:v>-683.42357216088294</c:v>
                </c:pt>
                <c:pt idx="30">
                  <c:v>-626.07825103028836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DB-9A45-B152-6A246A80EB02}"/>
            </c:ext>
          </c:extLst>
        </c:ser>
        <c:ser>
          <c:idx val="5"/>
          <c:order val="1"/>
          <c:tx>
            <c:v>Baseline (status quo) under market stress</c:v>
          </c:tx>
          <c:spPr>
            <a:ln w="38100" cap="rnd">
              <a:solidFill>
                <a:srgbClr val="4371C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Outputs!$J$103:$J$133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35537.40085691266</c:v>
                </c:pt>
                <c:pt idx="2">
                  <c:v>34662.300109267751</c:v>
                </c:pt>
                <c:pt idx="3">
                  <c:v>33551.102400859367</c:v>
                </c:pt>
                <c:pt idx="4">
                  <c:v>32182.791497386232</c:v>
                </c:pt>
                <c:pt idx="5">
                  <c:v>31688.235466812766</c:v>
                </c:pt>
                <c:pt idx="6">
                  <c:v>31026.466466894413</c:v>
                </c:pt>
                <c:pt idx="7">
                  <c:v>30189.61608765609</c:v>
                </c:pt>
                <c:pt idx="8">
                  <c:v>29848.991180447534</c:v>
                </c:pt>
                <c:pt idx="9">
                  <c:v>29475.96289402913</c:v>
                </c:pt>
                <c:pt idx="10">
                  <c:v>28883.054209015474</c:v>
                </c:pt>
                <c:pt idx="11">
                  <c:v>28059.511542627752</c:v>
                </c:pt>
                <c:pt idx="12">
                  <c:v>27561.373472064606</c:v>
                </c:pt>
                <c:pt idx="13">
                  <c:v>27025.146968029778</c:v>
                </c:pt>
                <c:pt idx="14">
                  <c:v>26449.397571470403</c:v>
                </c:pt>
                <c:pt idx="15">
                  <c:v>25832.592474610279</c:v>
                </c:pt>
                <c:pt idx="16">
                  <c:v>34388.54485401314</c:v>
                </c:pt>
                <c:pt idx="17">
                  <c:v>32902.733339677856</c:v>
                </c:pt>
                <c:pt idx="18">
                  <c:v>31269.083697976504</c:v>
                </c:pt>
                <c:pt idx="19">
                  <c:v>29475.855083939856</c:v>
                </c:pt>
                <c:pt idx="20">
                  <c:v>28868.670352522615</c:v>
                </c:pt>
                <c:pt idx="21">
                  <c:v>28219.415843951836</c:v>
                </c:pt>
                <c:pt idx="22">
                  <c:v>27527.649908249594</c:v>
                </c:pt>
                <c:pt idx="23">
                  <c:v>26793.328103499174</c:v>
                </c:pt>
                <c:pt idx="24">
                  <c:v>26016.693944597268</c:v>
                </c:pt>
                <c:pt idx="25">
                  <c:v>25198.316673682883</c:v>
                </c:pt>
                <c:pt idx="26">
                  <c:v>24339.169565106822</c:v>
                </c:pt>
                <c:pt idx="27">
                  <c:v>23440.496047558947</c:v>
                </c:pt>
                <c:pt idx="28">
                  <c:v>22503.872964087219</c:v>
                </c:pt>
                <c:pt idx="29">
                  <c:v>21531.166882298894</c:v>
                </c:pt>
                <c:pt idx="30">
                  <c:v>20524.514529690365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DB-9A45-B152-6A246A80EB02}"/>
            </c:ext>
          </c:extLst>
        </c:ser>
        <c:ser>
          <c:idx val="0"/>
          <c:order val="2"/>
          <c:tx>
            <c:v>SB 176 (as introduced) under 7% returns</c:v>
          </c:tx>
          <c:spPr>
            <a:ln w="38100" cap="rnd">
              <a:solidFill>
                <a:srgbClr val="F76D2C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Outputs!$F$103:$F$133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27517.062384632856</c:v>
                </c:pt>
                <c:pt idx="2">
                  <c:v>27057.649887408505</c:v>
                </c:pt>
                <c:pt idx="3">
                  <c:v>26446.709373179357</c:v>
                </c:pt>
                <c:pt idx="4">
                  <c:v>25681.697081335646</c:v>
                </c:pt>
                <c:pt idx="5">
                  <c:v>24874.984774475932</c:v>
                </c:pt>
                <c:pt idx="6">
                  <c:v>24025.359898527538</c:v>
                </c:pt>
                <c:pt idx="7">
                  <c:v>23131.472306974956</c:v>
                </c:pt>
                <c:pt idx="8">
                  <c:v>22191.891510431291</c:v>
                </c:pt>
                <c:pt idx="9">
                  <c:v>21205.106564765851</c:v>
                </c:pt>
                <c:pt idx="10">
                  <c:v>20169.524589178272</c:v>
                </c:pt>
                <c:pt idx="11">
                  <c:v>19089.497373113762</c:v>
                </c:pt>
                <c:pt idx="12">
                  <c:v>17957.537203642452</c:v>
                </c:pt>
                <c:pt idx="13">
                  <c:v>16777.982622884752</c:v>
                </c:pt>
                <c:pt idx="14">
                  <c:v>15549.251069687009</c:v>
                </c:pt>
                <c:pt idx="15">
                  <c:v>14263.430671987186</c:v>
                </c:pt>
                <c:pt idx="16">
                  <c:v>12924.5537957047</c:v>
                </c:pt>
                <c:pt idx="17">
                  <c:v>11530.638426812618</c:v>
                </c:pt>
                <c:pt idx="18">
                  <c:v>10079.686601212865</c:v>
                </c:pt>
                <c:pt idx="19">
                  <c:v>8569.5993079528962</c:v>
                </c:pt>
                <c:pt idx="20">
                  <c:v>6998.1720672747051</c:v>
                </c:pt>
                <c:pt idx="21">
                  <c:v>5363.9313515617732</c:v>
                </c:pt>
                <c:pt idx="22">
                  <c:v>3658.9148058705123</c:v>
                </c:pt>
                <c:pt idx="23">
                  <c:v>2050.1822578631941</c:v>
                </c:pt>
                <c:pt idx="24">
                  <c:v>535.92522008454239</c:v>
                </c:pt>
                <c:pt idx="25">
                  <c:v>-884.07039374565784</c:v>
                </c:pt>
                <c:pt idx="26">
                  <c:v>-992.44230177189627</c:v>
                </c:pt>
                <c:pt idx="27">
                  <c:v>-1018.0366776735752</c:v>
                </c:pt>
                <c:pt idx="28">
                  <c:v>-1029.7570951101677</c:v>
                </c:pt>
                <c:pt idx="29">
                  <c:v>-1026.3616182162359</c:v>
                </c:pt>
                <c:pt idx="30">
                  <c:v>-1006.6583843879772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B-9A45-B152-6A246A80EB02}"/>
            </c:ext>
          </c:extLst>
        </c:ser>
        <c:ser>
          <c:idx val="2"/>
          <c:order val="3"/>
          <c:tx>
            <c:v>SB 176 (as introduced) under market stress</c:v>
          </c:tx>
          <c:spPr>
            <a:ln w="38100" cap="rnd">
              <a:solidFill>
                <a:srgbClr val="F76D2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Outputs!$K$103:$K$133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35567.146707403677</c:v>
                </c:pt>
                <c:pt idx="2">
                  <c:v>34730.803655000804</c:v>
                </c:pt>
                <c:pt idx="3">
                  <c:v>33679.744419600094</c:v>
                </c:pt>
                <c:pt idx="4">
                  <c:v>32401.666165806928</c:v>
                </c:pt>
                <c:pt idx="5">
                  <c:v>32007.993049723762</c:v>
                </c:pt>
                <c:pt idx="6">
                  <c:v>31468.385578660902</c:v>
                </c:pt>
                <c:pt idx="7">
                  <c:v>30775.900848488025</c:v>
                </c:pt>
                <c:pt idx="8">
                  <c:v>29923.279172608938</c:v>
                </c:pt>
                <c:pt idx="9">
                  <c:v>29725.995027918794</c:v>
                </c:pt>
                <c:pt idx="10">
                  <c:v>29513.409391171052</c:v>
                </c:pt>
                <c:pt idx="11">
                  <c:v>29116.645635388519</c:v>
                </c:pt>
                <c:pt idx="12">
                  <c:v>28525.820945230713</c:v>
                </c:pt>
                <c:pt idx="13">
                  <c:v>27740.165244750664</c:v>
                </c:pt>
                <c:pt idx="14">
                  <c:v>27434.348399826111</c:v>
                </c:pt>
                <c:pt idx="15">
                  <c:v>27109.163971521681</c:v>
                </c:pt>
                <c:pt idx="16">
                  <c:v>34833.356739224466</c:v>
                </c:pt>
                <c:pt idx="17">
                  <c:v>33448.805177619048</c:v>
                </c:pt>
                <c:pt idx="18">
                  <c:v>31779.785943643528</c:v>
                </c:pt>
                <c:pt idx="19">
                  <c:v>30483.254845703617</c:v>
                </c:pt>
                <c:pt idx="20">
                  <c:v>30222.178809753044</c:v>
                </c:pt>
                <c:pt idx="21">
                  <c:v>29780.44524982537</c:v>
                </c:pt>
                <c:pt idx="22">
                  <c:v>29150.452679402428</c:v>
                </c:pt>
                <c:pt idx="23">
                  <c:v>28341.853274899597</c:v>
                </c:pt>
                <c:pt idx="24">
                  <c:v>27988.514140670133</c:v>
                </c:pt>
                <c:pt idx="25">
                  <c:v>27618.391707392486</c:v>
                </c:pt>
                <c:pt idx="26">
                  <c:v>27075.187753230188</c:v>
                </c:pt>
                <c:pt idx="27">
                  <c:v>26350.987680333343</c:v>
                </c:pt>
                <c:pt idx="28">
                  <c:v>25930.297512961566</c:v>
                </c:pt>
                <c:pt idx="29">
                  <c:v>25506.768348201353</c:v>
                </c:pt>
                <c:pt idx="30">
                  <c:v>24921.119373434922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B-9A45-B152-6A246A80EB02}"/>
            </c:ext>
          </c:extLst>
        </c:ser>
        <c:ser>
          <c:idx val="1"/>
          <c:order val="4"/>
          <c:tx>
            <c:v>SB 176 + ADEC Legacy under 7% returns</c:v>
          </c:tx>
          <c:spPr>
            <a:ln w="38100" cap="rnd">
              <a:solidFill>
                <a:srgbClr val="FBC00F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Outputs!$G$103:$G$133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27517.062384632856</c:v>
                </c:pt>
                <c:pt idx="2">
                  <c:v>26881.534357359389</c:v>
                </c:pt>
                <c:pt idx="3">
                  <c:v>26180.098231405686</c:v>
                </c:pt>
                <c:pt idx="4">
                  <c:v>25384.6345686723</c:v>
                </c:pt>
                <c:pt idx="5">
                  <c:v>24491.847520951727</c:v>
                </c:pt>
                <c:pt idx="6">
                  <c:v>23506.356919228492</c:v>
                </c:pt>
                <c:pt idx="7">
                  <c:v>22460.437790971493</c:v>
                </c:pt>
                <c:pt idx="8">
                  <c:v>21352.173535026464</c:v>
                </c:pt>
                <c:pt idx="9">
                  <c:v>20178.602376535164</c:v>
                </c:pt>
                <c:pt idx="10">
                  <c:v>18936.638357444826</c:v>
                </c:pt>
                <c:pt idx="11">
                  <c:v>17622.865038245571</c:v>
                </c:pt>
                <c:pt idx="12">
                  <c:v>16234.10408551561</c:v>
                </c:pt>
                <c:pt idx="13">
                  <c:v>14766.694309915605</c:v>
                </c:pt>
                <c:pt idx="14">
                  <c:v>13216.958085534789</c:v>
                </c:pt>
                <c:pt idx="15">
                  <c:v>11581.198940224143</c:v>
                </c:pt>
                <c:pt idx="16">
                  <c:v>9855.0954721033831</c:v>
                </c:pt>
                <c:pt idx="17">
                  <c:v>8034.3381539842403</c:v>
                </c:pt>
                <c:pt idx="18">
                  <c:v>6114.4806534295494</c:v>
                </c:pt>
                <c:pt idx="19">
                  <c:v>4090.8771342109253</c:v>
                </c:pt>
                <c:pt idx="20">
                  <c:v>1961.6032883656542</c:v>
                </c:pt>
                <c:pt idx="21">
                  <c:v>-277.39588907358382</c:v>
                </c:pt>
                <c:pt idx="22">
                  <c:v>-361.4592777606573</c:v>
                </c:pt>
                <c:pt idx="23">
                  <c:v>-416.53069430098247</c:v>
                </c:pt>
                <c:pt idx="24">
                  <c:v>-463.90531855059527</c:v>
                </c:pt>
                <c:pt idx="25">
                  <c:v>-501.93060237713911</c:v>
                </c:pt>
                <c:pt idx="26">
                  <c:v>-529.52126547246371</c:v>
                </c:pt>
                <c:pt idx="27">
                  <c:v>-545.1392568545823</c:v>
                </c:pt>
                <c:pt idx="28">
                  <c:v>-547.46136775702723</c:v>
                </c:pt>
                <c:pt idx="29">
                  <c:v>-535.29974076988537</c:v>
                </c:pt>
                <c:pt idx="30">
                  <c:v>-507.53060559115403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B-9A45-B152-6A246A80EB02}"/>
            </c:ext>
          </c:extLst>
        </c:ser>
        <c:ser>
          <c:idx val="3"/>
          <c:order val="5"/>
          <c:tx>
            <c:v>SB 176 + ADEC Legacy under market stress</c:v>
          </c:tx>
          <c:spPr>
            <a:ln w="38100" cap="rnd">
              <a:solidFill>
                <a:srgbClr val="FBC00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Outputs!$L$103:$L$133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35567.146707403677</c:v>
                </c:pt>
                <c:pt idx="2">
                  <c:v>34551.426449153092</c:v>
                </c:pt>
                <c:pt idx="3">
                  <c:v>33275.29374826642</c:v>
                </c:pt>
                <c:pt idx="4">
                  <c:v>31671.602776665619</c:v>
                </c:pt>
                <c:pt idx="5">
                  <c:v>30921.069419442625</c:v>
                </c:pt>
                <c:pt idx="6">
                  <c:v>30004.288212946583</c:v>
                </c:pt>
                <c:pt idx="7">
                  <c:v>28956.218185765269</c:v>
                </c:pt>
                <c:pt idx="8">
                  <c:v>27884.109948016398</c:v>
                </c:pt>
                <c:pt idx="9">
                  <c:v>26768.744517456773</c:v>
                </c:pt>
                <c:pt idx="10">
                  <c:v>25590.525790080635</c:v>
                </c:pt>
                <c:pt idx="11">
                  <c:v>24329.144388521374</c:v>
                </c:pt>
                <c:pt idx="12">
                  <c:v>22980.196888829465</c:v>
                </c:pt>
                <c:pt idx="13">
                  <c:v>21538.742653387872</c:v>
                </c:pt>
                <c:pt idx="14">
                  <c:v>19999.755969405447</c:v>
                </c:pt>
                <c:pt idx="15">
                  <c:v>18358.154042517548</c:v>
                </c:pt>
                <c:pt idx="16">
                  <c:v>27550.801311389863</c:v>
                </c:pt>
                <c:pt idx="17">
                  <c:v>24726.624374379426</c:v>
                </c:pt>
                <c:pt idx="18">
                  <c:v>21448.690000822571</c:v>
                </c:pt>
                <c:pt idx="19">
                  <c:v>17657.129861758127</c:v>
                </c:pt>
                <c:pt idx="20">
                  <c:v>15160.829609512537</c:v>
                </c:pt>
                <c:pt idx="21">
                  <c:v>12415.694451591558</c:v>
                </c:pt>
                <c:pt idx="22">
                  <c:v>11594.937762070458</c:v>
                </c:pt>
                <c:pt idx="23">
                  <c:v>10947.7589886894</c:v>
                </c:pt>
                <c:pt idx="24">
                  <c:v>10507.105774727936</c:v>
                </c:pt>
                <c:pt idx="25">
                  <c:v>10224.917776957673</c:v>
                </c:pt>
                <c:pt idx="26">
                  <c:v>10042.092699768635</c:v>
                </c:pt>
                <c:pt idx="27">
                  <c:v>9912.9408390057797</c:v>
                </c:pt>
                <c:pt idx="28">
                  <c:v>9718.0865241762094</c:v>
                </c:pt>
                <c:pt idx="29">
                  <c:v>9478.3783550509852</c:v>
                </c:pt>
                <c:pt idx="30">
                  <c:v>9212.6726735802604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B-9A45-B152-6A246A80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88120"/>
        <c:axId val="344621816"/>
      </c:lineChart>
      <c:catAx>
        <c:axId val="34208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21816"/>
        <c:crossesAt val="-15000000"/>
        <c:auto val="1"/>
        <c:lblAlgn val="ctr"/>
        <c:lblOffset val="100"/>
        <c:tickLblSkip val="2"/>
        <c:noMultiLvlLbl val="0"/>
      </c:catAx>
      <c:valAx>
        <c:axId val="344621816"/>
        <c:scaling>
          <c:orientation val="minMax"/>
          <c:max val="45000"/>
          <c:min val="-1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Market Liability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(in &amp;Billions)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812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66238522075992E-2"/>
          <c:y val="0.53935596568995781"/>
          <c:w val="0.47633274773908219"/>
          <c:h val="0.3862062780842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1828521434799E-2"/>
          <c:y val="1.2484394506866401E-2"/>
          <c:w val="0.87559407504617504"/>
          <c:h val="0.80516265158964284"/>
        </c:manualLayout>
      </c:layout>
      <c:barChart>
        <c:barDir val="col"/>
        <c:grouping val="stacked"/>
        <c:varyColors val="0"/>
        <c:ser>
          <c:idx val="5"/>
          <c:order val="0"/>
          <c:tx>
            <c:v>Employer DB Normal Cost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numRef>
              <c:f>SCRS!$A$10:$A$39</c:f>
              <c:numCache>
                <c:formatCode>General</c:formatCode>
                <c:ptCount val="3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</c:numCache>
            </c:numRef>
          </c:cat>
          <c:val>
            <c:numRef>
              <c:f>SCRS!$EK$10:$EK$39</c:f>
              <c:numCache>
                <c:formatCode>0.00%</c:formatCode>
                <c:ptCount val="30"/>
                <c:pt idx="0">
                  <c:v>1.7200000000000007E-2</c:v>
                </c:pt>
                <c:pt idx="1">
                  <c:v>1.6600000000000004E-2</c:v>
                </c:pt>
                <c:pt idx="2">
                  <c:v>1.6399999999999998E-2</c:v>
                </c:pt>
                <c:pt idx="3">
                  <c:v>2.1820389986624736E-2</c:v>
                </c:pt>
                <c:pt idx="4">
                  <c:v>2.1203657777044194E-2</c:v>
                </c:pt>
                <c:pt idx="5">
                  <c:v>2.0739605997120436E-2</c:v>
                </c:pt>
                <c:pt idx="6">
                  <c:v>2.0183769627331774E-2</c:v>
                </c:pt>
                <c:pt idx="7">
                  <c:v>1.9658058207904353E-2</c:v>
                </c:pt>
                <c:pt idx="8">
                  <c:v>1.9161470122658994E-2</c:v>
                </c:pt>
                <c:pt idx="9">
                  <c:v>1.8693046326663451E-2</c:v>
                </c:pt>
                <c:pt idx="10">
                  <c:v>1.8251876027238476E-2</c:v>
                </c:pt>
                <c:pt idx="11">
                  <c:v>1.783710321478435E-2</c:v>
                </c:pt>
                <c:pt idx="12">
                  <c:v>1.7561277051266699E-2</c:v>
                </c:pt>
                <c:pt idx="13">
                  <c:v>1.7196632920973426E-2</c:v>
                </c:pt>
                <c:pt idx="14">
                  <c:v>1.6973070376095301E-2</c:v>
                </c:pt>
                <c:pt idx="15">
                  <c:v>1.677858760650143E-2</c:v>
                </c:pt>
                <c:pt idx="16">
                  <c:v>1.6488576265782054E-2</c:v>
                </c:pt>
                <c:pt idx="17">
                  <c:v>1.6351886877814595E-2</c:v>
                </c:pt>
                <c:pt idx="18">
                  <c:v>1.625113823253474E-2</c:v>
                </c:pt>
                <c:pt idx="19">
                  <c:v>1.619143798971015E-2</c:v>
                </c:pt>
                <c:pt idx="20">
                  <c:v>1.6180171507852101E-2</c:v>
                </c:pt>
                <c:pt idx="21">
                  <c:v>1.6228220943715607E-2</c:v>
                </c:pt>
                <c:pt idx="22">
                  <c:v>1.6352070870786176E-2</c:v>
                </c:pt>
                <c:pt idx="23">
                  <c:v>1.6338421000690898E-2</c:v>
                </c:pt>
                <c:pt idx="24">
                  <c:v>2.1657624533589381E-2</c:v>
                </c:pt>
                <c:pt idx="25">
                  <c:v>2.6831223500873025E-2</c:v>
                </c:pt>
                <c:pt idx="26">
                  <c:v>3.1765861952152211E-2</c:v>
                </c:pt>
                <c:pt idx="27">
                  <c:v>3.7170623969046176E-2</c:v>
                </c:pt>
                <c:pt idx="28">
                  <c:v>4.2304878589111403E-2</c:v>
                </c:pt>
                <c:pt idx="29">
                  <c:v>4.7569085618246534E-2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3-2C4E-AA14-09248E12B7D2}"/>
            </c:ext>
          </c:extLst>
        </c:ser>
        <c:ser>
          <c:idx val="1"/>
          <c:order val="1"/>
          <c:tx>
            <c:v>Unfunded Liability Amortization Payment</c:v>
          </c:tx>
          <c:spPr>
            <a:solidFill>
              <a:srgbClr val="00B0F0"/>
            </a:solidFill>
          </c:spPr>
          <c:invertIfNegative val="0"/>
          <c:cat>
            <c:numRef>
              <c:f>SCRS!$A$10:$A$39</c:f>
              <c:numCache>
                <c:formatCode>General</c:formatCode>
                <c:ptCount val="3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</c:numCache>
            </c:numRef>
          </c:cat>
          <c:val>
            <c:numRef>
              <c:f>SCRS!$EJ$10:$EJ$39</c:f>
              <c:numCache>
                <c:formatCode>0.00%</c:formatCode>
                <c:ptCount val="30"/>
                <c:pt idx="0">
                  <c:v>0.11839999999999999</c:v>
                </c:pt>
                <c:pt idx="1">
                  <c:v>0.129</c:v>
                </c:pt>
                <c:pt idx="2">
                  <c:v>0.13920000000000002</c:v>
                </c:pt>
                <c:pt idx="3">
                  <c:v>0.1437796100133753</c:v>
                </c:pt>
                <c:pt idx="4">
                  <c:v>0.15439634222295584</c:v>
                </c:pt>
                <c:pt idx="5">
                  <c:v>0.16486039400287961</c:v>
                </c:pt>
                <c:pt idx="6">
                  <c:v>0.16541623037266828</c:v>
                </c:pt>
                <c:pt idx="7">
                  <c:v>0.1659419417920957</c:v>
                </c:pt>
                <c:pt idx="8">
                  <c:v>0.16643852987734103</c:v>
                </c:pt>
                <c:pt idx="9">
                  <c:v>0.16690695367333658</c:v>
                </c:pt>
                <c:pt idx="10">
                  <c:v>0.16734812397276155</c:v>
                </c:pt>
                <c:pt idx="11">
                  <c:v>0.16776289678521569</c:v>
                </c:pt>
                <c:pt idx="12">
                  <c:v>0.16803872294873334</c:v>
                </c:pt>
                <c:pt idx="13">
                  <c:v>0.16840336707902662</c:v>
                </c:pt>
                <c:pt idx="14">
                  <c:v>0.16862692962390474</c:v>
                </c:pt>
                <c:pt idx="15">
                  <c:v>0.16882141239349863</c:v>
                </c:pt>
                <c:pt idx="16">
                  <c:v>0.169111423734218</c:v>
                </c:pt>
                <c:pt idx="17">
                  <c:v>0.16924811312218546</c:v>
                </c:pt>
                <c:pt idx="18">
                  <c:v>0.1693488617674653</c:v>
                </c:pt>
                <c:pt idx="19">
                  <c:v>0.16940856201028989</c:v>
                </c:pt>
                <c:pt idx="20">
                  <c:v>0.16941982849214793</c:v>
                </c:pt>
                <c:pt idx="21">
                  <c:v>0.16937177905628442</c:v>
                </c:pt>
                <c:pt idx="22">
                  <c:v>0.16924792912921388</c:v>
                </c:pt>
                <c:pt idx="23">
                  <c:v>0.16926157899930916</c:v>
                </c:pt>
                <c:pt idx="24">
                  <c:v>0.15394237546641065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3-2C4E-AA14-09248E12B7D2}"/>
            </c:ext>
          </c:extLst>
        </c:ser>
        <c:ser>
          <c:idx val="2"/>
          <c:order val="3"/>
          <c:tx>
            <c:v>Employer ORP Remittance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SCRS!$A$10:$A$39</c:f>
              <c:numCache>
                <c:formatCode>General</c:formatCode>
                <c:ptCount val="3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</c:numCache>
            </c:numRef>
          </c:cat>
          <c:val>
            <c:numRef>
              <c:f>SCRS!$EM$10:$EM$39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3-2C4E-AA14-09248E12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088512"/>
        <c:axId val="342085768"/>
      </c:barChart>
      <c:lineChart>
        <c:grouping val="standard"/>
        <c:varyColors val="0"/>
        <c:ser>
          <c:idx val="0"/>
          <c:order val="2"/>
          <c:tx>
            <c:v>Baseline Employer Contribution (Statutory)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SCRS!$A$10:$A$39</c:f>
              <c:numCache>
                <c:formatCode>General</c:formatCode>
                <c:ptCount val="3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</c:numCache>
            </c:numRef>
          </c:cat>
          <c:val>
            <c:numRef>
              <c:f>SCRS!$EN$10:$EN$39</c:f>
              <c:numCache>
                <c:formatCode>0.00%</c:formatCode>
                <c:ptCount val="30"/>
                <c:pt idx="0">
                  <c:v>0.14560000000000001</c:v>
                </c:pt>
                <c:pt idx="1">
                  <c:v>0.15560000000000002</c:v>
                </c:pt>
                <c:pt idx="2">
                  <c:v>0.16560000000000002</c:v>
                </c:pt>
                <c:pt idx="3">
                  <c:v>0.17560000000000003</c:v>
                </c:pt>
                <c:pt idx="4">
                  <c:v>0.18560000000000004</c:v>
                </c:pt>
                <c:pt idx="5">
                  <c:v>0.18560000000000004</c:v>
                </c:pt>
                <c:pt idx="6">
                  <c:v>0.18560000000000004</c:v>
                </c:pt>
                <c:pt idx="7">
                  <c:v>0.18560000000000004</c:v>
                </c:pt>
                <c:pt idx="8">
                  <c:v>0.18560000000000004</c:v>
                </c:pt>
                <c:pt idx="9">
                  <c:v>0.18560000000000004</c:v>
                </c:pt>
                <c:pt idx="10">
                  <c:v>0.18560000000000004</c:v>
                </c:pt>
                <c:pt idx="11">
                  <c:v>0.18560000000000004</c:v>
                </c:pt>
                <c:pt idx="12">
                  <c:v>0.18560000000000004</c:v>
                </c:pt>
                <c:pt idx="13">
                  <c:v>0.18560000000000004</c:v>
                </c:pt>
                <c:pt idx="14">
                  <c:v>0.18560000000000004</c:v>
                </c:pt>
                <c:pt idx="15">
                  <c:v>0.18560000000000004</c:v>
                </c:pt>
                <c:pt idx="16">
                  <c:v>0.18560000000000004</c:v>
                </c:pt>
                <c:pt idx="17">
                  <c:v>0.18560000000000004</c:v>
                </c:pt>
                <c:pt idx="18">
                  <c:v>0.18560000000000004</c:v>
                </c:pt>
                <c:pt idx="19">
                  <c:v>0.17560000000000003</c:v>
                </c:pt>
                <c:pt idx="20">
                  <c:v>0.16560000000000002</c:v>
                </c:pt>
                <c:pt idx="21">
                  <c:v>0.15560000000000002</c:v>
                </c:pt>
                <c:pt idx="22">
                  <c:v>0.14560000000000001</c:v>
                </c:pt>
                <c:pt idx="23">
                  <c:v>0.1356</c:v>
                </c:pt>
                <c:pt idx="24">
                  <c:v>0.12559999999999999</c:v>
                </c:pt>
                <c:pt idx="25">
                  <c:v>0.11560000000000001</c:v>
                </c:pt>
                <c:pt idx="26">
                  <c:v>0.1056</c:v>
                </c:pt>
                <c:pt idx="27">
                  <c:v>9.5600000000000004E-2</c:v>
                </c:pt>
                <c:pt idx="28">
                  <c:v>8.5600000000000009E-2</c:v>
                </c:pt>
                <c:pt idx="29">
                  <c:v>7.5600000000000014E-2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3-2C4E-AA14-09248E12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88512"/>
        <c:axId val="342085768"/>
      </c:lineChart>
      <c:catAx>
        <c:axId val="3420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mpd="sng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  <a:latin typeface="+mn-lt"/>
                <a:ea typeface="Calibri" charset="0"/>
                <a:cs typeface="Calibri" charset="0"/>
              </a:defRPr>
            </a:pPr>
            <a:endParaRPr lang="en-US"/>
          </a:p>
        </c:txPr>
        <c:crossAx val="342085768"/>
        <c:crosses val="autoZero"/>
        <c:auto val="1"/>
        <c:lblAlgn val="ctr"/>
        <c:lblOffset val="100"/>
        <c:tickLblSkip val="3"/>
        <c:noMultiLvlLbl val="0"/>
      </c:catAx>
      <c:valAx>
        <c:axId val="342085768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400" b="1" baseline="0"/>
                  <a:t>Employer Contribution </a:t>
                </a:r>
                <a:r>
                  <a:rPr lang="en-US" sz="1400" b="1"/>
                  <a:t>(</a:t>
                </a:r>
                <a:r>
                  <a:rPr lang="en-US" sz="1400" b="1" i="0" u="none" strike="noStrike" baseline="0">
                    <a:effectLst/>
                  </a:rPr>
                  <a:t>% of Payroll</a:t>
                </a:r>
                <a:r>
                  <a:rPr lang="en-US" sz="1400" b="1"/>
                  <a:t>)</a:t>
                </a:r>
              </a:p>
            </c:rich>
          </c:tx>
          <c:layout>
            <c:manualLayout>
              <c:xMode val="edge"/>
              <c:yMode val="edge"/>
              <c:x val="7.2506561679789997E-4"/>
              <c:y val="0.181631209201578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175" cmpd="sng"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400" kern="12100" spc="-100" baseline="0"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342088512"/>
        <c:crosses val="autoZero"/>
        <c:crossBetween val="between"/>
        <c:majorUnit val="5.000000000000001E-2"/>
      </c:valAx>
    </c:plotArea>
    <c:legend>
      <c:legendPos val="b"/>
      <c:layout>
        <c:manualLayout>
          <c:xMode val="edge"/>
          <c:yMode val="edge"/>
          <c:x val="0.14351851851851852"/>
          <c:y val="0.91090728449688629"/>
          <c:w val="0.78285749003596761"/>
          <c:h val="8.9092715503113734E-2"/>
        </c:manualLayout>
      </c:layout>
      <c:overlay val="0"/>
      <c:spPr>
        <a:solidFill>
          <a:schemeClr val="bg1"/>
        </a:solidFill>
        <a:ln>
          <a:noFill/>
        </a:ln>
      </c:spPr>
      <c:txPr>
        <a:bodyPr lIns="2">
          <a:spAutoFit/>
        </a:bodyPr>
        <a:lstStyle/>
        <a:p>
          <a:pPr>
            <a:defRPr sz="1300" b="0" strike="noStrike" spc="0"/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>
      <a:noFill/>
    </a:ln>
  </c:sp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1828521434799E-2"/>
          <c:y val="1.2484394506866401E-2"/>
          <c:w val="0.87559407504617504"/>
          <c:h val="0.80516265158964284"/>
        </c:manualLayout>
      </c:layout>
      <c:barChart>
        <c:barDir val="col"/>
        <c:grouping val="stacked"/>
        <c:varyColors val="0"/>
        <c:ser>
          <c:idx val="5"/>
          <c:order val="0"/>
          <c:tx>
            <c:v>Employer DB Normal Cost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numRef>
              <c:f>SCRS!$A$10:$A$40</c:f>
              <c:numCache>
                <c:formatCode>General</c:formatCode>
                <c:ptCount val="3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</c:numCache>
            </c:numRef>
          </c:cat>
          <c:val>
            <c:numRef>
              <c:f>SCRS!$EK$10:$EK$40</c:f>
              <c:numCache>
                <c:formatCode>0.00%</c:formatCode>
                <c:ptCount val="31"/>
                <c:pt idx="0">
                  <c:v>1.7200000000000007E-2</c:v>
                </c:pt>
                <c:pt idx="1">
                  <c:v>1.6600000000000004E-2</c:v>
                </c:pt>
                <c:pt idx="2">
                  <c:v>1.6399999999999998E-2</c:v>
                </c:pt>
                <c:pt idx="3">
                  <c:v>2.1820389986624736E-2</c:v>
                </c:pt>
                <c:pt idx="4">
                  <c:v>2.1203657777044194E-2</c:v>
                </c:pt>
                <c:pt idx="5">
                  <c:v>2.0739605997120436E-2</c:v>
                </c:pt>
                <c:pt idx="6">
                  <c:v>2.0183769627331774E-2</c:v>
                </c:pt>
                <c:pt idx="7">
                  <c:v>1.9658058207904353E-2</c:v>
                </c:pt>
                <c:pt idx="8">
                  <c:v>1.9161470122658994E-2</c:v>
                </c:pt>
                <c:pt idx="9">
                  <c:v>1.8693046326663451E-2</c:v>
                </c:pt>
                <c:pt idx="10">
                  <c:v>1.8251876027238476E-2</c:v>
                </c:pt>
                <c:pt idx="11">
                  <c:v>1.783710321478435E-2</c:v>
                </c:pt>
                <c:pt idx="12">
                  <c:v>1.7561277051266699E-2</c:v>
                </c:pt>
                <c:pt idx="13">
                  <c:v>1.7196632920973426E-2</c:v>
                </c:pt>
                <c:pt idx="14">
                  <c:v>1.6973070376095301E-2</c:v>
                </c:pt>
                <c:pt idx="15">
                  <c:v>1.677858760650143E-2</c:v>
                </c:pt>
                <c:pt idx="16">
                  <c:v>1.6488576265782054E-2</c:v>
                </c:pt>
                <c:pt idx="17">
                  <c:v>1.6351886877814595E-2</c:v>
                </c:pt>
                <c:pt idx="18">
                  <c:v>1.625113823253474E-2</c:v>
                </c:pt>
                <c:pt idx="19">
                  <c:v>1.619143798971015E-2</c:v>
                </c:pt>
                <c:pt idx="20">
                  <c:v>1.6180171507852101E-2</c:v>
                </c:pt>
                <c:pt idx="21">
                  <c:v>1.6228220943715607E-2</c:v>
                </c:pt>
                <c:pt idx="22">
                  <c:v>1.6352070870786176E-2</c:v>
                </c:pt>
                <c:pt idx="23">
                  <c:v>1.6338421000690898E-2</c:v>
                </c:pt>
                <c:pt idx="24">
                  <c:v>2.1657624533589381E-2</c:v>
                </c:pt>
                <c:pt idx="25">
                  <c:v>2.6831223500873025E-2</c:v>
                </c:pt>
                <c:pt idx="26">
                  <c:v>3.1765861952152211E-2</c:v>
                </c:pt>
                <c:pt idx="27">
                  <c:v>3.7170623969046176E-2</c:v>
                </c:pt>
                <c:pt idx="28">
                  <c:v>4.2304878589111403E-2</c:v>
                </c:pt>
                <c:pt idx="29">
                  <c:v>4.7569085618246534E-2</c:v>
                </c:pt>
                <c:pt idx="30">
                  <c:v>5.3017989194535937E-2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C-9C49-855F-D8CCB9BC4C0C}"/>
            </c:ext>
          </c:extLst>
        </c:ser>
        <c:ser>
          <c:idx val="1"/>
          <c:order val="1"/>
          <c:tx>
            <c:v>Unfunded Liability Amortization Payment</c:v>
          </c:tx>
          <c:spPr>
            <a:solidFill>
              <a:srgbClr val="00B0F0"/>
            </a:solidFill>
          </c:spPr>
          <c:invertIfNegative val="0"/>
          <c:cat>
            <c:numRef>
              <c:f>SCRS!$A$10:$A$40</c:f>
              <c:numCache>
                <c:formatCode>General</c:formatCode>
                <c:ptCount val="3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</c:numCache>
            </c:numRef>
          </c:cat>
          <c:val>
            <c:numRef>
              <c:f>SCRS!$EJ$10:$EJ$40</c:f>
              <c:numCache>
                <c:formatCode>0.00%</c:formatCode>
                <c:ptCount val="31"/>
                <c:pt idx="0">
                  <c:v>0.11839999999999999</c:v>
                </c:pt>
                <c:pt idx="1">
                  <c:v>0.129</c:v>
                </c:pt>
                <c:pt idx="2">
                  <c:v>0.13920000000000002</c:v>
                </c:pt>
                <c:pt idx="3">
                  <c:v>0.1437796100133753</c:v>
                </c:pt>
                <c:pt idx="4">
                  <c:v>0.15439634222295584</c:v>
                </c:pt>
                <c:pt idx="5">
                  <c:v>0.16486039400287961</c:v>
                </c:pt>
                <c:pt idx="6">
                  <c:v>0.16541623037266828</c:v>
                </c:pt>
                <c:pt idx="7">
                  <c:v>0.1659419417920957</c:v>
                </c:pt>
                <c:pt idx="8">
                  <c:v>0.16643852987734103</c:v>
                </c:pt>
                <c:pt idx="9">
                  <c:v>0.16690695367333658</c:v>
                </c:pt>
                <c:pt idx="10">
                  <c:v>0.16734812397276155</c:v>
                </c:pt>
                <c:pt idx="11">
                  <c:v>0.16776289678521569</c:v>
                </c:pt>
                <c:pt idx="12">
                  <c:v>0.16803872294873334</c:v>
                </c:pt>
                <c:pt idx="13">
                  <c:v>0.16840336707902662</c:v>
                </c:pt>
                <c:pt idx="14">
                  <c:v>0.16862692962390474</c:v>
                </c:pt>
                <c:pt idx="15">
                  <c:v>0.16882141239349863</c:v>
                </c:pt>
                <c:pt idx="16">
                  <c:v>0.169111423734218</c:v>
                </c:pt>
                <c:pt idx="17">
                  <c:v>0.16924811312218546</c:v>
                </c:pt>
                <c:pt idx="18">
                  <c:v>0.1693488617674653</c:v>
                </c:pt>
                <c:pt idx="19">
                  <c:v>0.16940856201028989</c:v>
                </c:pt>
                <c:pt idx="20">
                  <c:v>0.16941982849214793</c:v>
                </c:pt>
                <c:pt idx="21">
                  <c:v>0.16937177905628442</c:v>
                </c:pt>
                <c:pt idx="22">
                  <c:v>0.16924792912921388</c:v>
                </c:pt>
                <c:pt idx="23">
                  <c:v>0.16926157899930916</c:v>
                </c:pt>
                <c:pt idx="24">
                  <c:v>0.15394237546641065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C-9C49-855F-D8CCB9BC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083416"/>
        <c:axId val="342083808"/>
      </c:barChart>
      <c:lineChart>
        <c:grouping val="standard"/>
        <c:varyColors val="0"/>
        <c:ser>
          <c:idx val="0"/>
          <c:order val="2"/>
          <c:tx>
            <c:v>Baseline Employer Contribution (Statutory)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SCRS!$A$10:$A$40</c:f>
              <c:numCache>
                <c:formatCode>General</c:formatCode>
                <c:ptCount val="3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</c:numCache>
            </c:numRef>
          </c:cat>
          <c:val>
            <c:numRef>
              <c:f>SCRS!$EN$10:$EN$40</c:f>
              <c:numCache>
                <c:formatCode>0.00%</c:formatCode>
                <c:ptCount val="31"/>
                <c:pt idx="0">
                  <c:v>0.14560000000000001</c:v>
                </c:pt>
                <c:pt idx="1">
                  <c:v>0.15560000000000002</c:v>
                </c:pt>
                <c:pt idx="2">
                  <c:v>0.16560000000000002</c:v>
                </c:pt>
                <c:pt idx="3">
                  <c:v>0.17560000000000003</c:v>
                </c:pt>
                <c:pt idx="4">
                  <c:v>0.18560000000000004</c:v>
                </c:pt>
                <c:pt idx="5">
                  <c:v>0.18560000000000004</c:v>
                </c:pt>
                <c:pt idx="6">
                  <c:v>0.18560000000000004</c:v>
                </c:pt>
                <c:pt idx="7">
                  <c:v>0.18560000000000004</c:v>
                </c:pt>
                <c:pt idx="8">
                  <c:v>0.18560000000000004</c:v>
                </c:pt>
                <c:pt idx="9">
                  <c:v>0.18560000000000004</c:v>
                </c:pt>
                <c:pt idx="10">
                  <c:v>0.18560000000000004</c:v>
                </c:pt>
                <c:pt idx="11">
                  <c:v>0.18560000000000004</c:v>
                </c:pt>
                <c:pt idx="12">
                  <c:v>0.18560000000000004</c:v>
                </c:pt>
                <c:pt idx="13">
                  <c:v>0.18560000000000004</c:v>
                </c:pt>
                <c:pt idx="14">
                  <c:v>0.18560000000000004</c:v>
                </c:pt>
                <c:pt idx="15">
                  <c:v>0.18560000000000004</c:v>
                </c:pt>
                <c:pt idx="16">
                  <c:v>0.18560000000000004</c:v>
                </c:pt>
                <c:pt idx="17">
                  <c:v>0.18560000000000004</c:v>
                </c:pt>
                <c:pt idx="18">
                  <c:v>0.18560000000000004</c:v>
                </c:pt>
                <c:pt idx="19">
                  <c:v>0.17560000000000003</c:v>
                </c:pt>
                <c:pt idx="20">
                  <c:v>0.16560000000000002</c:v>
                </c:pt>
                <c:pt idx="21">
                  <c:v>0.15560000000000002</c:v>
                </c:pt>
                <c:pt idx="22">
                  <c:v>0.14560000000000001</c:v>
                </c:pt>
                <c:pt idx="23">
                  <c:v>0.1356</c:v>
                </c:pt>
                <c:pt idx="24">
                  <c:v>0.12559999999999999</c:v>
                </c:pt>
                <c:pt idx="25">
                  <c:v>0.11560000000000001</c:v>
                </c:pt>
                <c:pt idx="26">
                  <c:v>0.1056</c:v>
                </c:pt>
                <c:pt idx="27">
                  <c:v>9.5600000000000004E-2</c:v>
                </c:pt>
                <c:pt idx="28">
                  <c:v>8.5600000000000009E-2</c:v>
                </c:pt>
                <c:pt idx="29">
                  <c:v>7.5600000000000014E-2</c:v>
                </c:pt>
                <c:pt idx="30">
                  <c:v>6.5600000000000019E-2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C-9C49-855F-D8CCB9BC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83416"/>
        <c:axId val="342083808"/>
      </c:lineChart>
      <c:catAx>
        <c:axId val="34208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mpd="sng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  <a:latin typeface="+mn-lt"/>
                <a:ea typeface="Calibri" charset="0"/>
                <a:cs typeface="Calibri" charset="0"/>
              </a:defRPr>
            </a:pPr>
            <a:endParaRPr lang="en-US"/>
          </a:p>
        </c:txPr>
        <c:crossAx val="342083808"/>
        <c:crosses val="autoZero"/>
        <c:auto val="1"/>
        <c:lblAlgn val="ctr"/>
        <c:lblOffset val="100"/>
        <c:tickLblSkip val="3"/>
        <c:noMultiLvlLbl val="0"/>
      </c:catAx>
      <c:valAx>
        <c:axId val="342083808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400" b="1" baseline="0"/>
                  <a:t>Employer Contribution </a:t>
                </a:r>
                <a:r>
                  <a:rPr lang="en-US" sz="1400" b="1"/>
                  <a:t>(</a:t>
                </a:r>
                <a:r>
                  <a:rPr lang="en-US" sz="1400" b="1" i="0" u="none" strike="noStrike" baseline="0">
                    <a:effectLst/>
                  </a:rPr>
                  <a:t>% of Payroll</a:t>
                </a:r>
                <a:r>
                  <a:rPr lang="en-US" sz="1400" b="1"/>
                  <a:t>)</a:t>
                </a:r>
              </a:p>
            </c:rich>
          </c:tx>
          <c:layout>
            <c:manualLayout>
              <c:xMode val="edge"/>
              <c:yMode val="edge"/>
              <c:x val="7.2506561679789997E-4"/>
              <c:y val="0.181631209201578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175" cmpd="sng"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400" kern="12100" spc="-100" baseline="0"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342083416"/>
        <c:crosses val="autoZero"/>
        <c:crossBetween val="between"/>
        <c:majorUnit val="5.000000000000001E-2"/>
      </c:valAx>
    </c:plotArea>
    <c:legend>
      <c:legendPos val="b"/>
      <c:layout>
        <c:manualLayout>
          <c:xMode val="edge"/>
          <c:yMode val="edge"/>
          <c:x val="0.12037037037037035"/>
          <c:y val="0.91350889052769579"/>
          <c:w val="0.81680810731991838"/>
          <c:h val="8.6491109472304165E-2"/>
        </c:manualLayout>
      </c:layout>
      <c:overlay val="0"/>
      <c:spPr>
        <a:solidFill>
          <a:schemeClr val="bg1"/>
        </a:solidFill>
        <a:ln>
          <a:noFill/>
        </a:ln>
      </c:spPr>
      <c:txPr>
        <a:bodyPr lIns="2">
          <a:spAutoFit/>
        </a:bodyPr>
        <a:lstStyle/>
        <a:p>
          <a:pPr>
            <a:defRPr sz="1300" b="0" strike="noStrike" spc="0"/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>
      <a:noFill/>
    </a:ln>
  </c:sp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1828521434799E-2"/>
          <c:y val="1.2484394506866401E-2"/>
          <c:w val="0.87559407504617504"/>
          <c:h val="0.80516265158964284"/>
        </c:manualLayout>
      </c:layout>
      <c:barChart>
        <c:barDir val="col"/>
        <c:grouping val="stacked"/>
        <c:varyColors val="0"/>
        <c:ser>
          <c:idx val="5"/>
          <c:order val="0"/>
          <c:tx>
            <c:v>Employer DB Normal Cost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numRef>
              <c:f>SCRS!$A$10:$A$40</c:f>
              <c:numCache>
                <c:formatCode>General</c:formatCode>
                <c:ptCount val="3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</c:numCache>
            </c:numRef>
          </c:cat>
          <c:val>
            <c:numRef>
              <c:f>SCRS!$EK$10:$EK$40</c:f>
              <c:numCache>
                <c:formatCode>0.00%</c:formatCode>
                <c:ptCount val="31"/>
                <c:pt idx="0">
                  <c:v>1.7200000000000007E-2</c:v>
                </c:pt>
                <c:pt idx="1">
                  <c:v>1.6600000000000004E-2</c:v>
                </c:pt>
                <c:pt idx="2">
                  <c:v>1.6399999999999998E-2</c:v>
                </c:pt>
                <c:pt idx="3">
                  <c:v>2.1820389986624736E-2</c:v>
                </c:pt>
                <c:pt idx="4">
                  <c:v>2.1203657777044194E-2</c:v>
                </c:pt>
                <c:pt idx="5">
                  <c:v>2.0739605997120436E-2</c:v>
                </c:pt>
                <c:pt idx="6">
                  <c:v>2.0183769627331774E-2</c:v>
                </c:pt>
                <c:pt idx="7">
                  <c:v>1.9658058207904353E-2</c:v>
                </c:pt>
                <c:pt idx="8">
                  <c:v>1.9161470122658994E-2</c:v>
                </c:pt>
                <c:pt idx="9">
                  <c:v>1.8693046326663451E-2</c:v>
                </c:pt>
                <c:pt idx="10">
                  <c:v>1.8251876027238476E-2</c:v>
                </c:pt>
                <c:pt idx="11">
                  <c:v>1.783710321478435E-2</c:v>
                </c:pt>
                <c:pt idx="12">
                  <c:v>1.7561277051266699E-2</c:v>
                </c:pt>
                <c:pt idx="13">
                  <c:v>1.7196632920973426E-2</c:v>
                </c:pt>
                <c:pt idx="14">
                  <c:v>1.6973070376095301E-2</c:v>
                </c:pt>
                <c:pt idx="15">
                  <c:v>1.677858760650143E-2</c:v>
                </c:pt>
                <c:pt idx="16">
                  <c:v>1.6488576265782054E-2</c:v>
                </c:pt>
                <c:pt idx="17">
                  <c:v>1.6351886877814595E-2</c:v>
                </c:pt>
                <c:pt idx="18">
                  <c:v>1.625113823253474E-2</c:v>
                </c:pt>
                <c:pt idx="19">
                  <c:v>1.619143798971015E-2</c:v>
                </c:pt>
                <c:pt idx="20">
                  <c:v>1.6180171507852101E-2</c:v>
                </c:pt>
                <c:pt idx="21">
                  <c:v>1.6228220943715607E-2</c:v>
                </c:pt>
                <c:pt idx="22">
                  <c:v>1.6352070870786176E-2</c:v>
                </c:pt>
                <c:pt idx="23">
                  <c:v>1.6338421000690898E-2</c:v>
                </c:pt>
                <c:pt idx="24">
                  <c:v>2.1657624533589381E-2</c:v>
                </c:pt>
                <c:pt idx="25">
                  <c:v>2.6831223500873025E-2</c:v>
                </c:pt>
                <c:pt idx="26">
                  <c:v>3.1765861952152211E-2</c:v>
                </c:pt>
                <c:pt idx="27">
                  <c:v>3.7170623969046176E-2</c:v>
                </c:pt>
                <c:pt idx="28">
                  <c:v>4.2304878589111403E-2</c:v>
                </c:pt>
                <c:pt idx="29">
                  <c:v>4.7569085618246534E-2</c:v>
                </c:pt>
                <c:pt idx="30">
                  <c:v>5.3017989194535937E-2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2-5C4B-B46A-49ACE10C4FE4}"/>
            </c:ext>
          </c:extLst>
        </c:ser>
        <c:ser>
          <c:idx val="1"/>
          <c:order val="1"/>
          <c:tx>
            <c:v>Unfunded Liability Amortization Payment</c:v>
          </c:tx>
          <c:spPr>
            <a:solidFill>
              <a:srgbClr val="00B0F0"/>
            </a:solidFill>
          </c:spPr>
          <c:invertIfNegative val="0"/>
          <c:cat>
            <c:numRef>
              <c:f>SCRS!$A$10:$A$40</c:f>
              <c:numCache>
                <c:formatCode>General</c:formatCode>
                <c:ptCount val="3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</c:numCache>
            </c:numRef>
          </c:cat>
          <c:val>
            <c:numRef>
              <c:f>SCRS!$EJ$10:$EJ$40</c:f>
              <c:numCache>
                <c:formatCode>0.00%</c:formatCode>
                <c:ptCount val="31"/>
                <c:pt idx="0">
                  <c:v>0.11839999999999999</c:v>
                </c:pt>
                <c:pt idx="1">
                  <c:v>0.129</c:v>
                </c:pt>
                <c:pt idx="2">
                  <c:v>0.13920000000000002</c:v>
                </c:pt>
                <c:pt idx="3">
                  <c:v>0.1437796100133753</c:v>
                </c:pt>
                <c:pt idx="4">
                  <c:v>0.15439634222295584</c:v>
                </c:pt>
                <c:pt idx="5">
                  <c:v>0.16486039400287961</c:v>
                </c:pt>
                <c:pt idx="6">
                  <c:v>0.16541623037266828</c:v>
                </c:pt>
                <c:pt idx="7">
                  <c:v>0.1659419417920957</c:v>
                </c:pt>
                <c:pt idx="8">
                  <c:v>0.16643852987734103</c:v>
                </c:pt>
                <c:pt idx="9">
                  <c:v>0.16690695367333658</c:v>
                </c:pt>
                <c:pt idx="10">
                  <c:v>0.16734812397276155</c:v>
                </c:pt>
                <c:pt idx="11">
                  <c:v>0.16776289678521569</c:v>
                </c:pt>
                <c:pt idx="12">
                  <c:v>0.16803872294873334</c:v>
                </c:pt>
                <c:pt idx="13">
                  <c:v>0.16840336707902662</c:v>
                </c:pt>
                <c:pt idx="14">
                  <c:v>0.16862692962390474</c:v>
                </c:pt>
                <c:pt idx="15">
                  <c:v>0.16882141239349863</c:v>
                </c:pt>
                <c:pt idx="16">
                  <c:v>0.169111423734218</c:v>
                </c:pt>
                <c:pt idx="17">
                  <c:v>0.16924811312218546</c:v>
                </c:pt>
                <c:pt idx="18">
                  <c:v>0.1693488617674653</c:v>
                </c:pt>
                <c:pt idx="19">
                  <c:v>0.16940856201028989</c:v>
                </c:pt>
                <c:pt idx="20">
                  <c:v>0.16941982849214793</c:v>
                </c:pt>
                <c:pt idx="21">
                  <c:v>0.16937177905628442</c:v>
                </c:pt>
                <c:pt idx="22">
                  <c:v>0.16924792912921388</c:v>
                </c:pt>
                <c:pt idx="23">
                  <c:v>0.16926157899930916</c:v>
                </c:pt>
                <c:pt idx="24">
                  <c:v>0.15394237546641065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2-5C4B-B46A-49ACE10C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086944"/>
        <c:axId val="342081848"/>
      </c:barChart>
      <c:lineChart>
        <c:grouping val="standard"/>
        <c:varyColors val="0"/>
        <c:ser>
          <c:idx val="3"/>
          <c:order val="2"/>
          <c:tx>
            <c:v>Baseline Employer Contribution (ADEC)</c:v>
          </c:tx>
          <c:spPr>
            <a:ln w="25400"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SCRS!$A$10:$A$40</c:f>
              <c:numCache>
                <c:formatCode>General</c:formatCode>
                <c:ptCount val="3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</c:numCache>
            </c:numRef>
          </c:cat>
          <c:val>
            <c:numRef>
              <c:f>SCRS!$EO$10:$EO$40</c:f>
              <c:numCache>
                <c:formatCode>0.00%</c:formatCode>
                <c:ptCount val="31"/>
                <c:pt idx="0">
                  <c:v>0.13919473544364294</c:v>
                </c:pt>
                <c:pt idx="1">
                  <c:v>0.14441113135963379</c:v>
                </c:pt>
                <c:pt idx="2">
                  <c:v>0.14644827505296137</c:v>
                </c:pt>
                <c:pt idx="3">
                  <c:v>0.14561794598676497</c:v>
                </c:pt>
                <c:pt idx="4">
                  <c:v>0.15208585280461628</c:v>
                </c:pt>
                <c:pt idx="5">
                  <c:v>0.15111503711983915</c:v>
                </c:pt>
                <c:pt idx="6">
                  <c:v>0.15087244101547864</c:v>
                </c:pt>
                <c:pt idx="7">
                  <c:v>0.15036851340602203</c:v>
                </c:pt>
                <c:pt idx="8">
                  <c:v>0.15001201000079967</c:v>
                </c:pt>
                <c:pt idx="9">
                  <c:v>0.14961702432319526</c:v>
                </c:pt>
                <c:pt idx="10">
                  <c:v>0.14913082589908561</c:v>
                </c:pt>
                <c:pt idx="11">
                  <c:v>0.14878371111218719</c:v>
                </c:pt>
                <c:pt idx="12">
                  <c:v>0.14836793068126636</c:v>
                </c:pt>
                <c:pt idx="13">
                  <c:v>0.14797773225750099</c:v>
                </c:pt>
                <c:pt idx="14">
                  <c:v>0.14767126975694481</c:v>
                </c:pt>
                <c:pt idx="15">
                  <c:v>0.14721796552821831</c:v>
                </c:pt>
                <c:pt idx="16">
                  <c:v>0.14692704999100956</c:v>
                </c:pt>
                <c:pt idx="17">
                  <c:v>0.14655477058478084</c:v>
                </c:pt>
                <c:pt idx="18">
                  <c:v>0.14621120021188189</c:v>
                </c:pt>
                <c:pt idx="19">
                  <c:v>0.14584694197056447</c:v>
                </c:pt>
                <c:pt idx="20">
                  <c:v>0.14558454355797928</c:v>
                </c:pt>
                <c:pt idx="21">
                  <c:v>0.14516797470638748</c:v>
                </c:pt>
                <c:pt idx="22">
                  <c:v>0.14492199990237131</c:v>
                </c:pt>
                <c:pt idx="23">
                  <c:v>0.14460009562723541</c:v>
                </c:pt>
                <c:pt idx="24">
                  <c:v>0.14421816042371446</c:v>
                </c:pt>
                <c:pt idx="25">
                  <c:v>0.1439788008272706</c:v>
                </c:pt>
                <c:pt idx="26">
                  <c:v>0.14369079844627314</c:v>
                </c:pt>
                <c:pt idx="27">
                  <c:v>0.14344509077636353</c:v>
                </c:pt>
                <c:pt idx="28">
                  <c:v>0.14330498767576727</c:v>
                </c:pt>
                <c:pt idx="29">
                  <c:v>0.14304146722243882</c:v>
                </c:pt>
                <c:pt idx="30">
                  <c:v>2.4647249465779036E-2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2-5C4B-B46A-49ACE10C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86944"/>
        <c:axId val="342081848"/>
      </c:lineChart>
      <c:catAx>
        <c:axId val="3420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mpd="sng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  <a:latin typeface="+mn-lt"/>
                <a:ea typeface="Calibri" charset="0"/>
                <a:cs typeface="Calibri" charset="0"/>
              </a:defRPr>
            </a:pPr>
            <a:endParaRPr lang="en-US"/>
          </a:p>
        </c:txPr>
        <c:crossAx val="342081848"/>
        <c:crosses val="autoZero"/>
        <c:auto val="1"/>
        <c:lblAlgn val="ctr"/>
        <c:lblOffset val="100"/>
        <c:tickLblSkip val="3"/>
        <c:noMultiLvlLbl val="0"/>
      </c:catAx>
      <c:valAx>
        <c:axId val="342081848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400" b="1" baseline="0"/>
                  <a:t>Employer Contribution </a:t>
                </a:r>
                <a:r>
                  <a:rPr lang="en-US" sz="1400" b="1"/>
                  <a:t>(</a:t>
                </a:r>
                <a:r>
                  <a:rPr lang="en-US" sz="1400" b="1" i="0" u="none" strike="noStrike" baseline="0">
                    <a:effectLst/>
                  </a:rPr>
                  <a:t>% of Payroll</a:t>
                </a:r>
                <a:r>
                  <a:rPr lang="en-US" sz="1400" b="1"/>
                  <a:t>)</a:t>
                </a:r>
              </a:p>
            </c:rich>
          </c:tx>
          <c:layout>
            <c:manualLayout>
              <c:xMode val="edge"/>
              <c:yMode val="edge"/>
              <c:x val="7.2506561679789997E-4"/>
              <c:y val="0.181631209201578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175" cmpd="sng"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400" kern="12100" spc="-100" baseline="0"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342086944"/>
        <c:crosses val="autoZero"/>
        <c:crossBetween val="between"/>
        <c:majorUnit val="5.000000000000001E-2"/>
      </c:valAx>
    </c:plotArea>
    <c:legend>
      <c:legendPos val="b"/>
      <c:layout>
        <c:manualLayout>
          <c:xMode val="edge"/>
          <c:yMode val="edge"/>
          <c:x val="0.12037037037037035"/>
          <c:y val="0.91350889052769579"/>
          <c:w val="0.81680810731991838"/>
          <c:h val="8.6491109472304165E-2"/>
        </c:manualLayout>
      </c:layout>
      <c:overlay val="0"/>
      <c:spPr>
        <a:solidFill>
          <a:schemeClr val="bg1"/>
        </a:solidFill>
        <a:ln>
          <a:noFill/>
        </a:ln>
      </c:spPr>
      <c:txPr>
        <a:bodyPr lIns="2">
          <a:spAutoFit/>
        </a:bodyPr>
        <a:lstStyle/>
        <a:p>
          <a:pPr>
            <a:defRPr sz="1300" b="0" strike="noStrike" spc="0"/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>
      <a:noFill/>
    </a:ln>
  </c:sp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SCRS!$CR$13</c:f>
              <c:strCache>
                <c:ptCount val="1"/>
                <c:pt idx="0">
                  <c:v> LIVE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SCRS!$CR$14:$CR$44</c:f>
              <c:numCache>
                <c:formatCode>_(* #,##0_);_(* \(#,##0\);_(* "-"??_);_(@_)</c:formatCode>
                <c:ptCount val="31"/>
                <c:pt idx="0">
                  <c:v>1345.7255588640003</c:v>
                </c:pt>
                <c:pt idx="1">
                  <c:v>1857.9077704981726</c:v>
                </c:pt>
                <c:pt idx="2">
                  <c:v>1957.2411068190756</c:v>
                </c:pt>
                <c:pt idx="3">
                  <c:v>2072.9812065482315</c:v>
                </c:pt>
                <c:pt idx="4">
                  <c:v>2197.0417650830364</c:v>
                </c:pt>
                <c:pt idx="5">
                  <c:v>2320.7720984603661</c:v>
                </c:pt>
                <c:pt idx="6">
                  <c:v>2413.4234976043954</c:v>
                </c:pt>
                <c:pt idx="7">
                  <c:v>2508.8592712423861</c:v>
                </c:pt>
                <c:pt idx="8">
                  <c:v>2608.3635117124677</c:v>
                </c:pt>
                <c:pt idx="9">
                  <c:v>2712.1523873206988</c:v>
                </c:pt>
                <c:pt idx="10">
                  <c:v>2820.4499624045638</c:v>
                </c:pt>
                <c:pt idx="11">
                  <c:v>2933.4876174518918</c:v>
                </c:pt>
                <c:pt idx="12">
                  <c:v>3051.5060666228846</c:v>
                </c:pt>
                <c:pt idx="13">
                  <c:v>3174.7561166836131</c:v>
                </c:pt>
                <c:pt idx="14">
                  <c:v>3303.5068189125268</c:v>
                </c:pt>
                <c:pt idx="15">
                  <c:v>3438.0432438844928</c:v>
                </c:pt>
                <c:pt idx="16">
                  <c:v>3578.6667729291203</c:v>
                </c:pt>
                <c:pt idx="17">
                  <c:v>3725.7018184942403</c:v>
                </c:pt>
                <c:pt idx="18">
                  <c:v>3879.4922583141997</c:v>
                </c:pt>
                <c:pt idx="19">
                  <c:v>4040.4045337727439</c:v>
                </c:pt>
                <c:pt idx="20">
                  <c:v>4208.8292430246065</c:v>
                </c:pt>
                <c:pt idx="21">
                  <c:v>1029.594870284217</c:v>
                </c:pt>
                <c:pt idx="22">
                  <c:v>1035.0183975872437</c:v>
                </c:pt>
                <c:pt idx="23">
                  <c:v>1019.7633063649828</c:v>
                </c:pt>
                <c:pt idx="24">
                  <c:v>998.72027568243482</c:v>
                </c:pt>
                <c:pt idx="25">
                  <c:v>987.53874266564128</c:v>
                </c:pt>
                <c:pt idx="26">
                  <c:v>1041.806985646183</c:v>
                </c:pt>
                <c:pt idx="27">
                  <c:v>1100.4594752167911</c:v>
                </c:pt>
                <c:pt idx="28">
                  <c:v>1161.5874730113862</c:v>
                </c:pt>
                <c:pt idx="29">
                  <c:v>1225.5276525292199</c:v>
                </c:pt>
                <c:pt idx="30">
                  <c:v>1292.7005057057552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D-584A-81A6-45611182A34C}"/>
            </c:ext>
          </c:extLst>
        </c:ser>
        <c:ser>
          <c:idx val="1"/>
          <c:order val="1"/>
          <c:tx>
            <c:strRef>
              <c:f>SCRS!$CV$13</c:f>
              <c:strCache>
                <c:ptCount val="1"/>
                <c:pt idx="0">
                  <c:v> Status Quo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SCRS!$CV$14:$CV$44</c:f>
              <c:numCache>
                <c:formatCode>_(* #,##0_);_(* \(#,##0\);_(* "-"??_);_(@_)</c:formatCode>
                <c:ptCount val="31"/>
                <c:pt idx="0">
                  <c:v>1602.6307610560002</c:v>
                </c:pt>
                <c:pt idx="1">
                  <c:v>1773.9339391326903</c:v>
                </c:pt>
                <c:pt idx="2">
                  <c:v>1962.5074967933747</c:v>
                </c:pt>
                <c:pt idx="3">
                  <c:v>2160.1251208733088</c:v>
                </c:pt>
                <c:pt idx="4">
                  <c:v>2367.1794892836515</c:v>
                </c:pt>
                <c:pt idx="5">
                  <c:v>2584.078819937864</c:v>
                </c:pt>
                <c:pt idx="6">
                  <c:v>2811.2473992411997</c:v>
                </c:pt>
                <c:pt idx="7">
                  <c:v>2286.9889154559432</c:v>
                </c:pt>
                <c:pt idx="8">
                  <c:v>2362.8461368172752</c:v>
                </c:pt>
                <c:pt idx="9">
                  <c:v>2658.5473219036712</c:v>
                </c:pt>
                <c:pt idx="10">
                  <c:v>2969.329259258689</c:v>
                </c:pt>
                <c:pt idx="11">
                  <c:v>2602.3229823245492</c:v>
                </c:pt>
                <c:pt idx="12">
                  <c:v>2686.3502266906926</c:v>
                </c:pt>
                <c:pt idx="13">
                  <c:v>2772.6004220802051</c:v>
                </c:pt>
                <c:pt idx="14">
                  <c:v>2861.1502341114956</c:v>
                </c:pt>
                <c:pt idx="15">
                  <c:v>2952.0786371882327</c:v>
                </c:pt>
                <c:pt idx="16">
                  <c:v>3045.4669560636739</c:v>
                </c:pt>
                <c:pt idx="17">
                  <c:v>3141.398909988889</c:v>
                </c:pt>
                <c:pt idx="18">
                  <c:v>3239.9606599519766</c:v>
                </c:pt>
                <c:pt idx="19">
                  <c:v>3341.2408589503384</c:v>
                </c:pt>
                <c:pt idx="20">
                  <c:v>3445.3307053815665</c:v>
                </c:pt>
                <c:pt idx="21">
                  <c:v>3552.3239997348296</c:v>
                </c:pt>
                <c:pt idx="22">
                  <c:v>3662.3172044831531</c:v>
                </c:pt>
                <c:pt idx="23">
                  <c:v>3775.4095075985347</c:v>
                </c:pt>
                <c:pt idx="24">
                  <c:v>3891.7028894525974</c:v>
                </c:pt>
                <c:pt idx="25">
                  <c:v>4011.302193150962</c:v>
                </c:pt>
                <c:pt idx="26">
                  <c:v>4134.2940170673683</c:v>
                </c:pt>
                <c:pt idx="27">
                  <c:v>4260.7935501749007</c:v>
                </c:pt>
                <c:pt idx="28">
                  <c:v>4390.9185166235575</c:v>
                </c:pt>
                <c:pt idx="29">
                  <c:v>4524.7893149643387</c:v>
                </c:pt>
                <c:pt idx="30">
                  <c:v>4662.5291572151036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D-584A-81A6-456111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86552"/>
        <c:axId val="342087336"/>
      </c:lineChart>
      <c:catAx>
        <c:axId val="3420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7336"/>
        <c:crosses val="autoZero"/>
        <c:auto val="1"/>
        <c:lblAlgn val="ctr"/>
        <c:lblOffset val="100"/>
        <c:noMultiLvlLbl val="0"/>
      </c:catAx>
      <c:valAx>
        <c:axId val="3420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89772449920358E-2"/>
          <c:y val="2.8610070744902207E-2"/>
          <c:w val="0.88633492449640328"/>
          <c:h val="0.87496518459537131"/>
        </c:manualLayout>
      </c:layout>
      <c:lineChart>
        <c:grouping val="standard"/>
        <c:varyColors val="0"/>
        <c:ser>
          <c:idx val="0"/>
          <c:order val="0"/>
          <c:tx>
            <c:v>Baseline (status quo) under 7% Returns</c:v>
          </c:tx>
          <c:spPr>
            <a:ln w="38100" cap="rnd">
              <a:solidFill>
                <a:srgbClr val="496FB9"/>
              </a:solidFill>
              <a:round/>
            </a:ln>
            <a:effectLst/>
          </c:spPr>
          <c:marker>
            <c:symbol val="none"/>
          </c:marker>
          <c:cat>
            <c:numRef>
              <c:f>Outputs!$A$4:$A$34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Outputs!$E$4:$E$34</c:f>
              <c:numCache>
                <c:formatCode>0.00%</c:formatCode>
                <c:ptCount val="31"/>
                <c:pt idx="0">
                  <c:v>0.15805160795638792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0.17560000000000006</c:v>
                </c:pt>
                <c:pt idx="4">
                  <c:v>0.18560000000000007</c:v>
                </c:pt>
                <c:pt idx="5">
                  <c:v>0.18560000000000004</c:v>
                </c:pt>
                <c:pt idx="6">
                  <c:v>0.18559999999999999</c:v>
                </c:pt>
                <c:pt idx="7">
                  <c:v>0.18560000000000007</c:v>
                </c:pt>
                <c:pt idx="8">
                  <c:v>0.18560000000000007</c:v>
                </c:pt>
                <c:pt idx="9">
                  <c:v>0.18560000000000001</c:v>
                </c:pt>
                <c:pt idx="10">
                  <c:v>0.18560000000000007</c:v>
                </c:pt>
                <c:pt idx="11">
                  <c:v>0.18560000000000001</c:v>
                </c:pt>
                <c:pt idx="12">
                  <c:v>0.18560000000000004</c:v>
                </c:pt>
                <c:pt idx="13">
                  <c:v>0.18560000000000004</c:v>
                </c:pt>
                <c:pt idx="14">
                  <c:v>0.1856000000000001</c:v>
                </c:pt>
                <c:pt idx="15">
                  <c:v>0.1856000000000001</c:v>
                </c:pt>
                <c:pt idx="16">
                  <c:v>0.18560000000000004</c:v>
                </c:pt>
                <c:pt idx="17">
                  <c:v>0.18560000000000001</c:v>
                </c:pt>
                <c:pt idx="18">
                  <c:v>0.18560000000000004</c:v>
                </c:pt>
                <c:pt idx="19">
                  <c:v>0.18560000000000004</c:v>
                </c:pt>
                <c:pt idx="20">
                  <c:v>0.17560000000000006</c:v>
                </c:pt>
                <c:pt idx="21">
                  <c:v>0.16560000000000002</c:v>
                </c:pt>
                <c:pt idx="22">
                  <c:v>2.8762328092903865E-2</c:v>
                </c:pt>
                <c:pt idx="23">
                  <c:v>2.9097480565371439E-2</c:v>
                </c:pt>
                <c:pt idx="24">
                  <c:v>3.2812206857198947E-2</c:v>
                </c:pt>
                <c:pt idx="25">
                  <c:v>3.6561823959373935E-2</c:v>
                </c:pt>
                <c:pt idx="26">
                  <c:v>4.035016442197488E-2</c:v>
                </c:pt>
                <c:pt idx="27">
                  <c:v>4.4182305205808042E-2</c:v>
                </c:pt>
                <c:pt idx="28">
                  <c:v>4.8062574471430156E-2</c:v>
                </c:pt>
                <c:pt idx="29">
                  <c:v>5.1995881738351055E-2</c:v>
                </c:pt>
                <c:pt idx="30">
                  <c:v>5.5986097549609155E-2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1-834F-A776-B4495E6A7B79}"/>
            </c:ext>
          </c:extLst>
        </c:ser>
        <c:ser>
          <c:idx val="2"/>
          <c:order val="1"/>
          <c:tx>
            <c:v>Baseline (status quo) under market stress</c:v>
          </c:tx>
          <c:spPr>
            <a:ln w="38100" cap="rnd">
              <a:solidFill>
                <a:srgbClr val="496FB9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Outputs!$J$4:$J$34</c:f>
              <c:numCache>
                <c:formatCode>0.00%</c:formatCode>
                <c:ptCount val="31"/>
                <c:pt idx="0">
                  <c:v>0.15805160795638792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0.17560000000000006</c:v>
                </c:pt>
                <c:pt idx="4">
                  <c:v>0.18560000000000007</c:v>
                </c:pt>
                <c:pt idx="5">
                  <c:v>0.19560000000000005</c:v>
                </c:pt>
                <c:pt idx="6">
                  <c:v>0.20560000000000006</c:v>
                </c:pt>
                <c:pt idx="7">
                  <c:v>0.21560000000000007</c:v>
                </c:pt>
                <c:pt idx="8">
                  <c:v>0.18560000000000007</c:v>
                </c:pt>
                <c:pt idx="9">
                  <c:v>0.18560000000000001</c:v>
                </c:pt>
                <c:pt idx="10">
                  <c:v>0.19560000000000008</c:v>
                </c:pt>
                <c:pt idx="11">
                  <c:v>0.20560000000000006</c:v>
                </c:pt>
                <c:pt idx="12">
                  <c:v>0.18560000000000004</c:v>
                </c:pt>
                <c:pt idx="13">
                  <c:v>0.18560000000000004</c:v>
                </c:pt>
                <c:pt idx="14">
                  <c:v>0.1856000000000001</c:v>
                </c:pt>
                <c:pt idx="15">
                  <c:v>0.18560000000000007</c:v>
                </c:pt>
                <c:pt idx="16">
                  <c:v>0.18560000000000004</c:v>
                </c:pt>
                <c:pt idx="17">
                  <c:v>0.18560000000000007</c:v>
                </c:pt>
                <c:pt idx="18">
                  <c:v>0.18560000000000004</c:v>
                </c:pt>
                <c:pt idx="19">
                  <c:v>0.18560000000000001</c:v>
                </c:pt>
                <c:pt idx="20">
                  <c:v>0.18560000000000007</c:v>
                </c:pt>
                <c:pt idx="21">
                  <c:v>0.18560000000000001</c:v>
                </c:pt>
                <c:pt idx="22">
                  <c:v>0.18560000000000004</c:v>
                </c:pt>
                <c:pt idx="23">
                  <c:v>0.18560000000000001</c:v>
                </c:pt>
                <c:pt idx="24">
                  <c:v>0.18560000000000001</c:v>
                </c:pt>
                <c:pt idx="25">
                  <c:v>0.18560000000000004</c:v>
                </c:pt>
                <c:pt idx="26">
                  <c:v>0.18560000000000001</c:v>
                </c:pt>
                <c:pt idx="27">
                  <c:v>0.18560000000000001</c:v>
                </c:pt>
                <c:pt idx="28">
                  <c:v>0.18560000000000007</c:v>
                </c:pt>
                <c:pt idx="29">
                  <c:v>0.18560000000000004</c:v>
                </c:pt>
                <c:pt idx="30">
                  <c:v>0.18560000000000007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1-834F-A776-B4495E6A7B79}"/>
            </c:ext>
          </c:extLst>
        </c:ser>
        <c:ser>
          <c:idx val="1"/>
          <c:order val="2"/>
          <c:tx>
            <c:v>SB 176 (as introduced) under 7% returns</c:v>
          </c:tx>
          <c:spPr>
            <a:ln w="38100" cap="rnd">
              <a:solidFill>
                <a:srgbClr val="FF6D2C"/>
              </a:solidFill>
              <a:round/>
            </a:ln>
            <a:effectLst/>
          </c:spPr>
          <c:marker>
            <c:symbol val="none"/>
          </c:marker>
          <c:cat>
            <c:numRef>
              <c:f>Outputs!$A$4:$A$34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Outputs!$F$4:$F$34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0.17560000000000001</c:v>
                </c:pt>
                <c:pt idx="4">
                  <c:v>0.1856000000000001</c:v>
                </c:pt>
                <c:pt idx="5">
                  <c:v>0.18558885067673878</c:v>
                </c:pt>
                <c:pt idx="6">
                  <c:v>0.18556313859358817</c:v>
                </c:pt>
                <c:pt idx="7">
                  <c:v>0.18552711429486388</c:v>
                </c:pt>
                <c:pt idx="8">
                  <c:v>0.18548064551752125</c:v>
                </c:pt>
                <c:pt idx="9">
                  <c:v>0.18542341149614361</c:v>
                </c:pt>
                <c:pt idx="10">
                  <c:v>0.18535500224844495</c:v>
                </c:pt>
                <c:pt idx="11">
                  <c:v>0.18527504885926721</c:v>
                </c:pt>
                <c:pt idx="12">
                  <c:v>0.18518322753250682</c:v>
                </c:pt>
                <c:pt idx="13">
                  <c:v>0.1850745838911097</c:v>
                </c:pt>
                <c:pt idx="14">
                  <c:v>0.18495367454581341</c:v>
                </c:pt>
                <c:pt idx="15">
                  <c:v>0.1848235644683292</c:v>
                </c:pt>
                <c:pt idx="16">
                  <c:v>0.18468654498191545</c:v>
                </c:pt>
                <c:pt idx="17">
                  <c:v>0.1845442569804244</c:v>
                </c:pt>
                <c:pt idx="18">
                  <c:v>0.1843911701012293</c:v>
                </c:pt>
                <c:pt idx="19">
                  <c:v>0.18422723930379098</c:v>
                </c:pt>
                <c:pt idx="20">
                  <c:v>0.18405245725689667</c:v>
                </c:pt>
                <c:pt idx="21">
                  <c:v>0.18386678336530185</c:v>
                </c:pt>
                <c:pt idx="22">
                  <c:v>0.18367012257047741</c:v>
                </c:pt>
                <c:pt idx="23">
                  <c:v>0.17346580275194981</c:v>
                </c:pt>
                <c:pt idx="24">
                  <c:v>0.16325599214806813</c:v>
                </c:pt>
                <c:pt idx="25">
                  <c:v>0.1530381530220889</c:v>
                </c:pt>
                <c:pt idx="26">
                  <c:v>6.0480160164612953E-2</c:v>
                </c:pt>
                <c:pt idx="27">
                  <c:v>5.6467912388881582E-2</c:v>
                </c:pt>
                <c:pt idx="28">
                  <c:v>5.7028256831143653E-2</c:v>
                </c:pt>
                <c:pt idx="29">
                  <c:v>5.746856846607349E-2</c:v>
                </c:pt>
                <c:pt idx="30">
                  <c:v>5.7792260243789681E-2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1-834F-A776-B4495E6A7B79}"/>
            </c:ext>
          </c:extLst>
        </c:ser>
        <c:ser>
          <c:idx val="3"/>
          <c:order val="3"/>
          <c:tx>
            <c:v>SB 176 (as introduced) under market stress</c:v>
          </c:tx>
          <c:spPr>
            <a:ln w="38100" cap="rnd">
              <a:solidFill>
                <a:srgbClr val="F76D2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Outputs!$K$4:$K$34</c:f>
              <c:numCache>
                <c:formatCode>0.00%</c:formatCode>
                <c:ptCount val="31"/>
                <c:pt idx="0">
                  <c:v>0.16097461568266105</c:v>
                </c:pt>
                <c:pt idx="1">
                  <c:v>0.15560000000000004</c:v>
                </c:pt>
                <c:pt idx="2">
                  <c:v>0.16560000000000005</c:v>
                </c:pt>
                <c:pt idx="3">
                  <c:v>0.17560000000000001</c:v>
                </c:pt>
                <c:pt idx="4">
                  <c:v>0.1856000000000001</c:v>
                </c:pt>
                <c:pt idx="5">
                  <c:v>0.19558847598391696</c:v>
                </c:pt>
                <c:pt idx="6">
                  <c:v>0.20556066481481217</c:v>
                </c:pt>
                <c:pt idx="7">
                  <c:v>0.21552325150745566</c:v>
                </c:pt>
                <c:pt idx="8">
                  <c:v>0.22547749259564173</c:v>
                </c:pt>
                <c:pt idx="9">
                  <c:v>0.18542396668322927</c:v>
                </c:pt>
                <c:pt idx="10">
                  <c:v>0.18536361288238529</c:v>
                </c:pt>
                <c:pt idx="11">
                  <c:v>0.19529826225965799</c:v>
                </c:pt>
                <c:pt idx="12">
                  <c:v>0.20522638651214301</c:v>
                </c:pt>
                <c:pt idx="13">
                  <c:v>0.21514381512166789</c:v>
                </c:pt>
                <c:pt idx="14">
                  <c:v>0.18505587388009243</c:v>
                </c:pt>
                <c:pt idx="15">
                  <c:v>0.18496665529069253</c:v>
                </c:pt>
                <c:pt idx="16">
                  <c:v>0.1948802039168937</c:v>
                </c:pt>
                <c:pt idx="17">
                  <c:v>0.20479707605764758</c:v>
                </c:pt>
                <c:pt idx="18">
                  <c:v>0.21525712564350674</c:v>
                </c:pt>
                <c:pt idx="19">
                  <c:v>0.18573320371259205</c:v>
                </c:pt>
                <c:pt idx="20">
                  <c:v>0.18603065673076752</c:v>
                </c:pt>
                <c:pt idx="21">
                  <c:v>0.19614029251942922</c:v>
                </c:pt>
                <c:pt idx="22">
                  <c:v>0.20618805278246194</c:v>
                </c:pt>
                <c:pt idx="23">
                  <c:v>0.21574289485326259</c:v>
                </c:pt>
                <c:pt idx="24">
                  <c:v>0.18540019057049009</c:v>
                </c:pt>
                <c:pt idx="25">
                  <c:v>0.18516187153754857</c:v>
                </c:pt>
                <c:pt idx="26">
                  <c:v>0.19503931354874784</c:v>
                </c:pt>
                <c:pt idx="27">
                  <c:v>0.20492518661437209</c:v>
                </c:pt>
                <c:pt idx="28">
                  <c:v>0.18441043015322939</c:v>
                </c:pt>
                <c:pt idx="29">
                  <c:v>0.18389321693671931</c:v>
                </c:pt>
                <c:pt idx="30">
                  <c:v>0.19351754884731079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1-834F-A776-B4495E6A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85376"/>
        <c:axId val="342082632"/>
      </c:lineChart>
      <c:catAx>
        <c:axId val="3420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2632"/>
        <c:crosses val="autoZero"/>
        <c:auto val="1"/>
        <c:lblAlgn val="ctr"/>
        <c:lblOffset val="100"/>
        <c:tickLblSkip val="2"/>
        <c:noMultiLvlLbl val="0"/>
      </c:catAx>
      <c:valAx>
        <c:axId val="34208263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Annual Employer Contribution (% of Payroll)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168655801565037E-4"/>
              <c:y val="0.1480617693063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3436557869857"/>
          <c:y val="0.58720004848661533"/>
          <c:w val="0.48317004886714016"/>
          <c:h val="0.2321441304258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52657102823361E-2"/>
          <c:y val="2.8610070744902207E-2"/>
          <c:w val="0.89227201961704239"/>
          <c:h val="0.90455930274353558"/>
        </c:manualLayout>
      </c:layout>
      <c:lineChart>
        <c:grouping val="standard"/>
        <c:varyColors val="0"/>
        <c:ser>
          <c:idx val="0"/>
          <c:order val="0"/>
          <c:tx>
            <c:v>Baseline (status quo) under 7% returns</c:v>
          </c:tx>
          <c:spPr>
            <a:ln w="38100" cap="rnd">
              <a:solidFill>
                <a:srgbClr val="496FB9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Outputs!$E$103:$E$133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27481.767523016861</c:v>
                </c:pt>
                <c:pt idx="2">
                  <c:v>26985.161663062692</c:v>
                </c:pt>
                <c:pt idx="3">
                  <c:v>26317.910671491558</c:v>
                </c:pt>
                <c:pt idx="4">
                  <c:v>25470.654594082895</c:v>
                </c:pt>
                <c:pt idx="5">
                  <c:v>24559.940930131255</c:v>
                </c:pt>
                <c:pt idx="6">
                  <c:v>23583.147340472879</c:v>
                </c:pt>
                <c:pt idx="7">
                  <c:v>22537.503970564838</c:v>
                </c:pt>
                <c:pt idx="8">
                  <c:v>21420.087223557341</c:v>
                </c:pt>
                <c:pt idx="9">
                  <c:v>20227.813263013519</c:v>
                </c:pt>
                <c:pt idx="10">
                  <c:v>18957.431228787551</c:v>
                </c:pt>
                <c:pt idx="11">
                  <c:v>17605.52889325222</c:v>
                </c:pt>
                <c:pt idx="12">
                  <c:v>16168.490242664333</c:v>
                </c:pt>
                <c:pt idx="13">
                  <c:v>14642.535669299094</c:v>
                </c:pt>
                <c:pt idx="14">
                  <c:v>13023.677641806335</c:v>
                </c:pt>
                <c:pt idx="15">
                  <c:v>11307.704469877583</c:v>
                </c:pt>
                <c:pt idx="16">
                  <c:v>9490.2241834296747</c:v>
                </c:pt>
                <c:pt idx="17">
                  <c:v>7566.6062664492283</c:v>
                </c:pt>
                <c:pt idx="18">
                  <c:v>5531.9871687793739</c:v>
                </c:pt>
                <c:pt idx="19">
                  <c:v>3381.2601410240591</c:v>
                </c:pt>
                <c:pt idx="20">
                  <c:v>1310.4811840177078</c:v>
                </c:pt>
                <c:pt idx="21">
                  <c:v>-672.82386427173572</c:v>
                </c:pt>
                <c:pt idx="22">
                  <c:v>-745.49809135583735</c:v>
                </c:pt>
                <c:pt idx="23">
                  <c:v>-765.65172999161575</c:v>
                </c:pt>
                <c:pt idx="24">
                  <c:v>-777.97608436477958</c:v>
                </c:pt>
                <c:pt idx="25">
                  <c:v>-781.36605227533812</c:v>
                </c:pt>
                <c:pt idx="26">
                  <c:v>-774.65663200366259</c:v>
                </c:pt>
                <c:pt idx="27">
                  <c:v>-756.78120394019288</c:v>
                </c:pt>
                <c:pt idx="28">
                  <c:v>-726.69341472809526</c:v>
                </c:pt>
                <c:pt idx="29">
                  <c:v>-683.42357216088294</c:v>
                </c:pt>
                <c:pt idx="30">
                  <c:v>-626.07825103028836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0-9B41-92B5-6CD580515297}"/>
            </c:ext>
          </c:extLst>
        </c:ser>
        <c:ser>
          <c:idx val="2"/>
          <c:order val="1"/>
          <c:tx>
            <c:v>Baseline (status quo) under market stress</c:v>
          </c:tx>
          <c:spPr>
            <a:ln w="38100" cap="rnd">
              <a:solidFill>
                <a:srgbClr val="496FB9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Outputs!$J$103:$J$133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35537.40085691266</c:v>
                </c:pt>
                <c:pt idx="2">
                  <c:v>34662.300109267751</c:v>
                </c:pt>
                <c:pt idx="3">
                  <c:v>33551.102400859367</c:v>
                </c:pt>
                <c:pt idx="4">
                  <c:v>32182.791497386232</c:v>
                </c:pt>
                <c:pt idx="5">
                  <c:v>31688.235466812766</c:v>
                </c:pt>
                <c:pt idx="6">
                  <c:v>31026.466466894413</c:v>
                </c:pt>
                <c:pt idx="7">
                  <c:v>30189.61608765609</c:v>
                </c:pt>
                <c:pt idx="8">
                  <c:v>29848.991180447534</c:v>
                </c:pt>
                <c:pt idx="9">
                  <c:v>29475.96289402913</c:v>
                </c:pt>
                <c:pt idx="10">
                  <c:v>28883.054209015474</c:v>
                </c:pt>
                <c:pt idx="11">
                  <c:v>28059.511542627752</c:v>
                </c:pt>
                <c:pt idx="12">
                  <c:v>27561.373472064606</c:v>
                </c:pt>
                <c:pt idx="13">
                  <c:v>27025.146968029778</c:v>
                </c:pt>
                <c:pt idx="14">
                  <c:v>26449.397571470403</c:v>
                </c:pt>
                <c:pt idx="15">
                  <c:v>25832.592474610279</c:v>
                </c:pt>
                <c:pt idx="16">
                  <c:v>34388.54485401314</c:v>
                </c:pt>
                <c:pt idx="17">
                  <c:v>32902.733339677856</c:v>
                </c:pt>
                <c:pt idx="18">
                  <c:v>31269.083697976504</c:v>
                </c:pt>
                <c:pt idx="19">
                  <c:v>29475.855083939856</c:v>
                </c:pt>
                <c:pt idx="20">
                  <c:v>28868.670352522615</c:v>
                </c:pt>
                <c:pt idx="21">
                  <c:v>28219.415843951836</c:v>
                </c:pt>
                <c:pt idx="22">
                  <c:v>27527.649908249594</c:v>
                </c:pt>
                <c:pt idx="23">
                  <c:v>26793.328103499174</c:v>
                </c:pt>
                <c:pt idx="24">
                  <c:v>26016.693944597268</c:v>
                </c:pt>
                <c:pt idx="25">
                  <c:v>25198.316673682883</c:v>
                </c:pt>
                <c:pt idx="26">
                  <c:v>24339.169565106822</c:v>
                </c:pt>
                <c:pt idx="27">
                  <c:v>23440.496047558947</c:v>
                </c:pt>
                <c:pt idx="28">
                  <c:v>22503.872964087219</c:v>
                </c:pt>
                <c:pt idx="29">
                  <c:v>21531.166882298894</c:v>
                </c:pt>
                <c:pt idx="30">
                  <c:v>20524.514529690365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0-9B41-92B5-6CD580515297}"/>
            </c:ext>
          </c:extLst>
        </c:ser>
        <c:ser>
          <c:idx val="1"/>
          <c:order val="2"/>
          <c:tx>
            <c:v>SB 176 (as introduced) under 7% returns</c:v>
          </c:tx>
          <c:spPr>
            <a:ln w="38100" cap="rnd">
              <a:solidFill>
                <a:srgbClr val="F76D2C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Outputs!$F$103:$F$133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27517.062384632856</c:v>
                </c:pt>
                <c:pt idx="2">
                  <c:v>27057.649887408505</c:v>
                </c:pt>
                <c:pt idx="3">
                  <c:v>26446.709373179357</c:v>
                </c:pt>
                <c:pt idx="4">
                  <c:v>25681.697081335646</c:v>
                </c:pt>
                <c:pt idx="5">
                  <c:v>24874.984774475932</c:v>
                </c:pt>
                <c:pt idx="6">
                  <c:v>24025.359898527538</c:v>
                </c:pt>
                <c:pt idx="7">
                  <c:v>23131.472306974956</c:v>
                </c:pt>
                <c:pt idx="8">
                  <c:v>22191.891510431291</c:v>
                </c:pt>
                <c:pt idx="9">
                  <c:v>21205.106564765851</c:v>
                </c:pt>
                <c:pt idx="10">
                  <c:v>20169.524589178272</c:v>
                </c:pt>
                <c:pt idx="11">
                  <c:v>19089.497373113762</c:v>
                </c:pt>
                <c:pt idx="12">
                  <c:v>17957.537203642452</c:v>
                </c:pt>
                <c:pt idx="13">
                  <c:v>16777.982622884752</c:v>
                </c:pt>
                <c:pt idx="14">
                  <c:v>15549.251069687009</c:v>
                </c:pt>
                <c:pt idx="15">
                  <c:v>14263.430671987186</c:v>
                </c:pt>
                <c:pt idx="16">
                  <c:v>12924.5537957047</c:v>
                </c:pt>
                <c:pt idx="17">
                  <c:v>11530.638426812618</c:v>
                </c:pt>
                <c:pt idx="18">
                  <c:v>10079.686601212865</c:v>
                </c:pt>
                <c:pt idx="19">
                  <c:v>8569.5993079528962</c:v>
                </c:pt>
                <c:pt idx="20">
                  <c:v>6998.1720672747051</c:v>
                </c:pt>
                <c:pt idx="21">
                  <c:v>5363.9313515617732</c:v>
                </c:pt>
                <c:pt idx="22">
                  <c:v>3658.9148058705123</c:v>
                </c:pt>
                <c:pt idx="23">
                  <c:v>2050.1822578631941</c:v>
                </c:pt>
                <c:pt idx="24">
                  <c:v>535.92522008454239</c:v>
                </c:pt>
                <c:pt idx="25">
                  <c:v>-884.07039374565784</c:v>
                </c:pt>
                <c:pt idx="26">
                  <c:v>-992.44230177189627</c:v>
                </c:pt>
                <c:pt idx="27">
                  <c:v>-1018.0366776735752</c:v>
                </c:pt>
                <c:pt idx="28">
                  <c:v>-1029.7570951101677</c:v>
                </c:pt>
                <c:pt idx="29">
                  <c:v>-1026.3616182162359</c:v>
                </c:pt>
                <c:pt idx="30">
                  <c:v>-1006.6583843879772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0-9B41-92B5-6CD580515297}"/>
            </c:ext>
          </c:extLst>
        </c:ser>
        <c:ser>
          <c:idx val="3"/>
          <c:order val="3"/>
          <c:tx>
            <c:v>SB 176 (as introduced) under market stress</c:v>
          </c:tx>
          <c:spPr>
            <a:ln w="38100" cap="rnd">
              <a:solidFill>
                <a:srgbClr val="F76D2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Outputs!$K$103:$K$133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35567.146707403677</c:v>
                </c:pt>
                <c:pt idx="2">
                  <c:v>34730.803655000804</c:v>
                </c:pt>
                <c:pt idx="3">
                  <c:v>33679.744419600094</c:v>
                </c:pt>
                <c:pt idx="4">
                  <c:v>32401.666165806928</c:v>
                </c:pt>
                <c:pt idx="5">
                  <c:v>32007.993049723762</c:v>
                </c:pt>
                <c:pt idx="6">
                  <c:v>31468.385578660902</c:v>
                </c:pt>
                <c:pt idx="7">
                  <c:v>30775.900848488025</c:v>
                </c:pt>
                <c:pt idx="8">
                  <c:v>29923.279172608938</c:v>
                </c:pt>
                <c:pt idx="9">
                  <c:v>29725.995027918794</c:v>
                </c:pt>
                <c:pt idx="10">
                  <c:v>29513.409391171052</c:v>
                </c:pt>
                <c:pt idx="11">
                  <c:v>29116.645635388519</c:v>
                </c:pt>
                <c:pt idx="12">
                  <c:v>28525.820945230713</c:v>
                </c:pt>
                <c:pt idx="13">
                  <c:v>27740.165244750664</c:v>
                </c:pt>
                <c:pt idx="14">
                  <c:v>27434.348399826111</c:v>
                </c:pt>
                <c:pt idx="15">
                  <c:v>27109.163971521681</c:v>
                </c:pt>
                <c:pt idx="16">
                  <c:v>34833.356739224466</c:v>
                </c:pt>
                <c:pt idx="17">
                  <c:v>33448.805177619048</c:v>
                </c:pt>
                <c:pt idx="18">
                  <c:v>31779.785943643528</c:v>
                </c:pt>
                <c:pt idx="19">
                  <c:v>30483.254845703617</c:v>
                </c:pt>
                <c:pt idx="20">
                  <c:v>30222.178809753044</c:v>
                </c:pt>
                <c:pt idx="21">
                  <c:v>29780.44524982537</c:v>
                </c:pt>
                <c:pt idx="22">
                  <c:v>29150.452679402428</c:v>
                </c:pt>
                <c:pt idx="23">
                  <c:v>28341.853274899597</c:v>
                </c:pt>
                <c:pt idx="24">
                  <c:v>27988.514140670133</c:v>
                </c:pt>
                <c:pt idx="25">
                  <c:v>27618.391707392486</c:v>
                </c:pt>
                <c:pt idx="26">
                  <c:v>27075.187753230188</c:v>
                </c:pt>
                <c:pt idx="27">
                  <c:v>26350.987680333343</c:v>
                </c:pt>
                <c:pt idx="28">
                  <c:v>25930.297512961566</c:v>
                </c:pt>
                <c:pt idx="29">
                  <c:v>25506.768348201353</c:v>
                </c:pt>
                <c:pt idx="30">
                  <c:v>24921.119373434922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0-9B41-92B5-6CD58051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84984"/>
        <c:axId val="343835016"/>
      </c:lineChart>
      <c:catAx>
        <c:axId val="34208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5016"/>
        <c:crossesAt val="-15000000"/>
        <c:auto val="1"/>
        <c:lblAlgn val="ctr"/>
        <c:lblOffset val="100"/>
        <c:tickLblSkip val="2"/>
        <c:noMultiLvlLbl val="0"/>
      </c:catAx>
      <c:valAx>
        <c:axId val="343835016"/>
        <c:scaling>
          <c:orientation val="minMax"/>
          <c:max val="45000"/>
          <c:min val="-1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Market Liability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(in &amp;Billions)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498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66734670598053"/>
          <c:y val="0.68393887359215622"/>
          <c:w val="0.44298550262130948"/>
          <c:h val="0.21292475302781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24872336971247E-2"/>
          <c:y val="2.8610070744902207E-2"/>
          <c:w val="0.89399982256030974"/>
          <c:h val="0.90455930274353558"/>
        </c:manualLayout>
      </c:layout>
      <c:areaChart>
        <c:grouping val="stacked"/>
        <c:varyColors val="0"/>
        <c:ser>
          <c:idx val="2"/>
          <c:order val="2"/>
          <c:spPr>
            <a:noFill/>
            <a:ln>
              <a:noFill/>
            </a:ln>
            <a:effectLst/>
          </c:spPr>
          <c:val>
            <c:numRef>
              <c:f>Outputs!$E$169:$E$199</c:f>
              <c:numCache>
                <c:formatCode>_(* #,##0_);_(* \(#,##0\);_(* "-"??_);_(@_)</c:formatCode>
                <c:ptCount val="31"/>
                <c:pt idx="0">
                  <c:v>26292.418000000001</c:v>
                </c:pt>
                <c:pt idx="1">
                  <c:v>27528.529982282307</c:v>
                </c:pt>
                <c:pt idx="2">
                  <c:v>28318.246979777097</c:v>
                </c:pt>
                <c:pt idx="3">
                  <c:v>29261.750844601906</c:v>
                </c:pt>
                <c:pt idx="4">
                  <c:v>30368.299934736351</c:v>
                </c:pt>
                <c:pt idx="5">
                  <c:v>31521.075623172826</c:v>
                </c:pt>
                <c:pt idx="6">
                  <c:v>32722.443406541988</c:v>
                </c:pt>
                <c:pt idx="7">
                  <c:v>33974.884198515574</c:v>
                </c:pt>
                <c:pt idx="8">
                  <c:v>35280.999775844546</c:v>
                </c:pt>
                <c:pt idx="9">
                  <c:v>36643.51847844143</c:v>
                </c:pt>
                <c:pt idx="10">
                  <c:v>38065.301175320164</c:v>
                </c:pt>
                <c:pt idx="11">
                  <c:v>39549.791285385407</c:v>
                </c:pt>
                <c:pt idx="12">
                  <c:v>41099.763523674381</c:v>
                </c:pt>
                <c:pt idx="13">
                  <c:v>42719.069538194803</c:v>
                </c:pt>
                <c:pt idx="14">
                  <c:v>44411.304551383044</c:v>
                </c:pt>
                <c:pt idx="15">
                  <c:v>46179.579323809281</c:v>
                </c:pt>
                <c:pt idx="16">
                  <c:v>48028.421867674326</c:v>
                </c:pt>
                <c:pt idx="17">
                  <c:v>49961.974519673102</c:v>
                </c:pt>
                <c:pt idx="18">
                  <c:v>51984.580972408898</c:v>
                </c:pt>
                <c:pt idx="19">
                  <c:v>54100.795759550761</c:v>
                </c:pt>
                <c:pt idx="20">
                  <c:v>56113.977581416126</c:v>
                </c:pt>
                <c:pt idx="21">
                  <c:v>58046.066941107631</c:v>
                </c:pt>
                <c:pt idx="22">
                  <c:v>58104.033410899523</c:v>
                </c:pt>
                <c:pt idx="23">
                  <c:v>58179.375227710269</c:v>
                </c:pt>
                <c:pt idx="24">
                  <c:v>58348.532142963209</c:v>
                </c:pt>
                <c:pt idx="25">
                  <c:v>58641.864161025536</c:v>
                </c:pt>
                <c:pt idx="26">
                  <c:v>59091.506265923425</c:v>
                </c:pt>
                <c:pt idx="27">
                  <c:v>59725.952108571422</c:v>
                </c:pt>
                <c:pt idx="28">
                  <c:v>60573.304953081875</c:v>
                </c:pt>
                <c:pt idx="29">
                  <c:v>61659.712871671974</c:v>
                </c:pt>
                <c:pt idx="30">
                  <c:v>63009.073572902053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7-A94B-A328-FE29ECE9B527}"/>
            </c:ext>
          </c:extLst>
        </c:ser>
        <c:ser>
          <c:idx val="3"/>
          <c:order val="3"/>
          <c:spPr>
            <a:solidFill>
              <a:srgbClr val="D3D3D3"/>
            </a:solidFill>
            <a:ln w="25400">
              <a:noFill/>
            </a:ln>
            <a:effectLst/>
          </c:spPr>
          <c:val>
            <c:numRef>
              <c:f>Outputs!$M$103:$M$122</c:f>
              <c:numCache>
                <c:formatCode>_(* #,##0_);_(* \(#,##0\);_(* "-"??_);_(@_)</c:formatCode>
                <c:ptCount val="20"/>
                <c:pt idx="0">
                  <c:v>25768.827000000001</c:v>
                </c:pt>
                <c:pt idx="1">
                  <c:v>27481.767523016861</c:v>
                </c:pt>
                <c:pt idx="2">
                  <c:v>26985.161663062689</c:v>
                </c:pt>
                <c:pt idx="3">
                  <c:v>26289.505584420098</c:v>
                </c:pt>
                <c:pt idx="4">
                  <c:v>25376.00755160032</c:v>
                </c:pt>
                <c:pt idx="5">
                  <c:v>24370.090110979658</c:v>
                </c:pt>
                <c:pt idx="6">
                  <c:v>23269.003593343255</c:v>
                </c:pt>
                <c:pt idx="7">
                  <c:v>22069.877075867407</c:v>
                </c:pt>
                <c:pt idx="8">
                  <c:v>20769.713936099506</c:v>
                </c:pt>
                <c:pt idx="9">
                  <c:v>19365.38722886637</c:v>
                </c:pt>
                <c:pt idx="10">
                  <c:v>17853.634874252326</c:v>
                </c:pt>
                <c:pt idx="11">
                  <c:v>16223.328468046915</c:v>
                </c:pt>
                <c:pt idx="12">
                  <c:v>14478.504159771859</c:v>
                </c:pt>
                <c:pt idx="13">
                  <c:v>12608.206861229599</c:v>
                </c:pt>
                <c:pt idx="14">
                  <c:v>10608.709324596937</c:v>
                </c:pt>
                <c:pt idx="15">
                  <c:v>8482.9059360641259</c:v>
                </c:pt>
                <c:pt idx="16">
                  <c:v>6220.089833561593</c:v>
                </c:pt>
                <c:pt idx="17">
                  <c:v>3816.0857040020564</c:v>
                </c:pt>
                <c:pt idx="18">
                  <c:v>1266.5580623795177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7-A94B-A328-FE29ECE9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31488"/>
        <c:axId val="343827960"/>
      </c:areaChart>
      <c:lineChart>
        <c:grouping val="standard"/>
        <c:varyColors val="0"/>
        <c:ser>
          <c:idx val="1"/>
          <c:order val="0"/>
          <c:tx>
            <c:v>Actuarial Accrued Liability</c:v>
          </c:tx>
          <c:spPr>
            <a:ln w="38100" cap="rnd">
              <a:solidFill>
                <a:srgbClr val="FF6D2C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Outputs!$E$136:$E$166</c:f>
              <c:numCache>
                <c:formatCode>_(* #,##0_);_(* \(#,##0\);_(* "-"??_);_(@_)</c:formatCode>
                <c:ptCount val="31"/>
                <c:pt idx="0">
                  <c:v>52061.245000000003</c:v>
                </c:pt>
                <c:pt idx="1">
                  <c:v>55010.297505299168</c:v>
                </c:pt>
                <c:pt idx="2">
                  <c:v>55303.408642839786</c:v>
                </c:pt>
                <c:pt idx="3">
                  <c:v>55551.256429022003</c:v>
                </c:pt>
                <c:pt idx="4">
                  <c:v>55744.307486336671</c:v>
                </c:pt>
                <c:pt idx="5">
                  <c:v>55891.165734152484</c:v>
                </c:pt>
                <c:pt idx="6">
                  <c:v>55991.446999885244</c:v>
                </c:pt>
                <c:pt idx="7">
                  <c:v>56044.761274382981</c:v>
                </c:pt>
                <c:pt idx="8">
                  <c:v>56050.713711944052</c:v>
                </c:pt>
                <c:pt idx="9">
                  <c:v>56008.9057073078</c:v>
                </c:pt>
                <c:pt idx="10">
                  <c:v>55918.93604957249</c:v>
                </c:pt>
                <c:pt idx="11">
                  <c:v>55773.119753432322</c:v>
                </c:pt>
                <c:pt idx="12">
                  <c:v>55578.26768344624</c:v>
                </c:pt>
                <c:pt idx="13">
                  <c:v>55327.276399424401</c:v>
                </c:pt>
                <c:pt idx="14">
                  <c:v>55020.013875979981</c:v>
                </c:pt>
                <c:pt idx="15">
                  <c:v>54662.485259873407</c:v>
                </c:pt>
                <c:pt idx="16">
                  <c:v>54248.511701235919</c:v>
                </c:pt>
                <c:pt idx="17">
                  <c:v>53778.060223675158</c:v>
                </c:pt>
                <c:pt idx="18">
                  <c:v>53251.139034788415</c:v>
                </c:pt>
                <c:pt idx="19">
                  <c:v>52667.801162871845</c:v>
                </c:pt>
                <c:pt idx="20">
                  <c:v>52028.148268985686</c:v>
                </c:pt>
                <c:pt idx="21">
                  <c:v>51362.420138250818</c:v>
                </c:pt>
                <c:pt idx="22">
                  <c:v>50706.568425722304</c:v>
                </c:pt>
                <c:pt idx="23">
                  <c:v>50089.947755269066</c:v>
                </c:pt>
                <c:pt idx="24">
                  <c:v>49549.765615744247</c:v>
                </c:pt>
                <c:pt idx="25">
                  <c:v>49122.410756992831</c:v>
                </c:pt>
                <c:pt idx="26">
                  <c:v>48837.870631415455</c:v>
                </c:pt>
                <c:pt idx="27">
                  <c:v>48730.205575708358</c:v>
                </c:pt>
                <c:pt idx="28">
                  <c:v>48829.201576560408</c:v>
                </c:pt>
                <c:pt idx="29">
                  <c:v>49162.675546272025</c:v>
                </c:pt>
                <c:pt idx="30">
                  <c:v>49756.184065030102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7-A94B-A328-FE29ECE9B527}"/>
            </c:ext>
          </c:extLst>
        </c:ser>
        <c:ser>
          <c:idx val="0"/>
          <c:order val="1"/>
          <c:tx>
            <c:v>Market Value of Assets</c:v>
          </c:tx>
          <c:spPr>
            <a:ln w="38100" cap="rnd">
              <a:solidFill>
                <a:srgbClr val="496FB9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Outputs!$E$169:$E$199</c:f>
              <c:numCache>
                <c:formatCode>_(* #,##0_);_(* \(#,##0\);_(* "-"??_);_(@_)</c:formatCode>
                <c:ptCount val="31"/>
                <c:pt idx="0">
                  <c:v>26292.418000000001</c:v>
                </c:pt>
                <c:pt idx="1">
                  <c:v>27528.529982282307</c:v>
                </c:pt>
                <c:pt idx="2">
                  <c:v>28318.246979777097</c:v>
                </c:pt>
                <c:pt idx="3">
                  <c:v>29261.750844601906</c:v>
                </c:pt>
                <c:pt idx="4">
                  <c:v>30368.299934736351</c:v>
                </c:pt>
                <c:pt idx="5">
                  <c:v>31521.075623172826</c:v>
                </c:pt>
                <c:pt idx="6">
                  <c:v>32722.443406541988</c:v>
                </c:pt>
                <c:pt idx="7">
                  <c:v>33974.884198515574</c:v>
                </c:pt>
                <c:pt idx="8">
                  <c:v>35280.999775844546</c:v>
                </c:pt>
                <c:pt idx="9">
                  <c:v>36643.51847844143</c:v>
                </c:pt>
                <c:pt idx="10">
                  <c:v>38065.301175320164</c:v>
                </c:pt>
                <c:pt idx="11">
                  <c:v>39549.791285385407</c:v>
                </c:pt>
                <c:pt idx="12">
                  <c:v>41099.763523674381</c:v>
                </c:pt>
                <c:pt idx="13">
                  <c:v>42719.069538194803</c:v>
                </c:pt>
                <c:pt idx="14">
                  <c:v>44411.304551383044</c:v>
                </c:pt>
                <c:pt idx="15">
                  <c:v>46179.579323809281</c:v>
                </c:pt>
                <c:pt idx="16">
                  <c:v>48028.421867674326</c:v>
                </c:pt>
                <c:pt idx="17">
                  <c:v>49961.974519673102</c:v>
                </c:pt>
                <c:pt idx="18">
                  <c:v>51984.580972408898</c:v>
                </c:pt>
                <c:pt idx="19">
                  <c:v>54100.795759550761</c:v>
                </c:pt>
                <c:pt idx="20">
                  <c:v>56113.977581416126</c:v>
                </c:pt>
                <c:pt idx="21">
                  <c:v>58046.066941107631</c:v>
                </c:pt>
                <c:pt idx="22">
                  <c:v>58104.033410899523</c:v>
                </c:pt>
                <c:pt idx="23">
                  <c:v>58179.375227710269</c:v>
                </c:pt>
                <c:pt idx="24">
                  <c:v>58348.532142963209</c:v>
                </c:pt>
                <c:pt idx="25">
                  <c:v>58641.864161025536</c:v>
                </c:pt>
                <c:pt idx="26">
                  <c:v>59091.506265923425</c:v>
                </c:pt>
                <c:pt idx="27">
                  <c:v>59725.952108571422</c:v>
                </c:pt>
                <c:pt idx="28">
                  <c:v>60573.304953081875</c:v>
                </c:pt>
                <c:pt idx="29">
                  <c:v>61659.712871671974</c:v>
                </c:pt>
                <c:pt idx="30">
                  <c:v>63009.073572902053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7-A94B-A328-FE29ECE9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31488"/>
        <c:axId val="343827960"/>
      </c:lineChart>
      <c:catAx>
        <c:axId val="3438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7960"/>
        <c:crossesAt val="-15000000000"/>
        <c:auto val="1"/>
        <c:lblAlgn val="ctr"/>
        <c:lblOffset val="100"/>
        <c:tickLblSkip val="2"/>
        <c:noMultiLvlLbl val="0"/>
      </c:catAx>
      <c:valAx>
        <c:axId val="343827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Value of Assets and Liabilities (in $Billions)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14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9.1190722921888512E-2"/>
          <c:y val="0.7617029968222"/>
          <c:w val="0.3372307699735832"/>
          <c:h val="0.11756039324286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24872336971247E-2"/>
          <c:y val="2.8610070744902207E-2"/>
          <c:w val="0.89399982256030974"/>
          <c:h val="0.90455930274353558"/>
        </c:manualLayout>
      </c:layout>
      <c:areaChart>
        <c:grouping val="stacked"/>
        <c:varyColors val="0"/>
        <c:ser>
          <c:idx val="2"/>
          <c:order val="2"/>
          <c:spPr>
            <a:noFill/>
            <a:ln w="25400">
              <a:noFill/>
            </a:ln>
            <a:effectLst/>
          </c:spPr>
          <c:val>
            <c:numRef>
              <c:f>Outputs!$I$169:$I$199</c:f>
              <c:numCache>
                <c:formatCode>_(* #,##0_);_(* \(#,##0\);_(* "-"??_);_(@_)</c:formatCode>
                <c:ptCount val="31"/>
                <c:pt idx="0">
                  <c:v>26292.418000000001</c:v>
                </c:pt>
                <c:pt idx="1">
                  <c:v>19472.896648386504</c:v>
                </c:pt>
                <c:pt idx="2">
                  <c:v>20641.108533572038</c:v>
                </c:pt>
                <c:pt idx="3">
                  <c:v>22028.559115234104</c:v>
                </c:pt>
                <c:pt idx="4">
                  <c:v>23656.163031433014</c:v>
                </c:pt>
                <c:pt idx="5">
                  <c:v>24392.781086491312</c:v>
                </c:pt>
                <c:pt idx="6">
                  <c:v>25279.124280120453</c:v>
                </c:pt>
                <c:pt idx="7">
                  <c:v>26322.772081424322</c:v>
                </c:pt>
                <c:pt idx="8">
                  <c:v>26852.095818954356</c:v>
                </c:pt>
                <c:pt idx="9">
                  <c:v>27395.368847425823</c:v>
                </c:pt>
                <c:pt idx="10">
                  <c:v>28139.678195092241</c:v>
                </c:pt>
                <c:pt idx="11">
                  <c:v>29095.808636009871</c:v>
                </c:pt>
                <c:pt idx="12">
                  <c:v>29706.880294274106</c:v>
                </c:pt>
                <c:pt idx="13">
                  <c:v>30336.458239464118</c:v>
                </c:pt>
                <c:pt idx="14">
                  <c:v>30985.584621718972</c:v>
                </c:pt>
                <c:pt idx="15">
                  <c:v>31654.691319076581</c:v>
                </c:pt>
                <c:pt idx="16">
                  <c:v>23130.101197090862</c:v>
                </c:pt>
                <c:pt idx="17">
                  <c:v>24625.847446444477</c:v>
                </c:pt>
                <c:pt idx="18">
                  <c:v>26247.484443211772</c:v>
                </c:pt>
                <c:pt idx="19">
                  <c:v>28006.200816634966</c:v>
                </c:pt>
                <c:pt idx="20">
                  <c:v>28555.788412911217</c:v>
                </c:pt>
                <c:pt idx="21">
                  <c:v>29153.827232884054</c:v>
                </c:pt>
                <c:pt idx="22">
                  <c:v>29830.885411294094</c:v>
                </c:pt>
                <c:pt idx="23">
                  <c:v>30620.395394219475</c:v>
                </c:pt>
                <c:pt idx="24">
                  <c:v>31553.862114001164</c:v>
                </c:pt>
                <c:pt idx="25">
                  <c:v>32662.181435067316</c:v>
                </c:pt>
                <c:pt idx="26">
                  <c:v>33977.680068812937</c:v>
                </c:pt>
                <c:pt idx="27">
                  <c:v>35528.674857072278</c:v>
                </c:pt>
                <c:pt idx="28">
                  <c:v>37342.738574266557</c:v>
                </c:pt>
                <c:pt idx="29">
                  <c:v>39445.122417212195</c:v>
                </c:pt>
                <c:pt idx="30">
                  <c:v>41858.480792181399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6-8547-824B-FFC8139FDC12}"/>
            </c:ext>
          </c:extLst>
        </c:ser>
        <c:ser>
          <c:idx val="3"/>
          <c:order val="3"/>
          <c:spPr>
            <a:solidFill>
              <a:srgbClr val="D3D3D3"/>
            </a:solidFill>
            <a:ln w="25400">
              <a:noFill/>
            </a:ln>
            <a:effectLst/>
          </c:spPr>
          <c:val>
            <c:numRef>
              <c:f>Outputs!$N$103:$N$133</c:f>
              <c:numCache>
                <c:formatCode>_(* #,##0_);_(* \(#,##0\);_(* "-"??_);_(@_)</c:formatCode>
                <c:ptCount val="31"/>
                <c:pt idx="0">
                  <c:v>25768.827000000001</c:v>
                </c:pt>
                <c:pt idx="1">
                  <c:v>35537.40085691266</c:v>
                </c:pt>
                <c:pt idx="2">
                  <c:v>34662.300109267744</c:v>
                </c:pt>
                <c:pt idx="3">
                  <c:v>33522.697313787896</c:v>
                </c:pt>
                <c:pt idx="4">
                  <c:v>32088.144454903657</c:v>
                </c:pt>
                <c:pt idx="5">
                  <c:v>31498.384647661172</c:v>
                </c:pt>
                <c:pt idx="6">
                  <c:v>30712.32271976479</c:v>
                </c:pt>
                <c:pt idx="7">
                  <c:v>29721.989192958659</c:v>
                </c:pt>
                <c:pt idx="8">
                  <c:v>29198.617892989696</c:v>
                </c:pt>
                <c:pt idx="9">
                  <c:v>28613.536859881977</c:v>
                </c:pt>
                <c:pt idx="10">
                  <c:v>27779.257854480249</c:v>
                </c:pt>
                <c:pt idx="11">
                  <c:v>26677.31111742245</c:v>
                </c:pt>
                <c:pt idx="12">
                  <c:v>25871.387389172134</c:v>
                </c:pt>
                <c:pt idx="13">
                  <c:v>24990.818159960283</c:v>
                </c:pt>
                <c:pt idx="14">
                  <c:v>24034.429254261009</c:v>
                </c:pt>
                <c:pt idx="15">
                  <c:v>23007.793940796826</c:v>
                </c:pt>
                <c:pt idx="16">
                  <c:v>31118.410504145057</c:v>
                </c:pt>
                <c:pt idx="17">
                  <c:v>29152.212777230681</c:v>
                </c:pt>
                <c:pt idx="18">
                  <c:v>27003.654591576644</c:v>
                </c:pt>
                <c:pt idx="19">
                  <c:v>24661.600346236879</c:v>
                </c:pt>
                <c:pt idx="20">
                  <c:v>23472.359856074469</c:v>
                </c:pt>
                <c:pt idx="21">
                  <c:v>22208.592905366764</c:v>
                </c:pt>
                <c:pt idx="22">
                  <c:v>20875.68301442821</c:v>
                </c:pt>
                <c:pt idx="23">
                  <c:v>19469.552361049591</c:v>
                </c:pt>
                <c:pt idx="24">
                  <c:v>17995.903501743083</c:v>
                </c:pt>
                <c:pt idx="25">
                  <c:v>16460.229321925515</c:v>
                </c:pt>
                <c:pt idx="26">
                  <c:v>14860.190562602518</c:v>
                </c:pt>
                <c:pt idx="27">
                  <c:v>13201.530718636081</c:v>
                </c:pt>
                <c:pt idx="28">
                  <c:v>11486.463002293851</c:v>
                </c:pt>
                <c:pt idx="29">
                  <c:v>9717.5531290598301</c:v>
                </c:pt>
                <c:pt idx="30">
                  <c:v>7897.7032728487029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6-8547-824B-FFC8139F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29920"/>
        <c:axId val="343829528"/>
      </c:areaChart>
      <c:lineChart>
        <c:grouping val="standard"/>
        <c:varyColors val="0"/>
        <c:ser>
          <c:idx val="1"/>
          <c:order val="0"/>
          <c:tx>
            <c:v>Actuarial Accrued Liability</c:v>
          </c:tx>
          <c:spPr>
            <a:ln w="38100" cap="rnd">
              <a:solidFill>
                <a:srgbClr val="F76D2C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Outputs!$I$136:$I$166</c:f>
              <c:numCache>
                <c:formatCode>_(* #,##0_);_(* \(#,##0\);_(* "-"??_);_(@_)</c:formatCode>
                <c:ptCount val="31"/>
                <c:pt idx="0">
                  <c:v>52061.245000000003</c:v>
                </c:pt>
                <c:pt idx="1">
                  <c:v>55010.297505299168</c:v>
                </c:pt>
                <c:pt idx="2">
                  <c:v>55303.408642839786</c:v>
                </c:pt>
                <c:pt idx="3">
                  <c:v>55551.256429022003</c:v>
                </c:pt>
                <c:pt idx="4">
                  <c:v>55744.307486336671</c:v>
                </c:pt>
                <c:pt idx="5">
                  <c:v>55891.165734152484</c:v>
                </c:pt>
                <c:pt idx="6">
                  <c:v>55991.446999885244</c:v>
                </c:pt>
                <c:pt idx="7">
                  <c:v>56044.761274382981</c:v>
                </c:pt>
                <c:pt idx="8">
                  <c:v>56050.713711944052</c:v>
                </c:pt>
                <c:pt idx="9">
                  <c:v>56008.9057073078</c:v>
                </c:pt>
                <c:pt idx="10">
                  <c:v>55918.93604957249</c:v>
                </c:pt>
                <c:pt idx="11">
                  <c:v>55773.119753432322</c:v>
                </c:pt>
                <c:pt idx="12">
                  <c:v>55578.26768344624</c:v>
                </c:pt>
                <c:pt idx="13">
                  <c:v>55327.276399424401</c:v>
                </c:pt>
                <c:pt idx="14">
                  <c:v>55020.013875979981</c:v>
                </c:pt>
                <c:pt idx="15">
                  <c:v>54662.485259873407</c:v>
                </c:pt>
                <c:pt idx="16">
                  <c:v>54248.511701235919</c:v>
                </c:pt>
                <c:pt idx="17">
                  <c:v>53778.060223675158</c:v>
                </c:pt>
                <c:pt idx="18">
                  <c:v>53251.139034788415</c:v>
                </c:pt>
                <c:pt idx="19">
                  <c:v>52667.801162871845</c:v>
                </c:pt>
                <c:pt idx="20">
                  <c:v>52028.148268985686</c:v>
                </c:pt>
                <c:pt idx="21">
                  <c:v>51362.420138250818</c:v>
                </c:pt>
                <c:pt idx="22">
                  <c:v>50706.568425722304</c:v>
                </c:pt>
                <c:pt idx="23">
                  <c:v>50089.947755269066</c:v>
                </c:pt>
                <c:pt idx="24">
                  <c:v>49549.765615744247</c:v>
                </c:pt>
                <c:pt idx="25">
                  <c:v>49122.410756992831</c:v>
                </c:pt>
                <c:pt idx="26">
                  <c:v>48837.870631415455</c:v>
                </c:pt>
                <c:pt idx="27">
                  <c:v>48730.205575708358</c:v>
                </c:pt>
                <c:pt idx="28">
                  <c:v>48829.201576560408</c:v>
                </c:pt>
                <c:pt idx="29">
                  <c:v>49162.675546272025</c:v>
                </c:pt>
                <c:pt idx="30">
                  <c:v>49756.184065030102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6-8547-824B-FFC8139FDC12}"/>
            </c:ext>
          </c:extLst>
        </c:ser>
        <c:ser>
          <c:idx val="0"/>
          <c:order val="1"/>
          <c:tx>
            <c:v>Market Value of Assets</c:v>
          </c:tx>
          <c:spPr>
            <a:ln w="38100" cap="rnd">
              <a:solidFill>
                <a:srgbClr val="496FB8"/>
              </a:solidFill>
              <a:round/>
            </a:ln>
            <a:effectLst/>
          </c:spPr>
          <c:marker>
            <c:symbol val="none"/>
          </c:marker>
          <c:cat>
            <c:numRef>
              <c:f>Outputs!$A$103:$A$133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Outputs!$I$169:$I$199</c:f>
              <c:numCache>
                <c:formatCode>_(* #,##0_);_(* \(#,##0\);_(* "-"??_);_(@_)</c:formatCode>
                <c:ptCount val="31"/>
                <c:pt idx="0">
                  <c:v>26292.418000000001</c:v>
                </c:pt>
                <c:pt idx="1">
                  <c:v>19472.896648386504</c:v>
                </c:pt>
                <c:pt idx="2">
                  <c:v>20641.108533572038</c:v>
                </c:pt>
                <c:pt idx="3">
                  <c:v>22028.559115234104</c:v>
                </c:pt>
                <c:pt idx="4">
                  <c:v>23656.163031433014</c:v>
                </c:pt>
                <c:pt idx="5">
                  <c:v>24392.781086491312</c:v>
                </c:pt>
                <c:pt idx="6">
                  <c:v>25279.124280120453</c:v>
                </c:pt>
                <c:pt idx="7">
                  <c:v>26322.772081424322</c:v>
                </c:pt>
                <c:pt idx="8">
                  <c:v>26852.095818954356</c:v>
                </c:pt>
                <c:pt idx="9">
                  <c:v>27395.368847425823</c:v>
                </c:pt>
                <c:pt idx="10">
                  <c:v>28139.678195092241</c:v>
                </c:pt>
                <c:pt idx="11">
                  <c:v>29095.808636009871</c:v>
                </c:pt>
                <c:pt idx="12">
                  <c:v>29706.880294274106</c:v>
                </c:pt>
                <c:pt idx="13">
                  <c:v>30336.458239464118</c:v>
                </c:pt>
                <c:pt idx="14">
                  <c:v>30985.584621718972</c:v>
                </c:pt>
                <c:pt idx="15">
                  <c:v>31654.691319076581</c:v>
                </c:pt>
                <c:pt idx="16">
                  <c:v>23130.101197090862</c:v>
                </c:pt>
                <c:pt idx="17">
                  <c:v>24625.847446444477</c:v>
                </c:pt>
                <c:pt idx="18">
                  <c:v>26247.484443211772</c:v>
                </c:pt>
                <c:pt idx="19">
                  <c:v>28006.200816634966</c:v>
                </c:pt>
                <c:pt idx="20">
                  <c:v>28555.788412911217</c:v>
                </c:pt>
                <c:pt idx="21">
                  <c:v>29153.827232884054</c:v>
                </c:pt>
                <c:pt idx="22">
                  <c:v>29830.885411294094</c:v>
                </c:pt>
                <c:pt idx="23">
                  <c:v>30620.395394219475</c:v>
                </c:pt>
                <c:pt idx="24">
                  <c:v>31553.862114001164</c:v>
                </c:pt>
                <c:pt idx="25">
                  <c:v>32662.181435067316</c:v>
                </c:pt>
                <c:pt idx="26">
                  <c:v>33977.680068812937</c:v>
                </c:pt>
                <c:pt idx="27">
                  <c:v>35528.674857072278</c:v>
                </c:pt>
                <c:pt idx="28">
                  <c:v>37342.738574266557</c:v>
                </c:pt>
                <c:pt idx="29">
                  <c:v>39445.122417212195</c:v>
                </c:pt>
                <c:pt idx="30">
                  <c:v>41858.480792181399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6-8547-824B-FFC8139F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29920"/>
        <c:axId val="343829528"/>
      </c:lineChart>
      <c:catAx>
        <c:axId val="3438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9528"/>
        <c:crossesAt val="-15000000000"/>
        <c:auto val="1"/>
        <c:lblAlgn val="ctr"/>
        <c:lblOffset val="100"/>
        <c:tickLblSkip val="2"/>
        <c:noMultiLvlLbl val="0"/>
      </c:catAx>
      <c:valAx>
        <c:axId val="343829528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Value of Assets and Liabilities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(in $Billions)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99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9.1196758285498045E-2"/>
          <c:y val="0.7617029968222"/>
          <c:w val="0.33109763347357507"/>
          <c:h val="0.12007397449843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103532</xdr:colOff>
      <xdr:row>3</xdr:row>
      <xdr:rowOff>24157</xdr:rowOff>
    </xdr:from>
    <xdr:to>
      <xdr:col>123</xdr:col>
      <xdr:colOff>787537</xdr:colOff>
      <xdr:row>21</xdr:row>
      <xdr:rowOff>108364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125</xdr:col>
      <xdr:colOff>254000</xdr:colOff>
      <xdr:row>7</xdr:row>
      <xdr:rowOff>127000</xdr:rowOff>
    </xdr:from>
    <xdr:ext cx="8229600" cy="48816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DAFE8-18A0-D542-8509-C4391EAAE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oneCellAnchor>
  <xdr:oneCellAnchor>
    <xdr:from>
      <xdr:col>125</xdr:col>
      <xdr:colOff>224117</xdr:colOff>
      <xdr:row>44</xdr:row>
      <xdr:rowOff>0</xdr:rowOff>
    </xdr:from>
    <xdr:ext cx="8229600" cy="48816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BFC877-7B68-4443-990E-DA2C1825C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oneCellAnchor>
  <xdr:oneCellAnchor>
    <xdr:from>
      <xdr:col>125</xdr:col>
      <xdr:colOff>198074</xdr:colOff>
      <xdr:row>73</xdr:row>
      <xdr:rowOff>104862</xdr:rowOff>
    </xdr:from>
    <xdr:ext cx="8229600" cy="48816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8EAA43-76B0-294C-AF11-AC336F2C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oneCellAnchor>
  <xdr:twoCellAnchor>
    <xdr:from>
      <xdr:col>94</xdr:col>
      <xdr:colOff>101599</xdr:colOff>
      <xdr:row>44</xdr:row>
      <xdr:rowOff>143932</xdr:rowOff>
    </xdr:from>
    <xdr:to>
      <xdr:col>101</xdr:col>
      <xdr:colOff>224366</xdr:colOff>
      <xdr:row>63</xdr:row>
      <xdr:rowOff>25399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D80FA6-30C7-9342-BDA8-8511FE58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776338</xdr:colOff>
      <xdr:row>2</xdr:row>
      <xdr:rowOff>154448</xdr:rowOff>
    </xdr:from>
    <xdr:to>
      <xdr:col>22</xdr:col>
      <xdr:colOff>812390</xdr:colOff>
      <xdr:row>29</xdr:row>
      <xdr:rowOff>59764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1649D-29BA-DE4F-A61D-0A62FE189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382494</xdr:colOff>
      <xdr:row>102</xdr:row>
      <xdr:rowOff>67982</xdr:rowOff>
    </xdr:from>
    <xdr:to>
      <xdr:col>25</xdr:col>
      <xdr:colOff>357094</xdr:colOff>
      <xdr:row>128</xdr:row>
      <xdr:rowOff>80174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8616B-C779-9740-B79D-E0C8BAD6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74705</xdr:colOff>
      <xdr:row>135</xdr:row>
      <xdr:rowOff>59765</xdr:rowOff>
    </xdr:from>
    <xdr:to>
      <xdr:col>23</xdr:col>
      <xdr:colOff>110757</xdr:colOff>
      <xdr:row>161</xdr:row>
      <xdr:rowOff>159317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3B910-9894-0348-9674-4FAE7E9C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135</xdr:row>
      <xdr:rowOff>0</xdr:rowOff>
    </xdr:from>
    <xdr:to>
      <xdr:col>34</xdr:col>
      <xdr:colOff>36052</xdr:colOff>
      <xdr:row>161</xdr:row>
      <xdr:rowOff>99552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5611C4-8528-DC4A-B53C-48F5EFCFF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484826</xdr:colOff>
      <xdr:row>2</xdr:row>
      <xdr:rowOff>130928</xdr:rowOff>
    </xdr:from>
    <xdr:to>
      <xdr:col>33</xdr:col>
      <xdr:colOff>520878</xdr:colOff>
      <xdr:row>29</xdr:row>
      <xdr:rowOff>36244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17D2F4-350F-6A46-915C-FC79B538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720103</xdr:colOff>
      <xdr:row>102</xdr:row>
      <xdr:rowOff>78556</xdr:rowOff>
    </xdr:from>
    <xdr:to>
      <xdr:col>34</xdr:col>
      <xdr:colOff>694704</xdr:colOff>
      <xdr:row>128</xdr:row>
      <xdr:rowOff>90748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7658A9-B9DD-6646-AD38-1C7C8B21E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164</xdr:row>
      <xdr:rowOff>0</xdr:rowOff>
    </xdr:from>
    <xdr:to>
      <xdr:col>23</xdr:col>
      <xdr:colOff>36052</xdr:colOff>
      <xdr:row>190</xdr:row>
      <xdr:rowOff>99552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0FD595-684B-4B44-90F6-01F9EA945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45</xdr:col>
      <xdr:colOff>36052</xdr:colOff>
      <xdr:row>28</xdr:row>
      <xdr:rowOff>95816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A7FDDE-4FE3-8D45-9203-F365098D7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313765</xdr:colOff>
      <xdr:row>102</xdr:row>
      <xdr:rowOff>149412</xdr:rowOff>
    </xdr:from>
    <xdr:to>
      <xdr:col>45</xdr:col>
      <xdr:colOff>288366</xdr:colOff>
      <xdr:row>128</xdr:row>
      <xdr:rowOff>161604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B32FC5-D719-8D47-8BDB-981C93F41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J96"/>
  <sheetViews>
    <sheetView tabSelected="1" zoomScaleNormal="100" workbookViewId="0">
      <pane xSplit="3" ySplit="3" topLeftCell="AN25" activePane="bottomRight" state="frozen"/>
      <selection pane="topRight" activeCell="C1" sqref="C1"/>
      <selection pane="bottomLeft" activeCell="A4" sqref="A4"/>
      <selection pane="bottomRight" activeCell="DT52" sqref="DT52"/>
    </sheetView>
  </sheetViews>
  <sheetFormatPr defaultColWidth="8.6640625" defaultRowHeight="14.4" x14ac:dyDescent="0.3"/>
  <cols>
    <col min="1" max="1" width="14.44140625" style="17" customWidth="1"/>
    <col min="2" max="2" width="10.44140625" style="17" customWidth="1"/>
    <col min="3" max="3" width="11.6640625" style="38" customWidth="1"/>
    <col min="4" max="4" width="7.6640625" style="38" bestFit="1" customWidth="1"/>
    <col min="5" max="5" width="7.109375" style="38" bestFit="1" customWidth="1"/>
    <col min="6" max="6" width="7.6640625" style="38" bestFit="1" customWidth="1"/>
    <col min="7" max="8" width="19.6640625" style="38" customWidth="1"/>
    <col min="9" max="9" width="16.109375" style="38" bestFit="1" customWidth="1"/>
    <col min="10" max="10" width="12.6640625" style="39" bestFit="1" customWidth="1"/>
    <col min="11" max="11" width="13.6640625" style="39" bestFit="1" customWidth="1"/>
    <col min="12" max="12" width="10.109375" style="39" bestFit="1" customWidth="1"/>
    <col min="13" max="13" width="10.109375" style="39" customWidth="1"/>
    <col min="14" max="14" width="6.33203125" style="39" customWidth="1"/>
    <col min="15" max="15" width="9.109375" style="39" bestFit="1" customWidth="1"/>
    <col min="16" max="16" width="11.109375" style="39" customWidth="1"/>
    <col min="17" max="17" width="6.6640625" style="39" bestFit="1" customWidth="1"/>
    <col min="18" max="18" width="6.33203125" style="39" bestFit="1" customWidth="1"/>
    <col min="19" max="19" width="6.109375" style="39" bestFit="1" customWidth="1"/>
    <col min="20" max="21" width="8.6640625" style="39" customWidth="1"/>
    <col min="22" max="22" width="9.109375" style="39" bestFit="1" customWidth="1"/>
    <col min="23" max="24" width="7.6640625" style="39" customWidth="1"/>
    <col min="25" max="25" width="10.6640625" style="39" bestFit="1" customWidth="1"/>
    <col min="26" max="26" width="9.33203125" style="39" bestFit="1" customWidth="1"/>
    <col min="27" max="28" width="9.33203125" style="39" customWidth="1"/>
    <col min="29" max="29" width="7.6640625" style="39" bestFit="1" customWidth="1"/>
    <col min="30" max="31" width="7.6640625" style="39" customWidth="1"/>
    <col min="32" max="32" width="9.33203125" style="39" bestFit="1" customWidth="1"/>
    <col min="33" max="33" width="6.6640625" style="39" bestFit="1" customWidth="1"/>
    <col min="34" max="34" width="12" style="39" bestFit="1" customWidth="1"/>
    <col min="35" max="36" width="10.33203125" style="39" customWidth="1"/>
    <col min="37" max="37" width="8.33203125" style="39" bestFit="1" customWidth="1"/>
    <col min="38" max="39" width="8.33203125" style="39" customWidth="1"/>
    <col min="40" max="40" width="6.44140625" style="39" bestFit="1" customWidth="1"/>
    <col min="41" max="41" width="8.44140625" style="39" bestFit="1" customWidth="1"/>
    <col min="42" max="42" width="8.44140625" style="39" customWidth="1"/>
    <col min="43" max="43" width="7.6640625" style="39" bestFit="1" customWidth="1"/>
    <col min="44" max="44" width="8.6640625" style="39" bestFit="1" customWidth="1"/>
    <col min="45" max="45" width="10.109375" style="39" bestFit="1" customWidth="1"/>
    <col min="46" max="46" width="14.6640625" style="39" bestFit="1" customWidth="1"/>
    <col min="47" max="47" width="14.6640625" style="39" customWidth="1"/>
    <col min="48" max="48" width="10.44140625" style="39" customWidth="1"/>
    <col min="49" max="49" width="9.6640625" style="39" customWidth="1"/>
    <col min="50" max="50" width="8.33203125" style="39" bestFit="1" customWidth="1"/>
    <col min="51" max="54" width="8.33203125" style="39" customWidth="1"/>
    <col min="55" max="55" width="6.6640625" style="39" bestFit="1" customWidth="1"/>
    <col min="56" max="56" width="7" style="39" customWidth="1"/>
    <col min="57" max="57" width="15.6640625" style="39" customWidth="1"/>
    <col min="58" max="58" width="15.44140625" style="39" customWidth="1"/>
    <col min="59" max="59" width="10.6640625" style="39" customWidth="1"/>
    <col min="60" max="60" width="12.109375" style="39" customWidth="1"/>
    <col min="62" max="62" width="17.6640625" bestFit="1" customWidth="1"/>
    <col min="63" max="63" width="12.33203125" style="39" bestFit="1" customWidth="1"/>
    <col min="64" max="64" width="9.6640625" style="39" bestFit="1" customWidth="1"/>
    <col min="65" max="65" width="11.109375" style="39" bestFit="1" customWidth="1"/>
    <col min="66" max="67" width="11.109375" style="39" customWidth="1"/>
    <col min="68" max="68" width="9.6640625" style="39" customWidth="1"/>
    <col min="69" max="69" width="7.33203125" style="39" customWidth="1"/>
    <col min="70" max="70" width="7.6640625" style="39" bestFit="1" customWidth="1"/>
    <col min="71" max="71" width="7.6640625" style="39" customWidth="1"/>
    <col min="72" max="72" width="7.6640625" style="39" bestFit="1" customWidth="1"/>
    <col min="73" max="73" width="7.6640625" style="39" customWidth="1"/>
    <col min="74" max="75" width="11" style="39" bestFit="1" customWidth="1"/>
    <col min="76" max="76" width="11" style="39" customWidth="1"/>
    <col min="77" max="77" width="11" style="39" bestFit="1" customWidth="1"/>
    <col min="78" max="78" width="9.6640625" style="39" bestFit="1" customWidth="1"/>
    <col min="79" max="79" width="14.109375" style="39" bestFit="1" customWidth="1"/>
    <col min="80" max="80" width="10.6640625" style="39" bestFit="1" customWidth="1"/>
    <col min="81" max="81" width="13.6640625" style="39" customWidth="1"/>
    <col min="82" max="82" width="10.6640625" style="39" bestFit="1" customWidth="1"/>
    <col min="83" max="85" width="9.109375" style="39" customWidth="1"/>
    <col min="86" max="86" width="10.6640625" style="39" bestFit="1" customWidth="1"/>
    <col min="87" max="87" width="9.109375" style="39" customWidth="1"/>
    <col min="88" max="88" width="8" style="39" bestFit="1" customWidth="1"/>
    <col min="89" max="90" width="8" style="39" customWidth="1"/>
    <col min="91" max="91" width="6.6640625" style="39" bestFit="1" customWidth="1"/>
    <col min="92" max="92" width="7.109375" style="39" bestFit="1" customWidth="1"/>
    <col min="93" max="98" width="7.6640625" style="39" customWidth="1"/>
    <col min="99" max="101" width="14.109375" style="39" customWidth="1"/>
    <col min="102" max="102" width="9.6640625" style="39" customWidth="1"/>
    <col min="103" max="103" width="20.44140625" style="39" customWidth="1"/>
    <col min="104" max="104" width="10.6640625" style="39" bestFit="1" customWidth="1"/>
    <col min="105" max="105" width="9.6640625" style="39" bestFit="1" customWidth="1"/>
    <col min="106" max="106" width="12.6640625" customWidth="1"/>
    <col min="107" max="110" width="9.6640625" customWidth="1"/>
    <col min="111" max="113" width="11.6640625" style="39" bestFit="1" customWidth="1"/>
    <col min="114" max="115" width="12.6640625" style="39" bestFit="1" customWidth="1"/>
    <col min="116" max="116" width="11.44140625" style="39" bestFit="1" customWidth="1"/>
    <col min="117" max="117" width="7.6640625" style="39" customWidth="1"/>
    <col min="118" max="118" width="24.44140625" style="39" customWidth="1"/>
    <col min="119" max="119" width="7.6640625" style="39" customWidth="1"/>
    <col min="120" max="120" width="1.6640625" style="39" customWidth="1"/>
    <col min="121" max="121" width="40.6640625" style="39" customWidth="1"/>
    <col min="122" max="122" width="9" style="39" bestFit="1" customWidth="1"/>
    <col min="123" max="123" width="10.33203125" style="39" bestFit="1" customWidth="1"/>
    <col min="124" max="124" width="12.33203125" style="39" bestFit="1" customWidth="1"/>
    <col min="125" max="125" width="8.6640625" style="39" customWidth="1"/>
    <col min="126" max="126" width="8.6640625" style="321"/>
    <col min="127" max="137" width="8.6640625" style="322"/>
    <col min="138" max="138" width="8.6640625" style="323"/>
    <col min="139" max="139" width="8.6640625" style="38" customWidth="1"/>
    <col min="140" max="147" width="8.6640625" style="38"/>
    <col min="148" max="148" width="10.44140625" style="38" bestFit="1" customWidth="1"/>
    <col min="149" max="150" width="9.33203125" style="39" bestFit="1" customWidth="1"/>
    <col min="151" max="151" width="9.6640625" style="39" bestFit="1" customWidth="1"/>
    <col min="152" max="152" width="8" style="39" bestFit="1" customWidth="1"/>
    <col min="153" max="153" width="8.6640625" style="39" bestFit="1" customWidth="1"/>
    <col min="154" max="155" width="8.44140625" style="39" bestFit="1" customWidth="1"/>
    <col min="156" max="156" width="10.44140625" style="39" bestFit="1" customWidth="1"/>
    <col min="157" max="165" width="8.44140625" style="39" customWidth="1"/>
    <col min="166" max="166" width="11.44140625" style="39" customWidth="1"/>
    <col min="167" max="167" width="1.6640625" style="39" customWidth="1"/>
    <col min="168" max="168" width="8.44140625" style="39" bestFit="1" customWidth="1"/>
    <col min="169" max="169" width="1.6640625" style="39" customWidth="1"/>
    <col min="170" max="170" width="9" style="39" bestFit="1" customWidth="1"/>
    <col min="171" max="171" width="9" style="39" customWidth="1"/>
    <col min="172" max="172" width="6" style="39" bestFit="1" customWidth="1"/>
    <col min="173" max="173" width="9.44140625" style="39" customWidth="1"/>
    <col min="174" max="174" width="9" style="39" bestFit="1" customWidth="1"/>
    <col min="175" max="175" width="9" style="39" customWidth="1"/>
    <col min="176" max="176" width="10.6640625" style="39" bestFit="1" customWidth="1"/>
    <col min="177" max="177" width="7.109375" style="39" customWidth="1"/>
    <col min="178" max="178" width="11.33203125" style="39" customWidth="1"/>
    <col min="179" max="179" width="7.44140625" style="39" customWidth="1"/>
    <col min="180" max="184" width="7.6640625" style="39" bestFit="1" customWidth="1"/>
    <col min="185" max="204" width="7.44140625" style="39" bestFit="1" customWidth="1"/>
    <col min="205" max="208" width="6.44140625" style="39" bestFit="1" customWidth="1"/>
    <col min="209" max="210" width="4.6640625" style="39" bestFit="1" customWidth="1"/>
    <col min="211" max="211" width="7.109375" style="39" customWidth="1"/>
    <col min="212" max="212" width="7.109375" style="39" bestFit="1" customWidth="1"/>
    <col min="213" max="213" width="6.33203125" style="39" bestFit="1" customWidth="1"/>
    <col min="214" max="214" width="6.6640625" style="39" customWidth="1"/>
    <col min="215" max="218" width="6.6640625" style="39" bestFit="1" customWidth="1"/>
    <col min="219" max="242" width="6.44140625" style="39" bestFit="1" customWidth="1"/>
    <col min="243" max="244" width="4.6640625" style="39" bestFit="1" customWidth="1"/>
    <col min="245" max="245" width="2.6640625" style="39" bestFit="1" customWidth="1"/>
    <col min="246" max="247" width="4.6640625" style="39" customWidth="1"/>
    <col min="248" max="248" width="8" style="39" customWidth="1"/>
    <col min="249" max="249" width="8.33203125" style="39" customWidth="1"/>
    <col min="250" max="260" width="7.44140625" style="39" bestFit="1" customWidth="1"/>
    <col min="261" max="262" width="5.109375" style="39" bestFit="1" customWidth="1"/>
    <col min="263" max="263" width="4.33203125" style="39" bestFit="1" customWidth="1"/>
    <col min="264" max="280" width="4.6640625" style="39" customWidth="1"/>
    <col min="281" max="281" width="6.109375" style="39" bestFit="1" customWidth="1"/>
    <col min="282" max="282" width="4.6640625" style="39" customWidth="1"/>
    <col min="283" max="292" width="6.109375" style="39" customWidth="1"/>
    <col min="293" max="326" width="4.6640625" style="39" customWidth="1"/>
    <col min="327" max="328" width="9.109375" style="38" bestFit="1" customWidth="1"/>
    <col min="329" max="329" width="9.6640625" style="38" bestFit="1" customWidth="1"/>
    <col min="330" max="330" width="1.6640625" style="39" customWidth="1"/>
    <col min="331" max="331" width="8.6640625" style="38"/>
    <col min="332" max="332" width="9.109375" style="38" hidden="1" customWidth="1"/>
    <col min="333" max="333" width="8.33203125" style="39" hidden="1" customWidth="1"/>
    <col min="334" max="334" width="9.6640625" style="39" hidden="1" customWidth="1"/>
    <col min="335" max="335" width="7.44140625" style="39" hidden="1" customWidth="1"/>
    <col min="336" max="336" width="8.6640625" style="38"/>
    <col min="337" max="337" width="19.109375" style="38" bestFit="1" customWidth="1"/>
    <col min="338" max="338" width="11.109375" style="38" bestFit="1" customWidth="1"/>
    <col min="339" max="340" width="8.6640625" style="38"/>
    <col min="341" max="341" width="11.33203125" style="38" bestFit="1" customWidth="1"/>
    <col min="342" max="342" width="16.6640625" style="38" bestFit="1" customWidth="1"/>
    <col min="343" max="343" width="19.33203125" style="38" bestFit="1" customWidth="1"/>
    <col min="344" max="346" width="19.33203125" style="38" customWidth="1"/>
    <col min="347" max="347" width="13.6640625" style="38" bestFit="1" customWidth="1"/>
    <col min="348" max="348" width="9.109375" style="38" bestFit="1" customWidth="1"/>
    <col min="349" max="349" width="7" style="38" bestFit="1" customWidth="1"/>
    <col min="350" max="350" width="15.109375" style="38" customWidth="1"/>
    <col min="351" max="351" width="9.6640625" style="38" bestFit="1" customWidth="1"/>
    <col min="352" max="352" width="10.109375" style="38" bestFit="1" customWidth="1"/>
    <col min="353" max="353" width="11.109375" style="38" bestFit="1" customWidth="1"/>
    <col min="354" max="354" width="12.109375" style="38" bestFit="1" customWidth="1"/>
    <col min="355" max="355" width="8.6640625" style="38"/>
    <col min="356" max="362" width="9.109375" style="38" bestFit="1" customWidth="1"/>
    <col min="363" max="16384" width="8.6640625" style="38"/>
  </cols>
  <sheetData>
    <row r="1" spans="1:374" ht="47.25" customHeight="1" x14ac:dyDescent="0.4">
      <c r="A1" s="431" t="s">
        <v>177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169"/>
      <c r="U1" s="240"/>
      <c r="V1" s="240"/>
      <c r="W1" s="240"/>
      <c r="X1" s="240"/>
      <c r="Y1" s="240"/>
      <c r="Z1" s="241"/>
      <c r="AA1" s="240"/>
      <c r="AB1" s="240"/>
      <c r="AC1" s="437" t="s">
        <v>31</v>
      </c>
      <c r="AD1" s="437"/>
      <c r="AE1" s="437"/>
      <c r="AF1" s="437"/>
      <c r="AG1" s="437"/>
      <c r="AH1" s="437"/>
      <c r="AI1" s="437"/>
      <c r="AJ1" s="437"/>
      <c r="AK1" s="437"/>
      <c r="AL1" s="437"/>
      <c r="AM1" s="437"/>
      <c r="AN1" s="437"/>
      <c r="AO1" s="437"/>
      <c r="AP1" s="437"/>
      <c r="AQ1" s="437"/>
      <c r="AR1" s="438"/>
      <c r="AS1" s="198"/>
      <c r="AT1" s="404" t="s">
        <v>109</v>
      </c>
      <c r="AU1" s="405"/>
      <c r="AV1" s="405"/>
      <c r="AW1" s="405"/>
      <c r="AX1" s="405"/>
      <c r="AY1" s="405"/>
      <c r="AZ1" s="405"/>
      <c r="BA1" s="405"/>
      <c r="BB1" s="405"/>
      <c r="BC1" s="405"/>
      <c r="BD1" s="405"/>
      <c r="BE1" s="405"/>
      <c r="BF1" s="405"/>
      <c r="BG1" s="405"/>
      <c r="BH1" s="405"/>
      <c r="BK1" s="405"/>
      <c r="BL1" s="405"/>
      <c r="BM1" s="406"/>
      <c r="BN1" s="380"/>
      <c r="BO1" s="380"/>
      <c r="BP1" s="439" t="s">
        <v>26</v>
      </c>
      <c r="BQ1" s="437"/>
      <c r="BR1" s="437"/>
      <c r="BS1" s="437"/>
      <c r="BT1" s="437"/>
      <c r="BU1" s="437"/>
      <c r="BV1" s="437"/>
      <c r="BW1" s="437"/>
      <c r="BX1" s="437"/>
      <c r="BY1" s="437"/>
      <c r="BZ1" s="437"/>
      <c r="CA1" s="437"/>
      <c r="CB1" s="437"/>
      <c r="CC1" s="437"/>
      <c r="CD1" s="437"/>
      <c r="CE1" s="437"/>
      <c r="CF1" s="437"/>
      <c r="CG1" s="437"/>
      <c r="CH1" s="437"/>
      <c r="CI1" s="437"/>
      <c r="CJ1" s="437"/>
      <c r="CK1" s="437"/>
      <c r="CL1" s="437"/>
      <c r="CM1" s="437"/>
      <c r="CN1" s="437"/>
      <c r="CO1" s="438"/>
      <c r="CP1" s="380"/>
      <c r="CQ1" s="380"/>
      <c r="CR1" s="380"/>
      <c r="CS1" s="380"/>
      <c r="CT1" s="380"/>
      <c r="CU1" s="76"/>
      <c r="CV1" s="76"/>
      <c r="CW1" s="76"/>
      <c r="CX1" s="76"/>
      <c r="CY1" s="25"/>
      <c r="CZ1" s="76"/>
      <c r="DA1" s="76"/>
      <c r="DB1" s="310"/>
      <c r="DC1" s="310"/>
      <c r="DD1" s="310"/>
      <c r="DE1" s="310"/>
      <c r="DF1" s="310"/>
      <c r="DG1" s="25"/>
      <c r="DH1" s="25"/>
      <c r="DI1" s="25"/>
      <c r="DJ1" s="25"/>
      <c r="DK1" s="25"/>
      <c r="DL1" s="25"/>
      <c r="DM1" s="434" t="s">
        <v>57</v>
      </c>
      <c r="DN1" s="435"/>
      <c r="DO1" s="436"/>
      <c r="DP1" s="1"/>
      <c r="DQ1" s="433" t="s">
        <v>182</v>
      </c>
      <c r="DR1" s="433"/>
      <c r="DS1" s="433"/>
      <c r="DT1" s="433"/>
      <c r="DU1" s="1"/>
      <c r="DV1" s="318"/>
      <c r="DW1" s="319"/>
      <c r="DX1" s="319"/>
      <c r="DY1" s="319"/>
      <c r="DZ1" s="319"/>
      <c r="EA1" s="319"/>
      <c r="EB1" s="319"/>
      <c r="EC1" s="319"/>
      <c r="ED1" s="319"/>
      <c r="EE1" s="319"/>
      <c r="EF1" s="319"/>
      <c r="EG1" s="319"/>
      <c r="EH1" s="320"/>
      <c r="EI1" s="197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38"/>
      <c r="FU1" s="38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18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R1" s="1"/>
      <c r="LU1" s="120"/>
      <c r="LV1" s="120"/>
      <c r="LW1" s="120"/>
    </row>
    <row r="2" spans="1:374" ht="15" customHeight="1" x14ac:dyDescent="0.3">
      <c r="A2" s="45" t="s">
        <v>14</v>
      </c>
      <c r="B2" s="411"/>
      <c r="C2" s="136"/>
      <c r="D2" s="136" t="s">
        <v>96</v>
      </c>
      <c r="E2" s="126" t="s">
        <v>96</v>
      </c>
      <c r="F2" s="125" t="s">
        <v>96</v>
      </c>
      <c r="G2" s="441" t="s">
        <v>173</v>
      </c>
      <c r="H2" s="442"/>
      <c r="I2" s="442"/>
      <c r="J2" s="442"/>
      <c r="K2" s="442"/>
      <c r="L2" s="442"/>
      <c r="M2" s="442"/>
      <c r="N2" s="442"/>
      <c r="O2" s="442"/>
      <c r="P2" s="442"/>
      <c r="Q2" s="443"/>
      <c r="R2" s="67" t="s">
        <v>47</v>
      </c>
      <c r="S2" s="67" t="s">
        <v>47</v>
      </c>
      <c r="T2" s="22" t="s">
        <v>235</v>
      </c>
      <c r="U2" s="22" t="s">
        <v>235</v>
      </c>
      <c r="V2" s="220" t="s">
        <v>192</v>
      </c>
      <c r="W2" s="220" t="s">
        <v>233</v>
      </c>
      <c r="X2" s="220" t="s">
        <v>234</v>
      </c>
      <c r="Y2" s="220" t="s">
        <v>204</v>
      </c>
      <c r="Z2" s="220" t="s">
        <v>193</v>
      </c>
      <c r="AA2" s="22" t="s">
        <v>237</v>
      </c>
      <c r="AB2" s="22" t="s">
        <v>237</v>
      </c>
      <c r="AC2" s="73" t="s">
        <v>4</v>
      </c>
      <c r="AD2" s="73" t="s">
        <v>238</v>
      </c>
      <c r="AE2" s="73" t="s">
        <v>238</v>
      </c>
      <c r="AF2" s="73" t="s">
        <v>100</v>
      </c>
      <c r="AG2" s="94" t="s">
        <v>100</v>
      </c>
      <c r="AH2" s="67"/>
      <c r="AI2" s="67" t="s">
        <v>1</v>
      </c>
      <c r="AJ2" s="67" t="s">
        <v>1</v>
      </c>
      <c r="AK2" s="67"/>
      <c r="AL2" s="67" t="s">
        <v>2</v>
      </c>
      <c r="AM2" s="67" t="s">
        <v>2</v>
      </c>
      <c r="AN2" s="67" t="s">
        <v>13</v>
      </c>
      <c r="AO2" s="67"/>
      <c r="AP2" s="67"/>
      <c r="AQ2" s="67" t="s">
        <v>5</v>
      </c>
      <c r="AR2" s="45" t="s">
        <v>5</v>
      </c>
      <c r="AS2" s="94"/>
      <c r="AT2" s="94" t="s">
        <v>201</v>
      </c>
      <c r="AU2" s="354" t="s">
        <v>264</v>
      </c>
      <c r="AV2" s="222" t="s">
        <v>265</v>
      </c>
      <c r="AW2" s="378" t="s">
        <v>265</v>
      </c>
      <c r="AX2" s="222" t="s">
        <v>273</v>
      </c>
      <c r="AY2" s="399" t="s">
        <v>273</v>
      </c>
      <c r="AZ2" s="402" t="s">
        <v>274</v>
      </c>
      <c r="BA2" s="403" t="s">
        <v>218</v>
      </c>
      <c r="BB2" s="403" t="s">
        <v>218</v>
      </c>
      <c r="BC2" s="222" t="s">
        <v>6</v>
      </c>
      <c r="BD2" s="222" t="s">
        <v>8</v>
      </c>
      <c r="BE2" s="222" t="s">
        <v>277</v>
      </c>
      <c r="BF2" s="403" t="s">
        <v>277</v>
      </c>
      <c r="BG2" s="222" t="s">
        <v>277</v>
      </c>
      <c r="BH2" s="22" t="s">
        <v>277</v>
      </c>
      <c r="BI2" s="22" t="s">
        <v>291</v>
      </c>
      <c r="BJ2" s="22"/>
      <c r="BK2" s="219" t="s">
        <v>145</v>
      </c>
      <c r="BL2" s="219" t="s">
        <v>163</v>
      </c>
      <c r="BM2" s="225" t="s">
        <v>166</v>
      </c>
      <c r="BN2" s="220"/>
      <c r="BO2" s="220"/>
      <c r="BP2" s="94" t="s">
        <v>59</v>
      </c>
      <c r="BQ2" s="94" t="s">
        <v>59</v>
      </c>
      <c r="BR2" s="94" t="s">
        <v>70</v>
      </c>
      <c r="BS2" s="94" t="s">
        <v>70</v>
      </c>
      <c r="BT2" s="94" t="s">
        <v>48</v>
      </c>
      <c r="BU2" s="94" t="s">
        <v>48</v>
      </c>
      <c r="BV2" s="94" t="s">
        <v>240</v>
      </c>
      <c r="BW2" s="67" t="s">
        <v>240</v>
      </c>
      <c r="BX2" s="67" t="s">
        <v>239</v>
      </c>
      <c r="BY2" s="67" t="s">
        <v>51</v>
      </c>
      <c r="BZ2" s="67" t="s">
        <v>66</v>
      </c>
      <c r="CA2" s="67" t="s">
        <v>66</v>
      </c>
      <c r="CB2" s="67" t="s">
        <v>74</v>
      </c>
      <c r="CC2" s="22" t="s">
        <v>74</v>
      </c>
      <c r="CD2" s="22" t="s">
        <v>74</v>
      </c>
      <c r="CE2" s="22" t="s">
        <v>67</v>
      </c>
      <c r="CF2" s="22" t="s">
        <v>67</v>
      </c>
      <c r="CG2" s="22" t="s">
        <v>67</v>
      </c>
      <c r="CH2" s="67" t="s">
        <v>74</v>
      </c>
      <c r="CI2" s="22" t="s">
        <v>197</v>
      </c>
      <c r="CJ2" s="22" t="s">
        <v>23</v>
      </c>
      <c r="CK2" s="22" t="s">
        <v>23</v>
      </c>
      <c r="CL2" s="22" t="s">
        <v>23</v>
      </c>
      <c r="CM2" s="128"/>
      <c r="CN2" s="67" t="s">
        <v>62</v>
      </c>
      <c r="CO2" s="67" t="s">
        <v>36</v>
      </c>
      <c r="CP2" s="22"/>
      <c r="CQ2" s="22"/>
      <c r="CR2" s="22"/>
      <c r="CS2" s="22"/>
      <c r="CT2" s="22"/>
      <c r="CU2" s="22"/>
      <c r="CV2" s="22"/>
      <c r="CW2" s="22"/>
      <c r="CX2" s="45" t="s">
        <v>38</v>
      </c>
      <c r="CY2" s="22" t="s">
        <v>67</v>
      </c>
      <c r="CZ2" s="124" t="s">
        <v>8</v>
      </c>
      <c r="DA2" s="223" t="s">
        <v>293</v>
      </c>
      <c r="DB2" s="311" t="s">
        <v>214</v>
      </c>
      <c r="DC2" s="311" t="s">
        <v>66</v>
      </c>
      <c r="DD2" s="311" t="s">
        <v>215</v>
      </c>
      <c r="DE2" s="311" t="s">
        <v>0</v>
      </c>
      <c r="DF2" s="312" t="s">
        <v>216</v>
      </c>
      <c r="DG2" s="222" t="s">
        <v>8</v>
      </c>
      <c r="DH2" s="222" t="s">
        <v>200</v>
      </c>
      <c r="DI2" s="222" t="s">
        <v>54</v>
      </c>
      <c r="DJ2" s="221" t="s">
        <v>8</v>
      </c>
      <c r="DK2" s="222" t="s">
        <v>16</v>
      </c>
      <c r="DL2" s="222" t="s">
        <v>54</v>
      </c>
      <c r="DM2" s="221" t="s">
        <v>8</v>
      </c>
      <c r="DN2" s="222" t="s">
        <v>16</v>
      </c>
      <c r="DO2" s="125" t="s">
        <v>58</v>
      </c>
      <c r="DP2" s="1"/>
      <c r="DQ2" s="433"/>
      <c r="DR2" s="433"/>
      <c r="DS2" s="433"/>
      <c r="DT2" s="433"/>
      <c r="DU2" s="1"/>
      <c r="EI2" s="197"/>
      <c r="ES2" s="1" t="s">
        <v>101</v>
      </c>
      <c r="ET2" s="1" t="s">
        <v>152</v>
      </c>
      <c r="EU2" s="1" t="s">
        <v>76</v>
      </c>
      <c r="EV2" s="1" t="s">
        <v>154</v>
      </c>
      <c r="EW2" s="1"/>
      <c r="EX2" s="1"/>
      <c r="EY2" s="1"/>
      <c r="EZ2" s="1" t="s">
        <v>8</v>
      </c>
      <c r="FA2" s="1"/>
      <c r="FB2" s="1" t="s">
        <v>101</v>
      </c>
      <c r="FC2" s="1" t="s">
        <v>152</v>
      </c>
      <c r="FD2" s="1" t="s">
        <v>76</v>
      </c>
      <c r="FE2" s="1" t="s">
        <v>154</v>
      </c>
      <c r="FF2" s="1"/>
      <c r="FG2" s="1"/>
      <c r="FH2" s="1"/>
      <c r="FI2" s="1" t="s">
        <v>8</v>
      </c>
      <c r="FJ2" s="1"/>
      <c r="FK2" s="1"/>
      <c r="FL2" s="45" t="s">
        <v>3</v>
      </c>
      <c r="FM2" s="1"/>
      <c r="FN2" s="136" t="s">
        <v>272</v>
      </c>
      <c r="FO2" s="377" t="s">
        <v>272</v>
      </c>
      <c r="FP2" s="22" t="s">
        <v>34</v>
      </c>
      <c r="FQ2" s="22" t="s">
        <v>27</v>
      </c>
      <c r="FR2" s="22" t="s">
        <v>27</v>
      </c>
      <c r="FS2" s="22"/>
      <c r="FT2" s="125" t="s">
        <v>9</v>
      </c>
      <c r="FU2" s="45" t="s">
        <v>27</v>
      </c>
      <c r="FV2" s="1"/>
      <c r="FW2" s="400" t="s">
        <v>266</v>
      </c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400" t="s">
        <v>267</v>
      </c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400" t="s">
        <v>268</v>
      </c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400" t="s">
        <v>269</v>
      </c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R2" s="1"/>
      <c r="LU2" s="73" t="s">
        <v>77</v>
      </c>
      <c r="LV2" s="73" t="s">
        <v>113</v>
      </c>
      <c r="LW2" s="73" t="s">
        <v>78</v>
      </c>
      <c r="LX2" s="39"/>
      <c r="LY2" s="13" t="s">
        <v>82</v>
      </c>
      <c r="LZ2" s="13" t="s">
        <v>83</v>
      </c>
      <c r="MB2" s="197" t="s">
        <v>77</v>
      </c>
      <c r="MC2" s="197" t="s">
        <v>60</v>
      </c>
      <c r="MD2" s="197"/>
      <c r="MF2" s="197" t="s">
        <v>77</v>
      </c>
      <c r="MG2" s="197" t="s">
        <v>60</v>
      </c>
      <c r="MH2" s="197"/>
    </row>
    <row r="3" spans="1:374" ht="15" customHeight="1" x14ac:dyDescent="0.3">
      <c r="A3" s="44" t="s">
        <v>115</v>
      </c>
      <c r="B3" s="72" t="s">
        <v>289</v>
      </c>
      <c r="C3" s="72" t="s">
        <v>11</v>
      </c>
      <c r="D3" s="72" t="s">
        <v>0</v>
      </c>
      <c r="E3" s="24" t="s">
        <v>112</v>
      </c>
      <c r="F3" s="74" t="s">
        <v>93</v>
      </c>
      <c r="G3" s="24" t="s">
        <v>252</v>
      </c>
      <c r="H3" s="24" t="s">
        <v>253</v>
      </c>
      <c r="I3" s="24" t="s">
        <v>251</v>
      </c>
      <c r="J3" s="72" t="s">
        <v>91</v>
      </c>
      <c r="K3" s="72" t="s">
        <v>92</v>
      </c>
      <c r="L3" s="44" t="s">
        <v>246</v>
      </c>
      <c r="M3" s="74" t="s">
        <v>248</v>
      </c>
      <c r="N3" s="74" t="s">
        <v>176</v>
      </c>
      <c r="O3" s="74" t="s">
        <v>245</v>
      </c>
      <c r="P3" s="74" t="s">
        <v>247</v>
      </c>
      <c r="Q3" s="74" t="s">
        <v>106</v>
      </c>
      <c r="R3" s="44" t="s">
        <v>94</v>
      </c>
      <c r="S3" s="44" t="s">
        <v>95</v>
      </c>
      <c r="T3" s="24" t="s">
        <v>236</v>
      </c>
      <c r="U3" s="22" t="s">
        <v>65</v>
      </c>
      <c r="V3" s="440" t="s">
        <v>191</v>
      </c>
      <c r="W3" s="440"/>
      <c r="X3" s="440"/>
      <c r="Y3" s="440"/>
      <c r="Z3" s="440"/>
      <c r="AA3" s="24" t="s">
        <v>236</v>
      </c>
      <c r="AB3" s="22" t="s">
        <v>65</v>
      </c>
      <c r="AC3" s="74" t="s">
        <v>12</v>
      </c>
      <c r="AD3" s="74" t="s">
        <v>154</v>
      </c>
      <c r="AE3" s="74" t="s">
        <v>65</v>
      </c>
      <c r="AF3" s="44" t="s">
        <v>50</v>
      </c>
      <c r="AG3" s="44" t="s">
        <v>60</v>
      </c>
      <c r="AH3" s="44" t="s">
        <v>1</v>
      </c>
      <c r="AI3" s="44" t="s">
        <v>236</v>
      </c>
      <c r="AJ3" s="44" t="s">
        <v>65</v>
      </c>
      <c r="AK3" s="44" t="s">
        <v>2</v>
      </c>
      <c r="AL3" s="44" t="s">
        <v>236</v>
      </c>
      <c r="AM3" s="44" t="s">
        <v>65</v>
      </c>
      <c r="AN3" s="44" t="s">
        <v>2</v>
      </c>
      <c r="AO3" s="44" t="s">
        <v>63</v>
      </c>
      <c r="AP3" s="67" t="s">
        <v>262</v>
      </c>
      <c r="AQ3" s="67" t="s">
        <v>32</v>
      </c>
      <c r="AR3" s="67" t="s">
        <v>33</v>
      </c>
      <c r="AS3" s="94"/>
      <c r="AT3" s="94" t="s">
        <v>263</v>
      </c>
      <c r="AU3" s="22" t="s">
        <v>65</v>
      </c>
      <c r="AV3" s="22" t="s">
        <v>236</v>
      </c>
      <c r="AW3" s="22" t="s">
        <v>65</v>
      </c>
      <c r="AX3" s="22" t="s">
        <v>236</v>
      </c>
      <c r="AY3" s="22" t="s">
        <v>65</v>
      </c>
      <c r="AZ3" s="22" t="s">
        <v>65</v>
      </c>
      <c r="BA3" s="22" t="s">
        <v>236</v>
      </c>
      <c r="BB3" s="22" t="s">
        <v>65</v>
      </c>
      <c r="BC3" s="22" t="s">
        <v>164</v>
      </c>
      <c r="BD3" s="22" t="s">
        <v>110</v>
      </c>
      <c r="BE3" s="22" t="s">
        <v>281</v>
      </c>
      <c r="BF3" s="22" t="s">
        <v>280</v>
      </c>
      <c r="BG3" s="22" t="s">
        <v>278</v>
      </c>
      <c r="BH3" s="22" t="s">
        <v>279</v>
      </c>
      <c r="BI3" s="22" t="s">
        <v>18</v>
      </c>
      <c r="BJ3" s="22" t="s">
        <v>292</v>
      </c>
      <c r="BK3" s="220" t="s">
        <v>165</v>
      </c>
      <c r="BL3" s="220" t="s">
        <v>146</v>
      </c>
      <c r="BM3" s="226" t="s">
        <v>167</v>
      </c>
      <c r="BN3" s="220"/>
      <c r="BO3" s="220"/>
      <c r="BP3" s="94" t="s">
        <v>236</v>
      </c>
      <c r="BQ3" s="94" t="s">
        <v>65</v>
      </c>
      <c r="BR3" s="94" t="s">
        <v>236</v>
      </c>
      <c r="BS3" s="94" t="s">
        <v>65</v>
      </c>
      <c r="BT3" s="94" t="s">
        <v>154</v>
      </c>
      <c r="BU3" s="94" t="s">
        <v>65</v>
      </c>
      <c r="BV3" s="94" t="s">
        <v>64</v>
      </c>
      <c r="BW3" s="67" t="s">
        <v>65</v>
      </c>
      <c r="BX3" s="67" t="s">
        <v>65</v>
      </c>
      <c r="BY3" s="67" t="s">
        <v>196</v>
      </c>
      <c r="BZ3" s="67" t="s">
        <v>64</v>
      </c>
      <c r="CA3" s="67" t="s">
        <v>65</v>
      </c>
      <c r="CB3" s="67" t="s">
        <v>64</v>
      </c>
      <c r="CC3" s="67" t="s">
        <v>330</v>
      </c>
      <c r="CD3" s="67" t="s">
        <v>329</v>
      </c>
      <c r="CE3" s="67" t="s">
        <v>176</v>
      </c>
      <c r="CF3" s="67" t="s">
        <v>245</v>
      </c>
      <c r="CG3" s="67" t="s">
        <v>282</v>
      </c>
      <c r="CH3" s="67" t="s">
        <v>107</v>
      </c>
      <c r="CI3" s="67" t="s">
        <v>28</v>
      </c>
      <c r="CJ3" s="67" t="s">
        <v>14</v>
      </c>
      <c r="CK3" s="67" t="s">
        <v>236</v>
      </c>
      <c r="CL3" s="67" t="s">
        <v>65</v>
      </c>
      <c r="CM3" s="45" t="s">
        <v>6</v>
      </c>
      <c r="CN3" s="67" t="s">
        <v>68</v>
      </c>
      <c r="CO3" s="67" t="s">
        <v>15</v>
      </c>
      <c r="CP3" s="22"/>
      <c r="CQ3" s="22"/>
      <c r="CR3" s="22"/>
      <c r="CS3" s="22"/>
      <c r="CT3" s="22"/>
      <c r="CU3" s="24"/>
      <c r="CV3" s="24"/>
      <c r="CW3" s="24"/>
      <c r="CX3" s="44" t="s">
        <v>42</v>
      </c>
      <c r="CY3" s="24" t="s">
        <v>294</v>
      </c>
      <c r="CZ3" s="94" t="s">
        <v>67</v>
      </c>
      <c r="DA3" s="73" t="s">
        <v>67</v>
      </c>
      <c r="DB3" s="313" t="s">
        <v>8</v>
      </c>
      <c r="DC3" s="313" t="s">
        <v>8</v>
      </c>
      <c r="DD3" s="313" t="s">
        <v>8</v>
      </c>
      <c r="DE3" s="313" t="s">
        <v>8</v>
      </c>
      <c r="DF3" s="313"/>
      <c r="DG3" s="101" t="s">
        <v>43</v>
      </c>
      <c r="DH3" s="101" t="s">
        <v>43</v>
      </c>
      <c r="DI3" s="101" t="s">
        <v>43</v>
      </c>
      <c r="DJ3" s="65" t="s">
        <v>55</v>
      </c>
      <c r="DK3" s="101" t="s">
        <v>55</v>
      </c>
      <c r="DL3" s="101" t="s">
        <v>7</v>
      </c>
      <c r="DM3" s="140" t="s">
        <v>49</v>
      </c>
      <c r="DN3" s="139" t="s">
        <v>49</v>
      </c>
      <c r="DO3" s="200" t="s">
        <v>49</v>
      </c>
      <c r="DP3" s="21"/>
      <c r="DQ3" s="433"/>
      <c r="DR3" s="433"/>
      <c r="DS3" s="433"/>
      <c r="DT3" s="433"/>
      <c r="DU3" s="21"/>
      <c r="EI3" s="197"/>
      <c r="EJ3" s="324" t="s">
        <v>217</v>
      </c>
      <c r="EK3" s="324" t="s">
        <v>218</v>
      </c>
      <c r="EL3" s="324" t="s">
        <v>219</v>
      </c>
      <c r="EM3" s="324" t="s">
        <v>220</v>
      </c>
      <c r="EN3" s="324" t="s">
        <v>49</v>
      </c>
      <c r="EO3" s="324" t="s">
        <v>221</v>
      </c>
      <c r="EP3" s="325" t="s">
        <v>222</v>
      </c>
      <c r="ES3" s="21" t="s">
        <v>102</v>
      </c>
      <c r="ET3" s="21" t="s">
        <v>153</v>
      </c>
      <c r="EU3" s="143" t="s">
        <v>103</v>
      </c>
      <c r="EV3" s="21" t="s">
        <v>155</v>
      </c>
      <c r="EW3" s="21" t="s">
        <v>156</v>
      </c>
      <c r="EX3" s="21" t="s">
        <v>157</v>
      </c>
      <c r="EY3" s="21" t="s">
        <v>158</v>
      </c>
      <c r="EZ3" s="21" t="s">
        <v>159</v>
      </c>
      <c r="FA3" s="21"/>
      <c r="FB3" s="21" t="s">
        <v>102</v>
      </c>
      <c r="FC3" s="21" t="s">
        <v>153</v>
      </c>
      <c r="FD3" s="143" t="s">
        <v>103</v>
      </c>
      <c r="FE3" s="21" t="s">
        <v>155</v>
      </c>
      <c r="FF3" s="21" t="s">
        <v>156</v>
      </c>
      <c r="FG3" s="21" t="s">
        <v>157</v>
      </c>
      <c r="FH3" s="21" t="s">
        <v>158</v>
      </c>
      <c r="FI3" s="21" t="s">
        <v>159</v>
      </c>
      <c r="FJ3" s="21"/>
      <c r="FK3" s="21"/>
      <c r="FL3" s="44" t="s">
        <v>1</v>
      </c>
      <c r="FM3" s="21"/>
      <c r="FN3" s="72" t="s">
        <v>236</v>
      </c>
      <c r="FO3" s="72" t="s">
        <v>65</v>
      </c>
      <c r="FP3" s="22" t="s">
        <v>105</v>
      </c>
      <c r="FQ3" s="22" t="s">
        <v>18</v>
      </c>
      <c r="FR3" s="22" t="s">
        <v>104</v>
      </c>
      <c r="FS3" s="22"/>
      <c r="FT3" s="74" t="s">
        <v>17</v>
      </c>
      <c r="FU3" s="44" t="s">
        <v>18</v>
      </c>
      <c r="FV3" s="21"/>
      <c r="FW3" s="21">
        <v>1</v>
      </c>
      <c r="FX3" s="21">
        <v>2</v>
      </c>
      <c r="FY3" s="21">
        <v>3</v>
      </c>
      <c r="FZ3" s="21">
        <v>4</v>
      </c>
      <c r="GA3" s="21">
        <v>5</v>
      </c>
      <c r="GB3" s="21">
        <v>6</v>
      </c>
      <c r="GC3" s="21">
        <v>7</v>
      </c>
      <c r="GD3" s="21">
        <v>8</v>
      </c>
      <c r="GE3" s="21">
        <v>9</v>
      </c>
      <c r="GF3" s="21">
        <v>10</v>
      </c>
      <c r="GG3" s="21">
        <v>11</v>
      </c>
      <c r="GH3" s="21">
        <v>12</v>
      </c>
      <c r="GI3" s="21">
        <v>13</v>
      </c>
      <c r="GJ3" s="21">
        <v>14</v>
      </c>
      <c r="GK3" s="21">
        <v>15</v>
      </c>
      <c r="GL3" s="21">
        <v>16</v>
      </c>
      <c r="GM3" s="21">
        <v>17</v>
      </c>
      <c r="GN3" s="21">
        <v>18</v>
      </c>
      <c r="GO3" s="21">
        <v>19</v>
      </c>
      <c r="GP3" s="21">
        <v>20</v>
      </c>
      <c r="GQ3" s="21">
        <v>21</v>
      </c>
      <c r="GR3" s="21">
        <v>22</v>
      </c>
      <c r="GS3" s="21">
        <v>23</v>
      </c>
      <c r="GT3" s="21">
        <v>24</v>
      </c>
      <c r="GU3" s="21">
        <v>25</v>
      </c>
      <c r="GV3" s="21">
        <v>26</v>
      </c>
      <c r="GW3" s="21">
        <v>27</v>
      </c>
      <c r="GX3" s="21">
        <v>28</v>
      </c>
      <c r="GY3" s="21">
        <v>29</v>
      </c>
      <c r="GZ3" s="21">
        <v>30</v>
      </c>
      <c r="HA3" s="21">
        <v>31</v>
      </c>
      <c r="HB3" s="21">
        <v>32</v>
      </c>
      <c r="HC3" s="21"/>
      <c r="HD3" s="21" t="s">
        <v>71</v>
      </c>
      <c r="HE3" s="117">
        <v>1</v>
      </c>
      <c r="HF3" s="117">
        <v>2</v>
      </c>
      <c r="HG3" s="117">
        <v>3</v>
      </c>
      <c r="HH3" s="117">
        <v>4</v>
      </c>
      <c r="HI3" s="117">
        <v>5</v>
      </c>
      <c r="HJ3" s="117">
        <v>6</v>
      </c>
      <c r="HK3" s="117">
        <v>7</v>
      </c>
      <c r="HL3" s="117">
        <v>8</v>
      </c>
      <c r="HM3" s="117">
        <v>9</v>
      </c>
      <c r="HN3" s="117">
        <v>10</v>
      </c>
      <c r="HO3" s="117">
        <v>11</v>
      </c>
      <c r="HP3" s="117">
        <v>12</v>
      </c>
      <c r="HQ3" s="117">
        <v>13</v>
      </c>
      <c r="HR3" s="117">
        <v>14</v>
      </c>
      <c r="HS3" s="117">
        <v>15</v>
      </c>
      <c r="HT3" s="117">
        <v>16</v>
      </c>
      <c r="HU3" s="117">
        <v>17</v>
      </c>
      <c r="HV3" s="117">
        <v>18</v>
      </c>
      <c r="HW3" s="117">
        <v>19</v>
      </c>
      <c r="HX3" s="117">
        <v>20</v>
      </c>
      <c r="HY3" s="117">
        <v>21</v>
      </c>
      <c r="HZ3" s="117">
        <v>22</v>
      </c>
      <c r="IA3" s="117">
        <v>23</v>
      </c>
      <c r="IB3" s="117">
        <v>24</v>
      </c>
      <c r="IC3" s="117">
        <v>25</v>
      </c>
      <c r="ID3" s="117">
        <v>26</v>
      </c>
      <c r="IE3" s="117">
        <v>27</v>
      </c>
      <c r="IF3" s="117">
        <v>28</v>
      </c>
      <c r="IG3" s="117">
        <v>29</v>
      </c>
      <c r="IH3" s="117">
        <f>IG3+1</f>
        <v>30</v>
      </c>
      <c r="II3" s="117">
        <f>IH3+1</f>
        <v>31</v>
      </c>
      <c r="IJ3" s="117">
        <f>II3+1</f>
        <v>32</v>
      </c>
      <c r="IK3" s="117">
        <f>IJ3+1</f>
        <v>33</v>
      </c>
      <c r="IL3" s="21"/>
      <c r="IM3" s="21"/>
      <c r="IN3" s="21">
        <v>1</v>
      </c>
      <c r="IO3" s="21">
        <v>2</v>
      </c>
      <c r="IP3" s="21">
        <v>3</v>
      </c>
      <c r="IQ3" s="21">
        <v>4</v>
      </c>
      <c r="IR3" s="21">
        <v>5</v>
      </c>
      <c r="IS3" s="21">
        <v>6</v>
      </c>
      <c r="IT3" s="21">
        <v>7</v>
      </c>
      <c r="IU3" s="21">
        <v>8</v>
      </c>
      <c r="IV3" s="21">
        <v>9</v>
      </c>
      <c r="IW3" s="21">
        <v>10</v>
      </c>
      <c r="IX3" s="21">
        <v>11</v>
      </c>
      <c r="IY3" s="21">
        <v>12</v>
      </c>
      <c r="IZ3" s="21">
        <v>13</v>
      </c>
      <c r="JA3" s="21">
        <v>14</v>
      </c>
      <c r="JB3" s="21">
        <v>15</v>
      </c>
      <c r="JC3" s="21">
        <v>16</v>
      </c>
      <c r="JD3" s="21">
        <v>17</v>
      </c>
      <c r="JE3" s="21">
        <v>18</v>
      </c>
      <c r="JF3" s="21">
        <v>19</v>
      </c>
      <c r="JG3" s="21">
        <v>20</v>
      </c>
      <c r="JH3" s="21">
        <v>21</v>
      </c>
      <c r="JI3" s="21">
        <v>22</v>
      </c>
      <c r="JJ3" s="21">
        <v>23</v>
      </c>
      <c r="JK3" s="21">
        <v>24</v>
      </c>
      <c r="JL3" s="21">
        <v>25</v>
      </c>
      <c r="JM3" s="21">
        <v>26</v>
      </c>
      <c r="JN3" s="21">
        <v>27</v>
      </c>
      <c r="JO3" s="21">
        <v>28</v>
      </c>
      <c r="JP3" s="21">
        <v>29</v>
      </c>
      <c r="JQ3" s="21">
        <v>30</v>
      </c>
      <c r="JR3" s="21">
        <v>31</v>
      </c>
      <c r="JS3" s="21">
        <v>32</v>
      </c>
      <c r="JU3" s="39" t="s">
        <v>71</v>
      </c>
      <c r="JV3" s="21">
        <v>1</v>
      </c>
      <c r="JW3" s="21">
        <v>2</v>
      </c>
      <c r="JX3" s="21">
        <v>3</v>
      </c>
      <c r="JY3" s="21">
        <v>4</v>
      </c>
      <c r="JZ3" s="21">
        <v>5</v>
      </c>
      <c r="KA3" s="21">
        <v>6</v>
      </c>
      <c r="KB3" s="21">
        <v>7</v>
      </c>
      <c r="KC3" s="21">
        <v>8</v>
      </c>
      <c r="KD3" s="21">
        <v>9</v>
      </c>
      <c r="KE3" s="21">
        <v>10</v>
      </c>
      <c r="KF3" s="21">
        <v>11</v>
      </c>
      <c r="KG3" s="21">
        <v>12</v>
      </c>
      <c r="KH3" s="21">
        <v>13</v>
      </c>
      <c r="KI3" s="21">
        <v>14</v>
      </c>
      <c r="KJ3" s="21">
        <v>15</v>
      </c>
      <c r="KK3" s="21">
        <v>16</v>
      </c>
      <c r="KL3" s="21">
        <v>17</v>
      </c>
      <c r="KM3" s="21">
        <v>18</v>
      </c>
      <c r="KN3" s="21">
        <v>19</v>
      </c>
      <c r="KO3" s="21">
        <v>20</v>
      </c>
      <c r="KP3" s="21">
        <v>21</v>
      </c>
      <c r="KQ3" s="21">
        <v>22</v>
      </c>
      <c r="KR3" s="21">
        <v>23</v>
      </c>
      <c r="KS3" s="21">
        <v>24</v>
      </c>
      <c r="KT3" s="21">
        <v>25</v>
      </c>
      <c r="KU3" s="21">
        <v>26</v>
      </c>
      <c r="KV3" s="21">
        <v>27</v>
      </c>
      <c r="KW3" s="21">
        <v>28</v>
      </c>
      <c r="KX3" s="21">
        <v>29</v>
      </c>
      <c r="KY3" s="21">
        <v>30</v>
      </c>
      <c r="KZ3" s="21">
        <v>31</v>
      </c>
      <c r="LA3" s="21">
        <v>32</v>
      </c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114">
        <f>$DT$24</f>
        <v>7.0000000000000007E-2</v>
      </c>
      <c r="LP3" s="114">
        <f>$DT$27</f>
        <v>2.2499999999999999E-2</v>
      </c>
      <c r="LQ3" s="39"/>
      <c r="LR3" s="21"/>
      <c r="LS3" s="39"/>
      <c r="LT3" s="39"/>
      <c r="LU3" s="74" t="s">
        <v>59</v>
      </c>
      <c r="LV3" s="74" t="s">
        <v>59</v>
      </c>
      <c r="LW3" s="74" t="s">
        <v>59</v>
      </c>
      <c r="LX3" s="39"/>
      <c r="LY3" s="13" t="s">
        <v>81</v>
      </c>
      <c r="LZ3" s="13" t="s">
        <v>81</v>
      </c>
      <c r="MB3" s="197" t="s">
        <v>243</v>
      </c>
      <c r="MC3" s="197" t="s">
        <v>244</v>
      </c>
      <c r="MD3" s="197" t="s">
        <v>242</v>
      </c>
      <c r="MF3" s="197" t="s">
        <v>258</v>
      </c>
      <c r="MG3" s="197" t="s">
        <v>259</v>
      </c>
      <c r="MH3" s="197" t="s">
        <v>260</v>
      </c>
      <c r="MJ3" s="39"/>
      <c r="MK3" s="39"/>
      <c r="ML3" s="39"/>
      <c r="MM3" s="39"/>
      <c r="MN3" s="39"/>
      <c r="MO3" s="39"/>
      <c r="MP3" s="39"/>
      <c r="MQ3" s="39"/>
      <c r="MR3" s="39"/>
      <c r="MS3" s="167">
        <v>0</v>
      </c>
      <c r="MT3" s="167">
        <v>5.0000000000000001E-3</v>
      </c>
      <c r="MU3" s="199">
        <f>MT3+0.5%</f>
        <v>0.01</v>
      </c>
      <c r="MV3" s="199">
        <f>MU3+0.5%</f>
        <v>1.4999999999999999E-2</v>
      </c>
      <c r="MW3" s="199">
        <f>MV3+0.5%</f>
        <v>0.02</v>
      </c>
      <c r="MX3" s="199">
        <f>MW3+0.5%</f>
        <v>2.5000000000000001E-2</v>
      </c>
    </row>
    <row r="4" spans="1:374" ht="15" customHeight="1" x14ac:dyDescent="0.3">
      <c r="A4" s="305">
        <f t="shared" ref="A4:A11" si="0">YEAR(C4)+2</f>
        <v>2013</v>
      </c>
      <c r="B4" s="355">
        <f>YEAR(C4)</f>
        <v>2011</v>
      </c>
      <c r="C4" s="26">
        <v>40725</v>
      </c>
      <c r="F4" s="73"/>
      <c r="G4" s="22"/>
      <c r="H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94"/>
      <c r="AD4" s="22"/>
      <c r="AE4" s="22"/>
      <c r="AF4" s="150"/>
      <c r="AG4" s="22"/>
      <c r="AH4" s="244"/>
      <c r="AI4" s="244"/>
      <c r="AJ4" s="244"/>
      <c r="AO4" s="22"/>
      <c r="AP4" s="22"/>
      <c r="AQ4" s="22"/>
      <c r="AR4" s="73"/>
      <c r="AS4" s="22"/>
      <c r="BK4" s="213"/>
      <c r="BL4" s="213"/>
      <c r="BM4" s="227"/>
      <c r="BN4" s="213"/>
      <c r="BO4" s="213"/>
      <c r="BP4" s="168"/>
      <c r="BQ4" s="42"/>
      <c r="BR4" s="42"/>
      <c r="BS4" s="42"/>
      <c r="BT4" s="42"/>
      <c r="BU4" s="42"/>
      <c r="BV4" s="42"/>
      <c r="BW4" s="42"/>
      <c r="BX4" s="42"/>
      <c r="BY4" s="4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126"/>
      <c r="CN4" s="22"/>
      <c r="CO4" s="73"/>
      <c r="CP4" s="22"/>
      <c r="CQ4" s="22"/>
      <c r="CR4" s="22"/>
      <c r="CS4" s="22"/>
      <c r="CT4" s="22"/>
      <c r="CU4" s="22"/>
      <c r="CV4" s="22"/>
      <c r="CW4" s="22"/>
      <c r="CX4" s="67"/>
      <c r="CY4" s="22"/>
      <c r="CZ4" s="94"/>
      <c r="DA4" s="73"/>
      <c r="DB4" s="313"/>
      <c r="DC4" s="313"/>
      <c r="DD4" s="313"/>
      <c r="DE4" s="313"/>
      <c r="DF4" s="313"/>
      <c r="DG4" s="139"/>
      <c r="DH4" s="139"/>
      <c r="DI4" s="139"/>
      <c r="DJ4" s="140"/>
      <c r="DK4" s="139"/>
      <c r="DL4" s="139"/>
      <c r="DM4" s="204" t="s">
        <v>212</v>
      </c>
      <c r="DN4" s="139"/>
      <c r="DO4" s="201" t="s">
        <v>199</v>
      </c>
      <c r="DP4" s="21"/>
      <c r="DQ4" s="138"/>
      <c r="DR4" s="138"/>
      <c r="DS4" s="138"/>
      <c r="DT4" s="138"/>
      <c r="DU4" s="21"/>
      <c r="EI4" s="197"/>
      <c r="EN4" s="38" t="s">
        <v>223</v>
      </c>
      <c r="EO4" s="38" t="s">
        <v>224</v>
      </c>
      <c r="EP4" s="326" t="s">
        <v>225</v>
      </c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2"/>
      <c r="FO4" s="42"/>
      <c r="FP4" s="42"/>
      <c r="FQ4" s="42"/>
      <c r="FR4" s="42"/>
      <c r="FS4" s="42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141"/>
      <c r="HF4" s="141"/>
      <c r="HG4" s="141"/>
      <c r="HH4" s="141"/>
      <c r="HI4" s="141"/>
      <c r="HJ4" s="141"/>
      <c r="HK4" s="141"/>
      <c r="HL4" s="141"/>
      <c r="HM4" s="141"/>
      <c r="HN4" s="141"/>
      <c r="HO4" s="141"/>
      <c r="HP4" s="141"/>
      <c r="HQ4" s="141"/>
      <c r="HR4" s="141"/>
      <c r="HS4" s="141"/>
      <c r="HT4" s="141"/>
      <c r="HU4" s="141"/>
      <c r="HV4" s="141"/>
      <c r="HW4" s="141"/>
      <c r="HX4" s="141"/>
      <c r="HY4" s="141"/>
      <c r="HZ4" s="141"/>
      <c r="IA4" s="141"/>
      <c r="IB4" s="141"/>
      <c r="IC4" s="141"/>
      <c r="ID4" s="141"/>
      <c r="IE4" s="141"/>
      <c r="IF4" s="141"/>
      <c r="IG4" s="141"/>
      <c r="IH4" s="141"/>
      <c r="II4" s="141"/>
      <c r="IJ4" s="141"/>
      <c r="IK4" s="14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114"/>
      <c r="LP4" s="114"/>
      <c r="LQ4" s="39"/>
      <c r="LR4" s="21"/>
      <c r="LS4" s="39"/>
      <c r="LT4" s="39"/>
      <c r="LU4" s="22"/>
      <c r="LV4" s="22"/>
      <c r="LW4" s="22"/>
      <c r="LX4" s="39"/>
      <c r="LY4" s="13"/>
      <c r="LZ4" s="13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28"/>
      <c r="ML4" s="181"/>
      <c r="MM4" s="39"/>
      <c r="MN4" s="39"/>
      <c r="MO4" s="39"/>
      <c r="MP4" s="39"/>
      <c r="MQ4" s="39"/>
      <c r="MR4" s="39"/>
      <c r="MS4" s="39" t="s">
        <v>143</v>
      </c>
      <c r="MT4" s="39"/>
      <c r="MU4" s="230">
        <v>0.67</v>
      </c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</row>
    <row r="5" spans="1:374" s="28" customFormat="1" ht="12.75" customHeight="1" x14ac:dyDescent="0.3">
      <c r="A5" s="305">
        <f t="shared" si="0"/>
        <v>2014</v>
      </c>
      <c r="B5" s="355">
        <f t="shared" ref="B5:B44" si="1">YEAR(C5)</f>
        <v>2012</v>
      </c>
      <c r="C5" s="26">
        <v>41091</v>
      </c>
      <c r="D5" s="38"/>
      <c r="E5" s="34"/>
      <c r="F5" s="154"/>
      <c r="G5" s="34"/>
      <c r="H5" s="34"/>
      <c r="R5" s="260">
        <f t="shared" ref="R5:R44" si="2">1-S5</f>
        <v>1</v>
      </c>
      <c r="S5" s="257">
        <v>0</v>
      </c>
      <c r="T5" s="261">
        <v>7.4999999999999997E-2</v>
      </c>
      <c r="U5" s="261"/>
      <c r="V5" s="69">
        <f>W5+X5</f>
        <v>39457.707999999999</v>
      </c>
      <c r="W5" s="69">
        <v>39457.707999999999</v>
      </c>
      <c r="X5" s="69"/>
      <c r="Y5" s="69">
        <v>708.17139310000005</v>
      </c>
      <c r="Z5" s="111"/>
      <c r="AA5" s="261">
        <f>T5</f>
        <v>7.4999999999999997E-2</v>
      </c>
      <c r="AB5" s="27"/>
      <c r="AC5" s="173">
        <f>AD5+AE5</f>
        <v>39457.707999999999</v>
      </c>
      <c r="AD5" s="69">
        <f>W5</f>
        <v>39457.707999999999</v>
      </c>
      <c r="AE5" s="69"/>
      <c r="AF5" s="69">
        <f>Y5</f>
        <v>708.17139310000005</v>
      </c>
      <c r="AG5" s="27"/>
      <c r="AH5" s="69">
        <f>AI5+AJ5</f>
        <v>25540.749</v>
      </c>
      <c r="AI5" s="69">
        <v>25540.749</v>
      </c>
      <c r="AJ5" s="69"/>
      <c r="AK5" s="69">
        <f>AL5+AM5</f>
        <v>21536.907999999999</v>
      </c>
      <c r="AL5" s="69">
        <v>21536.907999999999</v>
      </c>
      <c r="AM5" s="69"/>
      <c r="AN5" s="262"/>
      <c r="AO5" s="27">
        <f>AC5-AH5</f>
        <v>13916.958999999999</v>
      </c>
      <c r="AP5" s="27">
        <f>AC5-AK5</f>
        <v>17920.8</v>
      </c>
      <c r="AQ5" s="68">
        <f>AH5/AC5</f>
        <v>0.64729428784865051</v>
      </c>
      <c r="AR5" s="151">
        <f>AK5/AC5</f>
        <v>0.54582258047020882</v>
      </c>
      <c r="AS5" s="68"/>
      <c r="AX5" s="39"/>
      <c r="AY5" s="39"/>
      <c r="AZ5" s="39"/>
      <c r="BA5" s="39"/>
      <c r="BB5" s="39"/>
      <c r="BC5" s="133"/>
      <c r="BE5" s="133"/>
      <c r="BF5" s="133"/>
      <c r="BG5" s="133"/>
      <c r="BH5" s="39"/>
      <c r="BM5" s="228"/>
      <c r="BN5" s="69"/>
      <c r="BO5" s="69"/>
      <c r="BP5" s="173"/>
      <c r="BQ5" s="69"/>
      <c r="BR5" s="69"/>
      <c r="BS5" s="69"/>
      <c r="BT5" s="69"/>
      <c r="BU5" s="69"/>
      <c r="BV5" s="174"/>
      <c r="BW5" s="180"/>
      <c r="BX5" s="180"/>
      <c r="BY5" s="180"/>
      <c r="BZ5" s="155"/>
      <c r="CA5" s="180"/>
      <c r="CB5" s="174"/>
      <c r="CC5" s="174"/>
      <c r="CD5" s="176"/>
      <c r="CE5" s="93"/>
      <c r="CF5" s="93"/>
      <c r="CG5" s="93"/>
      <c r="CH5" s="27"/>
      <c r="CI5" s="27"/>
      <c r="CJ5" s="176"/>
      <c r="CK5" s="176"/>
      <c r="CL5" s="176"/>
      <c r="CM5" s="177">
        <f>SUM(BV5:CJ5)</f>
        <v>0</v>
      </c>
      <c r="CN5" s="110"/>
      <c r="CO5" s="119">
        <f t="shared" ref="CO5:CO39" si="3">SUM(CM5:CN5)</f>
        <v>0</v>
      </c>
      <c r="CP5" s="27"/>
      <c r="CQ5" s="27"/>
      <c r="CR5" s="27"/>
      <c r="CS5" s="27"/>
      <c r="CT5" s="27"/>
      <c r="CU5" s="93"/>
      <c r="CV5" s="93"/>
      <c r="CW5" s="93"/>
      <c r="CX5" s="113"/>
      <c r="CY5" s="27"/>
      <c r="CZ5" s="96"/>
      <c r="DA5" s="224"/>
      <c r="DB5" s="314"/>
      <c r="DC5" s="314"/>
      <c r="DD5" s="314"/>
      <c r="DE5" s="314"/>
      <c r="DF5" s="314"/>
      <c r="DG5" s="27"/>
      <c r="DH5" s="100"/>
      <c r="DI5" s="105"/>
      <c r="DJ5" s="96"/>
      <c r="DK5" s="99"/>
      <c r="DL5" s="99"/>
      <c r="DM5" s="178"/>
      <c r="DN5" s="100"/>
      <c r="DO5" s="179"/>
      <c r="DP5" s="29"/>
      <c r="DT5" s="31"/>
      <c r="DU5" s="29"/>
      <c r="DV5" s="327"/>
      <c r="DW5" s="328"/>
      <c r="DX5" s="328"/>
      <c r="DY5" s="328"/>
      <c r="DZ5" s="328"/>
      <c r="EA5" s="328"/>
      <c r="EB5" s="328"/>
      <c r="EC5" s="328"/>
      <c r="ED5" s="328"/>
      <c r="EE5" s="328"/>
      <c r="EF5" s="328"/>
      <c r="EG5" s="328"/>
      <c r="EH5" s="329"/>
      <c r="EI5" s="330"/>
      <c r="EJ5" s="30"/>
      <c r="EK5" s="30"/>
      <c r="EL5" s="30"/>
      <c r="EM5" s="30"/>
      <c r="EN5" s="30"/>
      <c r="EO5" s="30"/>
      <c r="EP5" s="331"/>
      <c r="EQ5" s="30"/>
      <c r="ER5" s="30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93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29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  <c r="IZ5" s="48"/>
      <c r="JA5" s="48"/>
      <c r="JB5" s="48"/>
      <c r="JC5" s="48"/>
      <c r="JD5" s="48"/>
      <c r="JE5" s="48"/>
      <c r="JF5" s="48"/>
      <c r="JG5" s="48"/>
      <c r="JH5" s="48"/>
      <c r="JI5" s="48"/>
      <c r="JJ5" s="48"/>
      <c r="JK5" s="48"/>
      <c r="JL5" s="48"/>
      <c r="JM5" s="48"/>
      <c r="JN5" s="48"/>
      <c r="JO5" s="48"/>
      <c r="JP5" s="48"/>
      <c r="JQ5" s="48"/>
      <c r="JR5" s="48"/>
      <c r="JS5" s="48"/>
      <c r="JT5" s="48"/>
      <c r="JU5" s="48"/>
      <c r="JV5" s="48"/>
      <c r="JW5" s="48"/>
      <c r="JX5" s="48"/>
      <c r="JY5" s="48"/>
      <c r="JZ5" s="48"/>
      <c r="KA5" s="48"/>
      <c r="KB5" s="48"/>
      <c r="KC5" s="48"/>
      <c r="KD5" s="48"/>
      <c r="KE5" s="48"/>
      <c r="KF5" s="48"/>
      <c r="KG5" s="48"/>
      <c r="KH5" s="48"/>
      <c r="KI5" s="48"/>
      <c r="KJ5" s="48"/>
      <c r="KK5" s="48"/>
      <c r="KL5" s="48"/>
      <c r="KM5" s="48"/>
      <c r="KN5" s="48"/>
      <c r="KO5" s="48"/>
      <c r="KP5" s="48"/>
      <c r="KQ5" s="48"/>
      <c r="KR5" s="48"/>
      <c r="KS5" s="48"/>
      <c r="KT5" s="48"/>
      <c r="KU5" s="48"/>
      <c r="KV5" s="48"/>
      <c r="KW5" s="48"/>
      <c r="KX5" s="48"/>
      <c r="KY5" s="48"/>
      <c r="KZ5" s="48"/>
      <c r="LA5" s="48"/>
      <c r="LB5" s="48"/>
      <c r="LC5" s="48"/>
      <c r="LD5" s="48"/>
      <c r="LE5" s="48"/>
      <c r="LF5" s="48"/>
      <c r="LG5" s="48"/>
      <c r="LH5" s="48"/>
      <c r="LI5" s="48"/>
      <c r="LJ5" s="48"/>
      <c r="LK5" s="48"/>
      <c r="LL5" s="48"/>
      <c r="LM5" s="48"/>
      <c r="LN5" s="48"/>
      <c r="LO5" s="60">
        <v>1</v>
      </c>
      <c r="LP5" s="60">
        <v>1</v>
      </c>
      <c r="LQ5" s="61" t="s">
        <v>24</v>
      </c>
      <c r="LR5" s="48"/>
      <c r="LU5" s="98"/>
      <c r="LV5" s="98"/>
      <c r="LW5" s="229">
        <v>-323.25200000000001</v>
      </c>
      <c r="LY5" s="50" t="s">
        <v>75</v>
      </c>
      <c r="LZ5" s="252">
        <v>0.5</v>
      </c>
      <c r="MK5" s="28" t="s">
        <v>61</v>
      </c>
    </row>
    <row r="6" spans="1:374" s="28" customFormat="1" ht="12.75" customHeight="1" x14ac:dyDescent="0.3">
      <c r="A6" s="305">
        <f t="shared" si="0"/>
        <v>2015</v>
      </c>
      <c r="B6" s="355">
        <f t="shared" si="1"/>
        <v>2013</v>
      </c>
      <c r="C6" s="26">
        <v>41456</v>
      </c>
      <c r="F6" s="111"/>
      <c r="G6" s="27"/>
      <c r="H6" s="27"/>
      <c r="I6" s="22"/>
      <c r="J6" s="22"/>
      <c r="K6" s="22"/>
      <c r="L6" s="22"/>
      <c r="M6" s="22"/>
      <c r="R6" s="260">
        <f t="shared" si="2"/>
        <v>1</v>
      </c>
      <c r="S6" s="257">
        <v>0</v>
      </c>
      <c r="T6" s="261">
        <v>7.4999999999999997E-2</v>
      </c>
      <c r="U6" s="261"/>
      <c r="V6" s="69">
        <f t="shared" ref="V6:V42" si="4">W6+X6</f>
        <v>41196.061999999998</v>
      </c>
      <c r="W6" s="69">
        <v>41196.061999999998</v>
      </c>
      <c r="X6" s="69"/>
      <c r="Y6" s="69">
        <v>718.10131369999999</v>
      </c>
      <c r="Z6" s="111"/>
      <c r="AA6" s="261">
        <f t="shared" ref="AA6:AA13" si="5">T6</f>
        <v>7.4999999999999997E-2</v>
      </c>
      <c r="AB6" s="27"/>
      <c r="AC6" s="173">
        <f t="shared" ref="AC6:AC42" si="6">AD6+AE6</f>
        <v>41196.061999999998</v>
      </c>
      <c r="AD6" s="69">
        <f t="shared" ref="AD6:AD13" si="7">W6</f>
        <v>41196.061999999998</v>
      </c>
      <c r="AE6" s="69"/>
      <c r="AF6" s="69">
        <f t="shared" ref="AF6:AF13" si="8">Y6</f>
        <v>718.10131369999999</v>
      </c>
      <c r="AG6" s="27"/>
      <c r="AH6" s="69">
        <f t="shared" ref="AH6:AH13" si="9">AI6+AJ6</f>
        <v>25753.067999999999</v>
      </c>
      <c r="AI6" s="69">
        <v>25753.067999999999</v>
      </c>
      <c r="AJ6" s="69"/>
      <c r="AK6" s="69">
        <f t="shared" ref="AK6:AK42" si="10">AL6+AM6</f>
        <v>22791.322</v>
      </c>
      <c r="AL6" s="69">
        <v>22791.322</v>
      </c>
      <c r="AM6" s="69"/>
      <c r="AN6" s="262">
        <v>0.104</v>
      </c>
      <c r="AO6" s="27">
        <f>AC6-AH6</f>
        <v>15442.993999999999</v>
      </c>
      <c r="AP6" s="27">
        <f t="shared" ref="AP6:AP42" si="11">AC6-AK6</f>
        <v>18404.739999999998</v>
      </c>
      <c r="AQ6" s="68">
        <f>AH6/AC6</f>
        <v>0.62513421792597557</v>
      </c>
      <c r="AR6" s="151">
        <f>AK6/AC6</f>
        <v>0.55324030728956575</v>
      </c>
      <c r="AS6" s="68"/>
      <c r="AT6" s="263">
        <v>9.9400000000000002E-2</v>
      </c>
      <c r="AU6" s="262"/>
      <c r="AV6" s="261"/>
      <c r="AW6" s="261"/>
      <c r="AX6" s="262">
        <v>8.1600000000000006E-2</v>
      </c>
      <c r="AY6" s="262"/>
      <c r="AZ6" s="262"/>
      <c r="BA6" s="262">
        <f>AT6-AX6</f>
        <v>1.7799999999999996E-2</v>
      </c>
      <c r="BB6" s="262"/>
      <c r="BC6" s="182">
        <v>0.1109</v>
      </c>
      <c r="BD6" s="199">
        <v>0.1109</v>
      </c>
      <c r="BE6" s="410">
        <f t="shared" ref="BE6:BE42" si="12">BD6-BA6</f>
        <v>9.3100000000000002E-2</v>
      </c>
      <c r="BF6" s="410"/>
      <c r="BG6" s="340">
        <f t="shared" ref="BG6:BG13" si="13">BD6-$DT$42</f>
        <v>6.0899999999999996E-2</v>
      </c>
      <c r="BH6" s="410">
        <f>BD6</f>
        <v>0.1109</v>
      </c>
      <c r="BK6" s="69"/>
      <c r="BL6" s="27">
        <f t="shared" ref="BL6:BL44" si="14">IF(A6&lt;=2018,$DT$44,MAX(BL5-1,$DT$45))</f>
        <v>30</v>
      </c>
      <c r="BM6" s="228"/>
      <c r="BN6" s="69"/>
      <c r="BO6" s="69"/>
      <c r="BP6" s="173"/>
      <c r="BQ6" s="69"/>
      <c r="BR6" s="69"/>
      <c r="BS6" s="69"/>
      <c r="BT6" s="69"/>
      <c r="BU6" s="69"/>
      <c r="BV6" s="174"/>
      <c r="BW6" s="27"/>
      <c r="BX6" s="27"/>
      <c r="BY6" s="27"/>
      <c r="BZ6" s="243"/>
      <c r="CA6" s="27"/>
      <c r="CB6" s="243"/>
      <c r="CC6" s="243"/>
      <c r="CD6" s="27"/>
      <c r="CE6" s="115"/>
      <c r="CF6" s="115"/>
      <c r="CG6" s="115"/>
      <c r="CH6" s="115"/>
      <c r="CI6" s="247"/>
      <c r="CJ6" s="27"/>
      <c r="CK6" s="27"/>
      <c r="CL6" s="27"/>
      <c r="CM6" s="69"/>
      <c r="CN6" s="27"/>
      <c r="CO6" s="69"/>
      <c r="CP6" s="69"/>
      <c r="CQ6" s="69"/>
      <c r="CR6" s="69"/>
      <c r="CS6" s="69"/>
      <c r="CT6" s="69"/>
      <c r="CU6" s="93"/>
      <c r="CV6" s="93"/>
      <c r="CW6" s="93"/>
      <c r="CX6" s="156"/>
      <c r="CY6" s="56"/>
      <c r="CZ6" s="96"/>
      <c r="DA6" s="224"/>
      <c r="DB6" s="314"/>
      <c r="DC6" s="314"/>
      <c r="DD6" s="314"/>
      <c r="DE6" s="314"/>
      <c r="DF6" s="314"/>
      <c r="DG6" s="27"/>
      <c r="DH6" s="100"/>
      <c r="DI6" s="105"/>
      <c r="DJ6" s="96"/>
      <c r="DK6" s="100"/>
      <c r="DL6" s="100"/>
      <c r="DM6" s="178"/>
      <c r="DN6" s="100"/>
      <c r="DO6" s="179"/>
      <c r="DP6" s="29"/>
      <c r="DQ6" s="31"/>
      <c r="DR6" s="31"/>
      <c r="DS6" s="31"/>
      <c r="DT6" s="31"/>
      <c r="DU6" s="29"/>
      <c r="DV6" s="327"/>
      <c r="DW6" s="328"/>
      <c r="DX6" s="328"/>
      <c r="DY6" s="328"/>
      <c r="DZ6" s="328"/>
      <c r="EA6" s="328"/>
      <c r="EB6" s="328"/>
      <c r="EC6" s="328"/>
      <c r="ED6" s="328"/>
      <c r="EE6" s="328"/>
      <c r="EF6" s="328"/>
      <c r="EG6" s="328"/>
      <c r="EH6" s="329"/>
      <c r="EI6" s="330"/>
      <c r="EJ6" s="30"/>
      <c r="EK6" s="30"/>
      <c r="EL6" s="30"/>
      <c r="EM6" s="30"/>
      <c r="EN6" s="30"/>
      <c r="EO6" s="30"/>
      <c r="EP6" s="331"/>
      <c r="EQ6" s="30"/>
      <c r="ER6" s="30"/>
      <c r="FJ6" s="29"/>
      <c r="FK6" s="29"/>
      <c r="FL6" s="93"/>
      <c r="FM6" s="29"/>
      <c r="FN6" s="22"/>
      <c r="FO6" s="22"/>
      <c r="FP6" s="22"/>
      <c r="FQ6" s="22"/>
      <c r="FR6" s="22"/>
      <c r="FS6" s="22"/>
      <c r="FT6" s="22"/>
      <c r="FU6" s="22"/>
      <c r="FV6" s="22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29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8"/>
      <c r="JM6" s="48"/>
      <c r="JN6" s="48"/>
      <c r="JO6" s="48"/>
      <c r="JP6" s="48"/>
      <c r="JQ6" s="48"/>
      <c r="JR6" s="48"/>
      <c r="JS6" s="48"/>
      <c r="JT6" s="48"/>
      <c r="JU6" s="48"/>
      <c r="JV6" s="48"/>
      <c r="JW6" s="48"/>
      <c r="JX6" s="48"/>
      <c r="JY6" s="48"/>
      <c r="JZ6" s="48"/>
      <c r="KA6" s="48"/>
      <c r="KB6" s="48"/>
      <c r="KC6" s="48"/>
      <c r="KD6" s="48"/>
      <c r="KE6" s="48"/>
      <c r="KF6" s="48"/>
      <c r="KG6" s="48"/>
      <c r="KH6" s="48"/>
      <c r="KI6" s="48"/>
      <c r="KJ6" s="48"/>
      <c r="KK6" s="48"/>
      <c r="KL6" s="48"/>
      <c r="KM6" s="48"/>
      <c r="KN6" s="48"/>
      <c r="KO6" s="48"/>
      <c r="KP6" s="48"/>
      <c r="KQ6" s="48"/>
      <c r="KR6" s="48"/>
      <c r="KS6" s="48"/>
      <c r="KT6" s="48"/>
      <c r="KU6" s="48"/>
      <c r="KV6" s="48"/>
      <c r="KW6" s="48"/>
      <c r="KX6" s="48"/>
      <c r="KY6" s="48"/>
      <c r="KZ6" s="48"/>
      <c r="LA6" s="48"/>
      <c r="LB6" s="48"/>
      <c r="LC6" s="48"/>
      <c r="LD6" s="48"/>
      <c r="LE6" s="48"/>
      <c r="LF6" s="48"/>
      <c r="LG6" s="48"/>
      <c r="LH6" s="48"/>
      <c r="LI6" s="48"/>
      <c r="LJ6" s="48"/>
      <c r="LK6" s="48"/>
      <c r="LL6" s="48"/>
      <c r="LM6" s="48"/>
      <c r="LN6" s="48"/>
      <c r="LO6" s="62">
        <f>LO5/(1+LO3)^0.5</f>
        <v>0.96673648904566356</v>
      </c>
      <c r="LP6" s="63">
        <f>LP5/(1+LP3)^0.5</f>
        <v>0.98893635286829751</v>
      </c>
      <c r="LQ6" s="61" t="s">
        <v>25</v>
      </c>
      <c r="LR6" s="48"/>
      <c r="LU6" s="98"/>
      <c r="LV6" s="157">
        <f t="shared" ref="LV6:LV39" si="15">LU6*F6</f>
        <v>0</v>
      </c>
      <c r="LW6" s="229" t="e">
        <f>LW5*(1+#REF!)</f>
        <v>#REF!</v>
      </c>
      <c r="LY6" s="13"/>
      <c r="LZ6" s="13"/>
      <c r="MD6" s="39"/>
      <c r="ME6" s="39"/>
      <c r="MF6" s="39"/>
      <c r="MG6" s="39"/>
      <c r="MH6" s="39"/>
      <c r="MJ6" s="28" t="s">
        <v>46</v>
      </c>
      <c r="MK6" s="28" t="s">
        <v>137</v>
      </c>
      <c r="ML6" s="28" t="s">
        <v>138</v>
      </c>
      <c r="MM6" s="28" t="s">
        <v>139</v>
      </c>
      <c r="MN6" s="28" t="s">
        <v>140</v>
      </c>
      <c r="MO6" s="28" t="s">
        <v>141</v>
      </c>
      <c r="MP6" s="28" t="s">
        <v>144</v>
      </c>
      <c r="MS6" s="167">
        <f t="shared" ref="MS6:MX6" si="16">MS3*$MU$4</f>
        <v>0</v>
      </c>
      <c r="MT6" s="167">
        <f t="shared" si="16"/>
        <v>3.3500000000000001E-3</v>
      </c>
      <c r="MU6" s="167">
        <f t="shared" si="16"/>
        <v>6.7000000000000002E-3</v>
      </c>
      <c r="MV6" s="167">
        <f t="shared" si="16"/>
        <v>1.005E-2</v>
      </c>
      <c r="MW6" s="167">
        <f t="shared" si="16"/>
        <v>1.34E-2</v>
      </c>
      <c r="MX6" s="167">
        <f t="shared" si="16"/>
        <v>1.6750000000000001E-2</v>
      </c>
    </row>
    <row r="7" spans="1:374" s="59" customFormat="1" ht="12.75" customHeight="1" x14ac:dyDescent="0.3">
      <c r="A7" s="305">
        <f t="shared" si="0"/>
        <v>2016</v>
      </c>
      <c r="B7" s="355">
        <f t="shared" si="1"/>
        <v>2014</v>
      </c>
      <c r="C7" s="26">
        <v>41821</v>
      </c>
      <c r="D7" s="173">
        <v>7539.9960000000001</v>
      </c>
      <c r="E7" s="27">
        <f t="shared" ref="E7:E13" si="17">D7</f>
        <v>7539.9960000000001</v>
      </c>
      <c r="F7" s="111">
        <f t="shared" ref="F7:F44" si="18">(L7)*(1+$DT$60)</f>
        <v>0</v>
      </c>
      <c r="G7" s="27"/>
      <c r="H7" s="27"/>
      <c r="I7" s="174">
        <v>7202.62</v>
      </c>
      <c r="J7" s="27">
        <f>I7*R12</f>
        <v>7202.62</v>
      </c>
      <c r="K7" s="27"/>
      <c r="L7" s="27">
        <f>I7*S7</f>
        <v>0</v>
      </c>
      <c r="M7" s="27"/>
      <c r="R7" s="260">
        <f t="shared" si="2"/>
        <v>1</v>
      </c>
      <c r="S7" s="257">
        <v>0</v>
      </c>
      <c r="T7" s="261">
        <v>7.4999999999999997E-2</v>
      </c>
      <c r="U7" s="261"/>
      <c r="V7" s="69">
        <f t="shared" si="4"/>
        <v>42889.614000000001</v>
      </c>
      <c r="W7" s="69">
        <v>42889.614000000001</v>
      </c>
      <c r="X7" s="69"/>
      <c r="Y7" s="69">
        <v>734.24732417500002</v>
      </c>
      <c r="Z7" s="111"/>
      <c r="AA7" s="261">
        <f t="shared" si="5"/>
        <v>7.4999999999999997E-2</v>
      </c>
      <c r="AB7" s="27"/>
      <c r="AC7" s="173">
        <f t="shared" si="6"/>
        <v>42889.614000000001</v>
      </c>
      <c r="AD7" s="69">
        <f t="shared" si="7"/>
        <v>42889.614000000001</v>
      </c>
      <c r="AE7" s="69"/>
      <c r="AF7" s="69">
        <f t="shared" si="8"/>
        <v>734.24732417500002</v>
      </c>
      <c r="AG7" s="27"/>
      <c r="AH7" s="69">
        <f t="shared" si="9"/>
        <v>26901.74</v>
      </c>
      <c r="AI7" s="69">
        <v>26901.74</v>
      </c>
      <c r="AJ7" s="69"/>
      <c r="AK7" s="69">
        <f t="shared" si="10"/>
        <v>25738.521000000001</v>
      </c>
      <c r="AL7" s="69">
        <v>25738.521000000001</v>
      </c>
      <c r="AM7" s="69"/>
      <c r="AN7" s="262">
        <v>0.154</v>
      </c>
      <c r="AO7" s="27">
        <f>AC7-AH7</f>
        <v>15987.874</v>
      </c>
      <c r="AP7" s="27">
        <f t="shared" si="11"/>
        <v>17151.093000000001</v>
      </c>
      <c r="AQ7" s="68">
        <f t="shared" ref="AQ7:AQ39" si="19">AH7/AC7</f>
        <v>0.62723203804072469</v>
      </c>
      <c r="AR7" s="151">
        <f t="shared" ref="AR7:AR39" si="20">AK7/AC7</f>
        <v>0.60011081004366229</v>
      </c>
      <c r="AS7" s="68"/>
      <c r="AT7" s="263">
        <v>9.8699999999999996E-2</v>
      </c>
      <c r="AU7" s="262"/>
      <c r="AV7" s="261"/>
      <c r="AW7" s="261"/>
      <c r="AX7" s="262">
        <v>8.6599999999999996E-2</v>
      </c>
      <c r="AY7" s="262"/>
      <c r="AZ7" s="262"/>
      <c r="BA7" s="262">
        <f t="shared" ref="BA7:BA42" si="21">AT7-AX7</f>
        <v>1.21E-2</v>
      </c>
      <c r="BB7" s="262"/>
      <c r="BC7" s="182">
        <v>0.1109</v>
      </c>
      <c r="BD7" s="133">
        <f t="shared" ref="BD7:BD12" si="22">BC7</f>
        <v>0.1109</v>
      </c>
      <c r="BE7" s="410">
        <f t="shared" si="12"/>
        <v>9.8799999999999999E-2</v>
      </c>
      <c r="BF7" s="410"/>
      <c r="BG7" s="340">
        <f t="shared" si="13"/>
        <v>6.0899999999999996E-2</v>
      </c>
      <c r="BH7" s="410">
        <f t="shared" ref="BH7:BH42" si="23">BD7</f>
        <v>0.1109</v>
      </c>
      <c r="BK7" s="264" t="s">
        <v>198</v>
      </c>
      <c r="BL7" s="27">
        <f t="shared" si="14"/>
        <v>30</v>
      </c>
      <c r="BM7" s="228">
        <f>SUM(BY15:CI15)</f>
        <v>2120.9091881661038</v>
      </c>
      <c r="BN7" s="69"/>
      <c r="BO7" s="69"/>
      <c r="BP7" s="173"/>
      <c r="BQ7" s="69"/>
      <c r="BR7" s="69"/>
      <c r="BS7" s="69"/>
      <c r="BT7" s="69"/>
      <c r="BU7" s="69"/>
      <c r="BV7" s="174"/>
      <c r="BW7" s="27"/>
      <c r="BX7" s="27"/>
      <c r="BY7" s="27"/>
      <c r="BZ7" s="27"/>
      <c r="CA7" s="27"/>
      <c r="CB7" s="245"/>
      <c r="CC7" s="245"/>
      <c r="CD7" s="27"/>
      <c r="CE7" s="27"/>
      <c r="CF7" s="27"/>
      <c r="CG7" s="27"/>
      <c r="CH7" s="69"/>
      <c r="CI7" s="69"/>
      <c r="CJ7" s="27"/>
      <c r="CK7" s="27"/>
      <c r="CL7" s="27"/>
      <c r="CM7" s="69"/>
      <c r="CN7" s="27"/>
      <c r="CO7" s="69"/>
      <c r="CP7" s="69"/>
      <c r="CQ7" s="69"/>
      <c r="CR7" s="69"/>
      <c r="CS7" s="69"/>
      <c r="CT7" s="69"/>
      <c r="CU7" s="27"/>
      <c r="CV7" s="27"/>
      <c r="CW7" s="27"/>
      <c r="CX7" s="107"/>
      <c r="CY7" s="27"/>
      <c r="CZ7" s="96"/>
      <c r="DA7" s="224"/>
      <c r="DB7" s="314"/>
      <c r="DC7" s="314"/>
      <c r="DD7" s="314"/>
      <c r="DE7" s="314"/>
      <c r="DF7" s="314"/>
      <c r="DG7" s="27"/>
      <c r="DH7" s="100"/>
      <c r="DI7" s="105"/>
      <c r="DJ7" s="96"/>
      <c r="DK7" s="100"/>
      <c r="DL7" s="105"/>
      <c r="DM7" s="178"/>
      <c r="DN7" s="100"/>
      <c r="DO7" s="179"/>
      <c r="DP7" s="58"/>
      <c r="DU7" s="58"/>
      <c r="DV7" s="332"/>
      <c r="DW7" s="333"/>
      <c r="DX7" s="333"/>
      <c r="DY7" s="333"/>
      <c r="DZ7" s="333"/>
      <c r="EA7" s="333"/>
      <c r="EB7" s="333"/>
      <c r="EC7" s="333"/>
      <c r="ED7" s="333"/>
      <c r="EE7" s="333"/>
      <c r="EF7" s="333"/>
      <c r="EG7" s="333"/>
      <c r="EH7" s="334"/>
      <c r="EI7" s="335"/>
      <c r="EJ7" s="336"/>
      <c r="EK7" s="336"/>
      <c r="EL7" s="336"/>
      <c r="EM7" s="336"/>
      <c r="EN7" s="336"/>
      <c r="EO7" s="336"/>
      <c r="EP7" s="337"/>
      <c r="EQ7" s="336"/>
      <c r="ER7" s="413">
        <f>SUM(BP10,BR10,BT10,BV10,BY10,BZ10,CB10,CF10,CH10,CK10,CI10)</f>
        <v>-1054.7490000000003</v>
      </c>
      <c r="FJ7" s="58"/>
      <c r="FK7" s="58"/>
      <c r="FL7" s="27">
        <f t="shared" ref="FL7:FL44" si="24">AO6</f>
        <v>15442.993999999999</v>
      </c>
      <c r="FM7" s="58"/>
      <c r="FO7" s="29"/>
      <c r="FP7" s="29"/>
      <c r="FQ7" s="29"/>
      <c r="FR7" s="29"/>
      <c r="FS7" s="29"/>
      <c r="FT7" s="93"/>
      <c r="FU7" s="71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29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  <c r="IX7" s="48"/>
      <c r="IY7" s="48"/>
      <c r="IZ7" s="48"/>
      <c r="JA7" s="48"/>
      <c r="JB7" s="48"/>
      <c r="JC7" s="48"/>
      <c r="JD7" s="48"/>
      <c r="JE7" s="48"/>
      <c r="JF7" s="48"/>
      <c r="JG7" s="48"/>
      <c r="JH7" s="48"/>
      <c r="JI7" s="48"/>
      <c r="JJ7" s="48"/>
      <c r="JK7" s="48"/>
      <c r="JL7" s="48"/>
      <c r="JM7" s="48"/>
      <c r="JN7" s="48"/>
      <c r="JO7" s="48"/>
      <c r="JP7" s="48"/>
      <c r="JQ7" s="48"/>
      <c r="JR7" s="48"/>
      <c r="JS7" s="48"/>
      <c r="JT7" s="48"/>
      <c r="JU7" s="48"/>
      <c r="JV7" s="48"/>
      <c r="JW7" s="48"/>
      <c r="JX7" s="48"/>
      <c r="JY7" s="48"/>
      <c r="JZ7" s="48"/>
      <c r="KA7" s="48"/>
      <c r="KB7" s="48"/>
      <c r="KC7" s="48"/>
      <c r="KD7" s="48"/>
      <c r="KE7" s="48"/>
      <c r="KF7" s="48"/>
      <c r="KG7" s="48"/>
      <c r="KH7" s="48"/>
      <c r="KI7" s="48"/>
      <c r="KJ7" s="48"/>
      <c r="KK7" s="48"/>
      <c r="KL7" s="48"/>
      <c r="KM7" s="48"/>
      <c r="KN7" s="48"/>
      <c r="KO7" s="48"/>
      <c r="KP7" s="48"/>
      <c r="KQ7" s="48"/>
      <c r="KR7" s="48"/>
      <c r="KS7" s="48"/>
      <c r="KT7" s="48"/>
      <c r="KU7" s="48"/>
      <c r="KV7" s="48"/>
      <c r="KW7" s="48"/>
      <c r="KX7" s="48"/>
      <c r="KY7" s="48"/>
      <c r="KZ7" s="48"/>
      <c r="LA7" s="48"/>
      <c r="LB7" s="48"/>
      <c r="LC7" s="48"/>
      <c r="LD7" s="48"/>
      <c r="LE7" s="48"/>
      <c r="LF7" s="48"/>
      <c r="LG7" s="48"/>
      <c r="LH7" s="48"/>
      <c r="LI7" s="48"/>
      <c r="LJ7" s="48"/>
      <c r="LK7" s="48"/>
      <c r="LL7" s="48"/>
      <c r="LM7" s="48"/>
      <c r="LN7" s="48"/>
      <c r="LO7" s="46">
        <f>LO6/(1+$LO$3)</f>
        <v>0.90349204583706866</v>
      </c>
      <c r="LP7" s="47">
        <f>LP6/(1+$LP$3)</f>
        <v>0.96717491723060889</v>
      </c>
      <c r="LR7" s="48"/>
      <c r="LV7" s="157">
        <f t="shared" si="15"/>
        <v>0</v>
      </c>
      <c r="LW7" s="229" t="e">
        <f>LW6*(1+#REF!)</f>
        <v>#REF!</v>
      </c>
      <c r="LX7" s="158"/>
      <c r="LY7" s="16"/>
      <c r="LZ7" s="16"/>
      <c r="MC7" s="34"/>
      <c r="MD7" s="39"/>
      <c r="ME7" s="39"/>
      <c r="MF7" s="39"/>
      <c r="MG7" s="39"/>
      <c r="MH7" s="39"/>
      <c r="MJ7" s="34" t="s">
        <v>87</v>
      </c>
      <c r="MK7" s="137">
        <v>0</v>
      </c>
      <c r="ML7" s="133">
        <f>MT6</f>
        <v>3.3500000000000001E-3</v>
      </c>
      <c r="MM7" s="182">
        <f>MU6</f>
        <v>6.7000000000000002E-3</v>
      </c>
      <c r="MN7" s="133">
        <f>MV6</f>
        <v>1.005E-2</v>
      </c>
      <c r="MO7" s="133">
        <f>MW6</f>
        <v>1.34E-2</v>
      </c>
      <c r="MP7" s="133">
        <f>MX6</f>
        <v>1.6750000000000001E-2</v>
      </c>
      <c r="MQ7" s="34"/>
      <c r="MR7" s="28"/>
      <c r="MS7" s="104">
        <f>1-MS8/MT8</f>
        <v>2.7586680449368961E-2</v>
      </c>
      <c r="MT7" s="104">
        <f>1-MT8/MU8</f>
        <v>2.7954214035815439E-2</v>
      </c>
      <c r="MU7" s="104">
        <f>MU8/MT8-1</f>
        <v>2.8758124812081176E-2</v>
      </c>
      <c r="MV7" s="104">
        <f>MV8/MU8-1</f>
        <v>2.9148556550591787E-2</v>
      </c>
      <c r="MW7" s="104">
        <f>MW8/MV8-1</f>
        <v>2.954034312346776E-2</v>
      </c>
      <c r="MX7" s="104">
        <f>MX8/MW8-1</f>
        <v>2.9933231447966779E-2</v>
      </c>
      <c r="MY7" s="34"/>
    </row>
    <row r="8" spans="1:374" s="28" customFormat="1" ht="12.75" customHeight="1" x14ac:dyDescent="0.3">
      <c r="A8" s="305">
        <f t="shared" si="0"/>
        <v>2017</v>
      </c>
      <c r="B8" s="355">
        <f t="shared" si="1"/>
        <v>2015</v>
      </c>
      <c r="C8" s="26">
        <v>42186</v>
      </c>
      <c r="D8" s="173">
        <v>7765.5879999999997</v>
      </c>
      <c r="E8" s="27">
        <f t="shared" si="17"/>
        <v>7765.5879999999997</v>
      </c>
      <c r="F8" s="111">
        <f t="shared" si="18"/>
        <v>0</v>
      </c>
      <c r="G8" s="27"/>
      <c r="H8" s="27"/>
      <c r="I8" s="174">
        <v>7418.5129999999999</v>
      </c>
      <c r="J8" s="27">
        <f>I8*R13</f>
        <v>7418.5129999999999</v>
      </c>
      <c r="K8" s="27">
        <f>I8*S13</f>
        <v>0</v>
      </c>
      <c r="L8" s="27">
        <f>I8*S8</f>
        <v>0</v>
      </c>
      <c r="M8" s="27"/>
      <c r="N8" s="22"/>
      <c r="O8" s="22"/>
      <c r="P8" s="22"/>
      <c r="Q8" s="22"/>
      <c r="R8" s="260">
        <f t="shared" si="2"/>
        <v>1</v>
      </c>
      <c r="S8" s="257">
        <v>0</v>
      </c>
      <c r="T8" s="261">
        <v>7.4999999999999997E-2</v>
      </c>
      <c r="U8" s="261"/>
      <c r="V8" s="69">
        <f t="shared" si="4"/>
        <v>44119.175999999999</v>
      </c>
      <c r="W8" s="69">
        <v>44119.175999999999</v>
      </c>
      <c r="X8" s="69"/>
      <c r="Y8" s="362">
        <f t="shared" ref="Y8:Y13" si="25">AT6*I8</f>
        <v>737.40019219999999</v>
      </c>
      <c r="Z8" s="111"/>
      <c r="AA8" s="261">
        <f t="shared" si="5"/>
        <v>7.4999999999999997E-2</v>
      </c>
      <c r="AB8" s="27"/>
      <c r="AC8" s="173">
        <f t="shared" si="6"/>
        <v>44119.175999999999</v>
      </c>
      <c r="AD8" s="69">
        <f t="shared" si="7"/>
        <v>44119.175999999999</v>
      </c>
      <c r="AE8" s="69"/>
      <c r="AF8" s="69">
        <f t="shared" si="8"/>
        <v>737.40019219999999</v>
      </c>
      <c r="AG8" s="27"/>
      <c r="AH8" s="69">
        <f t="shared" si="9"/>
        <v>27365.920999999998</v>
      </c>
      <c r="AI8" s="69">
        <v>27365.920999999998</v>
      </c>
      <c r="AJ8" s="69"/>
      <c r="AK8" s="69">
        <f t="shared" si="10"/>
        <v>25131.828000000001</v>
      </c>
      <c r="AL8" s="69">
        <v>25131.828000000001</v>
      </c>
      <c r="AM8" s="69"/>
      <c r="AN8" s="262">
        <v>1.4E-2</v>
      </c>
      <c r="AO8" s="27">
        <f>AC8-AH8</f>
        <v>16753.255000000001</v>
      </c>
      <c r="AP8" s="27">
        <f t="shared" si="11"/>
        <v>18987.347999999998</v>
      </c>
      <c r="AQ8" s="68">
        <f t="shared" si="19"/>
        <v>0.62027271316218591</v>
      </c>
      <c r="AR8" s="151">
        <f t="shared" si="20"/>
        <v>0.56963502672851374</v>
      </c>
      <c r="AS8" s="68"/>
      <c r="AT8" s="263">
        <v>9.8299999999999998E-2</v>
      </c>
      <c r="AU8" s="262"/>
      <c r="AV8" s="261"/>
      <c r="AW8" s="261"/>
      <c r="AX8" s="262">
        <v>0.09</v>
      </c>
      <c r="AY8" s="262"/>
      <c r="AZ8" s="262"/>
      <c r="BA8" s="262">
        <f t="shared" si="21"/>
        <v>8.3000000000000018E-3</v>
      </c>
      <c r="BB8" s="262"/>
      <c r="BC8" s="306">
        <v>0.11559999999999999</v>
      </c>
      <c r="BD8" s="133">
        <f t="shared" si="22"/>
        <v>0.11559999999999999</v>
      </c>
      <c r="BE8" s="410">
        <f t="shared" si="12"/>
        <v>0.10729999999999999</v>
      </c>
      <c r="BF8" s="410"/>
      <c r="BG8" s="340">
        <f t="shared" si="13"/>
        <v>6.5599999999999992E-2</v>
      </c>
      <c r="BH8" s="410">
        <f t="shared" si="23"/>
        <v>0.11559999999999999</v>
      </c>
      <c r="BK8" s="264" t="s">
        <v>198</v>
      </c>
      <c r="BL8" s="27">
        <f t="shared" si="14"/>
        <v>30</v>
      </c>
      <c r="BM8" s="111">
        <f t="shared" ref="BM8:BM42" si="26">MAX(IF(ISERROR(LN(1-(AO8/SUM(BY8:CI8))*((1+T8)/(1+$DT$67)-1))/LN(1/(((1+T8)/(1+$DT$67))))),999,LN(1-(AO8/SUM(BY8:CI8))*((1+T8)/(1+$DT$67)-1))/LN(1/(((1+T8)/(1+$DT$67))))),0.01)</f>
        <v>999</v>
      </c>
      <c r="BN8" s="27"/>
      <c r="BO8" s="27"/>
      <c r="BP8" s="50"/>
      <c r="BQ8" s="34"/>
      <c r="BR8" s="69"/>
      <c r="BS8" s="69"/>
      <c r="BT8" s="69"/>
      <c r="BU8" s="69"/>
      <c r="BV8" s="174"/>
      <c r="BW8" s="27"/>
      <c r="BX8" s="27"/>
      <c r="BY8" s="27"/>
      <c r="BZ8" s="27"/>
      <c r="CA8" s="27"/>
      <c r="CB8" s="246"/>
      <c r="CC8" s="246"/>
      <c r="CD8" s="27"/>
      <c r="CE8" s="27"/>
      <c r="CF8" s="27"/>
      <c r="CG8" s="27"/>
      <c r="CH8" s="69"/>
      <c r="CI8" s="69"/>
      <c r="CJ8" s="27"/>
      <c r="CK8" s="27"/>
      <c r="CL8" s="27"/>
      <c r="CM8" s="69"/>
      <c r="CN8" s="27"/>
      <c r="CO8" s="69"/>
      <c r="CP8" s="69"/>
      <c r="CQ8" s="69"/>
      <c r="CR8" s="69"/>
      <c r="CS8" s="69"/>
      <c r="CT8" s="69"/>
      <c r="CU8" s="27"/>
      <c r="CV8" s="27"/>
      <c r="CW8" s="27"/>
      <c r="CX8" s="107"/>
      <c r="CY8" s="27"/>
      <c r="CZ8" s="96"/>
      <c r="DA8" s="224"/>
      <c r="DB8" s="314"/>
      <c r="DC8" s="314"/>
      <c r="DD8" s="314"/>
      <c r="DE8" s="314"/>
      <c r="DF8" s="314"/>
      <c r="DG8" s="27"/>
      <c r="DH8" s="100"/>
      <c r="DI8" s="105"/>
      <c r="DJ8" s="96"/>
      <c r="DK8" s="100"/>
      <c r="DL8" s="105"/>
      <c r="DM8" s="178"/>
      <c r="DN8" s="100"/>
      <c r="DO8" s="179"/>
      <c r="DP8" s="29"/>
      <c r="DQ8" s="32"/>
      <c r="DR8" s="32"/>
      <c r="DS8" s="32"/>
      <c r="DT8" s="32"/>
      <c r="DU8" s="29"/>
      <c r="DV8" s="327"/>
      <c r="DW8" s="328"/>
      <c r="DX8" s="328"/>
      <c r="DY8" s="328"/>
      <c r="DZ8" s="328"/>
      <c r="EA8" s="328"/>
      <c r="EB8" s="328"/>
      <c r="EC8" s="328"/>
      <c r="ED8" s="328"/>
      <c r="EE8" s="328"/>
      <c r="EF8" s="328"/>
      <c r="EG8" s="328"/>
      <c r="EH8" s="329"/>
      <c r="EI8" s="330"/>
      <c r="EJ8" s="30"/>
      <c r="EK8" s="30"/>
      <c r="EL8" s="30"/>
      <c r="EM8" s="30"/>
      <c r="EN8" s="30"/>
      <c r="EO8" s="30"/>
      <c r="EP8" s="331"/>
      <c r="EQ8" s="30"/>
      <c r="ER8" s="30"/>
      <c r="FJ8" s="29"/>
      <c r="FK8" s="29"/>
      <c r="FL8" s="27">
        <f t="shared" si="24"/>
        <v>15987.874</v>
      </c>
      <c r="FM8" s="29"/>
      <c r="FN8" s="93"/>
      <c r="FO8" s="93"/>
      <c r="FP8" s="27">
        <f>$DT$65</f>
        <v>20</v>
      </c>
      <c r="FQ8" s="309">
        <f t="shared" ref="FQ8:FQ44" si="27">-PV((((1+$T8)/(1+$DT$67))-1),$FP8,1,0,1)/((1+$T8)^0.5)</f>
        <v>13.244080968536521</v>
      </c>
      <c r="FR8" s="93">
        <f>FL8/FQ8</f>
        <v>1207.1712667705526</v>
      </c>
      <c r="FS8" s="93"/>
      <c r="FT8" s="71">
        <v>30</v>
      </c>
      <c r="FU8" s="142">
        <f t="shared" ref="FU8:FU44" si="28">-PV((((1+$T8)/(1+$DT$67))-1),$FT8,1,0,1)/((1+$T8)^0.5)</f>
        <v>16.65264300323642</v>
      </c>
      <c r="FV8" s="48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>
        <f t="shared" ref="HD8:HD42" si="29">FT8</f>
        <v>30</v>
      </c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6">
        <f t="shared" ref="LO8:LO35" si="30">LO7/(1+$LO$3)</f>
        <v>0.84438508956735381</v>
      </c>
      <c r="LP8" s="47">
        <f t="shared" ref="LP8:LP35" si="31">LP7/(1+$LP$3)</f>
        <v>0.94589233958983754</v>
      </c>
      <c r="LR8" s="48"/>
      <c r="LV8" s="157">
        <f t="shared" si="15"/>
        <v>0</v>
      </c>
      <c r="LW8" s="229" t="e">
        <f>LW7*(1+#REF!)</f>
        <v>#REF!</v>
      </c>
      <c r="LX8" s="158"/>
      <c r="LY8" s="129">
        <f>AC8 - (AC7*(1+$DT$24)+(AF7+AG7)*(1+$DT$24)^0.5+(BP9+BR8)*(1+$DT$24)^$LZ$5)</f>
        <v>249.79535753894015</v>
      </c>
      <c r="LZ8" s="130">
        <f>AK8-(AK7*(1+$DT$24)+SUM(BV8:CJ8)*(1+$DT$24)^0.5+(BP9+BR8+CN8+BT8)*(1+$DT$24)^$LZ$5)</f>
        <v>373.62820542154077</v>
      </c>
      <c r="MC8" s="157"/>
      <c r="MJ8" s="134">
        <v>0</v>
      </c>
      <c r="MK8" s="135">
        <f>$MK$16*($MJ8/$MJ$16)</f>
        <v>0</v>
      </c>
      <c r="ML8" s="135">
        <f>MK8*(1+MT$7)</f>
        <v>0</v>
      </c>
      <c r="MM8" s="135">
        <f t="shared" ref="MM8:MM21" si="32">ML8*(1+MU$7)</f>
        <v>0</v>
      </c>
      <c r="MN8" s="135">
        <f t="shared" ref="MN8:MN21" si="33">MM8*(1+MV$7)</f>
        <v>0</v>
      </c>
      <c r="MO8" s="135">
        <f t="shared" ref="MO8:MO21" si="34">MN8*(1+MW$7)</f>
        <v>0</v>
      </c>
      <c r="MP8" s="135">
        <f t="shared" ref="MP8:MP21" si="35">MO8*(1+MX$7)</f>
        <v>0</v>
      </c>
      <c r="MR8" s="28">
        <v>35</v>
      </c>
      <c r="MS8" s="28">
        <f>SUM(MS9:MS32)/1.0725^(MR9-MR8)</f>
        <v>1.8186067027483899</v>
      </c>
      <c r="MT8" s="28">
        <f>SUM(MT9:MT32)/1.0725^($MR9-$MR8)</f>
        <v>1.8701992930216129</v>
      </c>
      <c r="MU8" s="28">
        <f>SUM(MU9:MU32)/1.0725^($MR9-$MR8)</f>
        <v>1.9239827177137943</v>
      </c>
      <c r="MV8" s="28">
        <f>SUM(MV9:MV32)/1.0725^($MR9-$MR8)</f>
        <v>1.9800640367634361</v>
      </c>
      <c r="MW8" s="28">
        <f>SUM(MW9:MW32)/1.0725^($MR9-$MR8)</f>
        <v>2.0385558078158668</v>
      </c>
      <c r="MX8" s="28">
        <f>SUM(MX9:MX32)/1.0725^($MR9-$MR8)</f>
        <v>2.0995763706308161</v>
      </c>
    </row>
    <row r="9" spans="1:374" s="28" customFormat="1" ht="12.45" customHeight="1" x14ac:dyDescent="0.3">
      <c r="A9" s="305">
        <f t="shared" si="0"/>
        <v>2018</v>
      </c>
      <c r="B9" s="355">
        <f t="shared" si="1"/>
        <v>2016</v>
      </c>
      <c r="C9" s="26">
        <v>42552</v>
      </c>
      <c r="D9" s="173">
        <v>8213.0419999999995</v>
      </c>
      <c r="E9" s="27">
        <f t="shared" si="17"/>
        <v>8213.0419999999995</v>
      </c>
      <c r="F9" s="111">
        <f t="shared" si="18"/>
        <v>0</v>
      </c>
      <c r="G9" s="27"/>
      <c r="H9" s="27"/>
      <c r="I9" s="174">
        <v>7890.9059999999999</v>
      </c>
      <c r="J9" s="27">
        <f>I9*R14</f>
        <v>7890.9059999999999</v>
      </c>
      <c r="K9" s="27"/>
      <c r="L9" s="27">
        <f>I9*S9</f>
        <v>0</v>
      </c>
      <c r="M9" s="27"/>
      <c r="N9" s="257"/>
      <c r="O9" s="257"/>
      <c r="P9" s="257"/>
      <c r="Q9" s="69">
        <v>125.004</v>
      </c>
      <c r="R9" s="260">
        <f t="shared" si="2"/>
        <v>1</v>
      </c>
      <c r="S9" s="257">
        <v>0</v>
      </c>
      <c r="T9" s="261">
        <v>7.4999999999999997E-2</v>
      </c>
      <c r="U9" s="261"/>
      <c r="V9" s="69">
        <f t="shared" si="4"/>
        <v>45859.906000000003</v>
      </c>
      <c r="W9" s="69">
        <v>45859.906000000003</v>
      </c>
      <c r="X9" s="261"/>
      <c r="Y9" s="362">
        <f t="shared" si="25"/>
        <v>778.8324222</v>
      </c>
      <c r="Z9" s="288"/>
      <c r="AA9" s="261">
        <f t="shared" si="5"/>
        <v>7.4999999999999997E-2</v>
      </c>
      <c r="AB9" s="27"/>
      <c r="AC9" s="173">
        <f t="shared" si="6"/>
        <v>45859.906000000003</v>
      </c>
      <c r="AD9" s="69">
        <f t="shared" si="7"/>
        <v>45859.906000000003</v>
      </c>
      <c r="AE9" s="69"/>
      <c r="AF9" s="69">
        <f t="shared" si="8"/>
        <v>778.8324222</v>
      </c>
      <c r="AG9" s="27"/>
      <c r="AH9" s="69">
        <f t="shared" si="9"/>
        <v>27293.968000000001</v>
      </c>
      <c r="AI9" s="69">
        <v>27293.968000000001</v>
      </c>
      <c r="AJ9" s="69"/>
      <c r="AK9" s="69">
        <f t="shared" si="10"/>
        <v>23996.362000000001</v>
      </c>
      <c r="AL9" s="69">
        <v>23996.362000000001</v>
      </c>
      <c r="AM9" s="69"/>
      <c r="AN9" s="262">
        <v>-6.2588397436738573E-3</v>
      </c>
      <c r="AO9" s="27">
        <f t="shared" ref="AO9:AO39" si="36">AC9-AH9</f>
        <v>18565.938000000002</v>
      </c>
      <c r="AP9" s="27">
        <f t="shared" si="11"/>
        <v>21863.544000000002</v>
      </c>
      <c r="AQ9" s="68">
        <f t="shared" si="19"/>
        <v>0.59515970224622783</v>
      </c>
      <c r="AR9" s="151">
        <f t="shared" si="20"/>
        <v>0.52325362376451445</v>
      </c>
      <c r="AS9" s="68"/>
      <c r="AT9" s="263">
        <v>0.1027</v>
      </c>
      <c r="AU9" s="262">
        <f>AG16/M16</f>
        <v>9.8200593584701082E-2</v>
      </c>
      <c r="AV9" s="261"/>
      <c r="AW9" s="261"/>
      <c r="AX9" s="262">
        <v>0.09</v>
      </c>
      <c r="AY9" s="262"/>
      <c r="AZ9" s="262"/>
      <c r="BA9" s="262">
        <f t="shared" si="21"/>
        <v>1.2700000000000003E-2</v>
      </c>
      <c r="BB9" s="262"/>
      <c r="BC9" s="306">
        <v>0.12559999999999999</v>
      </c>
      <c r="BD9" s="133">
        <f t="shared" si="22"/>
        <v>0.12559999999999999</v>
      </c>
      <c r="BE9" s="410">
        <f t="shared" si="12"/>
        <v>0.11289999999999999</v>
      </c>
      <c r="BF9" s="410"/>
      <c r="BG9" s="340">
        <f t="shared" si="13"/>
        <v>7.5599999999999987E-2</v>
      </c>
      <c r="BH9" s="410">
        <f t="shared" si="23"/>
        <v>0.12559999999999999</v>
      </c>
      <c r="BI9" s="157">
        <f t="shared" ref="BI9:BI42" si="37">IF(AO9&lt;0,0,AO9*(1+AA9)^0.5/SUM(BX9:BY9,CB9:CJ9))</f>
        <v>20.639989752128781</v>
      </c>
      <c r="BJ9" s="104">
        <f t="shared" ref="BJ9:BJ42" si="38">(1+AA9)/(1+$DT$67)-1</f>
        <v>4.3689320388349495E-2</v>
      </c>
      <c r="BK9" s="27">
        <f>IFERROR(LOG((1+BJ9)/(1+BJ9-BI9*BJ9))/LOG(1+BJ9),"Inf")</f>
        <v>46.655998356104924</v>
      </c>
      <c r="BL9" s="27">
        <f t="shared" si="14"/>
        <v>30</v>
      </c>
      <c r="BM9" s="111">
        <f t="shared" si="26"/>
        <v>32.975867480844364</v>
      </c>
      <c r="BN9" s="27"/>
      <c r="BO9" s="27"/>
      <c r="BP9" s="173">
        <f>-2668.385-21.093</f>
        <v>-2689.4780000000001</v>
      </c>
      <c r="BQ9" s="69"/>
      <c r="BR9" s="69">
        <v>-93.694000000000003</v>
      </c>
      <c r="BS9" s="69"/>
      <c r="BT9" s="349">
        <v>-13.148999999999999</v>
      </c>
      <c r="BU9" s="349"/>
      <c r="BV9" s="174">
        <v>754.15300000000002</v>
      </c>
      <c r="BW9" s="27"/>
      <c r="BX9" s="27"/>
      <c r="BY9" s="27"/>
      <c r="BZ9" s="304">
        <f>($AT6-$AX6)*(J9+K9)</f>
        <v>140.45812679999997</v>
      </c>
      <c r="CA9" s="304"/>
      <c r="CB9" s="69">
        <f>1073.093-BZ9-CE9-CF9-CH9</f>
        <v>932.63487320000013</v>
      </c>
      <c r="CC9" s="69"/>
      <c r="CD9" s="27"/>
      <c r="CE9" s="297"/>
      <c r="CF9" s="297"/>
      <c r="CG9" s="297"/>
      <c r="CH9" s="304"/>
      <c r="CI9" s="27" t="s">
        <v>198</v>
      </c>
      <c r="CJ9" s="27">
        <f t="shared" ref="CJ9:CJ44" si="39">MAX(-(AK8*(1+AN9)+SUM(BP9:CI9)*(1+AN9)^0.5)/(1+AN9)^0.5,0)</f>
        <v>0</v>
      </c>
      <c r="CK9" s="27">
        <f t="shared" ref="CK9:CK44" si="40">CJ9*AD9/AC9</f>
        <v>0</v>
      </c>
      <c r="CL9" s="27">
        <f t="shared" ref="CL9:CL44" si="41">CJ9*AE9/AC9</f>
        <v>0</v>
      </c>
      <c r="CM9" s="27">
        <f t="shared" ref="CM9:CM44" si="42">SUM(BV9:CJ9)</f>
        <v>1827.2460000000001</v>
      </c>
      <c r="CN9" s="27">
        <f t="shared" ref="CN9:CN44" si="43">IF($DT$30="DB",0,IF($DT$49="Yes",$DT$46*(1-$DT$48)*$L12,0))*$DT$31</f>
        <v>0</v>
      </c>
      <c r="CO9" s="111">
        <f t="shared" si="3"/>
        <v>1827.2460000000001</v>
      </c>
      <c r="CP9" s="27"/>
      <c r="CQ9" s="27"/>
      <c r="CR9" s="27"/>
      <c r="CS9" s="27"/>
      <c r="CT9" s="27"/>
      <c r="CU9" s="27"/>
      <c r="CV9" s="27"/>
      <c r="CW9" s="27"/>
      <c r="CX9" s="107">
        <f t="shared" ref="CX9:CX44" si="44">$DT$46*(O9+P9)</f>
        <v>0</v>
      </c>
      <c r="CY9" s="27"/>
      <c r="CZ9" s="96">
        <f t="shared" ref="CZ9:CZ44" si="45">SUM(BZ9:CJ9,CX9)</f>
        <v>1073.0930000000001</v>
      </c>
      <c r="DA9" s="224">
        <f t="shared" ref="DA9:DA44" si="46">CZ9/(1+$DT$27)^MAX(B9-$B$14,0)</f>
        <v>1073.0930000000001</v>
      </c>
      <c r="DB9" s="314">
        <f t="shared" ref="DB9:DB42" si="47">SUM(CB9:CD9, CH9)/(1+$DT$27)^MAX($A6-$A$8,0)</f>
        <v>932.63487320000013</v>
      </c>
      <c r="DC9" s="314">
        <f t="shared" ref="DC9:DC42" si="48">SUM(BZ9:CA9,CE9,CI9)/(1+$DT$27)^MAX($A6-$A$8,0)</f>
        <v>140.45812679999997</v>
      </c>
      <c r="DD9" s="314">
        <f t="shared" ref="DD9:DD42" si="49">CF9/(1+$DT$27)^MAX($A6-$A$8,0)</f>
        <v>0</v>
      </c>
      <c r="DE9" s="314">
        <f t="shared" ref="DE9:DE42" si="50">C9/(1+$DT$27)^MAX($A6-$A$8,0)</f>
        <v>42552</v>
      </c>
      <c r="DF9" s="314" t="b">
        <f>ROUND(SUM(DB9:DD9),0)=ROUND(DA9,0)</f>
        <v>1</v>
      </c>
      <c r="DG9" s="27">
        <f t="shared" ref="DG9:DG39" si="51">CX9</f>
        <v>0</v>
      </c>
      <c r="DH9" s="100">
        <f t="shared" ref="DH9:DH42" si="52">DG9/(1+$DT$27)^MAX($A6-$A$8,0)</f>
        <v>0</v>
      </c>
      <c r="DI9" s="105" t="e">
        <f t="shared" ref="DI9:DI39" si="53">DG9/$L12</f>
        <v>#DIV/0!</v>
      </c>
      <c r="DJ9" s="96">
        <f t="shared" ref="DJ9:DJ39" si="54">CN9</f>
        <v>0</v>
      </c>
      <c r="DK9" s="100">
        <f t="shared" ref="DK9:DK42" si="55">DJ9/(1+$DT$27)^MAX($A6-$A$8,0)</f>
        <v>0</v>
      </c>
      <c r="DL9" s="105">
        <f t="shared" ref="DL9:DL39" si="56">DJ9/$I9</f>
        <v>0</v>
      </c>
      <c r="DM9" s="299">
        <v>1073.0930000000001</v>
      </c>
      <c r="DN9" s="100">
        <f t="shared" ref="DN9:DN42" si="57">DM9/(1+$DT$27)^MAX(B9-$B$14,0)</f>
        <v>1073.0930000000001</v>
      </c>
      <c r="DO9" s="301">
        <v>0.59515970224622783</v>
      </c>
      <c r="DP9" s="29"/>
      <c r="DQ9" s="32"/>
      <c r="DR9" s="32"/>
      <c r="DS9" s="32"/>
      <c r="DT9" s="32"/>
      <c r="DU9" s="142"/>
      <c r="DV9" s="327"/>
      <c r="DW9" s="328"/>
      <c r="DX9" s="328"/>
      <c r="DY9" s="328"/>
      <c r="DZ9" s="328"/>
      <c r="EA9" s="328"/>
      <c r="EB9" s="328"/>
      <c r="EC9" s="328"/>
      <c r="ED9" s="328"/>
      <c r="EE9" s="328"/>
      <c r="EF9" s="328"/>
      <c r="EG9" s="328"/>
      <c r="EH9" s="329"/>
      <c r="EI9" s="338"/>
      <c r="EJ9" s="339">
        <f>IF(AND(DT70="Fresh Start",A9&gt;2019),AV9,IF(BD9-(AT9-AX9)&lt;0,0,BD9-(AT9-AX9)))</f>
        <v>0.11289999999999999</v>
      </c>
      <c r="EK9" s="339">
        <f t="shared" ref="EK9:EK42" si="58">(AT9-AX9)+IF(BD9-(AT9-AX9)&lt;0,BD9-(AT9-AX9))</f>
        <v>1.2700000000000003E-2</v>
      </c>
      <c r="EL9" s="339">
        <f>DH9/$DF9</f>
        <v>0</v>
      </c>
      <c r="EM9" s="339">
        <f t="shared" ref="EM9:EM42" si="59">(CF9/(1+$DU$25)^MAX($A6-$A$8,0))/DE9</f>
        <v>0</v>
      </c>
      <c r="EN9" s="339">
        <v>0.1356</v>
      </c>
      <c r="EO9" s="339">
        <v>0.1356</v>
      </c>
      <c r="EP9" s="340">
        <f>SUM(EJ9:EL9)</f>
        <v>0.12559999999999999</v>
      </c>
      <c r="EQ9" s="30"/>
      <c r="ER9" s="30"/>
      <c r="ES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7">
        <f t="shared" si="24"/>
        <v>16753.255000000001</v>
      </c>
      <c r="FM9" s="29"/>
      <c r="FN9" s="93"/>
      <c r="FO9" s="93"/>
      <c r="FP9" s="27">
        <f>$DT$65</f>
        <v>20</v>
      </c>
      <c r="FQ9" s="309">
        <f t="shared" si="27"/>
        <v>13.244080968536521</v>
      </c>
      <c r="FR9" s="93">
        <f t="shared" ref="FR9:FR39" si="60">FL9/FQ9</f>
        <v>1264.9616866432709</v>
      </c>
      <c r="FS9" s="93"/>
      <c r="FT9" s="71">
        <v>30</v>
      </c>
      <c r="FU9" s="202">
        <f t="shared" si="28"/>
        <v>16.65264300323642</v>
      </c>
      <c r="FV9" s="48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>
        <f t="shared" si="29"/>
        <v>30</v>
      </c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6">
        <f t="shared" si="30"/>
        <v>0.78914494352089137</v>
      </c>
      <c r="LP9" s="47">
        <f t="shared" si="31"/>
        <v>0.92507808272844749</v>
      </c>
      <c r="LR9" s="48"/>
      <c r="LS9" s="28" t="s">
        <v>171</v>
      </c>
      <c r="LV9" s="157">
        <f t="shared" si="15"/>
        <v>0</v>
      </c>
      <c r="LW9" s="229" t="e">
        <f>LW8*(1+#REF!)</f>
        <v>#REF!</v>
      </c>
      <c r="LX9" s="158"/>
      <c r="LY9" s="129" t="e">
        <f>AC9 - (AC8*(1+$DT$24)+(AF8+AG8)*(1+$DT$24)^0.5+(#REF!+BR9)*(1+$DT$24)^$LZ$5)</f>
        <v>#REF!</v>
      </c>
      <c r="LZ9" s="130" t="e">
        <f>AK9-(AK8*(1+$DT$24)+SUM(BV9:CJ9)*(1+$DT$24)^0.5+(#REF!+BR9+CN9+BT9)*(1+$DT$24)^$LZ$5)</f>
        <v>#REF!</v>
      </c>
      <c r="MC9" s="60"/>
      <c r="MJ9" s="104">
        <f>MJ8+0.0025</f>
        <v>2.5000000000000001E-3</v>
      </c>
      <c r="MK9" s="104">
        <f>$MK$17*($MJ9/$MJ$17)</f>
        <v>1.4692335160894245E-2</v>
      </c>
      <c r="ML9" s="104">
        <f>MK9*(1+MT$7)</f>
        <v>1.5103047842667821E-2</v>
      </c>
      <c r="MM9" s="104">
        <f t="shared" si="32"/>
        <v>1.5537383177570096E-2</v>
      </c>
      <c r="MN9" s="104">
        <f t="shared" si="33"/>
        <v>1.5990275469769711E-2</v>
      </c>
      <c r="MO9" s="104">
        <f t="shared" si="34"/>
        <v>1.6462633693785478E-2</v>
      </c>
      <c r="MP9" s="104">
        <f t="shared" si="35"/>
        <v>1.6955413518384654E-2</v>
      </c>
      <c r="MR9" s="28">
        <v>62</v>
      </c>
      <c r="MS9" s="35">
        <v>1</v>
      </c>
      <c r="MT9" s="35">
        <v>1</v>
      </c>
      <c r="MU9" s="35">
        <v>1</v>
      </c>
      <c r="MV9" s="35">
        <v>1</v>
      </c>
      <c r="MW9" s="35">
        <v>1</v>
      </c>
      <c r="MX9" s="35">
        <v>1</v>
      </c>
    </row>
    <row r="10" spans="1:374" s="28" customFormat="1" ht="12.75" customHeight="1" x14ac:dyDescent="0.3">
      <c r="A10" s="305">
        <f t="shared" si="0"/>
        <v>2019</v>
      </c>
      <c r="B10" s="355">
        <f t="shared" si="1"/>
        <v>2017</v>
      </c>
      <c r="C10" s="26">
        <v>42917</v>
      </c>
      <c r="D10" s="173">
        <v>8592.8850000000002</v>
      </c>
      <c r="E10" s="27">
        <f t="shared" si="17"/>
        <v>8592.8850000000002</v>
      </c>
      <c r="F10" s="111">
        <f t="shared" si="18"/>
        <v>0</v>
      </c>
      <c r="G10" s="27"/>
      <c r="H10" s="27"/>
      <c r="I10" s="174">
        <v>8270.8709999999992</v>
      </c>
      <c r="J10" s="69">
        <v>5925.6559999999999</v>
      </c>
      <c r="K10" s="69">
        <f>I10-J10</f>
        <v>2345.2149999999992</v>
      </c>
      <c r="L10" s="27">
        <v>0</v>
      </c>
      <c r="M10" s="27"/>
      <c r="N10" s="258">
        <v>373.35399999999998</v>
      </c>
      <c r="O10" s="258">
        <v>1380.5519999999999</v>
      </c>
      <c r="P10" s="258"/>
      <c r="Q10" s="258">
        <v>551.24300000000005</v>
      </c>
      <c r="R10" s="260">
        <f t="shared" si="2"/>
        <v>1</v>
      </c>
      <c r="S10" s="257">
        <v>0</v>
      </c>
      <c r="T10" s="261">
        <v>7.2499999999999995E-2</v>
      </c>
      <c r="U10" s="115"/>
      <c r="V10" s="69">
        <f t="shared" si="4"/>
        <v>48374.724999999999</v>
      </c>
      <c r="W10" s="69">
        <v>48374.724999999999</v>
      </c>
      <c r="X10" s="261"/>
      <c r="Y10" s="362">
        <f t="shared" si="25"/>
        <v>813.02661929999988</v>
      </c>
      <c r="Z10" s="27"/>
      <c r="AA10" s="261">
        <f t="shared" si="5"/>
        <v>7.2499999999999995E-2</v>
      </c>
      <c r="AB10" s="27"/>
      <c r="AC10" s="173">
        <f t="shared" si="6"/>
        <v>48374.724999999999</v>
      </c>
      <c r="AD10" s="69">
        <f t="shared" si="7"/>
        <v>48374.724999999999</v>
      </c>
      <c r="AE10" s="69"/>
      <c r="AF10" s="69">
        <f t="shared" si="8"/>
        <v>813.02661929999988</v>
      </c>
      <c r="AG10" s="27"/>
      <c r="AH10" s="69">
        <f t="shared" si="9"/>
        <v>27241.57</v>
      </c>
      <c r="AI10" s="69">
        <f>27241570/1000</f>
        <v>27241.57</v>
      </c>
      <c r="AJ10" s="27"/>
      <c r="AK10" s="69">
        <f t="shared" si="10"/>
        <v>25732.829000000002</v>
      </c>
      <c r="AL10" s="69">
        <v>25732.829000000002</v>
      </c>
      <c r="AM10" s="69"/>
      <c r="AN10" s="262">
        <v>0.11848288732264289</v>
      </c>
      <c r="AO10" s="27">
        <f t="shared" si="36"/>
        <v>21133.154999999999</v>
      </c>
      <c r="AP10" s="27">
        <f t="shared" si="11"/>
        <v>22641.895999999997</v>
      </c>
      <c r="AQ10" s="68">
        <f t="shared" si="19"/>
        <v>0.56313643126653434</v>
      </c>
      <c r="AR10" s="151">
        <f t="shared" si="20"/>
        <v>0.53194780952243148</v>
      </c>
      <c r="AS10" s="68"/>
      <c r="AT10" s="263">
        <v>0.1072</v>
      </c>
      <c r="AU10" s="262"/>
      <c r="AV10" s="303"/>
      <c r="AW10" s="303"/>
      <c r="AX10" s="115">
        <f t="shared" ref="AX10:AX42" si="61">MAX(MIN(AX9+(BD10-BD9)/2,$DT$39),0)</f>
        <v>0.09</v>
      </c>
      <c r="AY10" s="115"/>
      <c r="AZ10" s="115"/>
      <c r="BA10" s="262">
        <f t="shared" si="21"/>
        <v>1.7200000000000007E-2</v>
      </c>
      <c r="BB10" s="115"/>
      <c r="BC10" s="306">
        <v>0.1356</v>
      </c>
      <c r="BD10" s="133">
        <f t="shared" si="22"/>
        <v>0.1356</v>
      </c>
      <c r="BE10" s="410">
        <f t="shared" si="12"/>
        <v>0.11839999999999999</v>
      </c>
      <c r="BF10" s="410"/>
      <c r="BG10" s="340">
        <f t="shared" si="13"/>
        <v>8.5599999999999996E-2</v>
      </c>
      <c r="BH10" s="410">
        <f t="shared" si="23"/>
        <v>0.1356</v>
      </c>
      <c r="BI10" s="157">
        <f t="shared" si="37"/>
        <v>20.470068069932392</v>
      </c>
      <c r="BJ10" s="104">
        <f t="shared" si="38"/>
        <v>4.1262135922329968E-2</v>
      </c>
      <c r="BK10" s="27">
        <f t="shared" ref="BK10:BK42" si="62">IFERROR(LOG((1+BJ10)/(1+BJ10-BI10*BJ10))/LOG(1+BJ10),"Inf")</f>
        <v>41.22561072601809</v>
      </c>
      <c r="BL10" s="27">
        <f t="shared" si="14"/>
        <v>29</v>
      </c>
      <c r="BM10" s="111">
        <f t="shared" si="26"/>
        <v>33.87201240395202</v>
      </c>
      <c r="BN10" s="27"/>
      <c r="BO10" s="27"/>
      <c r="BP10" s="173">
        <f>-(2907.273+23.07+1.55)</f>
        <v>-2931.8930000000005</v>
      </c>
      <c r="BQ10" s="69"/>
      <c r="BR10" s="69">
        <v>-105.169</v>
      </c>
      <c r="BS10" s="69"/>
      <c r="BT10" s="349">
        <v>-13.468999999999999</v>
      </c>
      <c r="BU10" s="349"/>
      <c r="BV10" s="174">
        <v>826.54200000000003</v>
      </c>
      <c r="BW10" s="27"/>
      <c r="BX10" s="27"/>
      <c r="BY10" s="27"/>
      <c r="BZ10" s="304">
        <f>($AT7-$AX7)*(J10+K10)</f>
        <v>100.07753909999998</v>
      </c>
      <c r="CA10" s="304"/>
      <c r="CB10" s="69">
        <f>1169.24-BZ10-CE10-CF10-CH10</f>
        <v>1069.1624609</v>
      </c>
      <c r="CC10" s="69"/>
      <c r="CD10" s="27"/>
      <c r="CE10" s="304"/>
      <c r="CF10" s="297"/>
      <c r="CG10" s="297"/>
      <c r="CH10" s="304"/>
      <c r="CI10" s="27" t="s">
        <v>198</v>
      </c>
      <c r="CJ10" s="27">
        <f t="shared" si="39"/>
        <v>0</v>
      </c>
      <c r="CK10" s="27">
        <f t="shared" si="40"/>
        <v>0</v>
      </c>
      <c r="CL10" s="27">
        <f t="shared" si="41"/>
        <v>0</v>
      </c>
      <c r="CM10" s="27">
        <f t="shared" si="42"/>
        <v>1995.7820000000002</v>
      </c>
      <c r="CN10" s="27">
        <f t="shared" si="43"/>
        <v>0</v>
      </c>
      <c r="CO10" s="111">
        <f t="shared" si="3"/>
        <v>1995.7820000000002</v>
      </c>
      <c r="CP10" s="27"/>
      <c r="CQ10" s="27"/>
      <c r="CR10" s="27"/>
      <c r="CS10" s="27"/>
      <c r="CT10" s="27"/>
      <c r="CU10" s="27"/>
      <c r="CV10" s="27"/>
      <c r="CW10" s="27"/>
      <c r="CX10" s="107">
        <f t="shared" si="44"/>
        <v>69.027599999999993</v>
      </c>
      <c r="CY10" s="27"/>
      <c r="CZ10" s="96">
        <f t="shared" si="45"/>
        <v>1238.2675999999999</v>
      </c>
      <c r="DA10" s="224">
        <f t="shared" si="46"/>
        <v>1238.2675999999999</v>
      </c>
      <c r="DB10" s="314">
        <f t="shared" si="47"/>
        <v>1069.1624609</v>
      </c>
      <c r="DC10" s="314">
        <f t="shared" si="48"/>
        <v>100.07753909999998</v>
      </c>
      <c r="DD10" s="314">
        <f t="shared" si="49"/>
        <v>0</v>
      </c>
      <c r="DE10" s="314">
        <f t="shared" si="50"/>
        <v>42917</v>
      </c>
      <c r="DF10" s="314" t="b">
        <f t="shared" ref="DF10:DF42" si="63">ROUND(SUM(DB10:DD10),0)=ROUND(DA10,0)</f>
        <v>0</v>
      </c>
      <c r="DG10" s="27">
        <f t="shared" si="51"/>
        <v>69.027599999999993</v>
      </c>
      <c r="DH10" s="100">
        <f t="shared" si="52"/>
        <v>69.027599999999993</v>
      </c>
      <c r="DI10" s="105" t="e">
        <f t="shared" si="53"/>
        <v>#DIV/0!</v>
      </c>
      <c r="DJ10" s="96">
        <f t="shared" si="54"/>
        <v>0</v>
      </c>
      <c r="DK10" s="100">
        <f t="shared" si="55"/>
        <v>0</v>
      </c>
      <c r="DL10" s="105">
        <f t="shared" si="56"/>
        <v>0</v>
      </c>
      <c r="DM10" s="299">
        <v>1238.2675999999999</v>
      </c>
      <c r="DN10" s="100">
        <f t="shared" si="57"/>
        <v>1238.2675999999999</v>
      </c>
      <c r="DO10" s="301">
        <v>0.56313643126653434</v>
      </c>
      <c r="DP10" s="29"/>
      <c r="DQ10" s="32"/>
      <c r="DR10" s="32"/>
      <c r="DS10" s="32"/>
      <c r="DT10" s="32"/>
      <c r="DU10" s="29"/>
      <c r="DV10" s="327"/>
      <c r="DW10" s="328"/>
      <c r="DX10" s="328"/>
      <c r="DY10" s="328"/>
      <c r="DZ10" s="328"/>
      <c r="EA10" s="328"/>
      <c r="EB10" s="328"/>
      <c r="EC10" s="328"/>
      <c r="ED10" s="328"/>
      <c r="EE10" s="328"/>
      <c r="EF10" s="328"/>
      <c r="EG10" s="328"/>
      <c r="EH10" s="329"/>
      <c r="EI10" s="330"/>
      <c r="EJ10" s="339">
        <f t="shared" ref="EJ10:EJ34" si="64">IF(AND(DT72="Fresh Start",A10&gt;2019),AV10,IF(BD10-(AT10-AX10)&lt;0,0,BD10-(AT10-AX10)))</f>
        <v>0.11839999999999999</v>
      </c>
      <c r="EK10" s="339">
        <f t="shared" si="58"/>
        <v>1.7200000000000007E-2</v>
      </c>
      <c r="EL10" s="339" t="e">
        <f t="shared" ref="EL10:EL39" si="65">DH10/$DF10</f>
        <v>#DIV/0!</v>
      </c>
      <c r="EM10" s="339">
        <f t="shared" si="59"/>
        <v>0</v>
      </c>
      <c r="EN10" s="339">
        <v>0.14560000000000001</v>
      </c>
      <c r="EO10" s="339">
        <v>0.13919473544364294</v>
      </c>
      <c r="EP10" s="340" t="e">
        <f t="shared" ref="EP10:EP39" si="66">SUM(EJ10:EL10)</f>
        <v>#DIV/0!</v>
      </c>
      <c r="EQ10" s="283"/>
      <c r="ER10" s="30">
        <v>1</v>
      </c>
      <c r="ES10" s="71">
        <f>AA9*AL9+SUM(BP10,BR10,BT10,BV10,BY10,BZ10,CB10,CF10,CH10,CK10,CI10,CC10,CG10)*AA9/2</f>
        <v>1760.1740625</v>
      </c>
      <c r="ET10" s="71">
        <f>AL10-AL9-SUM(BP10,BR10,BT10,BV10,BY10,BZ10,CB10,CF10,CH10,CK10,CI10,CC10,CG10)</f>
        <v>2791.2160000000008</v>
      </c>
      <c r="EU10" s="71">
        <f t="shared" ref="EU10:EU39" si="67">ET10-ES10</f>
        <v>1031.0419375000008</v>
      </c>
      <c r="EV10" s="71">
        <f t="shared" ref="EV10:EV39" si="68">EU10*4/5</f>
        <v>824.83355000000063</v>
      </c>
      <c r="EW10" s="71">
        <v>-1216.527</v>
      </c>
      <c r="EX10" s="71">
        <v>-1117.047</v>
      </c>
      <c r="EY10" s="71">
        <v>0</v>
      </c>
      <c r="EZ10" s="71">
        <f t="shared" ref="EZ10:EZ39" si="69">SUM(EV10:EY10)</f>
        <v>-1508.7404499999993</v>
      </c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7">
        <f t="shared" si="24"/>
        <v>18565.938000000002</v>
      </c>
      <c r="FM10" s="29"/>
      <c r="FN10" s="308"/>
      <c r="FO10" s="93"/>
      <c r="FP10" s="27">
        <f>$DT$65</f>
        <v>20</v>
      </c>
      <c r="FQ10" s="309">
        <f t="shared" si="27"/>
        <v>13.512970250241354</v>
      </c>
      <c r="FR10" s="93">
        <f t="shared" si="60"/>
        <v>1373.934646209141</v>
      </c>
      <c r="FS10" s="93"/>
      <c r="FT10" s="29">
        <f>FP10</f>
        <v>20</v>
      </c>
      <c r="FU10" s="142">
        <f t="shared" si="28"/>
        <v>13.512970250241354</v>
      </c>
      <c r="FV10" s="48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>
        <f t="shared" si="29"/>
        <v>20</v>
      </c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  <c r="LO10" s="46">
        <f t="shared" si="30"/>
        <v>0.73751863880457136</v>
      </c>
      <c r="LP10" s="47">
        <f t="shared" si="31"/>
        <v>0.90472184129921518</v>
      </c>
      <c r="LR10" s="48"/>
      <c r="LS10" s="28" t="s">
        <v>72</v>
      </c>
      <c r="LT10" s="166">
        <v>1.5166666666666668E-3</v>
      </c>
      <c r="LU10" s="115">
        <f t="shared" ref="LU10:LU39" si="70">IF($DT$30="DC",LT10,LT10*(2.14%-$DT$33)/2.14%)</f>
        <v>2.4588759550450067E-19</v>
      </c>
      <c r="LV10" s="157">
        <f t="shared" si="15"/>
        <v>0</v>
      </c>
      <c r="LW10" s="229" t="e">
        <f>LW9*(1+#REF!)</f>
        <v>#REF!</v>
      </c>
      <c r="LX10" s="158"/>
      <c r="LY10" s="129">
        <f t="shared" ref="LY10:LY39" si="71">AC10 - (AC9*(1+$DT$24)+(AF9+AG9)*(1+$DT$24)^0.5+(BP10+BR10)*(1+$DT$24)^$LZ$5)</f>
        <v>1640.556418846536</v>
      </c>
      <c r="LZ10" s="130">
        <f t="shared" ref="LZ10:LZ39" si="72">AK10-(AK9*(1+$DT$24)+SUM(BV10:CJ10)*(1+$DT$24)^0.5+(BP10+BR10+CN10+BT10)*(1+$DT$24)^$LZ$5)</f>
        <v>1147.7625092403359</v>
      </c>
      <c r="MD10" s="39"/>
      <c r="ME10" s="39"/>
      <c r="MF10" s="39"/>
      <c r="MG10" s="39"/>
      <c r="MH10" s="39"/>
      <c r="MJ10" s="104">
        <f t="shared" ref="MJ10:MJ21" si="73">MJ9+0.0025</f>
        <v>5.0000000000000001E-3</v>
      </c>
      <c r="MK10" s="104">
        <f t="shared" ref="MK10:MK16" si="74">$MK$17*($MJ10/$MJ$17)</f>
        <v>2.938467032178849E-2</v>
      </c>
      <c r="ML10" s="104">
        <f t="shared" ref="ML10:ML21" si="75">MK10*(1+MT$7)</f>
        <v>3.0206095685335641E-2</v>
      </c>
      <c r="MM10" s="104">
        <f t="shared" si="32"/>
        <v>3.1074766355140192E-2</v>
      </c>
      <c r="MN10" s="104">
        <f t="shared" si="33"/>
        <v>3.1980550939539422E-2</v>
      </c>
      <c r="MO10" s="104">
        <f t="shared" si="34"/>
        <v>3.2925267387570956E-2</v>
      </c>
      <c r="MP10" s="104">
        <f t="shared" si="35"/>
        <v>3.3910827036769307E-2</v>
      </c>
      <c r="MR10" s="28">
        <f>MR9+1</f>
        <v>63</v>
      </c>
      <c r="MS10" s="28">
        <f t="shared" ref="MS10:MX10" si="76">(1+MS$6)*MS9/1.0725</f>
        <v>0.93240093240093236</v>
      </c>
      <c r="MT10" s="28">
        <f t="shared" si="76"/>
        <v>0.93552447552447549</v>
      </c>
      <c r="MU10" s="28">
        <f t="shared" si="76"/>
        <v>0.93864801864801861</v>
      </c>
      <c r="MV10" s="28">
        <f t="shared" si="76"/>
        <v>0.94177156177156163</v>
      </c>
      <c r="MW10" s="28">
        <f t="shared" si="76"/>
        <v>0.94489510489510498</v>
      </c>
      <c r="MX10" s="28">
        <f t="shared" si="76"/>
        <v>0.9480186480186481</v>
      </c>
    </row>
    <row r="11" spans="1:374" s="34" customFormat="1" ht="12.45" customHeight="1" x14ac:dyDescent="0.3">
      <c r="A11" s="355">
        <f t="shared" si="0"/>
        <v>2020</v>
      </c>
      <c r="B11" s="355">
        <f t="shared" si="1"/>
        <v>2018</v>
      </c>
      <c r="C11" s="26">
        <v>43282</v>
      </c>
      <c r="D11" s="356">
        <v>9183</v>
      </c>
      <c r="E11" s="27">
        <f t="shared" si="17"/>
        <v>9183</v>
      </c>
      <c r="F11" s="27">
        <f t="shared" si="18"/>
        <v>0</v>
      </c>
      <c r="G11" s="27"/>
      <c r="H11" s="27"/>
      <c r="I11" s="357">
        <v>8500.0190000000002</v>
      </c>
      <c r="J11" s="69">
        <v>6070.9514849999996</v>
      </c>
      <c r="K11" s="69">
        <f>I11-J11</f>
        <v>2429.0675150000006</v>
      </c>
      <c r="L11" s="297">
        <f>I11*S11-MIN((J10+K10+L10)*(1+IF(YEAR(C11)&lt;=2023,$DT$54,$DT$55))-J11-I11*S11,0)</f>
        <v>0</v>
      </c>
      <c r="M11" s="297"/>
      <c r="N11" s="358">
        <v>246.536</v>
      </c>
      <c r="O11" s="359">
        <v>1465.317</v>
      </c>
      <c r="P11" s="359"/>
      <c r="Q11" s="359">
        <v>501.03699999999998</v>
      </c>
      <c r="R11" s="260">
        <f t="shared" si="2"/>
        <v>1</v>
      </c>
      <c r="S11" s="257">
        <v>0</v>
      </c>
      <c r="T11" s="261">
        <v>7.2499999999999995E-2</v>
      </c>
      <c r="U11" s="115"/>
      <c r="V11" s="69">
        <f t="shared" si="4"/>
        <v>49104.762999999999</v>
      </c>
      <c r="W11" s="360">
        <v>49104.762999999999</v>
      </c>
      <c r="X11" s="360"/>
      <c r="Y11" s="362">
        <f t="shared" si="25"/>
        <v>872.95195130000002</v>
      </c>
      <c r="Z11" s="27"/>
      <c r="AA11" s="261">
        <f t="shared" si="5"/>
        <v>7.2499999999999995E-2</v>
      </c>
      <c r="AB11" s="27"/>
      <c r="AC11" s="173">
        <f t="shared" si="6"/>
        <v>49104.762999999999</v>
      </c>
      <c r="AD11" s="69">
        <f t="shared" si="7"/>
        <v>49104.762999999999</v>
      </c>
      <c r="AE11" s="69"/>
      <c r="AF11" s="69">
        <f t="shared" si="8"/>
        <v>872.95195130000002</v>
      </c>
      <c r="AG11" s="27"/>
      <c r="AH11" s="69">
        <f t="shared" si="9"/>
        <v>27030.937000000002</v>
      </c>
      <c r="AI11" s="69">
        <f>27030937/1000</f>
        <v>27030.937000000002</v>
      </c>
      <c r="AJ11" s="27"/>
      <c r="AK11" s="69">
        <f t="shared" si="10"/>
        <v>26414.916000000001</v>
      </c>
      <c r="AL11" s="360">
        <v>26414.916000000001</v>
      </c>
      <c r="AM11" s="360"/>
      <c r="AN11" s="262">
        <v>7.9100000000000004E-2</v>
      </c>
      <c r="AO11" s="27">
        <f t="shared" si="36"/>
        <v>22073.825999999997</v>
      </c>
      <c r="AP11" s="27">
        <f t="shared" si="11"/>
        <v>22689.846999999998</v>
      </c>
      <c r="AQ11" s="68">
        <f t="shared" si="19"/>
        <v>0.55047484904875732</v>
      </c>
      <c r="AR11" s="68">
        <f t="shared" si="20"/>
        <v>0.53792981344803559</v>
      </c>
      <c r="AS11" s="68"/>
      <c r="AT11" s="361">
        <v>0.1066</v>
      </c>
      <c r="AU11" s="361"/>
      <c r="AV11" s="303"/>
      <c r="AW11" s="303"/>
      <c r="AX11" s="115">
        <f t="shared" si="61"/>
        <v>0.09</v>
      </c>
      <c r="AY11" s="115"/>
      <c r="AZ11" s="115"/>
      <c r="BA11" s="262">
        <f t="shared" si="21"/>
        <v>1.6600000000000004E-2</v>
      </c>
      <c r="BB11" s="115"/>
      <c r="BC11" s="133">
        <f t="shared" ref="BC11:BC42" si="77">IF(A11&lt;=2024,BC10+$DT$40,IF(AQ10&lt;$DT$41,BC10,BC10-$DT$40))</f>
        <v>0.14560000000000001</v>
      </c>
      <c r="BD11" s="133">
        <f t="shared" si="22"/>
        <v>0.14560000000000001</v>
      </c>
      <c r="BE11" s="410">
        <f t="shared" si="12"/>
        <v>0.129</v>
      </c>
      <c r="BF11" s="410"/>
      <c r="BG11" s="340">
        <f t="shared" si="13"/>
        <v>9.5600000000000004E-2</v>
      </c>
      <c r="BH11" s="410">
        <f t="shared" si="23"/>
        <v>0.14560000000000001</v>
      </c>
      <c r="BI11" s="157">
        <f t="shared" si="37"/>
        <v>16.310688830183942</v>
      </c>
      <c r="BJ11" s="104">
        <f t="shared" si="38"/>
        <v>4.1262135922329968E-2</v>
      </c>
      <c r="BK11" s="27">
        <f t="shared" si="62"/>
        <v>25.70714098493411</v>
      </c>
      <c r="BL11" s="27">
        <f t="shared" si="14"/>
        <v>28</v>
      </c>
      <c r="BM11" s="27">
        <f t="shared" si="26"/>
        <v>25.815748999924107</v>
      </c>
      <c r="BN11" s="27"/>
      <c r="BO11" s="421">
        <f>LOG(1.0725)</f>
        <v>3.0397300856761861E-2</v>
      </c>
      <c r="BP11" s="362">
        <f>-(3426.65+22.639+1.534)</f>
        <v>-3450.8230000000003</v>
      </c>
      <c r="BQ11" s="362"/>
      <c r="BR11" s="360">
        <v>-113.867</v>
      </c>
      <c r="BS11" s="360"/>
      <c r="BT11" s="360">
        <v>-14.657999999999999</v>
      </c>
      <c r="BU11" s="360"/>
      <c r="BV11" s="363">
        <f>868.681</f>
        <v>868.68100000000004</v>
      </c>
      <c r="BW11" s="304"/>
      <c r="BX11" s="304"/>
      <c r="BY11" s="304"/>
      <c r="BZ11" s="304">
        <f t="shared" ref="BZ11:BZ42" si="78">AT9*I11-BV11</f>
        <v>4.2709512999999788</v>
      </c>
      <c r="CA11" s="304"/>
      <c r="CB11" s="360">
        <f>1300.832-BZ11-CE11-CF11-CH11</f>
        <v>1296.5610487000001</v>
      </c>
      <c r="CC11" s="360"/>
      <c r="CD11" s="304"/>
      <c r="CE11" s="304"/>
      <c r="CF11" s="304"/>
      <c r="CG11" s="304"/>
      <c r="CH11" s="304"/>
      <c r="CI11" s="412">
        <v>104.974</v>
      </c>
      <c r="CJ11" s="27">
        <f t="shared" si="39"/>
        <v>0</v>
      </c>
      <c r="CK11" s="27">
        <f t="shared" si="40"/>
        <v>0</v>
      </c>
      <c r="CL11" s="27">
        <f t="shared" si="41"/>
        <v>0</v>
      </c>
      <c r="CM11" s="27">
        <f t="shared" si="42"/>
        <v>2274.4870000000001</v>
      </c>
      <c r="CN11" s="27">
        <f t="shared" si="43"/>
        <v>0</v>
      </c>
      <c r="CO11" s="27">
        <f t="shared" si="3"/>
        <v>2274.4870000000001</v>
      </c>
      <c r="CP11" s="27"/>
      <c r="CQ11" s="27"/>
      <c r="CR11" s="27"/>
      <c r="CS11" s="27"/>
      <c r="CT11" s="27"/>
      <c r="CU11" s="27"/>
      <c r="CV11" s="27"/>
      <c r="CW11" s="27"/>
      <c r="CX11" s="107">
        <f t="shared" si="44"/>
        <v>73.26585</v>
      </c>
      <c r="CY11" s="27"/>
      <c r="CZ11" s="96">
        <f t="shared" si="45"/>
        <v>1479.07185</v>
      </c>
      <c r="DA11" s="224">
        <f t="shared" si="46"/>
        <v>1479.07185</v>
      </c>
      <c r="DB11" s="364">
        <f t="shared" si="47"/>
        <v>1296.5610487000001</v>
      </c>
      <c r="DC11" s="364">
        <f t="shared" si="48"/>
        <v>109.24495129999998</v>
      </c>
      <c r="DD11" s="364">
        <f t="shared" si="49"/>
        <v>0</v>
      </c>
      <c r="DE11" s="364">
        <f t="shared" si="50"/>
        <v>43282</v>
      </c>
      <c r="DF11" s="364" t="b">
        <f t="shared" si="63"/>
        <v>0</v>
      </c>
      <c r="DG11" s="27">
        <f t="shared" si="51"/>
        <v>73.26585</v>
      </c>
      <c r="DH11" s="100">
        <f t="shared" si="52"/>
        <v>73.26585</v>
      </c>
      <c r="DI11" s="105" t="e">
        <f t="shared" si="53"/>
        <v>#DIV/0!</v>
      </c>
      <c r="DJ11" s="27">
        <f t="shared" si="54"/>
        <v>0</v>
      </c>
      <c r="DK11" s="100">
        <f t="shared" si="55"/>
        <v>0</v>
      </c>
      <c r="DL11" s="105">
        <f t="shared" si="56"/>
        <v>0</v>
      </c>
      <c r="DM11" s="359">
        <v>1479.07185</v>
      </c>
      <c r="DN11" s="100">
        <f t="shared" si="57"/>
        <v>1479.07185</v>
      </c>
      <c r="DO11" s="365">
        <v>0.55047484904875732</v>
      </c>
      <c r="DP11" s="27"/>
      <c r="DQ11" s="366"/>
      <c r="DR11" s="366"/>
      <c r="DS11" s="366"/>
      <c r="DT11" s="366"/>
      <c r="DU11" s="27"/>
      <c r="DV11" s="367"/>
      <c r="DW11" s="367"/>
      <c r="DX11" s="367"/>
      <c r="DY11" s="367"/>
      <c r="DZ11" s="367"/>
      <c r="EA11" s="367"/>
      <c r="EB11" s="367"/>
      <c r="EC11" s="367"/>
      <c r="ED11" s="367"/>
      <c r="EE11" s="367"/>
      <c r="EF11" s="367"/>
      <c r="EG11" s="367"/>
      <c r="EH11" s="367"/>
      <c r="EI11" s="368"/>
      <c r="EJ11" s="369">
        <f t="shared" si="64"/>
        <v>0.129</v>
      </c>
      <c r="EK11" s="369">
        <f t="shared" si="58"/>
        <v>1.6600000000000004E-2</v>
      </c>
      <c r="EL11" s="369" t="e">
        <f t="shared" si="65"/>
        <v>#DIV/0!</v>
      </c>
      <c r="EM11" s="369">
        <f t="shared" si="59"/>
        <v>0</v>
      </c>
      <c r="EN11" s="369">
        <v>0.15560000000000002</v>
      </c>
      <c r="EO11" s="369">
        <v>0.14441113135963379</v>
      </c>
      <c r="EP11" s="370" t="e">
        <f t="shared" si="66"/>
        <v>#DIV/0!</v>
      </c>
      <c r="EQ11" s="283"/>
      <c r="ER11" s="283">
        <v>2</v>
      </c>
      <c r="ES11" s="71">
        <f t="shared" ref="ES11:ES44" si="79">AA10*AL10+SUM(BP11,BR11,BT11,BV11,BY11,BZ11,CB11,CF11,CH11,CK11,CI11,CC11,CG11)*AA10/2</f>
        <v>1818.32889125</v>
      </c>
      <c r="ET11" s="69">
        <f t="shared" ref="ET11:ET44" si="80">AL11-AL10-SUM(BP11,BR11,BT11,BV11,BY11,BZ11,CB11,CF11,CH11,CK11,CI11,CC11,CG11)</f>
        <v>1986.9479999999999</v>
      </c>
      <c r="EU11" s="69">
        <f t="shared" si="67"/>
        <v>168.6191087499999</v>
      </c>
      <c r="EV11" s="69">
        <f t="shared" si="68"/>
        <v>134.89528699999991</v>
      </c>
      <c r="EW11" s="69">
        <f t="shared" ref="EW11:EW39" si="81">EV10*(3/4)</f>
        <v>618.62516250000044</v>
      </c>
      <c r="EX11" s="69">
        <f>EW10*(2/3)</f>
        <v>-811.01800000000003</v>
      </c>
      <c r="EY11" s="69">
        <f>EX10*(1/2)</f>
        <v>-558.52350000000001</v>
      </c>
      <c r="EZ11" s="69">
        <f t="shared" si="69"/>
        <v>-616.02105049999966</v>
      </c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>
        <f t="shared" si="24"/>
        <v>21133.154999999999</v>
      </c>
      <c r="FM11" s="27"/>
      <c r="FN11" s="308"/>
      <c r="FO11" s="93"/>
      <c r="FP11" s="27">
        <f t="shared" ref="FP11:FP44" si="82">IF($DT$70="Statutory",BL11,$DT$65)</f>
        <v>20</v>
      </c>
      <c r="FQ11" s="309">
        <f t="shared" si="27"/>
        <v>13.512970250241354</v>
      </c>
      <c r="FR11" s="93">
        <f t="shared" si="60"/>
        <v>1563.9163417548812</v>
      </c>
      <c r="FS11" s="93"/>
      <c r="FT11" s="27">
        <f t="shared" ref="FT11:FT39" si="83">FP11</f>
        <v>20</v>
      </c>
      <c r="FU11" s="64">
        <f t="shared" si="28"/>
        <v>13.512970250241354</v>
      </c>
      <c r="FV11" s="93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>
        <f t="shared" si="29"/>
        <v>20</v>
      </c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93"/>
      <c r="IL11" s="93"/>
      <c r="IM11" s="93"/>
      <c r="IN11" s="93"/>
      <c r="IO11" s="93"/>
      <c r="IP11" s="93"/>
      <c r="IQ11" s="93"/>
      <c r="IR11" s="93"/>
      <c r="IS11" s="93"/>
      <c r="IT11" s="93"/>
      <c r="IU11" s="93"/>
      <c r="IV11" s="93"/>
      <c r="IW11" s="93"/>
      <c r="IX11" s="93"/>
      <c r="IY11" s="93"/>
      <c r="IZ11" s="93"/>
      <c r="JA11" s="93"/>
      <c r="JB11" s="93"/>
      <c r="JC11" s="93"/>
      <c r="JD11" s="93"/>
      <c r="JE11" s="93"/>
      <c r="JF11" s="93"/>
      <c r="JG11" s="93"/>
      <c r="JH11" s="93"/>
      <c r="JI11" s="93"/>
      <c r="JJ11" s="93"/>
      <c r="JK11" s="93"/>
      <c r="JL11" s="93"/>
      <c r="JM11" s="93"/>
      <c r="JN11" s="93"/>
      <c r="JO11" s="93"/>
      <c r="JP11" s="93"/>
      <c r="JQ11" s="93"/>
      <c r="JR11" s="93"/>
      <c r="JS11" s="93"/>
      <c r="JT11" s="93"/>
      <c r="JU11" s="93"/>
      <c r="JV11" s="93"/>
      <c r="JW11" s="93"/>
      <c r="JX11" s="93"/>
      <c r="JY11" s="93"/>
      <c r="JZ11" s="93"/>
      <c r="KA11" s="93"/>
      <c r="KB11" s="93"/>
      <c r="KC11" s="93"/>
      <c r="KD11" s="93"/>
      <c r="KE11" s="93"/>
      <c r="KF11" s="93"/>
      <c r="KG11" s="93"/>
      <c r="KH11" s="93"/>
      <c r="KI11" s="93"/>
      <c r="KJ11" s="93"/>
      <c r="KK11" s="93"/>
      <c r="KL11" s="93"/>
      <c r="KM11" s="93"/>
      <c r="KN11" s="93"/>
      <c r="KO11" s="93"/>
      <c r="KP11" s="93"/>
      <c r="KQ11" s="93"/>
      <c r="KR11" s="93"/>
      <c r="KS11" s="93"/>
      <c r="KT11" s="93"/>
      <c r="KU11" s="93"/>
      <c r="KV11" s="93"/>
      <c r="KW11" s="93"/>
      <c r="KX11" s="93"/>
      <c r="KY11" s="93"/>
      <c r="KZ11" s="93"/>
      <c r="LA11" s="93"/>
      <c r="LB11" s="93"/>
      <c r="LC11" s="93"/>
      <c r="LD11" s="93"/>
      <c r="LE11" s="93"/>
      <c r="LF11" s="93"/>
      <c r="LG11" s="93"/>
      <c r="LH11" s="93"/>
      <c r="LI11" s="93"/>
      <c r="LJ11" s="93"/>
      <c r="LK11" s="93"/>
      <c r="LL11" s="93"/>
      <c r="LM11" s="93"/>
      <c r="LN11" s="93"/>
      <c r="LO11" s="371">
        <f t="shared" si="30"/>
        <v>0.68926975589212269</v>
      </c>
      <c r="LP11" s="371">
        <f t="shared" si="31"/>
        <v>0.88481353672294882</v>
      </c>
      <c r="LR11" s="93"/>
      <c r="LS11" s="34" t="s">
        <v>73</v>
      </c>
      <c r="LT11" s="274">
        <v>3.0333333333333336E-3</v>
      </c>
      <c r="LU11" s="115">
        <f t="shared" si="70"/>
        <v>4.9177519100900135E-19</v>
      </c>
      <c r="LV11" s="100">
        <f t="shared" si="15"/>
        <v>0</v>
      </c>
      <c r="LW11" s="229" t="e">
        <f>LW10*(1+#REF!)</f>
        <v>#REF!</v>
      </c>
      <c r="LX11" s="158"/>
      <c r="LY11" s="129">
        <f t="shared" si="71"/>
        <v>190.14998339198064</v>
      </c>
      <c r="LZ11" s="372">
        <f t="shared" si="72"/>
        <v>230.54768376089487</v>
      </c>
      <c r="MC11" s="373"/>
      <c r="MJ11" s="133">
        <f t="shared" si="73"/>
        <v>7.4999999999999997E-3</v>
      </c>
      <c r="MK11" s="133">
        <f t="shared" si="74"/>
        <v>4.407700548268273E-2</v>
      </c>
      <c r="ML11" s="133">
        <f t="shared" si="75"/>
        <v>4.5309143528003457E-2</v>
      </c>
      <c r="MM11" s="133">
        <f t="shared" si="32"/>
        <v>4.6612149532710277E-2</v>
      </c>
      <c r="MN11" s="133">
        <f t="shared" si="33"/>
        <v>4.7970826409309122E-2</v>
      </c>
      <c r="MO11" s="133">
        <f t="shared" si="34"/>
        <v>4.938790108135642E-2</v>
      </c>
      <c r="MP11" s="133">
        <f t="shared" si="35"/>
        <v>5.0866240555153951E-2</v>
      </c>
      <c r="MR11" s="34">
        <f t="shared" ref="MR11:MR32" si="84">MR10+1</f>
        <v>64</v>
      </c>
      <c r="MS11" s="34">
        <f t="shared" ref="MS11:MS32" si="85">(1+MS$6)*MS10/1.0725</f>
        <v>0.86937149874212805</v>
      </c>
      <c r="MT11" s="34">
        <f t="shared" ref="MT11:MT32" si="86">(1+MT$6)*MT10/1.0725</f>
        <v>0.87520604430534488</v>
      </c>
      <c r="MU11" s="34">
        <f t="shared" ref="MU11:MU32" si="87">(1+MU$6)*MU10/1.0725</f>
        <v>0.88106010291185111</v>
      </c>
      <c r="MV11" s="34">
        <f t="shared" ref="MV11:MV32" si="88">(1+MV$6)*MV10/1.0725</f>
        <v>0.8869336745616464</v>
      </c>
      <c r="MW11" s="34">
        <f t="shared" ref="MW11:MW32" si="89">(1+MW$6)*MW10/1.0725</f>
        <v>0.89282675925473143</v>
      </c>
      <c r="MX11" s="34">
        <f t="shared" ref="MX11:MX32" si="90">(1+MX$6)*MX10/1.0725</f>
        <v>0.8987393569911053</v>
      </c>
    </row>
    <row r="12" spans="1:374" s="30" customFormat="1" ht="12.75" customHeight="1" x14ac:dyDescent="0.3">
      <c r="A12" s="305">
        <f t="shared" ref="A12:A44" si="91">YEAR(C12)+2</f>
        <v>2021</v>
      </c>
      <c r="B12" s="355">
        <f t="shared" si="1"/>
        <v>2019</v>
      </c>
      <c r="C12" s="26">
        <v>43647</v>
      </c>
      <c r="D12" s="173">
        <f>9272010/1000</f>
        <v>9272.01</v>
      </c>
      <c r="E12" s="27">
        <f t="shared" si="17"/>
        <v>9272.01</v>
      </c>
      <c r="F12" s="111">
        <f t="shared" si="18"/>
        <v>0</v>
      </c>
      <c r="G12" s="69">
        <f>I12+O12+N12</f>
        <v>10614.167333333333</v>
      </c>
      <c r="H12" s="69">
        <f>G12</f>
        <v>10614.167333333333</v>
      </c>
      <c r="I12" s="357">
        <f>8889144/1000</f>
        <v>8889.1440000000002</v>
      </c>
      <c r="J12" s="69">
        <v>5783.4160449999999</v>
      </c>
      <c r="K12" s="69">
        <f>I12-J12</f>
        <v>3105.7279550000003</v>
      </c>
      <c r="L12" s="297">
        <f>I12*S12-MIN((J11+K11+L11)*(1+IF(YEAR(C12)&lt;=2023,$DT$54,$DT$55))-J12-I12*S12,0)</f>
        <v>0</v>
      </c>
      <c r="M12" s="297"/>
      <c r="N12" s="258">
        <f>N11*2/3</f>
        <v>164.35733333333334</v>
      </c>
      <c r="O12" s="359">
        <f>1560666/1000</f>
        <v>1560.6659999999999</v>
      </c>
      <c r="P12" s="359"/>
      <c r="Q12" s="359">
        <f>524435/1000</f>
        <v>524.43499999999995</v>
      </c>
      <c r="R12" s="260">
        <f t="shared" si="2"/>
        <v>1</v>
      </c>
      <c r="S12" s="257">
        <v>0</v>
      </c>
      <c r="T12" s="261">
        <v>7.2499999999999995E-2</v>
      </c>
      <c r="U12" s="115"/>
      <c r="V12" s="69">
        <f t="shared" si="4"/>
        <v>50438.807000000001</v>
      </c>
      <c r="W12" s="69">
        <f>50438807/1000</f>
        <v>50438.807000000001</v>
      </c>
      <c r="X12" s="27"/>
      <c r="Y12" s="362">
        <f t="shared" si="25"/>
        <v>952.91623680000009</v>
      </c>
      <c r="Z12" s="27"/>
      <c r="AA12" s="261">
        <f t="shared" si="5"/>
        <v>7.2499999999999995E-2</v>
      </c>
      <c r="AB12" s="27"/>
      <c r="AC12" s="173">
        <f t="shared" si="6"/>
        <v>50438.807000000001</v>
      </c>
      <c r="AD12" s="69">
        <f t="shared" si="7"/>
        <v>50438.807000000001</v>
      </c>
      <c r="AE12" s="27"/>
      <c r="AF12" s="69">
        <f t="shared" si="8"/>
        <v>952.91623680000009</v>
      </c>
      <c r="AG12" s="27"/>
      <c r="AH12" s="69">
        <f t="shared" si="9"/>
        <v>27443.804</v>
      </c>
      <c r="AI12" s="69">
        <f>27443804/1000</f>
        <v>27443.804</v>
      </c>
      <c r="AJ12" s="27"/>
      <c r="AK12" s="69">
        <f t="shared" si="10"/>
        <v>27238.916000000001</v>
      </c>
      <c r="AL12" s="69">
        <f>27238916/1000</f>
        <v>27238.916000000001</v>
      </c>
      <c r="AM12" s="27"/>
      <c r="AN12" s="262">
        <v>5.8400000000000001E-2</v>
      </c>
      <c r="AO12" s="27">
        <f t="shared" si="36"/>
        <v>22995.003000000001</v>
      </c>
      <c r="AP12" s="27">
        <f t="shared" si="11"/>
        <v>23199.891</v>
      </c>
      <c r="AQ12" s="430">
        <f t="shared" si="19"/>
        <v>0.54410097368084065</v>
      </c>
      <c r="AR12" s="151">
        <f t="shared" si="20"/>
        <v>0.5400388633299753</v>
      </c>
      <c r="AS12" s="353"/>
      <c r="AT12" s="398">
        <v>0.10639999999999999</v>
      </c>
      <c r="AU12" s="397"/>
      <c r="AV12" s="303"/>
      <c r="AW12" s="303"/>
      <c r="AX12" s="115">
        <f t="shared" si="61"/>
        <v>0.09</v>
      </c>
      <c r="AY12" s="115"/>
      <c r="AZ12" s="115"/>
      <c r="BA12" s="262">
        <f t="shared" si="21"/>
        <v>1.6399999999999998E-2</v>
      </c>
      <c r="BB12" s="115"/>
      <c r="BC12" s="133">
        <f t="shared" si="77"/>
        <v>0.15560000000000002</v>
      </c>
      <c r="BD12" s="133">
        <f t="shared" si="22"/>
        <v>0.15560000000000002</v>
      </c>
      <c r="BE12" s="410">
        <f t="shared" si="12"/>
        <v>0.13920000000000002</v>
      </c>
      <c r="BF12" s="410"/>
      <c r="BG12" s="340">
        <f t="shared" si="13"/>
        <v>0.10560000000000001</v>
      </c>
      <c r="BH12" s="410">
        <f t="shared" si="23"/>
        <v>0.15560000000000002</v>
      </c>
      <c r="BI12" s="157">
        <f t="shared" si="37"/>
        <v>16.232215599149065</v>
      </c>
      <c r="BJ12" s="104">
        <f t="shared" si="38"/>
        <v>4.1262135922329968E-2</v>
      </c>
      <c r="BK12" s="27">
        <f t="shared" si="62"/>
        <v>25.490625961486884</v>
      </c>
      <c r="BL12" s="27">
        <f t="shared" si="14"/>
        <v>27</v>
      </c>
      <c r="BM12" s="111">
        <f t="shared" si="26"/>
        <v>23.696071799236226</v>
      </c>
      <c r="BN12" s="27"/>
      <c r="BO12" s="27">
        <f>LOG(1+BJ13)</f>
        <v>1.7560076151589599E-2</v>
      </c>
      <c r="BP12" s="375">
        <f>(-2938416-22126-1244)/1000</f>
        <v>-2961.7860000000001</v>
      </c>
      <c r="BQ12" s="229"/>
      <c r="BR12" s="69">
        <f>-118067/1000</f>
        <v>-118.06699999999999</v>
      </c>
      <c r="BS12" s="69"/>
      <c r="BT12" s="69">
        <v>-15.536</v>
      </c>
      <c r="BU12" s="69"/>
      <c r="BV12" s="376">
        <f>880664/1000</f>
        <v>880.66399999999999</v>
      </c>
      <c r="BW12" s="304"/>
      <c r="BX12" s="304"/>
      <c r="BY12" s="304"/>
      <c r="BZ12" s="304">
        <f t="shared" si="78"/>
        <v>72.252236800000105</v>
      </c>
      <c r="CA12" s="304"/>
      <c r="CB12" s="360">
        <f>1450628/1000-BZ12-CE12-CF12-CH12</f>
        <v>1378.3757631999997</v>
      </c>
      <c r="CC12" s="360"/>
      <c r="CD12" s="304"/>
      <c r="CE12" s="304"/>
      <c r="CF12" s="304"/>
      <c r="CG12" s="304"/>
      <c r="CH12" s="304"/>
      <c r="CI12" s="69">
        <f>88706/1000</f>
        <v>88.706000000000003</v>
      </c>
      <c r="CJ12" s="27">
        <f t="shared" si="39"/>
        <v>0</v>
      </c>
      <c r="CK12" s="27">
        <f t="shared" si="40"/>
        <v>0</v>
      </c>
      <c r="CL12" s="27">
        <f t="shared" si="41"/>
        <v>0</v>
      </c>
      <c r="CM12" s="27">
        <f t="shared" si="42"/>
        <v>2419.998</v>
      </c>
      <c r="CN12" s="27">
        <f t="shared" si="43"/>
        <v>0</v>
      </c>
      <c r="CO12" s="111">
        <f t="shared" si="3"/>
        <v>2419.998</v>
      </c>
      <c r="CP12" s="27"/>
      <c r="CQ12" s="27"/>
      <c r="CR12" s="27"/>
      <c r="CS12" s="27" t="s">
        <v>331</v>
      </c>
      <c r="CT12" s="27"/>
      <c r="CU12" s="27"/>
      <c r="CV12" s="27"/>
      <c r="CW12" s="27"/>
      <c r="CX12" s="107">
        <f t="shared" si="44"/>
        <v>78.033299999999997</v>
      </c>
      <c r="CY12" s="115">
        <f t="shared" ref="CY12:CY44" si="92">CZ12/(G12+Q12)</f>
        <v>0.14520379232499156</v>
      </c>
      <c r="CZ12" s="96">
        <f t="shared" si="45"/>
        <v>1617.3672999999997</v>
      </c>
      <c r="DA12" s="224">
        <f t="shared" si="46"/>
        <v>1617.3672999999997</v>
      </c>
      <c r="DB12" s="314">
        <f t="shared" si="47"/>
        <v>1348.0447561858189</v>
      </c>
      <c r="DC12" s="314">
        <f t="shared" si="48"/>
        <v>157.41636850855758</v>
      </c>
      <c r="DD12" s="314">
        <f t="shared" si="49"/>
        <v>0</v>
      </c>
      <c r="DE12" s="314">
        <f t="shared" si="50"/>
        <v>42686.552567237166</v>
      </c>
      <c r="DF12" s="314" t="b">
        <f t="shared" si="63"/>
        <v>0</v>
      </c>
      <c r="DG12" s="27">
        <f t="shared" si="51"/>
        <v>78.033299999999997</v>
      </c>
      <c r="DH12" s="100">
        <f t="shared" si="52"/>
        <v>76.31618581907091</v>
      </c>
      <c r="DI12" s="105" t="e">
        <f t="shared" si="53"/>
        <v>#DIV/0!</v>
      </c>
      <c r="DJ12" s="96">
        <f t="shared" si="54"/>
        <v>0</v>
      </c>
      <c r="DK12" s="100">
        <f t="shared" si="55"/>
        <v>0</v>
      </c>
      <c r="DL12" s="105">
        <f t="shared" si="56"/>
        <v>0</v>
      </c>
      <c r="DM12" s="299">
        <v>1617.3672999999997</v>
      </c>
      <c r="DN12" s="100">
        <f t="shared" si="57"/>
        <v>1617.3672999999997</v>
      </c>
      <c r="DO12" s="301">
        <v>0.54410097368084065</v>
      </c>
      <c r="DP12" s="29"/>
      <c r="DQ12" s="32"/>
      <c r="DR12" s="32"/>
      <c r="DS12" s="32"/>
      <c r="DT12" s="32"/>
      <c r="DU12" s="29"/>
      <c r="DV12" s="327"/>
      <c r="DW12" s="328"/>
      <c r="DX12" s="328"/>
      <c r="DY12" s="328"/>
      <c r="DZ12" s="328"/>
      <c r="EA12" s="328"/>
      <c r="EB12" s="328"/>
      <c r="EC12" s="328"/>
      <c r="ED12" s="328"/>
      <c r="EE12" s="328"/>
      <c r="EF12" s="328"/>
      <c r="EG12" s="328"/>
      <c r="EH12" s="329"/>
      <c r="EI12" s="330"/>
      <c r="EJ12" s="339">
        <f t="shared" si="64"/>
        <v>0.13920000000000002</v>
      </c>
      <c r="EK12" s="339">
        <f t="shared" si="58"/>
        <v>1.6399999999999998E-2</v>
      </c>
      <c r="EL12" s="339" t="e">
        <f t="shared" si="65"/>
        <v>#DIV/0!</v>
      </c>
      <c r="EM12" s="339">
        <f t="shared" si="59"/>
        <v>0</v>
      </c>
      <c r="EN12" s="339">
        <v>0.16560000000000002</v>
      </c>
      <c r="EO12" s="339">
        <v>0.14644827505296137</v>
      </c>
      <c r="EP12" s="340" t="e">
        <f t="shared" si="66"/>
        <v>#DIV/0!</v>
      </c>
      <c r="EQ12" s="283"/>
      <c r="ER12" s="30">
        <v>3</v>
      </c>
      <c r="ES12" s="71">
        <f t="shared" si="79"/>
        <v>1890.59848625</v>
      </c>
      <c r="ET12" s="71">
        <f t="shared" si="80"/>
        <v>1499.3910000000005</v>
      </c>
      <c r="EU12" s="71">
        <f t="shared" si="67"/>
        <v>-391.20748624999942</v>
      </c>
      <c r="EV12" s="71">
        <f t="shared" si="68"/>
        <v>-312.96598899999952</v>
      </c>
      <c r="EW12" s="71">
        <f t="shared" si="81"/>
        <v>101.17146524999993</v>
      </c>
      <c r="EX12" s="71">
        <f t="shared" ref="EX12:EX39" si="93">EW11*(2/3)</f>
        <v>412.41677500000026</v>
      </c>
      <c r="EY12" s="71">
        <f>EX11*(1/2)</f>
        <v>-405.50900000000001</v>
      </c>
      <c r="EZ12" s="71">
        <f t="shared" si="69"/>
        <v>-204.88674874999936</v>
      </c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7">
        <f t="shared" si="24"/>
        <v>22073.825999999997</v>
      </c>
      <c r="FM12" s="29"/>
      <c r="FN12" s="308"/>
      <c r="FO12" s="93"/>
      <c r="FP12" s="27">
        <f t="shared" si="82"/>
        <v>20</v>
      </c>
      <c r="FQ12" s="309">
        <f t="shared" si="27"/>
        <v>13.512970250241354</v>
      </c>
      <c r="FR12" s="93">
        <f t="shared" si="60"/>
        <v>1633.5287942786479</v>
      </c>
      <c r="FS12" s="93"/>
      <c r="FT12" s="29">
        <f t="shared" si="83"/>
        <v>20</v>
      </c>
      <c r="FU12" s="142">
        <f t="shared" si="28"/>
        <v>13.512970250241354</v>
      </c>
      <c r="FV12" s="48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>
        <f t="shared" si="29"/>
        <v>20</v>
      </c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  <c r="IY12" s="48"/>
      <c r="IZ12" s="48"/>
      <c r="JA12" s="48"/>
      <c r="JB12" s="48"/>
      <c r="JC12" s="48"/>
      <c r="JD12" s="48"/>
      <c r="JE12" s="48"/>
      <c r="JF12" s="48"/>
      <c r="JG12" s="48"/>
      <c r="JH12" s="48"/>
      <c r="JI12" s="48"/>
      <c r="JJ12" s="48"/>
      <c r="JK12" s="48"/>
      <c r="JL12" s="48"/>
      <c r="JM12" s="48"/>
      <c r="JN12" s="48"/>
      <c r="JO12" s="48"/>
      <c r="JP12" s="48"/>
      <c r="JQ12" s="48"/>
      <c r="JR12" s="48"/>
      <c r="JS12" s="48"/>
      <c r="JT12" s="48"/>
      <c r="JU12" s="48"/>
      <c r="JV12" s="48"/>
      <c r="JW12" s="48"/>
      <c r="JX12" s="48"/>
      <c r="JY12" s="48"/>
      <c r="JZ12" s="48"/>
      <c r="KA12" s="48"/>
      <c r="KB12" s="48"/>
      <c r="KC12" s="48"/>
      <c r="KD12" s="48"/>
      <c r="KE12" s="48"/>
      <c r="KF12" s="48"/>
      <c r="KG12" s="48"/>
      <c r="KH12" s="48"/>
      <c r="KI12" s="48"/>
      <c r="KJ12" s="48"/>
      <c r="KK12" s="48"/>
      <c r="KL12" s="48"/>
      <c r="KM12" s="48"/>
      <c r="KN12" s="48"/>
      <c r="KO12" s="48"/>
      <c r="KP12" s="48"/>
      <c r="KQ12" s="48"/>
      <c r="KR12" s="48"/>
      <c r="KS12" s="48"/>
      <c r="KT12" s="48"/>
      <c r="KU12" s="48"/>
      <c r="KV12" s="48"/>
      <c r="KW12" s="48"/>
      <c r="KX12" s="48"/>
      <c r="KY12" s="48"/>
      <c r="KZ12" s="48"/>
      <c r="LA12" s="48"/>
      <c r="LB12" s="48"/>
      <c r="LC12" s="48"/>
      <c r="LD12" s="48"/>
      <c r="LE12" s="48"/>
      <c r="LF12" s="48"/>
      <c r="LG12" s="48"/>
      <c r="LH12" s="48"/>
      <c r="LI12" s="48"/>
      <c r="LJ12" s="48"/>
      <c r="LK12" s="48"/>
      <c r="LL12" s="48"/>
      <c r="LM12" s="48"/>
      <c r="LN12" s="48"/>
      <c r="LO12" s="46">
        <f t="shared" si="30"/>
        <v>0.64417734195525478</v>
      </c>
      <c r="LP12" s="47">
        <f t="shared" si="31"/>
        <v>0.86534331219848304</v>
      </c>
      <c r="LQ12" s="28"/>
      <c r="LR12" s="48"/>
      <c r="LS12" s="28"/>
      <c r="LT12" s="166">
        <v>4.5500000000000002E-3</v>
      </c>
      <c r="LU12" s="115">
        <f t="shared" si="70"/>
        <v>7.3766278651350207E-19</v>
      </c>
      <c r="LV12" s="157">
        <f t="shared" si="15"/>
        <v>0</v>
      </c>
      <c r="LW12" s="229" t="e">
        <f>LW11*(1+#REF!)</f>
        <v>#REF!</v>
      </c>
      <c r="LX12" s="158"/>
      <c r="LY12" s="129">
        <f t="shared" si="71"/>
        <v>179.54678549582604</v>
      </c>
      <c r="LZ12" s="130">
        <f t="shared" si="72"/>
        <v>-326.41423724185006</v>
      </c>
      <c r="MA12" s="28"/>
      <c r="MB12" s="28"/>
      <c r="MC12" s="28"/>
      <c r="MD12" s="28"/>
      <c r="ME12" s="28"/>
      <c r="MF12" s="28"/>
      <c r="MG12" s="28"/>
      <c r="MH12" s="28"/>
      <c r="MI12" s="28"/>
      <c r="MJ12" s="104">
        <f t="shared" si="73"/>
        <v>0.01</v>
      </c>
      <c r="MK12" s="104">
        <f t="shared" si="74"/>
        <v>5.876934064357698E-2</v>
      </c>
      <c r="ML12" s="104">
        <f t="shared" si="75"/>
        <v>6.0412191370671282E-2</v>
      </c>
      <c r="MM12" s="104">
        <f t="shared" si="32"/>
        <v>6.2149532710280384E-2</v>
      </c>
      <c r="MN12" s="104">
        <f t="shared" si="33"/>
        <v>6.3961101879078844E-2</v>
      </c>
      <c r="MO12" s="104">
        <f t="shared" si="34"/>
        <v>6.5850534775141911E-2</v>
      </c>
      <c r="MP12" s="104">
        <f t="shared" si="35"/>
        <v>6.7821654073538615E-2</v>
      </c>
      <c r="MQ12" s="28"/>
      <c r="MR12" s="28">
        <f t="shared" si="84"/>
        <v>65</v>
      </c>
      <c r="MS12" s="28">
        <f t="shared" si="85"/>
        <v>0.81060279602995622</v>
      </c>
      <c r="MT12" s="28">
        <f t="shared" si="86"/>
        <v>0.81877667557460865</v>
      </c>
      <c r="MU12" s="28">
        <f t="shared" si="87"/>
        <v>0.82700531990802839</v>
      </c>
      <c r="MV12" s="28">
        <f t="shared" si="88"/>
        <v>0.83528891187971166</v>
      </c>
      <c r="MW12" s="28">
        <f t="shared" si="89"/>
        <v>0.84362763433915611</v>
      </c>
      <c r="MX12" s="28">
        <f t="shared" si="90"/>
        <v>0.85202167013585672</v>
      </c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</row>
    <row r="13" spans="1:374" s="30" customFormat="1" ht="13.8" x14ac:dyDescent="0.3">
      <c r="A13" s="305">
        <f t="shared" si="91"/>
        <v>2022</v>
      </c>
      <c r="B13" s="355">
        <f t="shared" si="1"/>
        <v>2020</v>
      </c>
      <c r="C13" s="374">
        <v>44013</v>
      </c>
      <c r="D13" s="173">
        <f>9788610/1000</f>
        <v>9788.61</v>
      </c>
      <c r="E13" s="27">
        <f t="shared" si="17"/>
        <v>9788.61</v>
      </c>
      <c r="F13" s="111">
        <f t="shared" si="18"/>
        <v>0</v>
      </c>
      <c r="G13" s="69">
        <f>I13+O13+N13</f>
        <v>11042.34</v>
      </c>
      <c r="H13" s="69">
        <f>G13</f>
        <v>11042.34</v>
      </c>
      <c r="I13" s="357">
        <f>9358511/1000</f>
        <v>9358.5110000000004</v>
      </c>
      <c r="J13" s="69">
        <v>5504.944563</v>
      </c>
      <c r="K13" s="69">
        <f>I13-J13</f>
        <v>3853.5664370000004</v>
      </c>
      <c r="L13" s="297">
        <f>I13*S13-MIN((J12+K12+L12)*(1+IF(YEAR(C13)&lt;=2023,$DT$54,$DT$55))-J13-I13*S13,0)</f>
        <v>0</v>
      </c>
      <c r="M13" s="297"/>
      <c r="N13" s="27">
        <v>0</v>
      </c>
      <c r="O13" s="359">
        <f>1683829/1000</f>
        <v>1683.829</v>
      </c>
      <c r="P13" s="359"/>
      <c r="Q13" s="359">
        <f>478868/1000</f>
        <v>478.86799999999999</v>
      </c>
      <c r="R13" s="260">
        <f t="shared" si="2"/>
        <v>1</v>
      </c>
      <c r="S13" s="257">
        <v>0</v>
      </c>
      <c r="T13" s="261">
        <v>7.2499999999999995E-2</v>
      </c>
      <c r="U13" s="115"/>
      <c r="V13" s="69">
        <f t="shared" si="4"/>
        <v>52061.245000000003</v>
      </c>
      <c r="W13" s="69">
        <f>52061245/1000</f>
        <v>52061.245000000003</v>
      </c>
      <c r="X13" s="27"/>
      <c r="Y13" s="362">
        <f t="shared" si="25"/>
        <v>997.61727260000009</v>
      </c>
      <c r="Z13" s="27"/>
      <c r="AA13" s="261">
        <f t="shared" si="5"/>
        <v>7.2499999999999995E-2</v>
      </c>
      <c r="AB13" s="27"/>
      <c r="AC13" s="173">
        <f t="shared" si="6"/>
        <v>52061.245000000003</v>
      </c>
      <c r="AD13" s="69">
        <f t="shared" si="7"/>
        <v>52061.245000000003</v>
      </c>
      <c r="AE13" s="27"/>
      <c r="AF13" s="69">
        <f t="shared" si="8"/>
        <v>997.61727260000009</v>
      </c>
      <c r="AG13" s="27"/>
      <c r="AH13" s="69">
        <f t="shared" si="9"/>
        <v>28171.964</v>
      </c>
      <c r="AI13" s="69">
        <f>28171964/1000</f>
        <v>28171.964</v>
      </c>
      <c r="AJ13" s="27"/>
      <c r="AK13" s="69">
        <f t="shared" si="10"/>
        <v>26292.418000000001</v>
      </c>
      <c r="AL13" s="69">
        <f>26292418/1000</f>
        <v>26292.418000000001</v>
      </c>
      <c r="AM13" s="27"/>
      <c r="AN13" s="262">
        <v>-1.5800000000000002E-2</v>
      </c>
      <c r="AO13" s="27">
        <f t="shared" si="36"/>
        <v>23889.281000000003</v>
      </c>
      <c r="AP13" s="229">
        <f t="shared" si="11"/>
        <v>25768.827000000001</v>
      </c>
      <c r="AQ13" s="430">
        <f t="shared" si="19"/>
        <v>0.54113120037755524</v>
      </c>
      <c r="AR13" s="151">
        <f t="shared" si="20"/>
        <v>0.50502860621178003</v>
      </c>
      <c r="AS13" s="353"/>
      <c r="AT13" s="289">
        <f t="shared" ref="AT13:AT42" si="94">AF15/(J15+K15)+$DT$38</f>
        <v>0.11182038998662473</v>
      </c>
      <c r="AU13" s="397"/>
      <c r="AV13" s="303">
        <f t="shared" ref="AV13:AV42" si="95">FN15/(Q15+G15)</f>
        <v>0.15200283373231274</v>
      </c>
      <c r="AW13" s="303"/>
      <c r="AX13" s="115">
        <f t="shared" si="61"/>
        <v>0.09</v>
      </c>
      <c r="AY13" s="115"/>
      <c r="AZ13" s="115"/>
      <c r="BA13" s="262">
        <f t="shared" si="21"/>
        <v>2.1820389986624736E-2</v>
      </c>
      <c r="BB13" s="115"/>
      <c r="BC13" s="133">
        <f t="shared" si="77"/>
        <v>0.16560000000000002</v>
      </c>
      <c r="BD13" s="133">
        <f t="shared" ref="BD13:BD42" si="96">IF(BK13&lt;=BL13,BC13,BD12+$DT$40)</f>
        <v>0.16560000000000002</v>
      </c>
      <c r="BE13" s="410">
        <f t="shared" si="12"/>
        <v>0.1437796100133753</v>
      </c>
      <c r="BF13" s="410"/>
      <c r="BG13" s="340">
        <f t="shared" si="13"/>
        <v>0.11560000000000002</v>
      </c>
      <c r="BH13" s="410">
        <f t="shared" si="23"/>
        <v>0.16560000000000002</v>
      </c>
      <c r="BI13" s="157">
        <f t="shared" si="37"/>
        <v>14.888654545225148</v>
      </c>
      <c r="BJ13" s="104">
        <f t="shared" si="38"/>
        <v>4.1262135922329968E-2</v>
      </c>
      <c r="BK13" s="27">
        <f t="shared" si="62"/>
        <v>22.050533657246117</v>
      </c>
      <c r="BL13" s="27">
        <f t="shared" si="14"/>
        <v>26</v>
      </c>
      <c r="BM13" s="111">
        <f t="shared" si="26"/>
        <v>20.733412664422517</v>
      </c>
      <c r="BN13" s="27"/>
      <c r="BO13" s="27">
        <f>LOG((1+BJ13)/(1+BJ13-BI13*BJ13))/LOG(1+BJ13)</f>
        <v>22.050533657246117</v>
      </c>
      <c r="BP13" s="173">
        <f>(-3007545-23041-1547)/1000</f>
        <v>-3032.1329999999998</v>
      </c>
      <c r="BQ13" s="27"/>
      <c r="BR13" s="69">
        <f>-117860/1000</f>
        <v>-117.86</v>
      </c>
      <c r="BS13" s="69"/>
      <c r="BT13" s="69">
        <f>-14218/1000</f>
        <v>-14.218</v>
      </c>
      <c r="BU13" s="69"/>
      <c r="BV13" s="376">
        <f>922539/1000</f>
        <v>922.53899999999999</v>
      </c>
      <c r="BW13" s="304"/>
      <c r="BX13" s="304"/>
      <c r="BY13" s="304"/>
      <c r="BZ13" s="304">
        <f t="shared" si="78"/>
        <v>75.078272600000105</v>
      </c>
      <c r="CA13" s="304"/>
      <c r="CB13" s="360">
        <f>1648048/1000-BZ13-CE13-CF13-CH13</f>
        <v>1572.9697274</v>
      </c>
      <c r="CC13" s="360"/>
      <c r="CD13" s="304"/>
      <c r="CE13" s="304"/>
      <c r="CF13" s="304"/>
      <c r="CG13" s="304"/>
      <c r="CH13" s="304"/>
      <c r="CI13" s="69">
        <f>88706/1000</f>
        <v>88.706000000000003</v>
      </c>
      <c r="CJ13" s="27">
        <f t="shared" si="39"/>
        <v>0</v>
      </c>
      <c r="CK13" s="27">
        <f t="shared" si="40"/>
        <v>0</v>
      </c>
      <c r="CL13" s="27">
        <f t="shared" si="41"/>
        <v>0</v>
      </c>
      <c r="CM13" s="27">
        <f t="shared" si="42"/>
        <v>2659.2930000000001</v>
      </c>
      <c r="CN13" s="27">
        <f t="shared" si="43"/>
        <v>0</v>
      </c>
      <c r="CO13" s="111">
        <f t="shared" si="3"/>
        <v>2659.2930000000001</v>
      </c>
      <c r="CP13" s="27" t="s">
        <v>299</v>
      </c>
      <c r="CQ13" s="27" t="s">
        <v>299</v>
      </c>
      <c r="CR13" s="27" t="s">
        <v>299</v>
      </c>
      <c r="CS13" s="27" t="s">
        <v>299</v>
      </c>
      <c r="CT13" s="27" t="s">
        <v>310</v>
      </c>
      <c r="CU13" s="27" t="s">
        <v>310</v>
      </c>
      <c r="CV13" s="27" t="s">
        <v>310</v>
      </c>
      <c r="CW13" s="27" t="s">
        <v>310</v>
      </c>
      <c r="CX13" s="107">
        <f t="shared" si="44"/>
        <v>84.191450000000003</v>
      </c>
      <c r="CY13" s="115">
        <f t="shared" si="92"/>
        <v>0.15805160795638792</v>
      </c>
      <c r="CZ13" s="96">
        <f t="shared" si="45"/>
        <v>1820.9454500000002</v>
      </c>
      <c r="DA13" s="224">
        <f t="shared" si="46"/>
        <v>1820.9454500000002</v>
      </c>
      <c r="DB13" s="314">
        <f t="shared" si="47"/>
        <v>1504.5053316515327</v>
      </c>
      <c r="DC13" s="314">
        <f t="shared" si="48"/>
        <v>156.65546963492579</v>
      </c>
      <c r="DD13" s="314">
        <f t="shared" si="49"/>
        <v>0</v>
      </c>
      <c r="DE13" s="314">
        <f t="shared" si="50"/>
        <v>42097.309317854393</v>
      </c>
      <c r="DF13" s="314" t="b">
        <f t="shared" si="63"/>
        <v>0</v>
      </c>
      <c r="DG13" s="27">
        <f t="shared" si="51"/>
        <v>84.191450000000003</v>
      </c>
      <c r="DH13" s="100">
        <f t="shared" si="52"/>
        <v>80.526969590090943</v>
      </c>
      <c r="DI13" s="105">
        <f t="shared" si="53"/>
        <v>0.23258084565514364</v>
      </c>
      <c r="DJ13" s="96">
        <f t="shared" si="54"/>
        <v>0</v>
      </c>
      <c r="DK13" s="100">
        <f t="shared" si="55"/>
        <v>0</v>
      </c>
      <c r="DL13" s="105">
        <f t="shared" si="56"/>
        <v>0</v>
      </c>
      <c r="DM13" s="299">
        <v>1820.9454500000002</v>
      </c>
      <c r="DN13" s="100">
        <f t="shared" si="57"/>
        <v>1820.9454500000002</v>
      </c>
      <c r="DO13" s="301">
        <v>0.54113120037755524</v>
      </c>
      <c r="DP13" s="29"/>
      <c r="DQ13" s="32"/>
      <c r="DR13" s="32"/>
      <c r="DS13" s="32"/>
      <c r="DT13" s="32"/>
      <c r="DU13" s="29"/>
      <c r="DV13" s="327"/>
      <c r="DW13" s="328"/>
      <c r="DX13" s="328"/>
      <c r="DY13" s="328"/>
      <c r="DZ13" s="328"/>
      <c r="EA13" s="328"/>
      <c r="EB13" s="328"/>
      <c r="EC13" s="328"/>
      <c r="ED13" s="328"/>
      <c r="EE13" s="328"/>
      <c r="EF13" s="328"/>
      <c r="EG13" s="328"/>
      <c r="EH13" s="329"/>
      <c r="EI13" s="330"/>
      <c r="EJ13" s="339">
        <f t="shared" si="64"/>
        <v>0.1437796100133753</v>
      </c>
      <c r="EK13" s="339">
        <f t="shared" si="58"/>
        <v>2.1820389986624736E-2</v>
      </c>
      <c r="EL13" s="339" t="e">
        <f t="shared" si="65"/>
        <v>#DIV/0!</v>
      </c>
      <c r="EM13" s="339">
        <f t="shared" si="59"/>
        <v>0</v>
      </c>
      <c r="EN13" s="339">
        <v>0.17560000000000003</v>
      </c>
      <c r="EO13" s="339">
        <v>0.14561794598676497</v>
      </c>
      <c r="EP13" s="340" t="e">
        <f t="shared" si="66"/>
        <v>#DIV/0!</v>
      </c>
      <c r="EQ13" s="283"/>
      <c r="ER13" s="341">
        <v>4</v>
      </c>
      <c r="ES13" s="71">
        <f t="shared" si="79"/>
        <v>1956.5181325000001</v>
      </c>
      <c r="ET13" s="71">
        <f t="shared" si="80"/>
        <v>-441.58000000000027</v>
      </c>
      <c r="EU13" s="71">
        <f t="shared" si="67"/>
        <v>-2398.0981325000002</v>
      </c>
      <c r="EV13" s="71">
        <f t="shared" si="68"/>
        <v>-1918.4785060000002</v>
      </c>
      <c r="EW13" s="71">
        <f t="shared" si="81"/>
        <v>-234.72449174999963</v>
      </c>
      <c r="EX13" s="71">
        <f t="shared" si="93"/>
        <v>67.447643499999941</v>
      </c>
      <c r="EY13" s="71">
        <f t="shared" ref="EY13:EY39" si="97">EX12*(1/2)</f>
        <v>206.20838750000013</v>
      </c>
      <c r="EZ13" s="71">
        <f t="shared" si="69"/>
        <v>-1879.5469667499995</v>
      </c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7">
        <f t="shared" si="24"/>
        <v>22995.003000000001</v>
      </c>
      <c r="FM13" s="29"/>
      <c r="FN13" s="308"/>
      <c r="FO13" s="93"/>
      <c r="FP13" s="27">
        <f t="shared" si="82"/>
        <v>20</v>
      </c>
      <c r="FQ13" s="309">
        <f t="shared" si="27"/>
        <v>13.512970250241354</v>
      </c>
      <c r="FR13" s="93">
        <f t="shared" si="60"/>
        <v>1701.6986328071941</v>
      </c>
      <c r="FS13" s="93"/>
      <c r="FT13" s="29">
        <f t="shared" si="83"/>
        <v>20</v>
      </c>
      <c r="FU13" s="142">
        <f t="shared" si="28"/>
        <v>13.512970250241354</v>
      </c>
      <c r="FV13" s="29"/>
      <c r="FW13" s="29">
        <f t="shared" ref="FW13:FW44" si="98">AD13-AI13-SUM(FX13:HB13)</f>
        <v>23889.281000000003</v>
      </c>
      <c r="FX13" s="29">
        <f>IF(AND($AQ13&gt;=100%,$AQ12&lt;100%),0,FW12*(1+$AA12) - HE12*(1+$AA12)^0.5)</f>
        <v>0</v>
      </c>
      <c r="FY13" s="29">
        <f t="shared" ref="FY13:HB21" si="99">IF(AND($AQ13&gt;=100%,$AQ12&lt;100%),0,FX12*(1+$AA12) - HF12*(1+$AA12)^0.5)</f>
        <v>0</v>
      </c>
      <c r="FZ13" s="29">
        <f t="shared" si="99"/>
        <v>0</v>
      </c>
      <c r="GA13" s="29">
        <f t="shared" si="99"/>
        <v>0</v>
      </c>
      <c r="GB13" s="29">
        <f t="shared" si="99"/>
        <v>0</v>
      </c>
      <c r="GC13" s="29">
        <f t="shared" si="99"/>
        <v>0</v>
      </c>
      <c r="GD13" s="29">
        <f t="shared" si="99"/>
        <v>0</v>
      </c>
      <c r="GE13" s="29">
        <f t="shared" si="99"/>
        <v>0</v>
      </c>
      <c r="GF13" s="29">
        <f t="shared" si="99"/>
        <v>0</v>
      </c>
      <c r="GG13" s="29">
        <f t="shared" si="99"/>
        <v>0</v>
      </c>
      <c r="GH13" s="29">
        <f t="shared" si="99"/>
        <v>0</v>
      </c>
      <c r="GI13" s="29">
        <f t="shared" si="99"/>
        <v>0</v>
      </c>
      <c r="GJ13" s="29">
        <f t="shared" si="99"/>
        <v>0</v>
      </c>
      <c r="GK13" s="29">
        <f t="shared" si="99"/>
        <v>0</v>
      </c>
      <c r="GL13" s="29">
        <f t="shared" si="99"/>
        <v>0</v>
      </c>
      <c r="GM13" s="29">
        <f t="shared" si="99"/>
        <v>0</v>
      </c>
      <c r="GN13" s="29">
        <f t="shared" si="99"/>
        <v>0</v>
      </c>
      <c r="GO13" s="29">
        <f t="shared" si="99"/>
        <v>0</v>
      </c>
      <c r="GP13" s="29">
        <f t="shared" si="99"/>
        <v>0</v>
      </c>
      <c r="GQ13" s="29">
        <f t="shared" si="99"/>
        <v>0</v>
      </c>
      <c r="GR13" s="29">
        <f t="shared" si="99"/>
        <v>0</v>
      </c>
      <c r="GS13" s="29">
        <f t="shared" si="99"/>
        <v>0</v>
      </c>
      <c r="GT13" s="29">
        <f t="shared" si="99"/>
        <v>0</v>
      </c>
      <c r="GU13" s="29">
        <f t="shared" si="99"/>
        <v>0</v>
      </c>
      <c r="GV13" s="29">
        <f t="shared" si="99"/>
        <v>0</v>
      </c>
      <c r="GW13" s="29">
        <f t="shared" si="99"/>
        <v>0</v>
      </c>
      <c r="GX13" s="29">
        <f t="shared" si="99"/>
        <v>0</v>
      </c>
      <c r="GY13" s="29">
        <f t="shared" si="99"/>
        <v>0</v>
      </c>
      <c r="GZ13" s="29">
        <f t="shared" si="99"/>
        <v>0</v>
      </c>
      <c r="HA13" s="29">
        <f t="shared" si="99"/>
        <v>0</v>
      </c>
      <c r="HB13" s="29">
        <f t="shared" si="99"/>
        <v>0</v>
      </c>
      <c r="HC13" s="29"/>
      <c r="HD13" s="29">
        <f t="shared" si="29"/>
        <v>20</v>
      </c>
      <c r="HE13" s="29">
        <f t="shared" ref="HE13:HE44" si="100">IF(HE$3&lt;2,0,FW13/(  -PV((((   1+$AA13   )/(   1+$DT$67   ))-1),   MAX($HD13 - HE$3 + 2,1),1,0,1)/((   1+$AA13   )^0.5)   ))</f>
        <v>0</v>
      </c>
      <c r="HF13" s="29">
        <f t="shared" ref="HF13:HF44" si="101">IF(HF$3&lt;2,0,FX13/(  -PV((((   1+$AA13   )/(   1+$DT$67   ))-1),   MAX($HD13 - HF$3 + 2,1),1,0,1)/((   1+$AA13   )^0.5)   ))</f>
        <v>0</v>
      </c>
      <c r="HG13" s="29">
        <f t="shared" ref="HG13:HG44" si="102">IF(HG$3&lt;2,0,FY13/(  -PV((((   1+$AA13   )/(   1+$DT$67   ))-1),   MAX($HD13 - HG$3 + 2,1),1,0,1)/((   1+$AA13   )^0.5)   ))</f>
        <v>0</v>
      </c>
      <c r="HH13" s="29">
        <f t="shared" ref="HH13:HH44" si="103">IF(HH$3&lt;2,0,FZ13/(  -PV((((   1+$AA13   )/(   1+$DT$67   ))-1),   MAX($HD13 - HH$3 + 2,1),1,0,1)/((   1+$AA13   )^0.5)   ))</f>
        <v>0</v>
      </c>
      <c r="HI13" s="29">
        <f t="shared" ref="HI13:HI44" si="104">IF(HI$3&lt;2,0,GA13/(  -PV((((   1+$AA13   )/(   1+$DT$67   ))-1),   MAX($HD13 - HI$3 + 2,1),1,0,1)/((   1+$AA13   )^0.5)   ))</f>
        <v>0</v>
      </c>
      <c r="HJ13" s="29">
        <f t="shared" ref="HJ13:HJ44" si="105">IF(HJ$3&lt;2,0,GB13/(  -PV((((   1+$AA13   )/(   1+$DT$67   ))-1),   MAX($HD13 - HJ$3 + 2,1),1,0,1)/((   1+$AA13   )^0.5)   ))</f>
        <v>0</v>
      </c>
      <c r="HK13" s="29">
        <f t="shared" ref="HK13:HK44" si="106">IF(HK$3&lt;2,0,GC13/(  -PV((((   1+$AA13   )/(   1+$DT$67   ))-1),   MAX($HD13 - HK$3 + 2,1),1,0,1)/((   1+$AA13   )^0.5)   ))</f>
        <v>0</v>
      </c>
      <c r="HL13" s="29">
        <f t="shared" ref="HL13:HL44" si="107">IF(HL$3&lt;2,0,GD13/(  -PV((((   1+$AA13   )/(   1+$DT$67   ))-1),   MAX($HD13 - HL$3 + 2,1),1,0,1)/((   1+$AA13   )^0.5)   ))</f>
        <v>0</v>
      </c>
      <c r="HM13" s="29">
        <f t="shared" ref="HM13:HM44" si="108">IF(HM$3&lt;2,0,GE13/(  -PV((((   1+$AA13   )/(   1+$DT$67   ))-1),   MAX($HD13 - HM$3 + 2,1),1,0,1)/((   1+$AA13   )^0.5)   ))</f>
        <v>0</v>
      </c>
      <c r="HN13" s="29">
        <f t="shared" ref="HN13:HN44" si="109">IF(HN$3&lt;2,0,GF13/(  -PV((((   1+$AA13   )/(   1+$DT$67   ))-1),   MAX($HD13 - HN$3 + 2,1),1,0,1)/((   1+$AA13   )^0.5)   ))</f>
        <v>0</v>
      </c>
      <c r="HO13" s="29">
        <f t="shared" ref="HO13:HO44" si="110">IF(HO$3&lt;2,0,GG13/(  -PV((((   1+$AA13   )/(   1+$DT$67   ))-1),   MAX($HD13 - HO$3 + 2,1),1,0,1)/((   1+$AA13   )^0.5)   ))</f>
        <v>0</v>
      </c>
      <c r="HP13" s="29">
        <f t="shared" ref="HP13:HP44" si="111">IF(HP$3&lt;2,0,GH13/(  -PV((((   1+$AA13   )/(   1+$DT$67   ))-1),   MAX($HD13 - HP$3 + 2,1),1,0,1)/((   1+$AA13   )^0.5)   ))</f>
        <v>0</v>
      </c>
      <c r="HQ13" s="29">
        <f t="shared" ref="HQ13:HQ44" si="112">IF(HQ$3&lt;2,0,GI13/(  -PV((((   1+$AA13   )/(   1+$DT$67   ))-1),   MAX($HD13 - HQ$3 + 2,1),1,0,1)/((   1+$AA13   )^0.5)   ))</f>
        <v>0</v>
      </c>
      <c r="HR13" s="29">
        <f t="shared" ref="HR13:HR44" si="113">IF(HR$3&lt;2,0,GJ13/(  -PV((((   1+$AA13   )/(   1+$DT$67   ))-1),   MAX($HD13 - HR$3 + 2,1),1,0,1)/((   1+$AA13   )^0.5)   ))</f>
        <v>0</v>
      </c>
      <c r="HS13" s="29">
        <f t="shared" ref="HS13:HS44" si="114">IF(HS$3&lt;2,0,GK13/(  -PV((((   1+$AA13   )/(   1+$DT$67   ))-1),   MAX($HD13 - HS$3 + 2,1),1,0,1)/((   1+$AA13   )^0.5)   ))</f>
        <v>0</v>
      </c>
      <c r="HT13" s="29">
        <f t="shared" ref="HT13:HT44" si="115">IF(HT$3&lt;2,0,GL13/(  -PV((((   1+$AA13   )/(   1+$DT$67   ))-1),   MAX($HD13 - HT$3 + 2,1),1,0,1)/((   1+$AA13   )^0.5)   ))</f>
        <v>0</v>
      </c>
      <c r="HU13" s="29">
        <f t="shared" ref="HU13:HU44" si="116">IF(HU$3&lt;2,0,GM13/(  -PV((((   1+$AA13   )/(   1+$DT$67   ))-1),   MAX($HD13 - HU$3 + 2,1),1,0,1)/((   1+$AA13   )^0.5)   ))</f>
        <v>0</v>
      </c>
      <c r="HV13" s="29">
        <f t="shared" ref="HV13:HV44" si="117">IF(HV$3&lt;2,0,GN13/(  -PV((((   1+$AA13   )/(   1+$DT$67   ))-1),   MAX($HD13 - HV$3 + 2,1),1,0,1)/((   1+$AA13   )^0.5)   ))</f>
        <v>0</v>
      </c>
      <c r="HW13" s="29">
        <f t="shared" ref="HW13:HW44" si="118">IF(HW$3&lt;2,0,GO13/(  -PV((((   1+$AA13   )/(   1+$DT$67   ))-1),   MAX($HD13 - HW$3 + 2,1),1,0,1)/((   1+$AA13   )^0.5)   ))</f>
        <v>0</v>
      </c>
      <c r="HX13" s="29">
        <f t="shared" ref="HX13:HX44" si="119">IF(HX$3&lt;2,0,GP13/(  -PV((((   1+$AA13   )/(   1+$DT$67   ))-1),   MAX($HD13 - HX$3 + 2,1),1,0,1)/((   1+$AA13   )^0.5)   ))</f>
        <v>0</v>
      </c>
      <c r="HY13" s="29">
        <f t="shared" ref="HY13:HY44" si="120">IF(HY$3&lt;2,0,GQ13/(  -PV((((   1+$AA13   )/(   1+$DT$67   ))-1),   MAX($HD13 - HY$3 + 2,1),1,0,1)/((   1+$AA13   )^0.5)   ))</f>
        <v>0</v>
      </c>
      <c r="HZ13" s="29">
        <f t="shared" ref="HZ13:HZ44" si="121">IF(HZ$3&lt;2,0,GR13/(  -PV((((   1+$AA13   )/(   1+$DT$67   ))-1),   MAX($HD13 - HZ$3 + 2,1),1,0,1)/((   1+$AA13   )^0.5)   ))</f>
        <v>0</v>
      </c>
      <c r="IA13" s="29">
        <f t="shared" ref="IA13:IA44" si="122">IF(IA$3&lt;2,0,GS13/(  -PV((((   1+$AA13   )/(   1+$DT$67   ))-1),   MAX($HD13 - IA$3 + 2,1),1,0,1)/((   1+$AA13   )^0.5)   ))</f>
        <v>0</v>
      </c>
      <c r="IB13" s="29">
        <f t="shared" ref="IB13:IB44" si="123">IF(IB$3&lt;2,0,GT13/(  -PV((((   1+$AA13   )/(   1+$DT$67   ))-1),   MAX($HD13 - IB$3 + 2,1),1,0,1)/((   1+$AA13   )^0.5)   ))</f>
        <v>0</v>
      </c>
      <c r="IC13" s="29">
        <f t="shared" ref="IC13:IC44" si="124">IF(IC$3&lt;2,0,GU13/(  -PV((((   1+$AA13   )/(   1+$DT$67   ))-1),   MAX($HD13 - IC$3 + 2,1),1,0,1)/((   1+$AA13   )^0.5)   ))</f>
        <v>0</v>
      </c>
      <c r="ID13" s="29">
        <f t="shared" ref="ID13:ID44" si="125">IF(ID$3&lt;2,0,GV13/(  -PV((((   1+$AA13   )/(   1+$DT$67   ))-1),   MAX($HD13 - ID$3 + 2,1),1,0,1)/((   1+$AA13   )^0.5)   ))</f>
        <v>0</v>
      </c>
      <c r="IE13" s="29">
        <f t="shared" ref="IE13:IE44" si="126">IF(IE$3&lt;2,0,GW13/(  -PV((((   1+$AA13   )/(   1+$DT$67   ))-1),   MAX($HD13 - IE$3 + 2,1),1,0,1)/((   1+$AA13   )^0.5)   ))</f>
        <v>0</v>
      </c>
      <c r="IF13" s="29">
        <f t="shared" ref="IF13:IF44" si="127">IF(IF$3&lt;2,0,GX13/(  -PV((((   1+$AA13   )/(   1+$DT$67   ))-1),   MAX($HD13 - IF$3 + 2,1),1,0,1)/((   1+$AA13   )^0.5)   ))</f>
        <v>0</v>
      </c>
      <c r="IG13" s="29">
        <f t="shared" ref="IG13:IG44" si="128">IF(IG$3&lt;2,0,GY13/(  -PV((((   1+$AA13   )/(   1+$DT$67   ))-1),   MAX($HD13 - IG$3 + 2,1),1,0,1)/((   1+$AA13   )^0.5)   ))</f>
        <v>0</v>
      </c>
      <c r="IH13" s="29">
        <f t="shared" ref="IH13:IH44" si="129">IF(IH$3&lt;2,0,GZ13/(  -PV((((   1+$AA13   )/(   1+$DT$67   ))-1),   MAX($HD13 - IH$3 + 2,1),1,0,1)/((   1+$AA13   )^0.5)   ))</f>
        <v>0</v>
      </c>
      <c r="II13" s="29">
        <f t="shared" ref="II13:II44" si="130">IF(II$3&lt;2,0,HA13/(  -PV((((   1+$AA13   )/(   1+$DT$67   ))-1),   MAX($HD13 - II$3 + 2,1),1,0,1)/((   1+$AA13   )^0.5)   ))</f>
        <v>0</v>
      </c>
      <c r="IJ13" s="29">
        <f t="shared" ref="IJ13:IJ44" si="131">IF(IJ$3&lt;2,0,HB13/(  -PV((((   1+$AA13   )/(   1+$DT$67   ))-1),   MAX($HD13 - IJ$3 + 2,1),1,0,1)/((   1+$AA13   )^0.5)   ))</f>
        <v>0</v>
      </c>
      <c r="IK13" s="48"/>
      <c r="IL13" s="48"/>
      <c r="IM13" s="48"/>
      <c r="IN13" s="29"/>
      <c r="IO13" s="29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6">
        <f t="shared" si="30"/>
        <v>0.60203489902360252</v>
      </c>
      <c r="LP13" s="47">
        <f t="shared" si="31"/>
        <v>0.84630152782247736</v>
      </c>
      <c r="LQ13" s="28"/>
      <c r="LR13" s="48"/>
      <c r="LS13" s="28" t="s">
        <v>34</v>
      </c>
      <c r="LT13" s="199">
        <v>6.0666666666666673E-3</v>
      </c>
      <c r="LU13" s="115">
        <f t="shared" si="70"/>
        <v>9.8355038201800269E-19</v>
      </c>
      <c r="LV13" s="157">
        <f t="shared" si="15"/>
        <v>0</v>
      </c>
      <c r="LW13" s="229" t="e">
        <f>LW12*(1+#REF!)</f>
        <v>#REF!</v>
      </c>
      <c r="LX13" s="158"/>
      <c r="LY13" s="129">
        <f t="shared" si="71"/>
        <v>364.39538555515901</v>
      </c>
      <c r="LZ13" s="130">
        <f t="shared" si="72"/>
        <v>-2330.9308796037258</v>
      </c>
      <c r="MA13" s="28"/>
      <c r="MB13" s="28"/>
      <c r="MC13" s="28"/>
      <c r="MD13" s="382">
        <f>BP13</f>
        <v>-3032.1329999999998</v>
      </c>
      <c r="ME13" s="28"/>
      <c r="MF13" s="28"/>
      <c r="MG13" s="28"/>
      <c r="MH13" s="382">
        <f>BR13</f>
        <v>-117.86</v>
      </c>
      <c r="MI13" s="28"/>
      <c r="MJ13" s="104">
        <f t="shared" si="73"/>
        <v>1.2500000000000001E-2</v>
      </c>
      <c r="MK13" s="104">
        <f t="shared" si="74"/>
        <v>7.3461675804471216E-2</v>
      </c>
      <c r="ML13" s="104">
        <f t="shared" si="75"/>
        <v>7.5515239213339094E-2</v>
      </c>
      <c r="MM13" s="104">
        <f t="shared" si="32"/>
        <v>7.7686915887850469E-2</v>
      </c>
      <c r="MN13" s="104">
        <f t="shared" si="33"/>
        <v>7.9951377348848551E-2</v>
      </c>
      <c r="MO13" s="104">
        <f t="shared" si="34"/>
        <v>8.2313168468927389E-2</v>
      </c>
      <c r="MP13" s="104">
        <f t="shared" si="35"/>
        <v>8.4777067591923272E-2</v>
      </c>
      <c r="MQ13" s="28"/>
      <c r="MR13" s="28">
        <f t="shared" si="84"/>
        <v>66</v>
      </c>
      <c r="MS13" s="28">
        <f t="shared" si="85"/>
        <v>0.75580680282513402</v>
      </c>
      <c r="MT13" s="28">
        <f t="shared" si="86"/>
        <v>0.76598561998860937</v>
      </c>
      <c r="MU13" s="28">
        <f t="shared" si="87"/>
        <v>0.77626690494304162</v>
      </c>
      <c r="MV13" s="28">
        <f t="shared" si="88"/>
        <v>0.78665134307142448</v>
      </c>
      <c r="MW13" s="28">
        <f t="shared" si="89"/>
        <v>0.79713962204130617</v>
      </c>
      <c r="MX13" s="28">
        <f t="shared" si="90"/>
        <v>0.80773243180478538</v>
      </c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</row>
    <row r="14" spans="1:374" s="30" customFormat="1" ht="12.75" customHeight="1" x14ac:dyDescent="0.3">
      <c r="A14" s="305">
        <f t="shared" si="91"/>
        <v>2023</v>
      </c>
      <c r="B14" s="355">
        <f t="shared" si="1"/>
        <v>2021</v>
      </c>
      <c r="C14" s="26">
        <v>44378</v>
      </c>
      <c r="D14" s="96">
        <f t="shared" ref="D14:D44" si="132">I14*(1+$DT$60)</f>
        <v>9777.6480192225899</v>
      </c>
      <c r="E14" s="27">
        <f t="shared" ref="E14:E44" si="133">(J14+K14)*(1+$DT$60)</f>
        <v>9777.6480192225899</v>
      </c>
      <c r="F14" s="111">
        <f t="shared" si="18"/>
        <v>0</v>
      </c>
      <c r="G14" s="27">
        <f t="shared" ref="G14:G44" si="134">G13*(1+IF(YEAR(C14)&lt;=2023,$DT$54,$DT$55))</f>
        <v>11373.610200000001</v>
      </c>
      <c r="H14" s="27">
        <f t="shared" ref="H14:H42" si="135">G14-L14</f>
        <v>11373.610200000001</v>
      </c>
      <c r="I14" s="296">
        <f t="shared" ref="I14:I42" si="136">H14-O14</f>
        <v>9667.5686700000006</v>
      </c>
      <c r="J14" s="69">
        <v>5235.5463380000001</v>
      </c>
      <c r="K14" s="297">
        <f>I14-J14</f>
        <v>4432.0223320000005</v>
      </c>
      <c r="L14" s="297">
        <f t="shared" ref="L14:L42" si="137">G14*S14</f>
        <v>0</v>
      </c>
      <c r="M14" s="297">
        <f>L14-P14</f>
        <v>0</v>
      </c>
      <c r="N14" s="27">
        <v>0</v>
      </c>
      <c r="O14" s="297">
        <f t="shared" ref="O14:O44" si="138">H14*$DT$32</f>
        <v>1706.0415300000002</v>
      </c>
      <c r="P14" s="297">
        <f t="shared" ref="P14:P45" si="139">L14*$DT$31</f>
        <v>0</v>
      </c>
      <c r="Q14" s="297">
        <f t="shared" ref="Q14:Q44" si="140">(Q13+N13)*(1+IF(YEAR(C14)&lt;=2023,$DT$54,$DT$55))-N14</f>
        <v>493.23403999999999</v>
      </c>
      <c r="R14" s="260">
        <f t="shared" si="2"/>
        <v>1</v>
      </c>
      <c r="S14" s="257">
        <v>0</v>
      </c>
      <c r="T14" s="290">
        <f>$DT$23</f>
        <v>7.2499999999999995E-2</v>
      </c>
      <c r="U14" s="290">
        <f>$DT$25</f>
        <v>7.2499999999999995E-2</v>
      </c>
      <c r="V14" s="27">
        <f t="shared" si="4"/>
        <v>53533.851012235362</v>
      </c>
      <c r="W14" s="27">
        <f t="shared" ref="W14:W42" si="141">W13*(1+T14)+(Y14+BP14+BR14)*(1+T14)^0.5</f>
        <v>53533.851012235362</v>
      </c>
      <c r="X14" s="27"/>
      <c r="Y14" s="27">
        <f t="shared" ref="Y14:Y44" si="142">J14*$DT$35+K14*$DT$36</f>
        <v>1025.6321846920769</v>
      </c>
      <c r="Z14" s="27"/>
      <c r="AA14" s="115">
        <f>$DT$24</f>
        <v>7.0000000000000007E-2</v>
      </c>
      <c r="AB14" s="115">
        <f>$DT$26</f>
        <v>7.0000000000000007E-2</v>
      </c>
      <c r="AC14" s="96">
        <f t="shared" si="6"/>
        <v>55007.108220001966</v>
      </c>
      <c r="AD14" s="27">
        <f t="shared" ref="AD14:AD44" si="143">W14*(1+$DT$56/100)^((T14-AA14)*100)*(1+$DT$59/100)^((((T14-AA14)*100)^2)/2)</f>
        <v>55007.108220001966</v>
      </c>
      <c r="AE14" s="171"/>
      <c r="AF14" s="150">
        <f t="shared" ref="AF14:AF44" si="144">Y14*(1+$DT$57/100)^((T14-AA14)*100)</f>
        <v>1079.503637045399</v>
      </c>
      <c r="AG14" s="27"/>
      <c r="AH14" s="27">
        <f>SUM(AI14:AJ14)</f>
        <v>28823.978812006397</v>
      </c>
      <c r="AI14" s="27">
        <f t="shared" ref="AI14:AI44" si="145">AL14-EZ14</f>
        <v>28823.978812006397</v>
      </c>
      <c r="AJ14" s="27"/>
      <c r="AK14" s="27">
        <f t="shared" si="10"/>
        <v>27003.936436782373</v>
      </c>
      <c r="AL14" s="27">
        <f>AL13*(1+AN14)+SUM(BP14,BR14,BT14,BV14,BY14,BZ14,CB14,CF14,CH14,CK14,CI14,CC14,CG14)*(1+AN14)^0.5</f>
        <v>27003.936436782373</v>
      </c>
      <c r="AM14" s="27"/>
      <c r="AN14" s="417">
        <f>INDEX(Inv.Returns!$B$2:$E$32,MATCH(B14,Inv.Returns!$A$2:$A$32,0),MATCH(SCRS!$DT$52,Inv.Returns!$B$1:$E$1,0))</f>
        <v>0.06</v>
      </c>
      <c r="AO14" s="27">
        <f t="shared" si="36"/>
        <v>26183.12940799557</v>
      </c>
      <c r="AP14" s="229">
        <f t="shared" si="11"/>
        <v>28003.171783219594</v>
      </c>
      <c r="AQ14" s="430">
        <f t="shared" si="19"/>
        <v>0.52400461948889132</v>
      </c>
      <c r="AR14" s="151">
        <f t="shared" si="20"/>
        <v>0.49091721616740186</v>
      </c>
      <c r="AS14" s="353"/>
      <c r="AT14" s="289">
        <f t="shared" si="94"/>
        <v>0.11120365777704419</v>
      </c>
      <c r="AU14" s="397">
        <f>IFERROR(AG16/M16+$DT$38,0)</f>
        <v>9.9400593584701089E-2</v>
      </c>
      <c r="AV14" s="303">
        <f t="shared" si="95"/>
        <v>0.15546571802614997</v>
      </c>
      <c r="AW14" s="303">
        <f t="shared" ref="AW14:AW42" si="146">FO16/L16</f>
        <v>0</v>
      </c>
      <c r="AX14" s="115">
        <f t="shared" si="61"/>
        <v>0.09</v>
      </c>
      <c r="AY14" s="115">
        <f t="shared" ref="AY14:AY42" si="147">IF($DT$64="Yes",AU14/2,MAX(MIN(AX13+(BD14-BD13)/2,$DT$39),0))</f>
        <v>0.09</v>
      </c>
      <c r="AZ14" s="115">
        <f t="shared" ref="AZ14:AZ42" si="148">IF($DT$63="Yes",AW14/2,0)</f>
        <v>0</v>
      </c>
      <c r="BA14" s="262">
        <f t="shared" si="21"/>
        <v>2.1203657777044194E-2</v>
      </c>
      <c r="BB14" s="115">
        <f>AU14-AY14</f>
        <v>9.4005935847010919E-3</v>
      </c>
      <c r="BC14" s="133">
        <f t="shared" si="77"/>
        <v>0.17560000000000003</v>
      </c>
      <c r="BD14" s="133">
        <f t="shared" si="96"/>
        <v>0.17560000000000003</v>
      </c>
      <c r="BE14" s="410">
        <f t="shared" si="12"/>
        <v>0.15439634222295584</v>
      </c>
      <c r="BF14" s="410">
        <f t="shared" ref="BF14:BF42" si="149">BD14-BB14</f>
        <v>0.16619940641529896</v>
      </c>
      <c r="BG14" s="410">
        <f>IF($DT$43="Yes",BD14-BA14,BD14-$DT$42)</f>
        <v>0.12560000000000004</v>
      </c>
      <c r="BH14" s="410">
        <f t="shared" si="23"/>
        <v>0.17560000000000003</v>
      </c>
      <c r="BI14" s="157">
        <f>IF(AO14&lt;0,0,AO14*(1+AA14)^0.5/SUM(BX14:BY14,CB14:CJ14))</f>
        <v>19.483285948940779</v>
      </c>
      <c r="BJ14" s="104">
        <f t="shared" si="38"/>
        <v>3.8834951456310662E-2</v>
      </c>
      <c r="BK14" s="27">
        <f t="shared" si="62"/>
        <v>34.205656986209696</v>
      </c>
      <c r="BL14" s="27">
        <f t="shared" si="14"/>
        <v>25</v>
      </c>
      <c r="BM14" s="111">
        <f>MAX(IF(ISERROR(LN(1-(AO14/SUM(BY14:CI14))*((1+T14)/(1+$DT$67)-1))/LN(1/(((1+T14)/(1+$DT$67))))),999,LN(1-(AO14/SUM(BY14:CI14))*((1+T14)/(1+$DT$67)-1))/LN(1/(((1+T14)/(1+$DT$67))))),0.01)</f>
        <v>29.580727967539012</v>
      </c>
      <c r="BN14" s="27"/>
      <c r="BO14" s="27">
        <f>LOG((1+BJ13)/(1+BJ13-BI13*BJ13))</f>
        <v>0.3872090502044313</v>
      </c>
      <c r="BP14" s="96">
        <f>MD14-MC14</f>
        <v>-3126.7658709300003</v>
      </c>
      <c r="BQ14" s="27"/>
      <c r="BR14" s="27">
        <f>MH14-MG14</f>
        <v>-121.53841060000002</v>
      </c>
      <c r="BS14" s="27"/>
      <c r="BT14" s="27">
        <f t="shared" ref="BT14:BT44" si="150">-$DT$38*I14</f>
        <v>-11.601082404</v>
      </c>
      <c r="BU14" s="27"/>
      <c r="BV14" s="304">
        <f t="shared" ref="BV14:BV42" si="151">AX12*I14</f>
        <v>870.08118030000003</v>
      </c>
      <c r="BW14" s="304"/>
      <c r="BX14" s="304"/>
      <c r="BY14" s="304">
        <f t="shared" ref="BY14:BY42" si="152">AX12*(N14+Q14)</f>
        <v>44.391063599999995</v>
      </c>
      <c r="BZ14" s="304">
        <f t="shared" si="78"/>
        <v>158.54812618800008</v>
      </c>
      <c r="CA14" s="304"/>
      <c r="CB14" s="304">
        <f>IF(OR(AND($DT$69="Statutory",$DT$71="No"),AND($DT$69="Statutory",$DT$71="Yes",AQ13&lt;100%),B14&lt;2022), BE12*I14, AV12*(G14+Q14))</f>
        <v>1345.7255588640003</v>
      </c>
      <c r="CC14" s="304"/>
      <c r="CD14" s="304"/>
      <c r="CE14" s="304"/>
      <c r="CF14" s="304">
        <f>IF(OR(AND($DT$69="Statutory",$DT$71="No"),AND($DT$69="Statutory",$DT$71="Yes",AQ13&lt;100%),B14&lt;2020),MAX(BG12,0)*O14,0)</f>
        <v>0</v>
      </c>
      <c r="CG14" s="304">
        <f t="shared" ref="CG14:CG44" si="153">IF(OR(AND($DT$69="Statutory",$DT$71="No"),AND($DT$69="Statutory",$DT$71="Yes",AQ13&lt;100%),B14&lt;2022),MAX(BG12,0)*P14,0)</f>
        <v>0</v>
      </c>
      <c r="CH14" s="304">
        <f>IF(OR(AND($DT$69="Statutory",$DT$71="No"),AND($DT$69="Statutory",$DT$71="Yes",AQ13&lt;100%),B14&lt;2020),BH12*Q14,0)</f>
        <v>0</v>
      </c>
      <c r="CI14" s="27"/>
      <c r="CJ14" s="27">
        <f t="shared" si="39"/>
        <v>0</v>
      </c>
      <c r="CK14" s="27">
        <f t="shared" si="40"/>
        <v>0</v>
      </c>
      <c r="CL14" s="27">
        <f t="shared" si="41"/>
        <v>0</v>
      </c>
      <c r="CM14" s="27">
        <f t="shared" si="42"/>
        <v>2418.7459289520002</v>
      </c>
      <c r="CN14" s="27">
        <f t="shared" si="43"/>
        <v>0</v>
      </c>
      <c r="CO14" s="111">
        <f t="shared" si="3"/>
        <v>2418.7459289520002</v>
      </c>
      <c r="CP14" s="27">
        <f t="shared" ref="CP14:CP44" si="154">SUM(CB14:CD14)</f>
        <v>1345.7255588640003</v>
      </c>
      <c r="CQ14" s="27">
        <f t="shared" ref="CQ14:CQ44" si="155">SUM(CF14:CH14)</f>
        <v>0</v>
      </c>
      <c r="CR14" s="27">
        <f>SUM(CP14:CQ14)</f>
        <v>1345.7255588640003</v>
      </c>
      <c r="CS14" s="27">
        <f>SUM($CR$14:CR14)</f>
        <v>1345.7255588640003</v>
      </c>
      <c r="CT14" s="229">
        <v>1345.7255588640003</v>
      </c>
      <c r="CU14" s="425">
        <v>256.90520219200005</v>
      </c>
      <c r="CV14" s="425">
        <v>1602.6307610560002</v>
      </c>
      <c r="CW14" s="425">
        <v>1602.6307610560002</v>
      </c>
      <c r="CX14" s="107">
        <f t="shared" si="44"/>
        <v>85.302076500000013</v>
      </c>
      <c r="CY14" s="115">
        <f t="shared" si="92"/>
        <v>0.13395100916501121</v>
      </c>
      <c r="CZ14" s="96">
        <f t="shared" si="45"/>
        <v>1589.5757615520006</v>
      </c>
      <c r="DA14" s="418">
        <f t="shared" si="46"/>
        <v>1589.5757615520006</v>
      </c>
      <c r="DB14" s="314">
        <f t="shared" si="47"/>
        <v>1258.8284536834788</v>
      </c>
      <c r="DC14" s="314">
        <f t="shared" si="48"/>
        <v>148.31024885351334</v>
      </c>
      <c r="DD14" s="314">
        <f t="shared" si="49"/>
        <v>0</v>
      </c>
      <c r="DE14" s="314">
        <f t="shared" si="50"/>
        <v>41512.393630038125</v>
      </c>
      <c r="DF14" s="314" t="b">
        <f t="shared" si="63"/>
        <v>0</v>
      </c>
      <c r="DG14" s="27">
        <f t="shared" si="51"/>
        <v>85.302076500000013</v>
      </c>
      <c r="DH14" s="100">
        <f t="shared" si="52"/>
        <v>79.79389285519008</v>
      </c>
      <c r="DI14" s="105">
        <f t="shared" si="53"/>
        <v>9.8050892073552803E-2</v>
      </c>
      <c r="DJ14" s="96">
        <f t="shared" si="54"/>
        <v>0</v>
      </c>
      <c r="DK14" s="100">
        <f t="shared" si="55"/>
        <v>0</v>
      </c>
      <c r="DL14" s="105">
        <f t="shared" si="56"/>
        <v>0</v>
      </c>
      <c r="DM14" s="299">
        <v>1846.4809637440005</v>
      </c>
      <c r="DN14" s="100">
        <f t="shared" si="57"/>
        <v>1846.4809637440005</v>
      </c>
      <c r="DO14" s="301">
        <v>0.54457480979519213</v>
      </c>
      <c r="DP14" s="29"/>
      <c r="DQ14" s="32"/>
      <c r="DR14" s="32"/>
      <c r="DS14" s="32"/>
      <c r="DT14" s="32"/>
      <c r="DU14" s="29"/>
      <c r="DV14" s="327"/>
      <c r="DW14" s="328"/>
      <c r="DX14" s="328"/>
      <c r="DY14" s="328"/>
      <c r="DZ14" s="328"/>
      <c r="EA14" s="328"/>
      <c r="EB14" s="328"/>
      <c r="EC14" s="328"/>
      <c r="ED14" s="328"/>
      <c r="EE14" s="328"/>
      <c r="EF14" s="328"/>
      <c r="EG14" s="328"/>
      <c r="EH14" s="329"/>
      <c r="EI14" s="330"/>
      <c r="EJ14" s="339">
        <f t="shared" si="64"/>
        <v>0.15439634222295584</v>
      </c>
      <c r="EK14" s="339">
        <f t="shared" si="58"/>
        <v>2.1203657777044194E-2</v>
      </c>
      <c r="EL14" s="339" t="e">
        <f t="shared" si="65"/>
        <v>#DIV/0!</v>
      </c>
      <c r="EM14" s="339">
        <f t="shared" si="59"/>
        <v>0</v>
      </c>
      <c r="EN14" s="339">
        <v>0.18560000000000004</v>
      </c>
      <c r="EO14" s="339">
        <v>0.15208585280461628</v>
      </c>
      <c r="EP14" s="340" t="e">
        <f t="shared" si="66"/>
        <v>#DIV/0!</v>
      </c>
      <c r="EQ14" s="283"/>
      <c r="ER14" s="30">
        <v>5</v>
      </c>
      <c r="ES14" s="29">
        <f>AA13*AL13+SUM(BP14,BR14,BT14,BV14,BY14,BZ14,CB14,CF14,CH14,CK14,CI14,CC14,CG14)*AA13/2</f>
        <v>1875.7082754819025</v>
      </c>
      <c r="ET14" s="29">
        <f t="shared" si="80"/>
        <v>1552.6778717643713</v>
      </c>
      <c r="EU14" s="29">
        <f t="shared" si="67"/>
        <v>-323.03040371753127</v>
      </c>
      <c r="EV14" s="29">
        <f t="shared" si="68"/>
        <v>-258.42432297402502</v>
      </c>
      <c r="EW14" s="29">
        <f t="shared" si="81"/>
        <v>-1438.8588795000001</v>
      </c>
      <c r="EX14" s="29">
        <f t="shared" si="93"/>
        <v>-156.48299449999973</v>
      </c>
      <c r="EY14" s="29">
        <f t="shared" si="97"/>
        <v>33.723821749999971</v>
      </c>
      <c r="EZ14" s="29">
        <f t="shared" si="69"/>
        <v>-1820.0423752240247</v>
      </c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7">
        <f t="shared" si="24"/>
        <v>23889.281000000003</v>
      </c>
      <c r="FM14" s="29"/>
      <c r="FN14" s="308">
        <f t="shared" ref="FN14:FN44" si="156">IF($DT$70="Fresh Start",FL14/FQ14,SUM(HE13:IK13))</f>
        <v>0</v>
      </c>
      <c r="FO14" s="93"/>
      <c r="FP14" s="27">
        <f t="shared" si="82"/>
        <v>20</v>
      </c>
      <c r="FQ14" s="309">
        <f t="shared" si="27"/>
        <v>13.512970250241354</v>
      </c>
      <c r="FR14" s="93">
        <f t="shared" si="60"/>
        <v>1767.8778653104278</v>
      </c>
      <c r="FS14" s="93"/>
      <c r="FT14" s="29">
        <f t="shared" si="83"/>
        <v>20</v>
      </c>
      <c r="FU14" s="142">
        <f t="shared" si="28"/>
        <v>13.512970250241354</v>
      </c>
      <c r="FV14" s="29"/>
      <c r="FW14" s="29">
        <f t="shared" si="98"/>
        <v>561.87553549556833</v>
      </c>
      <c r="FX14" s="29">
        <f t="shared" ref="FX14:FX44" si="157">IF(AND($AQ14&gt;=100%,$AQ13&lt;100%),0,FW13*(1+$AA13) - HE13*(1+$AA13)^0.5)</f>
        <v>25621.253872500001</v>
      </c>
      <c r="FY14" s="29">
        <f t="shared" si="99"/>
        <v>0</v>
      </c>
      <c r="FZ14" s="29">
        <f t="shared" si="99"/>
        <v>0</v>
      </c>
      <c r="GA14" s="29">
        <f t="shared" si="99"/>
        <v>0</v>
      </c>
      <c r="GB14" s="29">
        <f t="shared" si="99"/>
        <v>0</v>
      </c>
      <c r="GC14" s="29">
        <f t="shared" si="99"/>
        <v>0</v>
      </c>
      <c r="GD14" s="29">
        <f t="shared" si="99"/>
        <v>0</v>
      </c>
      <c r="GE14" s="29">
        <f t="shared" si="99"/>
        <v>0</v>
      </c>
      <c r="GF14" s="29">
        <f t="shared" si="99"/>
        <v>0</v>
      </c>
      <c r="GG14" s="29">
        <f t="shared" si="99"/>
        <v>0</v>
      </c>
      <c r="GH14" s="29">
        <f t="shared" si="99"/>
        <v>0</v>
      </c>
      <c r="GI14" s="29">
        <f t="shared" si="99"/>
        <v>0</v>
      </c>
      <c r="GJ14" s="29">
        <f t="shared" si="99"/>
        <v>0</v>
      </c>
      <c r="GK14" s="29">
        <f t="shared" si="99"/>
        <v>0</v>
      </c>
      <c r="GL14" s="29">
        <f t="shared" si="99"/>
        <v>0</v>
      </c>
      <c r="GM14" s="29">
        <f t="shared" si="99"/>
        <v>0</v>
      </c>
      <c r="GN14" s="29">
        <f t="shared" si="99"/>
        <v>0</v>
      </c>
      <c r="GO14" s="29">
        <f t="shared" si="99"/>
        <v>0</v>
      </c>
      <c r="GP14" s="29">
        <f t="shared" si="99"/>
        <v>0</v>
      </c>
      <c r="GQ14" s="29">
        <f t="shared" si="99"/>
        <v>0</v>
      </c>
      <c r="GR14" s="29">
        <f t="shared" si="99"/>
        <v>0</v>
      </c>
      <c r="GS14" s="29">
        <f t="shared" si="99"/>
        <v>0</v>
      </c>
      <c r="GT14" s="29">
        <f t="shared" si="99"/>
        <v>0</v>
      </c>
      <c r="GU14" s="29">
        <f t="shared" si="99"/>
        <v>0</v>
      </c>
      <c r="GV14" s="29">
        <f t="shared" si="99"/>
        <v>0</v>
      </c>
      <c r="GW14" s="29">
        <f t="shared" si="99"/>
        <v>0</v>
      </c>
      <c r="GX14" s="29">
        <f t="shared" si="99"/>
        <v>0</v>
      </c>
      <c r="GY14" s="29">
        <f t="shared" si="99"/>
        <v>0</v>
      </c>
      <c r="GZ14" s="29">
        <f t="shared" si="99"/>
        <v>0</v>
      </c>
      <c r="HA14" s="29">
        <f t="shared" si="99"/>
        <v>0</v>
      </c>
      <c r="HB14" s="29">
        <f t="shared" si="99"/>
        <v>0</v>
      </c>
      <c r="HC14" s="29"/>
      <c r="HD14" s="29">
        <f t="shared" si="29"/>
        <v>20</v>
      </c>
      <c r="HE14" s="29">
        <f t="shared" si="100"/>
        <v>0</v>
      </c>
      <c r="HF14" s="29">
        <f t="shared" si="101"/>
        <v>1857.9077704981726</v>
      </c>
      <c r="HG14" s="29">
        <f t="shared" si="102"/>
        <v>0</v>
      </c>
      <c r="HH14" s="29">
        <f t="shared" si="103"/>
        <v>0</v>
      </c>
      <c r="HI14" s="29">
        <f t="shared" si="104"/>
        <v>0</v>
      </c>
      <c r="HJ14" s="29">
        <f t="shared" si="105"/>
        <v>0</v>
      </c>
      <c r="HK14" s="29">
        <f t="shared" si="106"/>
        <v>0</v>
      </c>
      <c r="HL14" s="29">
        <f t="shared" si="107"/>
        <v>0</v>
      </c>
      <c r="HM14" s="29">
        <f t="shared" si="108"/>
        <v>0</v>
      </c>
      <c r="HN14" s="29">
        <f t="shared" si="109"/>
        <v>0</v>
      </c>
      <c r="HO14" s="29">
        <f t="shared" si="110"/>
        <v>0</v>
      </c>
      <c r="HP14" s="29">
        <f t="shared" si="111"/>
        <v>0</v>
      </c>
      <c r="HQ14" s="29">
        <f t="shared" si="112"/>
        <v>0</v>
      </c>
      <c r="HR14" s="29">
        <f t="shared" si="113"/>
        <v>0</v>
      </c>
      <c r="HS14" s="29">
        <f t="shared" si="114"/>
        <v>0</v>
      </c>
      <c r="HT14" s="29">
        <f t="shared" si="115"/>
        <v>0</v>
      </c>
      <c r="HU14" s="29">
        <f t="shared" si="116"/>
        <v>0</v>
      </c>
      <c r="HV14" s="29">
        <f t="shared" si="117"/>
        <v>0</v>
      </c>
      <c r="HW14" s="29">
        <f t="shared" si="118"/>
        <v>0</v>
      </c>
      <c r="HX14" s="29">
        <f t="shared" si="119"/>
        <v>0</v>
      </c>
      <c r="HY14" s="29">
        <f t="shared" si="120"/>
        <v>0</v>
      </c>
      <c r="HZ14" s="29">
        <f t="shared" si="121"/>
        <v>0</v>
      </c>
      <c r="IA14" s="29">
        <f t="shared" si="122"/>
        <v>0</v>
      </c>
      <c r="IB14" s="29">
        <f t="shared" si="123"/>
        <v>0</v>
      </c>
      <c r="IC14" s="29">
        <f t="shared" si="124"/>
        <v>0</v>
      </c>
      <c r="ID14" s="29">
        <f t="shared" si="125"/>
        <v>0</v>
      </c>
      <c r="IE14" s="29">
        <f t="shared" si="126"/>
        <v>0</v>
      </c>
      <c r="IF14" s="29">
        <f t="shared" si="127"/>
        <v>0</v>
      </c>
      <c r="IG14" s="29">
        <f t="shared" si="128"/>
        <v>0</v>
      </c>
      <c r="IH14" s="29">
        <f t="shared" si="129"/>
        <v>0</v>
      </c>
      <c r="II14" s="29">
        <f t="shared" si="130"/>
        <v>0</v>
      </c>
      <c r="IJ14" s="29">
        <f t="shared" si="131"/>
        <v>0</v>
      </c>
      <c r="IK14" s="48"/>
      <c r="IL14" s="48"/>
      <c r="IM14" s="48"/>
      <c r="IN14" s="29"/>
      <c r="IO14" s="29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6">
        <f t="shared" si="30"/>
        <v>0.5626494383398154</v>
      </c>
      <c r="LP14" s="47">
        <f t="shared" si="31"/>
        <v>0.82767875581660377</v>
      </c>
      <c r="LQ14" s="28"/>
      <c r="LR14" s="48"/>
      <c r="LS14" s="28" t="s">
        <v>35</v>
      </c>
      <c r="LT14" s="166">
        <v>7.5833333333333334E-3</v>
      </c>
      <c r="LU14" s="115">
        <f t="shared" si="70"/>
        <v>1.2294379775225033E-18</v>
      </c>
      <c r="LV14" s="157">
        <f t="shared" si="15"/>
        <v>0</v>
      </c>
      <c r="LW14" s="229" t="e">
        <f>LW13*(1+#REF!)</f>
        <v>#REF!</v>
      </c>
      <c r="LX14" s="158"/>
      <c r="LY14" s="129">
        <f t="shared" si="71"/>
        <v>1629.7048149423936</v>
      </c>
      <c r="LZ14" s="130">
        <f t="shared" si="72"/>
        <v>-258.84873799234992</v>
      </c>
      <c r="MA14" s="28"/>
      <c r="MB14" s="115"/>
      <c r="MC14" s="394"/>
      <c r="MD14" s="157">
        <f t="shared" ref="MD14:MD46" si="158">MD13*(1+$DT$77-$DT$78-(YEAR($C14)-2020)*$DT$79-MAX(YEAR($C14)-2020-$DT$81,0)*$DT$80   )*(1+$DT$76)</f>
        <v>-3126.7658709300003</v>
      </c>
      <c r="ME14" s="28"/>
      <c r="MF14" s="115"/>
      <c r="MG14" s="394"/>
      <c r="MH14" s="157">
        <f t="shared" ref="MH14:MH47" si="159">MH13*(1+$DT$77-$DT$78-(YEAR($C14)-2020)*$DT$79-MAX(YEAR($C14)-2020-$DT$81,0)*$DT$80   )*(1+$DT$76)</f>
        <v>-121.53841060000002</v>
      </c>
      <c r="MI14" s="28"/>
      <c r="MJ14" s="104">
        <f t="shared" si="73"/>
        <v>1.5000000000000001E-2</v>
      </c>
      <c r="MK14" s="104">
        <f t="shared" si="74"/>
        <v>8.8154010965365473E-2</v>
      </c>
      <c r="ML14" s="104">
        <f t="shared" si="75"/>
        <v>9.0618287056006927E-2</v>
      </c>
      <c r="MM14" s="104">
        <f t="shared" si="32"/>
        <v>9.3224299065420568E-2</v>
      </c>
      <c r="MN14" s="104">
        <f t="shared" si="33"/>
        <v>9.5941652818618259E-2</v>
      </c>
      <c r="MO14" s="104">
        <f t="shared" si="34"/>
        <v>9.8775802162712867E-2</v>
      </c>
      <c r="MP14" s="104">
        <f t="shared" si="35"/>
        <v>0.10173248111030793</v>
      </c>
      <c r="MQ14" s="28"/>
      <c r="MR14" s="28">
        <f t="shared" si="84"/>
        <v>67</v>
      </c>
      <c r="MS14" s="28">
        <f t="shared" si="85"/>
        <v>0.70471496766912267</v>
      </c>
      <c r="MT14" s="28">
        <f t="shared" si="86"/>
        <v>0.71659829539913389</v>
      </c>
      <c r="MU14" s="28">
        <f t="shared" si="87"/>
        <v>0.72864139226681579</v>
      </c>
      <c r="MV14" s="28">
        <f t="shared" si="88"/>
        <v>0.74084586393407192</v>
      </c>
      <c r="MW14" s="28">
        <f t="shared" si="89"/>
        <v>0.75321332678476427</v>
      </c>
      <c r="MX14" s="28">
        <f t="shared" si="90"/>
        <v>0.76574540796038748</v>
      </c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</row>
    <row r="15" spans="1:374" s="30" customFormat="1" ht="12.75" customHeight="1" x14ac:dyDescent="0.3">
      <c r="A15" s="305">
        <f t="shared" si="91"/>
        <v>2024</v>
      </c>
      <c r="B15" s="355">
        <f t="shared" si="1"/>
        <v>2022</v>
      </c>
      <c r="C15" s="26">
        <v>44743</v>
      </c>
      <c r="D15" s="96">
        <f t="shared" si="132"/>
        <v>10070.977459799269</v>
      </c>
      <c r="E15" s="27">
        <f t="shared" si="133"/>
        <v>10070.977459799269</v>
      </c>
      <c r="F15" s="111">
        <f t="shared" si="18"/>
        <v>0</v>
      </c>
      <c r="G15" s="27">
        <f t="shared" si="134"/>
        <v>11714.818506000001</v>
      </c>
      <c r="H15" s="27">
        <f t="shared" si="135"/>
        <v>11714.818506000001</v>
      </c>
      <c r="I15" s="296">
        <f t="shared" si="136"/>
        <v>9957.5957301000017</v>
      </c>
      <c r="J15" s="69">
        <v>4975.2087970000002</v>
      </c>
      <c r="K15" s="297">
        <f t="shared" ref="K15:K42" si="160">I15-J15</f>
        <v>4982.3869331000014</v>
      </c>
      <c r="L15" s="297">
        <f t="shared" si="137"/>
        <v>0</v>
      </c>
      <c r="M15" s="297">
        <f t="shared" ref="M15:M42" si="161">L15-P15</f>
        <v>0</v>
      </c>
      <c r="N15" s="27">
        <f t="shared" ref="N15:N44" si="162">N14*(1+$DT$54)</f>
        <v>0</v>
      </c>
      <c r="O15" s="297">
        <f t="shared" si="138"/>
        <v>1757.2227759000002</v>
      </c>
      <c r="P15" s="297">
        <f t="shared" si="139"/>
        <v>0</v>
      </c>
      <c r="Q15" s="297">
        <f t="shared" si="140"/>
        <v>508.03106120000001</v>
      </c>
      <c r="R15" s="260">
        <f t="shared" si="2"/>
        <v>1</v>
      </c>
      <c r="S15" s="257">
        <v>0</v>
      </c>
      <c r="T15" s="290">
        <f t="shared" ref="T15:T44" si="163">$DT$23</f>
        <v>7.2499999999999995E-2</v>
      </c>
      <c r="U15" s="290">
        <f t="shared" ref="U15:U44" si="164">$DT$25</f>
        <v>7.2499999999999995E-2</v>
      </c>
      <c r="V15" s="27">
        <f t="shared" si="4"/>
        <v>55029.886565358567</v>
      </c>
      <c r="W15" s="27">
        <f t="shared" si="141"/>
        <v>55029.886565358567</v>
      </c>
      <c r="X15" s="27"/>
      <c r="Y15" s="27">
        <f t="shared" si="142"/>
        <v>1046.5433112335104</v>
      </c>
      <c r="Z15" s="27"/>
      <c r="AA15" s="115">
        <f t="shared" ref="AA15:AA44" si="165">$DT$24</f>
        <v>7.0000000000000007E-2</v>
      </c>
      <c r="AB15" s="115">
        <f t="shared" ref="AB15:AB44" si="166">$DT$26</f>
        <v>7.0000000000000007E-2</v>
      </c>
      <c r="AC15" s="96">
        <f t="shared" si="6"/>
        <v>56544.31482882244</v>
      </c>
      <c r="AD15" s="27">
        <f t="shared" si="143"/>
        <v>56544.31482882244</v>
      </c>
      <c r="AE15" s="27"/>
      <c r="AF15" s="150">
        <f t="shared" si="144"/>
        <v>1101.5131229928113</v>
      </c>
      <c r="AG15" s="381">
        <f>U16-AB16</f>
        <v>2.4999999999999883E-3</v>
      </c>
      <c r="AH15" s="27">
        <f t="shared" ref="AH15:AH42" si="167">SUM(AI15:AJ15)</f>
        <v>29715.278683894438</v>
      </c>
      <c r="AI15" s="27">
        <f t="shared" si="145"/>
        <v>29715.278683894438</v>
      </c>
      <c r="AJ15" s="27"/>
      <c r="AK15" s="27">
        <f t="shared" si="10"/>
        <v>28269.446807953376</v>
      </c>
      <c r="AL15" s="27">
        <f t="shared" ref="AL15:AL44" si="168">AL14*(1+AN15)+SUM(BP15,BR15,BT15,BV15,BY15,BZ15,CB15,CF15,CH15,CK15,CI15,CC15,CG15)*(1+AN15)^0.5</f>
        <v>28269.446807953376</v>
      </c>
      <c r="AM15" s="27"/>
      <c r="AN15" s="417">
        <f>INDEX(Inv.Returns!$B$2:$E$32,MATCH(B15,Inv.Returns!$A$2:$A$32,0),MATCH(SCRS!$DT$52,Inv.Returns!$B$1:$E$1,0))</f>
        <v>0.06</v>
      </c>
      <c r="AO15" s="27">
        <f t="shared" si="36"/>
        <v>26829.036144928003</v>
      </c>
      <c r="AP15" s="229">
        <f t="shared" si="11"/>
        <v>28274.868020869064</v>
      </c>
      <c r="AQ15" s="430">
        <f t="shared" si="19"/>
        <v>0.52552195165600646</v>
      </c>
      <c r="AR15" s="151">
        <f t="shared" si="20"/>
        <v>0.49995206226362365</v>
      </c>
      <c r="AS15" s="353"/>
      <c r="AT15" s="289">
        <f t="shared" si="94"/>
        <v>0.11073960599712043</v>
      </c>
      <c r="AU15" s="397">
        <f t="shared" ref="AU15:AU42" si="169">IFERROR(AG17/M17+$DT$38,0)</f>
        <v>9.9400593584701102E-2</v>
      </c>
      <c r="AV15" s="303">
        <f t="shared" si="95"/>
        <v>0.15986318037056019</v>
      </c>
      <c r="AW15" s="303">
        <f t="shared" si="146"/>
        <v>0</v>
      </c>
      <c r="AX15" s="115">
        <f t="shared" si="61"/>
        <v>0.09</v>
      </c>
      <c r="AY15" s="115">
        <f t="shared" si="147"/>
        <v>0.09</v>
      </c>
      <c r="AZ15" s="115">
        <f t="shared" si="148"/>
        <v>0</v>
      </c>
      <c r="BA15" s="262">
        <f t="shared" si="21"/>
        <v>2.0739605997120436E-2</v>
      </c>
      <c r="BB15" s="115">
        <f t="shared" ref="BB15:BB42" si="170">AU15-AY15</f>
        <v>9.4005935847011057E-3</v>
      </c>
      <c r="BC15" s="133">
        <f t="shared" si="77"/>
        <v>0.18560000000000004</v>
      </c>
      <c r="BD15" s="133">
        <f t="shared" si="96"/>
        <v>0.18560000000000004</v>
      </c>
      <c r="BE15" s="410">
        <f t="shared" si="12"/>
        <v>0.16486039400287961</v>
      </c>
      <c r="BF15" s="410">
        <f t="shared" si="149"/>
        <v>0.17619940641529894</v>
      </c>
      <c r="BG15" s="410">
        <f t="shared" ref="BG15:BG42" si="171">IF($DT$43="Yes",BD15-BA15,BD15-$DT$42)</f>
        <v>0.13560000000000005</v>
      </c>
      <c r="BH15" s="410">
        <f t="shared" si="23"/>
        <v>0.18560000000000004</v>
      </c>
      <c r="BI15" s="157">
        <f t="shared" si="37"/>
        <v>14.578548630870637</v>
      </c>
      <c r="BJ15" s="104">
        <f t="shared" si="38"/>
        <v>3.8834951456310662E-2</v>
      </c>
      <c r="BK15" s="27">
        <f t="shared" si="62"/>
        <v>20.667834476621035</v>
      </c>
      <c r="BL15" s="27">
        <f t="shared" si="14"/>
        <v>24</v>
      </c>
      <c r="BM15" s="111">
        <f>MAX(IF(ISERROR(LN(1-(AO15/SUM(BY15:CI15))*((1+T15)/(1+$DT$67)-1))/LN(1/(((1+T15)/(1+$DT$67))))),999,LN(1-(AO15/SUM(BY15:CI15))*((1+T15)/(1+$DT$67)-1))/LN(1/(((1+T15)/(1+$DT$67))))),0.01)</f>
        <v>18.253509147407456</v>
      </c>
      <c r="BN15" s="27"/>
      <c r="BO15" s="64">
        <f>1+BJ13-BI13*BJ13</f>
        <v>0.42692444837663401</v>
      </c>
      <c r="BP15" s="96">
        <f t="shared" ref="BP15:BP42" si="172">MD15-MC15</f>
        <v>-3224.3522337617264</v>
      </c>
      <c r="BQ15" s="27"/>
      <c r="BR15" s="27">
        <f t="shared" ref="BR15:BR42" si="173">MH15-MG15</f>
        <v>-125.33162439482604</v>
      </c>
      <c r="BS15" s="27"/>
      <c r="BT15" s="27">
        <f t="shared" si="150"/>
        <v>-11.949114876120001</v>
      </c>
      <c r="BU15" s="27"/>
      <c r="BV15" s="304">
        <f t="shared" si="151"/>
        <v>896.18361570900015</v>
      </c>
      <c r="BW15" s="304"/>
      <c r="BX15" s="304"/>
      <c r="BY15" s="304">
        <f t="shared" si="152"/>
        <v>45.722795507999997</v>
      </c>
      <c r="BZ15" s="304">
        <f t="shared" si="78"/>
        <v>217.27862215993127</v>
      </c>
      <c r="CA15" s="304"/>
      <c r="CB15" s="304">
        <f>IF(OR(AND($DT$69="Statutory",$DT$71="No"),AND($DT$69="Statutory",$DT$71="Yes",AQ14&lt;100%),B15&lt;2022), BE13*I15, AV13*(G15+Q15))</f>
        <v>1857.9077704981726</v>
      </c>
      <c r="CC15" s="447"/>
      <c r="CD15" s="304"/>
      <c r="CE15" s="304"/>
      <c r="CF15" s="304">
        <f t="shared" ref="CF15:CF44" si="174">IF(OR(AND($DT$69="Statutory",$DT$71="No"),AND($DT$69="Statutory",$DT$71="Yes",AQ14&lt;100%),B15&lt;2022),MAX(BG13,0)*O15,0)</f>
        <v>0</v>
      </c>
      <c r="CG15" s="304">
        <f t="shared" si="153"/>
        <v>0</v>
      </c>
      <c r="CH15" s="304">
        <f t="shared" ref="CH15:CH44" si="175">IF(OR(AND($DT$69="Statutory",$DT$71="No"),AND($DT$69="Statutory",$DT$71="Yes",AQ14&lt;100%),B15&lt;2022),BH13*Q15,0)</f>
        <v>0</v>
      </c>
      <c r="CI15" s="27"/>
      <c r="CJ15" s="27">
        <f t="shared" si="39"/>
        <v>0</v>
      </c>
      <c r="CK15" s="27">
        <f t="shared" si="40"/>
        <v>0</v>
      </c>
      <c r="CL15" s="27">
        <f t="shared" si="41"/>
        <v>0</v>
      </c>
      <c r="CM15" s="27">
        <f t="shared" si="42"/>
        <v>3017.092803875104</v>
      </c>
      <c r="CN15" s="27">
        <f t="shared" si="43"/>
        <v>0</v>
      </c>
      <c r="CO15" s="111">
        <f t="shared" si="3"/>
        <v>3017.092803875104</v>
      </c>
      <c r="CP15" s="27">
        <f t="shared" si="154"/>
        <v>1857.9077704981726</v>
      </c>
      <c r="CQ15" s="27">
        <f t="shared" si="155"/>
        <v>0</v>
      </c>
      <c r="CR15" s="27">
        <f t="shared" ref="CR15:CR44" si="176">SUM(CP15:CQ15)</f>
        <v>1857.9077704981726</v>
      </c>
      <c r="CS15" s="27">
        <f>SUM($CR$14:CR15)</f>
        <v>3203.6333293621728</v>
      </c>
      <c r="CT15" s="229">
        <v>1486.6690425039301</v>
      </c>
      <c r="CU15" s="425">
        <v>287.26489662876008</v>
      </c>
      <c r="CV15" s="425">
        <v>1773.9339391326903</v>
      </c>
      <c r="CW15" s="425">
        <v>3376.5647001886905</v>
      </c>
      <c r="CX15" s="107">
        <f t="shared" si="44"/>
        <v>87.861138795000016</v>
      </c>
      <c r="CY15" s="115">
        <f t="shared" si="92"/>
        <v>0.17696753278037869</v>
      </c>
      <c r="CZ15" s="96">
        <f t="shared" si="45"/>
        <v>2163.0475314531036</v>
      </c>
      <c r="DA15" s="418">
        <f t="shared" si="46"/>
        <v>2115.4499085115926</v>
      </c>
      <c r="DB15" s="314">
        <f t="shared" si="47"/>
        <v>1699.6945599319884</v>
      </c>
      <c r="DC15" s="314">
        <f t="shared" si="48"/>
        <v>198.77590154850822</v>
      </c>
      <c r="DD15" s="314">
        <f t="shared" si="49"/>
        <v>0</v>
      </c>
      <c r="DE15" s="314">
        <f t="shared" si="50"/>
        <v>40932.83579660434</v>
      </c>
      <c r="DF15" s="314" t="b">
        <f t="shared" si="63"/>
        <v>0</v>
      </c>
      <c r="DG15" s="27">
        <f t="shared" si="51"/>
        <v>87.861138795000016</v>
      </c>
      <c r="DH15" s="100">
        <f t="shared" si="52"/>
        <v>80.379178132856509</v>
      </c>
      <c r="DI15" s="105">
        <f t="shared" si="53"/>
        <v>6.8635624451486965E-2</v>
      </c>
      <c r="DJ15" s="96">
        <f t="shared" si="54"/>
        <v>0</v>
      </c>
      <c r="DK15" s="100">
        <f t="shared" si="55"/>
        <v>0</v>
      </c>
      <c r="DL15" s="105">
        <f t="shared" si="56"/>
        <v>0</v>
      </c>
      <c r="DM15" s="299">
        <v>2024.1038883283204</v>
      </c>
      <c r="DN15" s="100">
        <f t="shared" si="57"/>
        <v>1979.5637049665727</v>
      </c>
      <c r="DO15" s="301">
        <v>0.54749477334367014</v>
      </c>
      <c r="DP15" s="29"/>
      <c r="DQ15" s="28"/>
      <c r="DR15" s="28"/>
      <c r="DS15" s="28"/>
      <c r="DT15" s="28"/>
      <c r="DU15" s="29"/>
      <c r="DV15" s="327"/>
      <c r="DW15" s="328"/>
      <c r="DX15" s="328"/>
      <c r="DY15" s="328"/>
      <c r="DZ15" s="328"/>
      <c r="EA15" s="328"/>
      <c r="EB15" s="328"/>
      <c r="EC15" s="328"/>
      <c r="ED15" s="328"/>
      <c r="EE15" s="328"/>
      <c r="EF15" s="328"/>
      <c r="EG15" s="328"/>
      <c r="EH15" s="329"/>
      <c r="EI15" s="330"/>
      <c r="EJ15" s="339">
        <f t="shared" si="64"/>
        <v>0.16486039400287961</v>
      </c>
      <c r="EK15" s="339">
        <f t="shared" si="58"/>
        <v>2.0739605997120436E-2</v>
      </c>
      <c r="EL15" s="339" t="e">
        <f t="shared" si="65"/>
        <v>#DIV/0!</v>
      </c>
      <c r="EM15" s="339">
        <f t="shared" si="59"/>
        <v>0</v>
      </c>
      <c r="EN15" s="339">
        <v>0.18560000000000004</v>
      </c>
      <c r="EO15" s="339">
        <v>0.15111503711983915</v>
      </c>
      <c r="EP15" s="340" t="e">
        <f t="shared" si="66"/>
        <v>#DIV/0!</v>
      </c>
      <c r="EQ15" s="283"/>
      <c r="ER15" s="341">
        <v>6</v>
      </c>
      <c r="ES15" s="29">
        <f t="shared" si="79"/>
        <v>1878.2166446542515</v>
      </c>
      <c r="ET15" s="29">
        <f t="shared" si="80"/>
        <v>1610.0505403285717</v>
      </c>
      <c r="EU15" s="29">
        <f t="shared" si="67"/>
        <v>-268.16610432567973</v>
      </c>
      <c r="EV15" s="29">
        <f t="shared" si="68"/>
        <v>-214.53288346054379</v>
      </c>
      <c r="EW15" s="29">
        <f t="shared" si="81"/>
        <v>-193.81824223051876</v>
      </c>
      <c r="EX15" s="29">
        <f t="shared" si="93"/>
        <v>-959.23925299999996</v>
      </c>
      <c r="EY15" s="29">
        <f t="shared" si="97"/>
        <v>-78.241497249999867</v>
      </c>
      <c r="EZ15" s="29">
        <f t="shared" si="69"/>
        <v>-1445.8318759410624</v>
      </c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7">
        <f t="shared" si="24"/>
        <v>26183.12940799557</v>
      </c>
      <c r="FM15" s="29"/>
      <c r="FN15" s="308">
        <f t="shared" si="156"/>
        <v>1857.9077704981726</v>
      </c>
      <c r="FO15" s="93">
        <f>SUM(JV14:LA14)</f>
        <v>0</v>
      </c>
      <c r="FP15" s="27">
        <f t="shared" si="82"/>
        <v>20</v>
      </c>
      <c r="FQ15" s="309">
        <f t="shared" si="27"/>
        <v>13.512970250241354</v>
      </c>
      <c r="FR15" s="93">
        <f t="shared" si="60"/>
        <v>1937.6294717682749</v>
      </c>
      <c r="FS15" s="93">
        <f>FN15+FO15</f>
        <v>1857.9077704981726</v>
      </c>
      <c r="FT15" s="29">
        <f t="shared" si="83"/>
        <v>20</v>
      </c>
      <c r="FU15" s="142">
        <f t="shared" si="28"/>
        <v>13.512970250241354</v>
      </c>
      <c r="FV15" s="48">
        <v>1653.0060404927585</v>
      </c>
      <c r="FW15" s="29">
        <f t="shared" si="98"/>
        <v>734.92241984634893</v>
      </c>
      <c r="FX15" s="29">
        <f t="shared" si="157"/>
        <v>601.20682298025815</v>
      </c>
      <c r="FY15" s="29">
        <f t="shared" si="99"/>
        <v>25492.906902101397</v>
      </c>
      <c r="FZ15" s="29">
        <f t="shared" si="99"/>
        <v>0</v>
      </c>
      <c r="GA15" s="29">
        <f t="shared" si="99"/>
        <v>0</v>
      </c>
      <c r="GB15" s="29">
        <f t="shared" si="99"/>
        <v>0</v>
      </c>
      <c r="GC15" s="29">
        <f t="shared" si="99"/>
        <v>0</v>
      </c>
      <c r="GD15" s="29">
        <f t="shared" si="99"/>
        <v>0</v>
      </c>
      <c r="GE15" s="29">
        <f t="shared" si="99"/>
        <v>0</v>
      </c>
      <c r="GF15" s="29">
        <f t="shared" si="99"/>
        <v>0</v>
      </c>
      <c r="GG15" s="29">
        <f t="shared" si="99"/>
        <v>0</v>
      </c>
      <c r="GH15" s="29">
        <f t="shared" si="99"/>
        <v>0</v>
      </c>
      <c r="GI15" s="29">
        <f t="shared" si="99"/>
        <v>0</v>
      </c>
      <c r="GJ15" s="29">
        <f t="shared" si="99"/>
        <v>0</v>
      </c>
      <c r="GK15" s="29">
        <f t="shared" si="99"/>
        <v>0</v>
      </c>
      <c r="GL15" s="29">
        <f t="shared" si="99"/>
        <v>0</v>
      </c>
      <c r="GM15" s="29">
        <f t="shared" si="99"/>
        <v>0</v>
      </c>
      <c r="GN15" s="29">
        <f t="shared" si="99"/>
        <v>0</v>
      </c>
      <c r="GO15" s="29">
        <f t="shared" si="99"/>
        <v>0</v>
      </c>
      <c r="GP15" s="29">
        <f t="shared" si="99"/>
        <v>0</v>
      </c>
      <c r="GQ15" s="29">
        <f t="shared" si="99"/>
        <v>0</v>
      </c>
      <c r="GR15" s="29">
        <f t="shared" si="99"/>
        <v>0</v>
      </c>
      <c r="GS15" s="29">
        <f t="shared" si="99"/>
        <v>0</v>
      </c>
      <c r="GT15" s="29">
        <f t="shared" si="99"/>
        <v>0</v>
      </c>
      <c r="GU15" s="29">
        <f t="shared" si="99"/>
        <v>0</v>
      </c>
      <c r="GV15" s="29">
        <f t="shared" si="99"/>
        <v>0</v>
      </c>
      <c r="GW15" s="29">
        <f t="shared" si="99"/>
        <v>0</v>
      </c>
      <c r="GX15" s="29">
        <f t="shared" si="99"/>
        <v>0</v>
      </c>
      <c r="GY15" s="29">
        <f t="shared" si="99"/>
        <v>0</v>
      </c>
      <c r="GZ15" s="29">
        <f t="shared" si="99"/>
        <v>0</v>
      </c>
      <c r="HA15" s="29">
        <f t="shared" si="99"/>
        <v>0</v>
      </c>
      <c r="HB15" s="29">
        <f t="shared" si="99"/>
        <v>0</v>
      </c>
      <c r="HC15" s="29"/>
      <c r="HD15" s="29">
        <f t="shared" si="29"/>
        <v>20</v>
      </c>
      <c r="HE15" s="29">
        <f t="shared" si="100"/>
        <v>0</v>
      </c>
      <c r="HF15" s="29">
        <f t="shared" si="101"/>
        <v>43.596103205957213</v>
      </c>
      <c r="HG15" s="29">
        <f t="shared" si="102"/>
        <v>1913.6450036131182</v>
      </c>
      <c r="HH15" s="29">
        <f t="shared" si="103"/>
        <v>0</v>
      </c>
      <c r="HI15" s="29">
        <f t="shared" si="104"/>
        <v>0</v>
      </c>
      <c r="HJ15" s="29">
        <f t="shared" si="105"/>
        <v>0</v>
      </c>
      <c r="HK15" s="29">
        <f t="shared" si="106"/>
        <v>0</v>
      </c>
      <c r="HL15" s="29">
        <f t="shared" si="107"/>
        <v>0</v>
      </c>
      <c r="HM15" s="29">
        <f t="shared" si="108"/>
        <v>0</v>
      </c>
      <c r="HN15" s="29">
        <f t="shared" si="109"/>
        <v>0</v>
      </c>
      <c r="HO15" s="29">
        <f t="shared" si="110"/>
        <v>0</v>
      </c>
      <c r="HP15" s="29">
        <f t="shared" si="111"/>
        <v>0</v>
      </c>
      <c r="HQ15" s="29">
        <f t="shared" si="112"/>
        <v>0</v>
      </c>
      <c r="HR15" s="29">
        <f t="shared" si="113"/>
        <v>0</v>
      </c>
      <c r="HS15" s="29">
        <f t="shared" si="114"/>
        <v>0</v>
      </c>
      <c r="HT15" s="29">
        <f t="shared" si="115"/>
        <v>0</v>
      </c>
      <c r="HU15" s="29">
        <f t="shared" si="116"/>
        <v>0</v>
      </c>
      <c r="HV15" s="29">
        <f t="shared" si="117"/>
        <v>0</v>
      </c>
      <c r="HW15" s="29">
        <f t="shared" si="118"/>
        <v>0</v>
      </c>
      <c r="HX15" s="29">
        <f t="shared" si="119"/>
        <v>0</v>
      </c>
      <c r="HY15" s="29">
        <f t="shared" si="120"/>
        <v>0</v>
      </c>
      <c r="HZ15" s="29">
        <f t="shared" si="121"/>
        <v>0</v>
      </c>
      <c r="IA15" s="29">
        <f t="shared" si="122"/>
        <v>0</v>
      </c>
      <c r="IB15" s="29">
        <f t="shared" si="123"/>
        <v>0</v>
      </c>
      <c r="IC15" s="29">
        <f t="shared" si="124"/>
        <v>0</v>
      </c>
      <c r="ID15" s="29">
        <f t="shared" si="125"/>
        <v>0</v>
      </c>
      <c r="IE15" s="29">
        <f t="shared" si="126"/>
        <v>0</v>
      </c>
      <c r="IF15" s="29">
        <f t="shared" si="127"/>
        <v>0</v>
      </c>
      <c r="IG15" s="29">
        <f t="shared" si="128"/>
        <v>0</v>
      </c>
      <c r="IH15" s="29">
        <f t="shared" si="129"/>
        <v>0</v>
      </c>
      <c r="II15" s="29">
        <f t="shared" si="130"/>
        <v>0</v>
      </c>
      <c r="IJ15" s="29">
        <f t="shared" si="131"/>
        <v>0</v>
      </c>
      <c r="IK15" s="48"/>
      <c r="IL15" s="48"/>
      <c r="IM15" s="48"/>
      <c r="IN15" s="29"/>
      <c r="IO15" s="29"/>
      <c r="IP15" s="48"/>
      <c r="IQ15" s="48"/>
      <c r="IR15" s="48"/>
      <c r="IS15" s="48"/>
      <c r="IT15" s="48"/>
      <c r="IU15" s="48"/>
      <c r="IV15" s="48"/>
      <c r="IW15" s="48"/>
      <c r="IX15" s="48"/>
      <c r="IY15" s="48"/>
      <c r="IZ15" s="48"/>
      <c r="JA15" s="48"/>
      <c r="JB15" s="48"/>
      <c r="JC15" s="48"/>
      <c r="JD15" s="48"/>
      <c r="JE15" s="48"/>
      <c r="JF15" s="48"/>
      <c r="JG15" s="48"/>
      <c r="JH15" s="48"/>
      <c r="JI15" s="48"/>
      <c r="JJ15" s="48"/>
      <c r="JK15" s="48"/>
      <c r="JL15" s="48"/>
      <c r="JM15" s="48"/>
      <c r="JN15" s="48"/>
      <c r="JO15" s="48"/>
      <c r="JP15" s="48"/>
      <c r="JQ15" s="48"/>
      <c r="JR15" s="48"/>
      <c r="JS15" s="48"/>
      <c r="JT15" s="48"/>
      <c r="JU15" s="48"/>
      <c r="JV15" s="48"/>
      <c r="JW15" s="48"/>
      <c r="JX15" s="48"/>
      <c r="JY15" s="48"/>
      <c r="JZ15" s="48"/>
      <c r="KA15" s="48"/>
      <c r="KB15" s="48"/>
      <c r="KC15" s="48"/>
      <c r="KD15" s="48"/>
      <c r="KE15" s="48"/>
      <c r="KF15" s="48"/>
      <c r="KG15" s="48"/>
      <c r="KH15" s="48"/>
      <c r="KI15" s="48"/>
      <c r="KJ15" s="48"/>
      <c r="KK15" s="48"/>
      <c r="KL15" s="48"/>
      <c r="KM15" s="48"/>
      <c r="KN15" s="48"/>
      <c r="KO15" s="48"/>
      <c r="KP15" s="48"/>
      <c r="KQ15" s="48"/>
      <c r="KR15" s="48"/>
      <c r="KS15" s="48"/>
      <c r="KT15" s="48"/>
      <c r="KU15" s="48"/>
      <c r="KV15" s="48"/>
      <c r="KW15" s="48"/>
      <c r="KX15" s="48"/>
      <c r="KY15" s="48"/>
      <c r="KZ15" s="48"/>
      <c r="LA15" s="48"/>
      <c r="LB15" s="48"/>
      <c r="LC15" s="48"/>
      <c r="LD15" s="48"/>
      <c r="LE15" s="48"/>
      <c r="LF15" s="48"/>
      <c r="LG15" s="48"/>
      <c r="LH15" s="48"/>
      <c r="LI15" s="48"/>
      <c r="LJ15" s="48"/>
      <c r="LK15" s="48"/>
      <c r="LL15" s="48"/>
      <c r="LM15" s="48"/>
      <c r="LN15" s="48"/>
      <c r="LO15" s="46">
        <f t="shared" si="30"/>
        <v>0.52584059657926674</v>
      </c>
      <c r="LP15" s="47">
        <f t="shared" si="31"/>
        <v>0.80946577585975921</v>
      </c>
      <c r="LQ15" s="28"/>
      <c r="LR15" s="48"/>
      <c r="LS15" s="28"/>
      <c r="LT15" s="166">
        <v>9.1000000000000004E-3</v>
      </c>
      <c r="LU15" s="115">
        <f t="shared" si="70"/>
        <v>1.4753255730270041E-18</v>
      </c>
      <c r="LV15" s="157">
        <f t="shared" si="15"/>
        <v>0</v>
      </c>
      <c r="LW15" s="229" t="e">
        <f>LW14*(1+#REF!)</f>
        <v>#REF!</v>
      </c>
      <c r="LX15" s="158"/>
      <c r="LY15" s="129">
        <f t="shared" si="71"/>
        <v>35.001713830293738</v>
      </c>
      <c r="LZ15" s="130">
        <f t="shared" si="72"/>
        <v>-268.37005719451554</v>
      </c>
      <c r="MA15" s="28"/>
      <c r="MB15" s="115"/>
      <c r="MC15" s="394">
        <f t="shared" ref="MC15:MC46" si="177">-MB15*L15</f>
        <v>0</v>
      </c>
      <c r="MD15" s="157">
        <f t="shared" si="158"/>
        <v>-3224.3522337617264</v>
      </c>
      <c r="ME15" s="28"/>
      <c r="MF15" s="115"/>
      <c r="MG15" s="394">
        <f t="shared" ref="MG15:MG47" si="178">MC15*MH15/MD15</f>
        <v>0</v>
      </c>
      <c r="MH15" s="157">
        <f t="shared" si="159"/>
        <v>-125.33162439482604</v>
      </c>
      <c r="MI15" s="28"/>
      <c r="MJ15" s="104">
        <f t="shared" si="73"/>
        <v>1.7500000000000002E-2</v>
      </c>
      <c r="MK15" s="104">
        <f t="shared" si="74"/>
        <v>0.10284634612625973</v>
      </c>
      <c r="ML15" s="104">
        <f>MK15*(1+MT$7)</f>
        <v>0.10572133489867476</v>
      </c>
      <c r="MM15" s="104">
        <f>ML15*(1+MU$7)</f>
        <v>0.10876168224299068</v>
      </c>
      <c r="MN15" s="104">
        <f t="shared" si="33"/>
        <v>0.11193192828838799</v>
      </c>
      <c r="MO15" s="104">
        <f t="shared" si="34"/>
        <v>0.11523843585649836</v>
      </c>
      <c r="MP15" s="104">
        <f t="shared" si="35"/>
        <v>0.1186878946286926</v>
      </c>
      <c r="MQ15" s="28"/>
      <c r="MR15" s="28">
        <f t="shared" si="84"/>
        <v>68</v>
      </c>
      <c r="MS15" s="28">
        <f t="shared" si="85"/>
        <v>0.65707689293158289</v>
      </c>
      <c r="MT15" s="28">
        <f t="shared" si="86"/>
        <v>0.67039524446500787</v>
      </c>
      <c r="MU15" s="28">
        <f t="shared" si="87"/>
        <v>0.68393779915618036</v>
      </c>
      <c r="MV15" s="28">
        <f t="shared" si="88"/>
        <v>0.69770756630919284</v>
      </c>
      <c r="MW15" s="28">
        <f t="shared" si="89"/>
        <v>0.7117075854206808</v>
      </c>
      <c r="MX15" s="28">
        <f t="shared" si="90"/>
        <v>0.72594092638109464</v>
      </c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</row>
    <row r="16" spans="1:374" s="30" customFormat="1" ht="12.75" customHeight="1" x14ac:dyDescent="0.3">
      <c r="A16" s="305">
        <f t="shared" si="91"/>
        <v>2025</v>
      </c>
      <c r="B16" s="355">
        <f t="shared" si="1"/>
        <v>2023</v>
      </c>
      <c r="C16" s="26">
        <v>45108</v>
      </c>
      <c r="D16" s="96">
        <f t="shared" si="132"/>
        <v>10061.913580085449</v>
      </c>
      <c r="E16" s="27">
        <f t="shared" si="133"/>
        <v>10061.913580085449</v>
      </c>
      <c r="F16" s="111">
        <f t="shared" si="18"/>
        <v>366.109651185644</v>
      </c>
      <c r="G16" s="27">
        <f t="shared" si="134"/>
        <v>12066.263061180001</v>
      </c>
      <c r="H16" s="27">
        <f t="shared" si="135"/>
        <v>11704.275169344601</v>
      </c>
      <c r="I16" s="296">
        <f t="shared" si="136"/>
        <v>9948.6338939429115</v>
      </c>
      <c r="J16" s="69">
        <v>4723.8985620000003</v>
      </c>
      <c r="K16" s="297">
        <f t="shared" si="160"/>
        <v>5224.7353319429112</v>
      </c>
      <c r="L16" s="297">
        <f t="shared" si="137"/>
        <v>361.98789183540003</v>
      </c>
      <c r="M16" s="297">
        <f t="shared" si="161"/>
        <v>307.68970806009003</v>
      </c>
      <c r="N16" s="27">
        <f t="shared" si="162"/>
        <v>0</v>
      </c>
      <c r="O16" s="297">
        <f t="shared" si="138"/>
        <v>1755.6412754016901</v>
      </c>
      <c r="P16" s="297">
        <f t="shared" si="139"/>
        <v>54.298183775310001</v>
      </c>
      <c r="Q16" s="297">
        <f t="shared" si="140"/>
        <v>523.27199303600003</v>
      </c>
      <c r="R16" s="260">
        <f t="shared" si="2"/>
        <v>0.97</v>
      </c>
      <c r="S16" s="257">
        <v>0.03</v>
      </c>
      <c r="T16" s="290">
        <f t="shared" si="163"/>
        <v>7.2499999999999995E-2</v>
      </c>
      <c r="U16" s="290">
        <f t="shared" si="164"/>
        <v>7.2499999999999995E-2</v>
      </c>
      <c r="V16" s="27">
        <f t="shared" si="4"/>
        <v>56548.981088182591</v>
      </c>
      <c r="W16" s="27">
        <f t="shared" si="141"/>
        <v>56520.078786498379</v>
      </c>
      <c r="X16" s="27">
        <f t="shared" ref="X16:X44" si="179">X15*(1+U16)+(Z16+BQ16+BS16)*(1+U16)^0.5</f>
        <v>28.902301684213008</v>
      </c>
      <c r="Y16" s="27">
        <f t="shared" si="142"/>
        <v>1039.771971863966</v>
      </c>
      <c r="Z16" s="27">
        <f t="shared" ref="Z16:Z44" si="180">M16*$DT$37</f>
        <v>28.707449762006398</v>
      </c>
      <c r="AA16" s="115">
        <f t="shared" si="165"/>
        <v>7.0000000000000007E-2</v>
      </c>
      <c r="AB16" s="115">
        <f t="shared" si="166"/>
        <v>7.0000000000000007E-2</v>
      </c>
      <c r="AC16" s="96">
        <f t="shared" si="6"/>
        <v>58105.214992614041</v>
      </c>
      <c r="AD16" s="27">
        <f t="shared" si="143"/>
        <v>58075.517296549035</v>
      </c>
      <c r="AE16" s="27">
        <f t="shared" ref="AE16:AE44" si="181">X16*(1+$DT$56/100)^((U16-AB16)*100)*(1+$DT$59/100)^((((U16-AB16)*100)^2)/2)</f>
        <v>29.697696065005449</v>
      </c>
      <c r="AF16" s="150">
        <f t="shared" si="144"/>
        <v>1094.3861182183985</v>
      </c>
      <c r="AG16" s="27">
        <f>Z16*(1+$DT$58/100)^((U16-AB16)*100)</f>
        <v>30.215311971404226</v>
      </c>
      <c r="AH16" s="27">
        <f t="shared" si="167"/>
        <v>30625.324524160304</v>
      </c>
      <c r="AI16" s="27">
        <f t="shared" si="145"/>
        <v>30594.910756967627</v>
      </c>
      <c r="AJ16" s="27">
        <f t="shared" ref="AJ16:AJ44" si="182">AM16-FI16</f>
        <v>30.413767192676538</v>
      </c>
      <c r="AK16" s="27">
        <f t="shared" si="10"/>
        <v>29630.85176550793</v>
      </c>
      <c r="AL16" s="27">
        <f t="shared" si="168"/>
        <v>29600.565946633502</v>
      </c>
      <c r="AM16" s="27">
        <f>AM15*(1+AN16)+SUM(BQ16,BS16,BU16,BW16,BX16,CA16,CD16,CL16)*(1+AN16)^0.5</f>
        <v>30.285818874429115</v>
      </c>
      <c r="AN16" s="417">
        <f>INDEX(Inv.Returns!$B$2:$E$32,MATCH(B16,Inv.Returns!$A$2:$A$32,0),MATCH(SCRS!$DT$52,Inv.Returns!$B$1:$E$1,0))</f>
        <v>0.06</v>
      </c>
      <c r="AO16" s="27">
        <f t="shared" si="36"/>
        <v>27479.890468453737</v>
      </c>
      <c r="AP16" s="229">
        <f t="shared" si="11"/>
        <v>28474.363227106111</v>
      </c>
      <c r="AQ16" s="430">
        <f t="shared" si="19"/>
        <v>0.52706671041580688</v>
      </c>
      <c r="AR16" s="151">
        <f t="shared" si="20"/>
        <v>0.50995167592572221</v>
      </c>
      <c r="AS16" s="353"/>
      <c r="AT16" s="289">
        <f t="shared" si="94"/>
        <v>0.11018376962733177</v>
      </c>
      <c r="AU16" s="397">
        <f t="shared" si="169"/>
        <v>9.9400593584701089E-2</v>
      </c>
      <c r="AV16" s="303">
        <f t="shared" si="95"/>
        <v>0.16449971677677899</v>
      </c>
      <c r="AW16" s="303">
        <f t="shared" si="146"/>
        <v>-4.3402672662641729E-5</v>
      </c>
      <c r="AX16" s="115">
        <f t="shared" si="61"/>
        <v>0.09</v>
      </c>
      <c r="AY16" s="115">
        <f t="shared" si="147"/>
        <v>0.09</v>
      </c>
      <c r="AZ16" s="115">
        <f t="shared" si="148"/>
        <v>0</v>
      </c>
      <c r="BA16" s="262">
        <f t="shared" si="21"/>
        <v>2.0183769627331774E-2</v>
      </c>
      <c r="BB16" s="115">
        <f t="shared" si="170"/>
        <v>9.4005935847010919E-3</v>
      </c>
      <c r="BC16" s="133">
        <f t="shared" si="77"/>
        <v>0.18560000000000004</v>
      </c>
      <c r="BD16" s="133">
        <f t="shared" si="96"/>
        <v>0.18560000000000004</v>
      </c>
      <c r="BE16" s="410">
        <f t="shared" si="12"/>
        <v>0.16541623037266828</v>
      </c>
      <c r="BF16" s="410">
        <f t="shared" si="149"/>
        <v>0.17619940641529896</v>
      </c>
      <c r="BG16" s="410">
        <f t="shared" si="171"/>
        <v>0.13560000000000005</v>
      </c>
      <c r="BH16" s="410">
        <f t="shared" si="23"/>
        <v>0.18560000000000004</v>
      </c>
      <c r="BI16" s="157">
        <f t="shared" si="37"/>
        <v>14.181966295869186</v>
      </c>
      <c r="BJ16" s="104">
        <f t="shared" si="38"/>
        <v>3.8834951456310662E-2</v>
      </c>
      <c r="BK16" s="27">
        <f t="shared" si="62"/>
        <v>19.826271372473407</v>
      </c>
      <c r="BL16" s="27">
        <f t="shared" si="14"/>
        <v>23</v>
      </c>
      <c r="BM16" s="111">
        <f t="shared" si="26"/>
        <v>17.701964375424982</v>
      </c>
      <c r="BN16" s="27"/>
      <c r="BO16" s="98">
        <f>BI13*BJ13</f>
        <v>0.61433768754569595</v>
      </c>
      <c r="BP16" s="96">
        <f t="shared" si="172"/>
        <v>-3324.0792972478416</v>
      </c>
      <c r="BQ16" s="27">
        <f t="shared" ref="BQ16:BQ44" si="183">-MB16*M16</f>
        <v>-0.7692242701502251</v>
      </c>
      <c r="BR16" s="27">
        <f t="shared" si="173"/>
        <v>-129.20804792323776</v>
      </c>
      <c r="BS16" s="27">
        <f t="shared" ref="BS16:BS42" si="184">BQ16*BR16/BP16</f>
        <v>-2.989999860820932E-2</v>
      </c>
      <c r="BT16" s="27">
        <f t="shared" si="150"/>
        <v>-11.938360672731493</v>
      </c>
      <c r="BU16" s="27">
        <f t="shared" ref="BU16:BU44" si="185">-$DT$38*M16</f>
        <v>-0.36922764967210803</v>
      </c>
      <c r="BV16" s="304">
        <f t="shared" si="151"/>
        <v>895.377050454862</v>
      </c>
      <c r="BW16" s="304">
        <f t="shared" ref="BW16:BW42" si="186">AY14*M16</f>
        <v>27.6920737254081</v>
      </c>
      <c r="BX16" s="304">
        <f t="shared" ref="BX16:BX42" si="187">AZ14*M16</f>
        <v>0</v>
      </c>
      <c r="BY16" s="304">
        <f t="shared" si="152"/>
        <v>47.094479373239999</v>
      </c>
      <c r="BZ16" s="304">
        <f t="shared" si="78"/>
        <v>210.94742843626818</v>
      </c>
      <c r="CA16" s="304">
        <f t="shared" ref="CA16:CA42" si="188">AU14*M16-BW16</f>
        <v>2.8924658956682343</v>
      </c>
      <c r="CB16" s="304">
        <f>IF(OR(AND($DT$69="Statutory",$DT$71="No"),AND($DT$69="Statutory",$DT$71="Yes",AQ15&lt;100%),B16&lt;2022), BE14*I16, AV14*(G16+Q16))</f>
        <v>1957.2411068190756</v>
      </c>
      <c r="CC16" s="304">
        <f t="shared" ref="CC16:CC44" si="189">IF(OR(AND($DT$69="Statutory",$DT$71="No"),AND($DT$69="Statutory",$DT$71="Yes",AQ15&lt;100%)), BF14*M16, 0)</f>
        <v>0</v>
      </c>
      <c r="CD16" s="304">
        <f t="shared" ref="CD16:CD44" si="190">IF(OR(AND($DT$70="Statutory",$DT$71="No"),AND($DT$70="Statutory",$DT$71="Yes",AQ15&lt;100%)), 0, MAX(-CA16-BZ16-CB16,AW14*L16-BX16))</f>
        <v>0</v>
      </c>
      <c r="CE16" s="304"/>
      <c r="CF16" s="304">
        <f t="shared" si="174"/>
        <v>0</v>
      </c>
      <c r="CG16" s="304">
        <f t="shared" si="153"/>
        <v>0</v>
      </c>
      <c r="CH16" s="304">
        <f t="shared" si="175"/>
        <v>0</v>
      </c>
      <c r="CI16" s="27"/>
      <c r="CJ16" s="27">
        <f t="shared" si="39"/>
        <v>0</v>
      </c>
      <c r="CK16" s="27">
        <f t="shared" si="40"/>
        <v>0</v>
      </c>
      <c r="CL16" s="27">
        <f t="shared" si="41"/>
        <v>0</v>
      </c>
      <c r="CM16" s="27">
        <f t="shared" si="42"/>
        <v>3141.2446047045223</v>
      </c>
      <c r="CN16" s="27">
        <f t="shared" si="43"/>
        <v>0</v>
      </c>
      <c r="CO16" s="111">
        <f t="shared" si="3"/>
        <v>3141.2446047045223</v>
      </c>
      <c r="CP16" s="27">
        <f t="shared" si="154"/>
        <v>1957.2411068190756</v>
      </c>
      <c r="CQ16" s="27">
        <f t="shared" si="155"/>
        <v>0</v>
      </c>
      <c r="CR16" s="27">
        <f t="shared" si="176"/>
        <v>1957.2411068190756</v>
      </c>
      <c r="CS16" s="27">
        <f>SUM($CR$14:CR16)</f>
        <v>5160.8744361812487</v>
      </c>
      <c r="CT16" s="229">
        <v>1643.2925387436217</v>
      </c>
      <c r="CU16" s="425">
        <v>319.21495804975291</v>
      </c>
      <c r="CV16" s="425">
        <v>1962.5074967933747</v>
      </c>
      <c r="CW16" s="425">
        <v>5339.0721969820652</v>
      </c>
      <c r="CX16" s="107">
        <f t="shared" si="44"/>
        <v>90.496972958850009</v>
      </c>
      <c r="CY16" s="115">
        <f t="shared" si="92"/>
        <v>0.17963951522995297</v>
      </c>
      <c r="CZ16" s="96">
        <f t="shared" si="45"/>
        <v>2261.5779741098622</v>
      </c>
      <c r="DA16" s="418">
        <f t="shared" si="46"/>
        <v>2163.141515519264</v>
      </c>
      <c r="DB16" s="314">
        <f t="shared" si="47"/>
        <v>1751.1677277524032</v>
      </c>
      <c r="DC16" s="314">
        <f t="shared" si="48"/>
        <v>191.32518755886036</v>
      </c>
      <c r="DD16" s="314">
        <f t="shared" si="49"/>
        <v>0</v>
      </c>
      <c r="DE16" s="314">
        <f t="shared" si="50"/>
        <v>40358.683244617379</v>
      </c>
      <c r="DF16" s="314" t="b">
        <f t="shared" si="63"/>
        <v>0</v>
      </c>
      <c r="DG16" s="27">
        <f t="shared" si="51"/>
        <v>90.496972958850009</v>
      </c>
      <c r="DH16" s="100">
        <f t="shared" si="52"/>
        <v>80.96875645656938</v>
      </c>
      <c r="DI16" s="105">
        <f t="shared" si="53"/>
        <v>5.2796634193451507E-2</v>
      </c>
      <c r="DJ16" s="96">
        <f t="shared" si="54"/>
        <v>0</v>
      </c>
      <c r="DK16" s="100">
        <f t="shared" si="55"/>
        <v>0</v>
      </c>
      <c r="DL16" s="105">
        <f t="shared" si="56"/>
        <v>0</v>
      </c>
      <c r="DM16" s="299">
        <v>2210.7223555203304</v>
      </c>
      <c r="DN16" s="100">
        <f t="shared" si="57"/>
        <v>2114.499416450481</v>
      </c>
      <c r="DO16" s="301">
        <v>0.55333232965782631</v>
      </c>
      <c r="DP16" s="29"/>
      <c r="DQ16" s="28"/>
      <c r="DR16" s="28"/>
      <c r="DS16" s="28"/>
      <c r="DT16" s="28"/>
      <c r="DU16" s="29"/>
      <c r="DV16" s="327"/>
      <c r="DW16" s="328"/>
      <c r="DX16" s="328"/>
      <c r="DY16" s="328"/>
      <c r="DZ16" s="328"/>
      <c r="EA16" s="328"/>
      <c r="EB16" s="328"/>
      <c r="EC16" s="328"/>
      <c r="ED16" s="328"/>
      <c r="EE16" s="328"/>
      <c r="EF16" s="328"/>
      <c r="EG16" s="328"/>
      <c r="EH16" s="329"/>
      <c r="EI16" s="330"/>
      <c r="EJ16" s="339">
        <f t="shared" si="64"/>
        <v>0.16541623037266828</v>
      </c>
      <c r="EK16" s="339">
        <f t="shared" si="58"/>
        <v>2.0183769627331774E-2</v>
      </c>
      <c r="EL16" s="339" t="e">
        <f t="shared" si="65"/>
        <v>#DIV/0!</v>
      </c>
      <c r="EM16" s="339">
        <f t="shared" si="59"/>
        <v>0</v>
      </c>
      <c r="EN16" s="339">
        <v>0.18560000000000004</v>
      </c>
      <c r="EO16" s="339">
        <v>0.15087244101547864</v>
      </c>
      <c r="EP16" s="340" t="e">
        <f t="shared" si="66"/>
        <v>#DIV/0!</v>
      </c>
      <c r="EQ16" s="283"/>
      <c r="ER16" s="30">
        <v>7</v>
      </c>
      <c r="ES16" s="29">
        <f t="shared" si="79"/>
        <v>1966.4514791301237</v>
      </c>
      <c r="ET16" s="29">
        <f t="shared" si="80"/>
        <v>1685.6847794404905</v>
      </c>
      <c r="EU16" s="29">
        <f t="shared" si="67"/>
        <v>-280.76669968963324</v>
      </c>
      <c r="EV16" s="29">
        <f t="shared" si="68"/>
        <v>-224.61335975170658</v>
      </c>
      <c r="EW16" s="29">
        <f t="shared" si="81"/>
        <v>-160.89966259540785</v>
      </c>
      <c r="EX16" s="29">
        <f t="shared" si="93"/>
        <v>-129.21216148701251</v>
      </c>
      <c r="EY16" s="29">
        <f t="shared" si="97"/>
        <v>-479.61962649999998</v>
      </c>
      <c r="EZ16" s="29">
        <f t="shared" si="69"/>
        <v>-994.34481033412692</v>
      </c>
      <c r="FA16" s="29"/>
      <c r="FB16" s="29">
        <f>AB15*AM15+SUM(BQ16,BS16,BU16,BW16,BX16,CA16,CD16,CL16)*AB15/2</f>
        <v>1.0295665695926028</v>
      </c>
      <c r="FC16" s="29">
        <f>AM16-AM15-SUM(BQ16,BS16,BU16,BW16,BX16,CA16,CD16,CL16)</f>
        <v>0.86963117178332183</v>
      </c>
      <c r="FD16" s="29">
        <f t="shared" ref="FD16:FD42" si="191">FC16-FB16</f>
        <v>-0.15993539780928101</v>
      </c>
      <c r="FE16" s="29">
        <f t="shared" ref="FE16:FE42" si="192">FD16*4/5</f>
        <v>-0.12794831824742481</v>
      </c>
      <c r="FF16" s="29">
        <f t="shared" ref="FF16:FF42" si="193">FE15*(3/4)</f>
        <v>0</v>
      </c>
      <c r="FG16" s="29">
        <f t="shared" ref="FG16:FG42" si="194">FF15*(2/3)</f>
        <v>0</v>
      </c>
      <c r="FH16" s="29">
        <f t="shared" ref="FH16:FH42" si="195">FG15*(1/2)</f>
        <v>0</v>
      </c>
      <c r="FI16" s="29">
        <f t="shared" ref="FI16:FI42" si="196">SUM(FE16:FH16)</f>
        <v>-0.12794831824742481</v>
      </c>
      <c r="FJ16" s="29"/>
      <c r="FK16" s="29"/>
      <c r="FL16" s="27">
        <f t="shared" si="24"/>
        <v>26829.036144928003</v>
      </c>
      <c r="FM16" s="29"/>
      <c r="FN16" s="308">
        <f t="shared" si="156"/>
        <v>1957.2411068190754</v>
      </c>
      <c r="FO16" s="93">
        <f t="shared" ref="FO16:FO42" si="197">SUM(JV15:LA15)</f>
        <v>0</v>
      </c>
      <c r="FP16" s="27">
        <f t="shared" si="82"/>
        <v>20</v>
      </c>
      <c r="FQ16" s="309">
        <f t="shared" si="27"/>
        <v>13.512970250241354</v>
      </c>
      <c r="FR16" s="93">
        <f t="shared" si="60"/>
        <v>1985.428491892729</v>
      </c>
      <c r="FS16" s="93">
        <f t="shared" ref="FS16:FS44" si="198">FN16+FO16</f>
        <v>1957.2411068190754</v>
      </c>
      <c r="FT16" s="29">
        <f t="shared" si="83"/>
        <v>20</v>
      </c>
      <c r="FU16" s="142">
        <f t="shared" si="28"/>
        <v>13.512970250241354</v>
      </c>
      <c r="FV16" s="48">
        <v>1658.7487651789693</v>
      </c>
      <c r="FW16" s="29">
        <f t="shared" si="98"/>
        <v>798.12380803811538</v>
      </c>
      <c r="FX16" s="29">
        <f t="shared" si="157"/>
        <v>786.36698923559345</v>
      </c>
      <c r="FY16" s="29">
        <f t="shared" si="99"/>
        <v>598.19514077701888</v>
      </c>
      <c r="FZ16" s="29">
        <f t="shared" si="99"/>
        <v>25297.920601530681</v>
      </c>
      <c r="GA16" s="29">
        <f t="shared" si="99"/>
        <v>0</v>
      </c>
      <c r="GB16" s="29">
        <f t="shared" si="99"/>
        <v>0</v>
      </c>
      <c r="GC16" s="29">
        <f t="shared" si="99"/>
        <v>0</v>
      </c>
      <c r="GD16" s="29">
        <f t="shared" si="99"/>
        <v>0</v>
      </c>
      <c r="GE16" s="29">
        <f t="shared" si="99"/>
        <v>0</v>
      </c>
      <c r="GF16" s="29">
        <f t="shared" si="99"/>
        <v>0</v>
      </c>
      <c r="GG16" s="29">
        <f t="shared" si="99"/>
        <v>0</v>
      </c>
      <c r="GH16" s="29">
        <f t="shared" si="99"/>
        <v>0</v>
      </c>
      <c r="GI16" s="29">
        <f t="shared" si="99"/>
        <v>0</v>
      </c>
      <c r="GJ16" s="29">
        <f t="shared" si="99"/>
        <v>0</v>
      </c>
      <c r="GK16" s="29">
        <f t="shared" si="99"/>
        <v>0</v>
      </c>
      <c r="GL16" s="29">
        <f t="shared" si="99"/>
        <v>0</v>
      </c>
      <c r="GM16" s="29">
        <f t="shared" si="99"/>
        <v>0</v>
      </c>
      <c r="GN16" s="29">
        <f t="shared" si="99"/>
        <v>0</v>
      </c>
      <c r="GO16" s="29">
        <f t="shared" si="99"/>
        <v>0</v>
      </c>
      <c r="GP16" s="29">
        <f t="shared" si="99"/>
        <v>0</v>
      </c>
      <c r="GQ16" s="29">
        <f t="shared" si="99"/>
        <v>0</v>
      </c>
      <c r="GR16" s="29">
        <f t="shared" si="99"/>
        <v>0</v>
      </c>
      <c r="GS16" s="29">
        <f t="shared" si="99"/>
        <v>0</v>
      </c>
      <c r="GT16" s="29">
        <f t="shared" si="99"/>
        <v>0</v>
      </c>
      <c r="GU16" s="29">
        <f t="shared" si="99"/>
        <v>0</v>
      </c>
      <c r="GV16" s="29">
        <f t="shared" si="99"/>
        <v>0</v>
      </c>
      <c r="GW16" s="29">
        <f t="shared" si="99"/>
        <v>0</v>
      </c>
      <c r="GX16" s="29">
        <f t="shared" si="99"/>
        <v>0</v>
      </c>
      <c r="GY16" s="29">
        <f t="shared" si="99"/>
        <v>0</v>
      </c>
      <c r="GZ16" s="29">
        <f t="shared" si="99"/>
        <v>0</v>
      </c>
      <c r="HA16" s="29">
        <f t="shared" si="99"/>
        <v>0</v>
      </c>
      <c r="HB16" s="29">
        <f t="shared" si="99"/>
        <v>0</v>
      </c>
      <c r="HC16" s="29"/>
      <c r="HD16" s="29">
        <f t="shared" si="29"/>
        <v>20</v>
      </c>
      <c r="HE16" s="29">
        <f t="shared" si="100"/>
        <v>0</v>
      </c>
      <c r="HF16" s="29">
        <f t="shared" si="101"/>
        <v>57.022866524584522</v>
      </c>
      <c r="HG16" s="29">
        <f t="shared" si="102"/>
        <v>44.903986302135948</v>
      </c>
      <c r="HH16" s="29">
        <f t="shared" si="103"/>
        <v>1971.0543537215112</v>
      </c>
      <c r="HI16" s="29">
        <f t="shared" si="104"/>
        <v>0</v>
      </c>
      <c r="HJ16" s="29">
        <f t="shared" si="105"/>
        <v>0</v>
      </c>
      <c r="HK16" s="29">
        <f t="shared" si="106"/>
        <v>0</v>
      </c>
      <c r="HL16" s="29">
        <f t="shared" si="107"/>
        <v>0</v>
      </c>
      <c r="HM16" s="29">
        <f t="shared" si="108"/>
        <v>0</v>
      </c>
      <c r="HN16" s="29">
        <f t="shared" si="109"/>
        <v>0</v>
      </c>
      <c r="HO16" s="29">
        <f t="shared" si="110"/>
        <v>0</v>
      </c>
      <c r="HP16" s="29">
        <f t="shared" si="111"/>
        <v>0</v>
      </c>
      <c r="HQ16" s="29">
        <f t="shared" si="112"/>
        <v>0</v>
      </c>
      <c r="HR16" s="29">
        <f t="shared" si="113"/>
        <v>0</v>
      </c>
      <c r="HS16" s="29">
        <f t="shared" si="114"/>
        <v>0</v>
      </c>
      <c r="HT16" s="29">
        <f t="shared" si="115"/>
        <v>0</v>
      </c>
      <c r="HU16" s="29">
        <f t="shared" si="116"/>
        <v>0</v>
      </c>
      <c r="HV16" s="29">
        <f t="shared" si="117"/>
        <v>0</v>
      </c>
      <c r="HW16" s="29">
        <f t="shared" si="118"/>
        <v>0</v>
      </c>
      <c r="HX16" s="29">
        <f t="shared" si="119"/>
        <v>0</v>
      </c>
      <c r="HY16" s="29">
        <f t="shared" si="120"/>
        <v>0</v>
      </c>
      <c r="HZ16" s="29">
        <f t="shared" si="121"/>
        <v>0</v>
      </c>
      <c r="IA16" s="29">
        <f t="shared" si="122"/>
        <v>0</v>
      </c>
      <c r="IB16" s="29">
        <f t="shared" si="123"/>
        <v>0</v>
      </c>
      <c r="IC16" s="29">
        <f t="shared" si="124"/>
        <v>0</v>
      </c>
      <c r="ID16" s="29">
        <f t="shared" si="125"/>
        <v>0</v>
      </c>
      <c r="IE16" s="29">
        <f t="shared" si="126"/>
        <v>0</v>
      </c>
      <c r="IF16" s="29">
        <f t="shared" si="127"/>
        <v>0</v>
      </c>
      <c r="IG16" s="29">
        <f t="shared" si="128"/>
        <v>0</v>
      </c>
      <c r="IH16" s="29">
        <f t="shared" si="129"/>
        <v>0</v>
      </c>
      <c r="II16" s="29">
        <f t="shared" si="130"/>
        <v>0</v>
      </c>
      <c r="IJ16" s="29">
        <f t="shared" si="131"/>
        <v>0</v>
      </c>
      <c r="IK16" s="48"/>
      <c r="IL16" s="48"/>
      <c r="IM16" s="48"/>
      <c r="IN16" s="29">
        <f t="shared" ref="IN16:IN44" si="199">AE16-AJ16-SUM(IO16:JS16)</f>
        <v>-0.71607112767108916</v>
      </c>
      <c r="IO16" s="29">
        <f>IF(AND($AQ16&gt;=100%,$AQ15&lt;100%),0,IN15*(1+$AB15) - JV15*(1+$AB15)^0.5)</f>
        <v>0</v>
      </c>
      <c r="IP16" s="29">
        <f t="shared" ref="IP16:JS24" si="200">IF(AND($AQ16&gt;=100%,$AQ15&lt;100%),0,IO15*(1+$AB15) - JW15*(1+$AB15)^0.5)</f>
        <v>0</v>
      </c>
      <c r="IQ16" s="29">
        <f t="shared" si="200"/>
        <v>0</v>
      </c>
      <c r="IR16" s="29">
        <f t="shared" si="200"/>
        <v>0</v>
      </c>
      <c r="IS16" s="29">
        <f t="shared" si="200"/>
        <v>0</v>
      </c>
      <c r="IT16" s="29">
        <f t="shared" si="200"/>
        <v>0</v>
      </c>
      <c r="IU16" s="29">
        <f t="shared" si="200"/>
        <v>0</v>
      </c>
      <c r="IV16" s="29">
        <f t="shared" si="200"/>
        <v>0</v>
      </c>
      <c r="IW16" s="29">
        <f t="shared" si="200"/>
        <v>0</v>
      </c>
      <c r="IX16" s="29">
        <f t="shared" si="200"/>
        <v>0</v>
      </c>
      <c r="IY16" s="29">
        <f t="shared" si="200"/>
        <v>0</v>
      </c>
      <c r="IZ16" s="29">
        <f t="shared" si="200"/>
        <v>0</v>
      </c>
      <c r="JA16" s="29">
        <f t="shared" si="200"/>
        <v>0</v>
      </c>
      <c r="JB16" s="29">
        <f t="shared" si="200"/>
        <v>0</v>
      </c>
      <c r="JC16" s="29">
        <f t="shared" si="200"/>
        <v>0</v>
      </c>
      <c r="JD16" s="29">
        <f t="shared" si="200"/>
        <v>0</v>
      </c>
      <c r="JE16" s="29">
        <f t="shared" si="200"/>
        <v>0</v>
      </c>
      <c r="JF16" s="29">
        <f t="shared" si="200"/>
        <v>0</v>
      </c>
      <c r="JG16" s="29">
        <f t="shared" si="200"/>
        <v>0</v>
      </c>
      <c r="JH16" s="29">
        <f t="shared" si="200"/>
        <v>0</v>
      </c>
      <c r="JI16" s="29">
        <f t="shared" si="200"/>
        <v>0</v>
      </c>
      <c r="JJ16" s="29">
        <f t="shared" si="200"/>
        <v>0</v>
      </c>
      <c r="JK16" s="29">
        <f t="shared" si="200"/>
        <v>0</v>
      </c>
      <c r="JL16" s="29">
        <f t="shared" si="200"/>
        <v>0</v>
      </c>
      <c r="JM16" s="29">
        <f t="shared" si="200"/>
        <v>0</v>
      </c>
      <c r="JN16" s="29">
        <f t="shared" si="200"/>
        <v>0</v>
      </c>
      <c r="JO16" s="29">
        <f t="shared" si="200"/>
        <v>0</v>
      </c>
      <c r="JP16" s="29">
        <f t="shared" si="200"/>
        <v>0</v>
      </c>
      <c r="JQ16" s="29">
        <f t="shared" si="200"/>
        <v>0</v>
      </c>
      <c r="JR16" s="29">
        <f t="shared" si="200"/>
        <v>0</v>
      </c>
      <c r="JS16" s="29">
        <f t="shared" si="200"/>
        <v>0</v>
      </c>
      <c r="JT16" s="48"/>
      <c r="JU16" s="401">
        <f t="shared" ref="JU16:JU44" si="201">$DT$66</f>
        <v>20</v>
      </c>
      <c r="JV16" s="29">
        <f t="shared" ref="JV16:JV44" si="202">IF(JV$3&lt;2,0,IN16/(  -PV((((   1+$AB16   )/(   1+$DT$68   ))-1),   MAX($JU16- JV$3 + 2,1),1,0,1)/((   1+$AB16   )^0.5)   ))</f>
        <v>0</v>
      </c>
      <c r="JW16" s="29">
        <f t="shared" ref="JW16:JW44" si="203">IF(JW$3&lt;2,0,IO16/(  -PV((((   1+$AB16   )/(   1+$DT$68   ))-1),   MAX($JU16- JW$3 + 2,1),1,0,1)/((   1+$AB16   )^0.5)   ))</f>
        <v>0</v>
      </c>
      <c r="JX16" s="29">
        <f t="shared" ref="JX16:JX44" si="204">IF(JX$3&lt;2,0,IP16/(  -PV((((   1+$AB16   )/(   1+$DT$68   ))-1),   MAX($JU16- JX$3 + 2,1),1,0,1)/((   1+$AB16   )^0.5)   ))</f>
        <v>0</v>
      </c>
      <c r="JY16" s="29">
        <f t="shared" ref="JY16:JY44" si="205">IF(JY$3&lt;2,0,IQ16/(  -PV((((   1+$AB16   )/(   1+$DT$68   ))-1),   MAX($JU16- JY$3 + 2,1),1,0,1)/((   1+$AB16   )^0.5)   ))</f>
        <v>0</v>
      </c>
      <c r="JZ16" s="29">
        <f t="shared" ref="JZ16:JZ44" si="206">IF(JZ$3&lt;2,0,IR16/(  -PV((((   1+$AB16   )/(   1+$DT$68   ))-1),   MAX($JU16- JZ$3 + 2,1),1,0,1)/((   1+$AB16   )^0.5)   ))</f>
        <v>0</v>
      </c>
      <c r="KA16" s="29">
        <f t="shared" ref="KA16:KA44" si="207">IF(KA$3&lt;2,0,IS16/(  -PV((((   1+$AB16   )/(   1+$DT$68   ))-1),   MAX($JU16- KA$3 + 2,1),1,0,1)/((   1+$AB16   )^0.5)   ))</f>
        <v>0</v>
      </c>
      <c r="KB16" s="29">
        <f t="shared" ref="KB16:KB44" si="208">IF(KB$3&lt;2,0,IT16/(  -PV((((   1+$AB16   )/(   1+$DT$68   ))-1),   MAX($JU16- KB$3 + 2,1),1,0,1)/((   1+$AB16   )^0.5)   ))</f>
        <v>0</v>
      </c>
      <c r="KC16" s="29">
        <f t="shared" ref="KC16:KC44" si="209">IF(KC$3&lt;2,0,IU16/(  -PV((((   1+$AB16   )/(   1+$DT$68   ))-1),   MAX($JU16- KC$3 + 2,1),1,0,1)/((   1+$AB16   )^0.5)   ))</f>
        <v>0</v>
      </c>
      <c r="KD16" s="29">
        <f t="shared" ref="KD16:KD44" si="210">IF(KD$3&lt;2,0,IV16/(  -PV((((   1+$AB16   )/(   1+$DT$68   ))-1),   MAX($JU16- KD$3 + 2,1),1,0,1)/((   1+$AB16   )^0.5)   ))</f>
        <v>0</v>
      </c>
      <c r="KE16" s="29">
        <f t="shared" ref="KE16:KE44" si="211">IF(KE$3&lt;2,0,IW16/(  -PV((((   1+$AB16   )/(   1+$DT$68   ))-1),   MAX($JU16- KE$3 + 2,1),1,0,1)/((   1+$AB16   )^0.5)   ))</f>
        <v>0</v>
      </c>
      <c r="KF16" s="29">
        <f t="shared" ref="KF16:KF44" si="212">IF(KF$3&lt;2,0,IX16/(  -PV((((   1+$AB16   )/(   1+$DT$68   ))-1),   MAX($JU16- KF$3 + 2,1),1,0,1)/((   1+$AB16   )^0.5)   ))</f>
        <v>0</v>
      </c>
      <c r="KG16" s="29">
        <f t="shared" ref="KG16:KG44" si="213">IF(KG$3&lt;2,0,IY16/(  -PV((((   1+$AB16   )/(   1+$DT$68   ))-1),   MAX($JU16- KG$3 + 2,1),1,0,1)/((   1+$AB16   )^0.5)   ))</f>
        <v>0</v>
      </c>
      <c r="KH16" s="29">
        <f t="shared" ref="KH16:KH44" si="214">IF(KH$3&lt;2,0,IZ16/(  -PV((((   1+$AB16   )/(   1+$DT$68   ))-1),   MAX($JU16- KH$3 + 2,1),1,0,1)/((   1+$AB16   )^0.5)   ))</f>
        <v>0</v>
      </c>
      <c r="KI16" s="29">
        <f t="shared" ref="KI16:KI44" si="215">IF(KI$3&lt;2,0,JA16/(  -PV((((   1+$AB16   )/(   1+$DT$68   ))-1),   MAX($JU16- KI$3 + 2,1),1,0,1)/((   1+$AB16   )^0.5)   ))</f>
        <v>0</v>
      </c>
      <c r="KJ16" s="29">
        <f t="shared" ref="KJ16:KJ44" si="216">IF(KJ$3&lt;2,0,JB16/(  -PV((((   1+$AB16   )/(   1+$DT$68   ))-1),   MAX($JU16- KJ$3 + 2,1),1,0,1)/((   1+$AB16   )^0.5)   ))</f>
        <v>0</v>
      </c>
      <c r="KK16" s="29">
        <f t="shared" ref="KK16:KK44" si="217">IF(KK$3&lt;2,0,JC16/(  -PV((((   1+$AB16   )/(   1+$DT$68   ))-1),   MAX($JU16- KK$3 + 2,1),1,0,1)/((   1+$AB16   )^0.5)   ))</f>
        <v>0</v>
      </c>
      <c r="KL16" s="29">
        <f t="shared" ref="KL16:KL44" si="218">IF(KL$3&lt;2,0,JD16/(  -PV((((   1+$AB16   )/(   1+$DT$68   ))-1),   MAX($JU16- KL$3 + 2,1),1,0,1)/((   1+$AB16   )^0.5)   ))</f>
        <v>0</v>
      </c>
      <c r="KM16" s="29">
        <f t="shared" ref="KM16:KM44" si="219">IF(KM$3&lt;2,0,JE16/(  -PV((((   1+$AB16   )/(   1+$DT$68   ))-1),   MAX($JU16- KM$3 + 2,1),1,0,1)/((   1+$AB16   )^0.5)   ))</f>
        <v>0</v>
      </c>
      <c r="KN16" s="29">
        <f t="shared" ref="KN16:KN44" si="220">IF(KN$3&lt;2,0,JF16/(  -PV((((   1+$AB16   )/(   1+$DT$68   ))-1),   MAX($JU16- KN$3 + 2,1),1,0,1)/((   1+$AB16   )^0.5)   ))</f>
        <v>0</v>
      </c>
      <c r="KO16" s="29">
        <f t="shared" ref="KO16:KO44" si="221">IF(KO$3&lt;2,0,JG16/(  -PV((((   1+$AB16   )/(   1+$DT$68   ))-1),   MAX($JU16- KO$3 + 2,1),1,0,1)/((   1+$AB16   )^0.5)   ))</f>
        <v>0</v>
      </c>
      <c r="KP16" s="29">
        <f t="shared" ref="KP16:KP44" si="222">IF(KP$3&lt;2,0,JH16/(  -PV((((   1+$AB16   )/(   1+$DT$68   ))-1),   MAX($JU16- KP$3 + 2,1),1,0,1)/((   1+$AB16   )^0.5)   ))</f>
        <v>0</v>
      </c>
      <c r="KQ16" s="29">
        <f t="shared" ref="KQ16:KQ44" si="223">IF(KQ$3&lt;2,0,JI16/(  -PV((((   1+$AB16   )/(   1+$DT$68   ))-1),   MAX($JU16- KQ$3 + 2,1),1,0,1)/((   1+$AB16   )^0.5)   ))</f>
        <v>0</v>
      </c>
      <c r="KR16" s="29">
        <f t="shared" ref="KR16:KR44" si="224">IF(KR$3&lt;2,0,JJ16/(  -PV((((   1+$AB16   )/(   1+$DT$68   ))-1),   MAX($JU16- KR$3 + 2,1),1,0,1)/((   1+$AB16   )^0.5)   ))</f>
        <v>0</v>
      </c>
      <c r="KS16" s="29">
        <f t="shared" ref="KS16:KS44" si="225">IF(KS$3&lt;2,0,JK16/(  -PV((((   1+$AB16   )/(   1+$DT$68   ))-1),   MAX($JU16- KS$3 + 2,1),1,0,1)/((   1+$AB16   )^0.5)   ))</f>
        <v>0</v>
      </c>
      <c r="KT16" s="29">
        <f t="shared" ref="KT16:KT44" si="226">IF(KT$3&lt;2,0,JL16/(  -PV((((   1+$AB16   )/(   1+$DT$68   ))-1),   MAX($JU16- KT$3 + 2,1),1,0,1)/((   1+$AB16   )^0.5)   ))</f>
        <v>0</v>
      </c>
      <c r="KU16" s="29">
        <f t="shared" ref="KU16:KU44" si="227">IF(KU$3&lt;2,0,JM16/(  -PV((((   1+$AB16   )/(   1+$DT$68   ))-1),   MAX($JU16- KU$3 + 2,1),1,0,1)/((   1+$AB16   )^0.5)   ))</f>
        <v>0</v>
      </c>
      <c r="KV16" s="29">
        <f t="shared" ref="KV16:KV44" si="228">IF(KV$3&lt;2,0,JN16/(  -PV((((   1+$AB16   )/(   1+$DT$68   ))-1),   MAX($JU16- KV$3 + 2,1),1,0,1)/((   1+$AB16   )^0.5)   ))</f>
        <v>0</v>
      </c>
      <c r="KW16" s="29">
        <f t="shared" ref="KW16:KW44" si="229">IF(KW$3&lt;2,0,JO16/(  -PV((((   1+$AB16   )/(   1+$DT$68   ))-1),   MAX($JU16- KW$3 + 2,1),1,0,1)/((   1+$AB16   )^0.5)   ))</f>
        <v>0</v>
      </c>
      <c r="KX16" s="29">
        <f t="shared" ref="KX16:KX44" si="230">IF(KX$3&lt;2,0,JP16/(  -PV((((   1+$AB16   )/(   1+$DT$68   ))-1),   MAX($JU16- KX$3 + 2,1),1,0,1)/((   1+$AB16   )^0.5)   ))</f>
        <v>0</v>
      </c>
      <c r="KY16" s="29">
        <f t="shared" ref="KY16:KY44" si="231">IF(KY$3&lt;2,0,JQ16/(  -PV((((   1+$AB16   )/(   1+$DT$68   ))-1),   MAX($JU16- KY$3 + 2,1),1,0,1)/((   1+$AB16   )^0.5)   ))</f>
        <v>0</v>
      </c>
      <c r="KZ16" s="29">
        <f t="shared" ref="KZ16:KZ44" si="232">IF(KZ$3&lt;2,0,JR16/(  -PV((((   1+$AB16   )/(   1+$DT$68   ))-1),   MAX($JU16- KZ$3 + 2,1),1,0,1)/((   1+$AB16   )^0.5)   ))</f>
        <v>0</v>
      </c>
      <c r="LA16" s="29">
        <f t="shared" ref="LA16:LA44" si="233">IF(LA$3&lt;2,0,JS16/(  -PV((((   1+$AB16   )/(   1+$DT$68   ))-1),   MAX($JU16- LA$3 + 2,1),1,0,1)/((   1+$AB16   )^0.5)   ))</f>
        <v>0</v>
      </c>
      <c r="LB16" s="48"/>
      <c r="LC16" s="48"/>
      <c r="LD16" s="48"/>
      <c r="LE16" s="48"/>
      <c r="LF16" s="48"/>
      <c r="LG16" s="48"/>
      <c r="LH16" s="48"/>
      <c r="LI16" s="48"/>
      <c r="LJ16" s="48"/>
      <c r="LK16" s="48"/>
      <c r="LL16" s="48"/>
      <c r="LM16" s="48"/>
      <c r="LN16" s="48"/>
      <c r="LO16" s="46">
        <f t="shared" si="30"/>
        <v>0.49143980988716512</v>
      </c>
      <c r="LP16" s="47">
        <f t="shared" si="31"/>
        <v>0.7916535705229919</v>
      </c>
      <c r="LQ16" s="28"/>
      <c r="LR16" s="48"/>
      <c r="LS16" s="28" t="s">
        <v>37</v>
      </c>
      <c r="LT16" s="166">
        <v>1.0616666666666668E-2</v>
      </c>
      <c r="LU16" s="115">
        <f t="shared" si="70"/>
        <v>1.721213168531505E-18</v>
      </c>
      <c r="LV16" s="157">
        <f t="shared" si="15"/>
        <v>6.3015275274720632E-16</v>
      </c>
      <c r="LW16" s="229" t="e">
        <f>LW15*(1+#REF!)</f>
        <v>#REF!</v>
      </c>
      <c r="LX16" s="158"/>
      <c r="LY16" s="129">
        <f t="shared" si="71"/>
        <v>35.489711150999938</v>
      </c>
      <c r="LZ16" s="130">
        <f t="shared" si="72"/>
        <v>-282.32766211336275</v>
      </c>
      <c r="MA16" s="28"/>
      <c r="MB16" s="115">
        <v>2.5000000000000001E-3</v>
      </c>
      <c r="MC16" s="394">
        <f t="shared" si="177"/>
        <v>-0.90496972958850008</v>
      </c>
      <c r="MD16" s="157">
        <f t="shared" si="158"/>
        <v>-3324.9842669774303</v>
      </c>
      <c r="ME16" s="216"/>
      <c r="MF16" s="115">
        <v>2.5000000000000001E-3</v>
      </c>
      <c r="MG16" s="394">
        <f t="shared" si="178"/>
        <v>-3.5176468950834483E-2</v>
      </c>
      <c r="MH16" s="157">
        <f t="shared" si="159"/>
        <v>-129.24322439218858</v>
      </c>
      <c r="MI16" s="28"/>
      <c r="MJ16" s="104">
        <v>0.02</v>
      </c>
      <c r="MK16" s="104">
        <f t="shared" si="74"/>
        <v>0.11753868128715396</v>
      </c>
      <c r="ML16" s="104">
        <f>MK16*(1+MT$7)</f>
        <v>0.12082438274134256</v>
      </c>
      <c r="MM16" s="104">
        <f>ML16*(1+MU$7)</f>
        <v>0.12429906542056077</v>
      </c>
      <c r="MN16" s="104">
        <f>MM16*(1+MV$7)</f>
        <v>0.12792220375815769</v>
      </c>
      <c r="MO16" s="104">
        <f t="shared" si="34"/>
        <v>0.13170106955028382</v>
      </c>
      <c r="MP16" s="104">
        <f t="shared" si="35"/>
        <v>0.13564330814707723</v>
      </c>
      <c r="MQ16" s="28"/>
      <c r="MR16" s="28">
        <f t="shared" si="84"/>
        <v>69</v>
      </c>
      <c r="MS16" s="28">
        <f t="shared" si="85"/>
        <v>0.6126591076285155</v>
      </c>
      <c r="MT16" s="28">
        <f t="shared" si="86"/>
        <v>0.62717115947222901</v>
      </c>
      <c r="MU16" s="28">
        <f t="shared" si="87"/>
        <v>0.64197686005643517</v>
      </c>
      <c r="MV16" s="28">
        <f t="shared" si="88"/>
        <v>0.65708114438284393</v>
      </c>
      <c r="MW16" s="28">
        <f t="shared" si="89"/>
        <v>0.672489013580716</v>
      </c>
      <c r="MX16" s="28">
        <f t="shared" si="90"/>
        <v>0.68820553556921027</v>
      </c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</row>
    <row r="17" spans="1:374" s="30" customFormat="1" ht="12.75" customHeight="1" x14ac:dyDescent="0.3">
      <c r="A17" s="305">
        <f t="shared" si="91"/>
        <v>2026</v>
      </c>
      <c r="B17" s="355">
        <f t="shared" si="1"/>
        <v>2024</v>
      </c>
      <c r="C17" s="26">
        <v>45474</v>
      </c>
      <c r="D17" s="96">
        <f t="shared" si="132"/>
        <v>9936.3989880039717</v>
      </c>
      <c r="E17" s="27">
        <f t="shared" si="133"/>
        <v>9936.3989880039717</v>
      </c>
      <c r="F17" s="111">
        <f t="shared" si="18"/>
        <v>879.88352834949785</v>
      </c>
      <c r="G17" s="27">
        <f t="shared" si="134"/>
        <v>12428.250953015402</v>
      </c>
      <c r="H17" s="27">
        <f t="shared" si="135"/>
        <v>11558.273386304323</v>
      </c>
      <c r="I17" s="296">
        <f t="shared" si="136"/>
        <v>9824.5323783586755</v>
      </c>
      <c r="J17" s="69">
        <v>4481.5625659999996</v>
      </c>
      <c r="K17" s="297">
        <f t="shared" si="160"/>
        <v>5342.9698123586759</v>
      </c>
      <c r="L17" s="297">
        <f t="shared" si="137"/>
        <v>869.97756671107823</v>
      </c>
      <c r="M17" s="297">
        <f t="shared" si="161"/>
        <v>739.48093170441643</v>
      </c>
      <c r="N17" s="27">
        <f t="shared" si="162"/>
        <v>0</v>
      </c>
      <c r="O17" s="297">
        <f t="shared" si="138"/>
        <v>1733.7410079456483</v>
      </c>
      <c r="P17" s="297">
        <f t="shared" si="139"/>
        <v>130.49663500666173</v>
      </c>
      <c r="Q17" s="297">
        <f t="shared" si="140"/>
        <v>538.97015282708003</v>
      </c>
      <c r="R17" s="260">
        <f t="shared" si="2"/>
        <v>0.92999999999999994</v>
      </c>
      <c r="S17" s="257">
        <v>7.0000000000000007E-2</v>
      </c>
      <c r="T17" s="290">
        <f t="shared" si="163"/>
        <v>7.2499999999999995E-2</v>
      </c>
      <c r="U17" s="290">
        <f t="shared" si="164"/>
        <v>7.2499999999999995E-2</v>
      </c>
      <c r="V17" s="27">
        <f t="shared" si="4"/>
        <v>58090.922652650923</v>
      </c>
      <c r="W17" s="27">
        <f t="shared" si="141"/>
        <v>57992.452033312264</v>
      </c>
      <c r="X17" s="27">
        <f t="shared" si="179"/>
        <v>98.470619338656661</v>
      </c>
      <c r="Y17" s="27">
        <f t="shared" si="142"/>
        <v>1022.4700452290213</v>
      </c>
      <c r="Z17" s="27">
        <f t="shared" si="180"/>
        <v>68.993570928022052</v>
      </c>
      <c r="AA17" s="115">
        <f t="shared" si="165"/>
        <v>7.0000000000000007E-2</v>
      </c>
      <c r="AB17" s="115">
        <f t="shared" si="166"/>
        <v>7.0000000000000007E-2</v>
      </c>
      <c r="AC17" s="96">
        <f t="shared" si="6"/>
        <v>59689.59095103787</v>
      </c>
      <c r="AD17" s="27">
        <f t="shared" si="143"/>
        <v>59588.410409902986</v>
      </c>
      <c r="AE17" s="27">
        <f t="shared" si="181"/>
        <v>101.18054113488165</v>
      </c>
      <c r="AF17" s="150">
        <f t="shared" si="144"/>
        <v>1076.1754058313618</v>
      </c>
      <c r="AG17" s="27">
        <f t="shared" ref="AG17:AG44" si="234">Z17*(1+$DT$58/100)^((U17-AB17)*100)</f>
        <v>72.617466437941502</v>
      </c>
      <c r="AH17" s="27">
        <f t="shared" si="167"/>
        <v>31685.232395226616</v>
      </c>
      <c r="AI17" s="27">
        <f t="shared" si="145"/>
        <v>31581.682452192268</v>
      </c>
      <c r="AJ17" s="27">
        <f t="shared" si="182"/>
        <v>103.54994303434724</v>
      </c>
      <c r="AK17" s="27">
        <f t="shared" si="10"/>
        <v>31109.023132779679</v>
      </c>
      <c r="AL17" s="27">
        <f t="shared" si="168"/>
        <v>31006.110586338418</v>
      </c>
      <c r="AM17" s="27">
        <f t="shared" ref="AM17:AM44" si="235">AM16*(1+AN17)+SUM(BQ17,BS17,BU17,BW17,BX17,CA17,CD17,CL17)*(1+AN17)^0.5</f>
        <v>102.91254644125925</v>
      </c>
      <c r="AN17" s="417">
        <f>INDEX(Inv.Returns!$B$2:$E$32,MATCH(B17,Inv.Returns!$A$2:$A$32,0),MATCH(SCRS!$DT$52,Inv.Returns!$B$1:$E$1,0))</f>
        <v>0.06</v>
      </c>
      <c r="AO17" s="27">
        <f t="shared" si="36"/>
        <v>28004.358555811254</v>
      </c>
      <c r="AP17" s="229">
        <f t="shared" si="11"/>
        <v>28580.567818258191</v>
      </c>
      <c r="AQ17" s="430">
        <f t="shared" si="19"/>
        <v>0.53083346510478435</v>
      </c>
      <c r="AR17" s="151">
        <f t="shared" si="20"/>
        <v>0.52118003553245595</v>
      </c>
      <c r="AS17" s="353"/>
      <c r="AT17" s="289">
        <f t="shared" si="94"/>
        <v>0.10965805820790435</v>
      </c>
      <c r="AU17" s="397">
        <f t="shared" si="169"/>
        <v>9.9400593584701089E-2</v>
      </c>
      <c r="AV17" s="303">
        <f t="shared" si="95"/>
        <v>0.16871166633815349</v>
      </c>
      <c r="AW17" s="303">
        <f t="shared" si="146"/>
        <v>-1.0595865704945279E-4</v>
      </c>
      <c r="AX17" s="115">
        <f t="shared" si="61"/>
        <v>0.09</v>
      </c>
      <c r="AY17" s="115">
        <f t="shared" si="147"/>
        <v>0.09</v>
      </c>
      <c r="AZ17" s="115">
        <f t="shared" si="148"/>
        <v>0</v>
      </c>
      <c r="BA17" s="262">
        <f t="shared" si="21"/>
        <v>1.9658058207904353E-2</v>
      </c>
      <c r="BB17" s="115">
        <f t="shared" si="170"/>
        <v>9.4005935847010919E-3</v>
      </c>
      <c r="BC17" s="133">
        <f t="shared" si="77"/>
        <v>0.18560000000000004</v>
      </c>
      <c r="BD17" s="133">
        <f t="shared" si="96"/>
        <v>0.18560000000000004</v>
      </c>
      <c r="BE17" s="410">
        <f t="shared" si="12"/>
        <v>0.1659419417920957</v>
      </c>
      <c r="BF17" s="410">
        <f t="shared" si="149"/>
        <v>0.17619940641529896</v>
      </c>
      <c r="BG17" s="410">
        <f t="shared" si="171"/>
        <v>0.13560000000000005</v>
      </c>
      <c r="BH17" s="410">
        <f t="shared" si="23"/>
        <v>0.18560000000000004</v>
      </c>
      <c r="BI17" s="157">
        <f t="shared" si="37"/>
        <v>13.654532400139276</v>
      </c>
      <c r="BJ17" s="104">
        <f t="shared" si="38"/>
        <v>3.8834951456310662E-2</v>
      </c>
      <c r="BK17" s="27">
        <f t="shared" si="62"/>
        <v>18.747274815506053</v>
      </c>
      <c r="BL17" s="27">
        <f t="shared" si="14"/>
        <v>22</v>
      </c>
      <c r="BM17" s="111">
        <f t="shared" si="26"/>
        <v>16.919507284070423</v>
      </c>
      <c r="BN17" s="27"/>
      <c r="BO17" s="27"/>
      <c r="BP17" s="96">
        <f t="shared" si="172"/>
        <v>-3424.4071381162412</v>
      </c>
      <c r="BQ17" s="27">
        <f t="shared" si="183"/>
        <v>-3.6974046585220823</v>
      </c>
      <c r="BR17" s="27">
        <f t="shared" si="173"/>
        <v>-133.1078238647118</v>
      </c>
      <c r="BS17" s="27">
        <f t="shared" si="184"/>
        <v>-0.14371932664345946</v>
      </c>
      <c r="BT17" s="27">
        <f t="shared" si="150"/>
        <v>-11.78943885403041</v>
      </c>
      <c r="BU17" s="27">
        <f t="shared" si="185"/>
        <v>-0.88737711804529962</v>
      </c>
      <c r="BV17" s="304">
        <f t="shared" si="151"/>
        <v>884.20791405228078</v>
      </c>
      <c r="BW17" s="304">
        <f t="shared" si="186"/>
        <v>66.553283853397474</v>
      </c>
      <c r="BX17" s="304">
        <f t="shared" si="187"/>
        <v>0</v>
      </c>
      <c r="BY17" s="304">
        <f t="shared" si="152"/>
        <v>48.507313754437199</v>
      </c>
      <c r="BZ17" s="304">
        <f t="shared" si="78"/>
        <v>203.75693063311155</v>
      </c>
      <c r="CA17" s="304">
        <f t="shared" si="188"/>
        <v>6.9515597025893356</v>
      </c>
      <c r="CB17" s="304">
        <f t="shared" ref="CB15:CB44" si="236">IF(OR(AND($DT$69="Statutory",$DT$71="No"),AND($DT$69="Statutory",$DT$71="Yes",AQ16&lt;100%),B17&lt;2022), BE15*I17, AV15*(G17+Q17))</f>
        <v>2072.9812065482315</v>
      </c>
      <c r="CC17" s="304">
        <f t="shared" si="189"/>
        <v>0</v>
      </c>
      <c r="CD17" s="304">
        <f t="shared" si="190"/>
        <v>0</v>
      </c>
      <c r="CE17" s="304"/>
      <c r="CF17" s="304">
        <f t="shared" si="174"/>
        <v>0</v>
      </c>
      <c r="CG17" s="304">
        <f t="shared" si="153"/>
        <v>0</v>
      </c>
      <c r="CH17" s="304">
        <f t="shared" si="175"/>
        <v>0</v>
      </c>
      <c r="CI17" s="27"/>
      <c r="CJ17" s="27">
        <f t="shared" si="39"/>
        <v>0</v>
      </c>
      <c r="CK17" s="27">
        <f t="shared" si="40"/>
        <v>0</v>
      </c>
      <c r="CL17" s="27">
        <f t="shared" si="41"/>
        <v>0</v>
      </c>
      <c r="CM17" s="27">
        <f t="shared" si="42"/>
        <v>3282.9582085440479</v>
      </c>
      <c r="CN17" s="27">
        <f t="shared" si="43"/>
        <v>0</v>
      </c>
      <c r="CO17" s="111">
        <f t="shared" si="3"/>
        <v>3282.9582085440479</v>
      </c>
      <c r="CP17" s="27">
        <f t="shared" si="154"/>
        <v>2072.9812065482315</v>
      </c>
      <c r="CQ17" s="27">
        <f t="shared" si="155"/>
        <v>0</v>
      </c>
      <c r="CR17" s="27">
        <f t="shared" si="176"/>
        <v>2072.9812065482315</v>
      </c>
      <c r="CS17" s="27">
        <f>SUM($CR$14:CR17)</f>
        <v>7233.8556427294807</v>
      </c>
      <c r="CT17" s="229">
        <v>1807.3016361242694</v>
      </c>
      <c r="CU17" s="425">
        <v>352.82348474903944</v>
      </c>
      <c r="CV17" s="425">
        <v>2160.1251208733088</v>
      </c>
      <c r="CW17" s="425">
        <v>7499.1973178553744</v>
      </c>
      <c r="CX17" s="107">
        <f t="shared" si="44"/>
        <v>93.211882147615512</v>
      </c>
      <c r="CY17" s="115">
        <f t="shared" si="92"/>
        <v>0.18330076734487211</v>
      </c>
      <c r="CZ17" s="96">
        <f t="shared" si="45"/>
        <v>2376.901579031548</v>
      </c>
      <c r="DA17" s="418">
        <f t="shared" si="46"/>
        <v>2223.4186752133214</v>
      </c>
      <c r="DB17" s="314">
        <f t="shared" si="47"/>
        <v>1813.9088710783299</v>
      </c>
      <c r="DC17" s="314">
        <f t="shared" si="48"/>
        <v>184.37504335500964</v>
      </c>
      <c r="DD17" s="314">
        <f t="shared" si="49"/>
        <v>0</v>
      </c>
      <c r="DE17" s="314">
        <f t="shared" si="50"/>
        <v>39790.853743804451</v>
      </c>
      <c r="DF17" s="314" t="b">
        <f t="shared" si="63"/>
        <v>0</v>
      </c>
      <c r="DG17" s="27">
        <f t="shared" si="51"/>
        <v>93.211882147615512</v>
      </c>
      <c r="DH17" s="100">
        <f t="shared" si="52"/>
        <v>81.562659315664035</v>
      </c>
      <c r="DI17" s="105">
        <f t="shared" si="53"/>
        <v>4.2897265282179353E-2</v>
      </c>
      <c r="DJ17" s="96">
        <f t="shared" si="54"/>
        <v>0</v>
      </c>
      <c r="DK17" s="100">
        <f t="shared" si="55"/>
        <v>0</v>
      </c>
      <c r="DL17" s="105">
        <f t="shared" si="56"/>
        <v>0</v>
      </c>
      <c r="DM17" s="299">
        <v>2406.7162372443654</v>
      </c>
      <c r="DN17" s="100">
        <f t="shared" si="57"/>
        <v>2251.3081210575583</v>
      </c>
      <c r="DO17" s="301">
        <v>0.56418490765484375</v>
      </c>
      <c r="DP17" s="29"/>
      <c r="DQ17" s="28"/>
      <c r="DR17" s="28"/>
      <c r="DS17" s="28"/>
      <c r="DT17" s="28"/>
      <c r="DU17" s="29"/>
      <c r="DV17" s="327"/>
      <c r="DW17" s="328"/>
      <c r="DX17" s="328"/>
      <c r="DY17" s="328"/>
      <c r="DZ17" s="328"/>
      <c r="EA17" s="328"/>
      <c r="EB17" s="328"/>
      <c r="EC17" s="328"/>
      <c r="ED17" s="328"/>
      <c r="EE17" s="328"/>
      <c r="EF17" s="328"/>
      <c r="EG17" s="328"/>
      <c r="EH17" s="329"/>
      <c r="EI17" s="330"/>
      <c r="EJ17" s="339">
        <f t="shared" si="64"/>
        <v>0.1659419417920957</v>
      </c>
      <c r="EK17" s="339">
        <f t="shared" si="58"/>
        <v>1.9658058207904353E-2</v>
      </c>
      <c r="EL17" s="339" t="e">
        <f t="shared" si="65"/>
        <v>#DIV/0!</v>
      </c>
      <c r="EM17" s="339">
        <f t="shared" si="59"/>
        <v>0</v>
      </c>
      <c r="EN17" s="339">
        <v>0.18560000000000004</v>
      </c>
      <c r="EO17" s="339">
        <v>0.15036851340602203</v>
      </c>
      <c r="EP17" s="340" t="e">
        <f t="shared" si="66"/>
        <v>#DIV/0!</v>
      </c>
      <c r="EQ17" s="283"/>
      <c r="ER17" s="341">
        <v>8</v>
      </c>
      <c r="ES17" s="29">
        <f t="shared" si="79"/>
        <v>2059.4448300097029</v>
      </c>
      <c r="ET17" s="29">
        <f t="shared" si="80"/>
        <v>1765.3956755518384</v>
      </c>
      <c r="EU17" s="29">
        <f t="shared" si="67"/>
        <v>-294.04915445786446</v>
      </c>
      <c r="EV17" s="29">
        <f t="shared" si="68"/>
        <v>-235.23932356629157</v>
      </c>
      <c r="EW17" s="29">
        <f t="shared" si="81"/>
        <v>-168.46001981377992</v>
      </c>
      <c r="EX17" s="29">
        <f t="shared" si="93"/>
        <v>-107.26644173027189</v>
      </c>
      <c r="EY17" s="29">
        <f t="shared" si="97"/>
        <v>-64.606080743506254</v>
      </c>
      <c r="EZ17" s="29">
        <f t="shared" si="69"/>
        <v>-575.57186585384966</v>
      </c>
      <c r="FA17" s="29"/>
      <c r="FB17" s="29">
        <f t="shared" ref="FB17:FB44" si="237">AB16*AM16+SUM(BQ17,BS17,BU17,BW17,BX17,CA17,CD17,CL17)*AB16/2</f>
        <v>4.5271793070571977</v>
      </c>
      <c r="FC17" s="29">
        <f t="shared" ref="FC17:FC44" si="238">AM17-AM16-SUM(BQ17,BS17,BU17,BW17,BX17,CA17,CD17,CL17)</f>
        <v>3.8503851140541769</v>
      </c>
      <c r="FD17" s="29">
        <f t="shared" si="191"/>
        <v>-0.67679419300302079</v>
      </c>
      <c r="FE17" s="29">
        <f t="shared" si="192"/>
        <v>-0.54143535440241664</v>
      </c>
      <c r="FF17" s="29">
        <f t="shared" si="193"/>
        <v>-9.5961238685568606E-2</v>
      </c>
      <c r="FG17" s="29">
        <f t="shared" si="194"/>
        <v>0</v>
      </c>
      <c r="FH17" s="29">
        <f t="shared" si="195"/>
        <v>0</v>
      </c>
      <c r="FI17" s="29">
        <f t="shared" si="196"/>
        <v>-0.63739659308798524</v>
      </c>
      <c r="FJ17" s="29"/>
      <c r="FK17" s="29"/>
      <c r="FL17" s="27">
        <f t="shared" si="24"/>
        <v>27479.890468453737</v>
      </c>
      <c r="FM17" s="29"/>
      <c r="FN17" s="308">
        <f t="shared" si="156"/>
        <v>2072.9812065482315</v>
      </c>
      <c r="FO17" s="93">
        <f t="shared" si="197"/>
        <v>0</v>
      </c>
      <c r="FP17" s="27">
        <f t="shared" si="82"/>
        <v>20</v>
      </c>
      <c r="FQ17" s="309">
        <f t="shared" si="27"/>
        <v>13.512970250241354</v>
      </c>
      <c r="FR17" s="93">
        <f t="shared" si="60"/>
        <v>2033.5936481443021</v>
      </c>
      <c r="FS17" s="93">
        <f t="shared" si="198"/>
        <v>2072.9812065482315</v>
      </c>
      <c r="FT17" s="29">
        <f t="shared" si="83"/>
        <v>20</v>
      </c>
      <c r="FU17" s="142">
        <f t="shared" si="28"/>
        <v>13.512970250241354</v>
      </c>
      <c r="FV17" s="48">
        <v>1793.1071083064753</v>
      </c>
      <c r="FW17" s="29">
        <f t="shared" si="98"/>
        <v>746.78739397801473</v>
      </c>
      <c r="FX17" s="29">
        <f t="shared" si="157"/>
        <v>853.99247460078357</v>
      </c>
      <c r="FY17" s="29">
        <f t="shared" si="99"/>
        <v>782.42776669823797</v>
      </c>
      <c r="FZ17" s="29">
        <f t="shared" si="99"/>
        <v>593.61975602519703</v>
      </c>
      <c r="GA17" s="29">
        <f t="shared" si="99"/>
        <v>25029.900566408483</v>
      </c>
      <c r="GB17" s="29">
        <f t="shared" si="99"/>
        <v>0</v>
      </c>
      <c r="GC17" s="29">
        <f t="shared" si="99"/>
        <v>0</v>
      </c>
      <c r="GD17" s="29">
        <f t="shared" si="99"/>
        <v>0</v>
      </c>
      <c r="GE17" s="29">
        <f t="shared" si="99"/>
        <v>0</v>
      </c>
      <c r="GF17" s="29">
        <f t="shared" si="99"/>
        <v>0</v>
      </c>
      <c r="GG17" s="29">
        <f t="shared" si="99"/>
        <v>0</v>
      </c>
      <c r="GH17" s="29">
        <f t="shared" si="99"/>
        <v>0</v>
      </c>
      <c r="GI17" s="29">
        <f t="shared" si="99"/>
        <v>0</v>
      </c>
      <c r="GJ17" s="29">
        <f t="shared" si="99"/>
        <v>0</v>
      </c>
      <c r="GK17" s="29">
        <f t="shared" si="99"/>
        <v>0</v>
      </c>
      <c r="GL17" s="29">
        <f t="shared" si="99"/>
        <v>0</v>
      </c>
      <c r="GM17" s="29">
        <f t="shared" si="99"/>
        <v>0</v>
      </c>
      <c r="GN17" s="29">
        <f t="shared" si="99"/>
        <v>0</v>
      </c>
      <c r="GO17" s="29">
        <f t="shared" si="99"/>
        <v>0</v>
      </c>
      <c r="GP17" s="29">
        <f t="shared" si="99"/>
        <v>0</v>
      </c>
      <c r="GQ17" s="29">
        <f t="shared" si="99"/>
        <v>0</v>
      </c>
      <c r="GR17" s="29">
        <f t="shared" si="99"/>
        <v>0</v>
      </c>
      <c r="GS17" s="29">
        <f t="shared" si="99"/>
        <v>0</v>
      </c>
      <c r="GT17" s="29">
        <f t="shared" si="99"/>
        <v>0</v>
      </c>
      <c r="GU17" s="29">
        <f t="shared" si="99"/>
        <v>0</v>
      </c>
      <c r="GV17" s="29">
        <f t="shared" si="99"/>
        <v>0</v>
      </c>
      <c r="GW17" s="29">
        <f t="shared" si="99"/>
        <v>0</v>
      </c>
      <c r="GX17" s="29">
        <f t="shared" si="99"/>
        <v>0</v>
      </c>
      <c r="GY17" s="29">
        <f t="shared" si="99"/>
        <v>0</v>
      </c>
      <c r="GZ17" s="29">
        <f t="shared" si="99"/>
        <v>0</v>
      </c>
      <c r="HA17" s="29">
        <f t="shared" si="99"/>
        <v>0</v>
      </c>
      <c r="HB17" s="29">
        <f t="shared" si="99"/>
        <v>0</v>
      </c>
      <c r="HC17" s="29"/>
      <c r="HD17" s="29">
        <f t="shared" si="29"/>
        <v>20</v>
      </c>
      <c r="HE17" s="29">
        <f t="shared" si="100"/>
        <v>0</v>
      </c>
      <c r="HF17" s="29">
        <f t="shared" si="101"/>
        <v>61.926682527069559</v>
      </c>
      <c r="HG17" s="29">
        <f t="shared" si="102"/>
        <v>58.733552520322078</v>
      </c>
      <c r="HH17" s="29">
        <f t="shared" si="103"/>
        <v>46.251105891200019</v>
      </c>
      <c r="HI17" s="29">
        <f t="shared" si="104"/>
        <v>2030.1859843331565</v>
      </c>
      <c r="HJ17" s="29">
        <f t="shared" si="105"/>
        <v>0</v>
      </c>
      <c r="HK17" s="29">
        <f t="shared" si="106"/>
        <v>0</v>
      </c>
      <c r="HL17" s="29">
        <f t="shared" si="107"/>
        <v>0</v>
      </c>
      <c r="HM17" s="29">
        <f t="shared" si="108"/>
        <v>0</v>
      </c>
      <c r="HN17" s="29">
        <f t="shared" si="109"/>
        <v>0</v>
      </c>
      <c r="HO17" s="29">
        <f t="shared" si="110"/>
        <v>0</v>
      </c>
      <c r="HP17" s="29">
        <f t="shared" si="111"/>
        <v>0</v>
      </c>
      <c r="HQ17" s="29">
        <f t="shared" si="112"/>
        <v>0</v>
      </c>
      <c r="HR17" s="29">
        <f t="shared" si="113"/>
        <v>0</v>
      </c>
      <c r="HS17" s="29">
        <f t="shared" si="114"/>
        <v>0</v>
      </c>
      <c r="HT17" s="29">
        <f t="shared" si="115"/>
        <v>0</v>
      </c>
      <c r="HU17" s="29">
        <f t="shared" si="116"/>
        <v>0</v>
      </c>
      <c r="HV17" s="29">
        <f t="shared" si="117"/>
        <v>0</v>
      </c>
      <c r="HW17" s="29">
        <f t="shared" si="118"/>
        <v>0</v>
      </c>
      <c r="HX17" s="29">
        <f t="shared" si="119"/>
        <v>0</v>
      </c>
      <c r="HY17" s="29">
        <f t="shared" si="120"/>
        <v>0</v>
      </c>
      <c r="HZ17" s="29">
        <f t="shared" si="121"/>
        <v>0</v>
      </c>
      <c r="IA17" s="29">
        <f t="shared" si="122"/>
        <v>0</v>
      </c>
      <c r="IB17" s="29">
        <f t="shared" si="123"/>
        <v>0</v>
      </c>
      <c r="IC17" s="29">
        <f t="shared" si="124"/>
        <v>0</v>
      </c>
      <c r="ID17" s="29">
        <f t="shared" si="125"/>
        <v>0</v>
      </c>
      <c r="IE17" s="29">
        <f t="shared" si="126"/>
        <v>0</v>
      </c>
      <c r="IF17" s="29">
        <f t="shared" si="127"/>
        <v>0</v>
      </c>
      <c r="IG17" s="29">
        <f t="shared" si="128"/>
        <v>0</v>
      </c>
      <c r="IH17" s="29">
        <f t="shared" si="129"/>
        <v>0</v>
      </c>
      <c r="II17" s="29">
        <f t="shared" si="130"/>
        <v>0</v>
      </c>
      <c r="IJ17" s="29">
        <f t="shared" si="131"/>
        <v>0</v>
      </c>
      <c r="IK17" s="48"/>
      <c r="IL17" s="48"/>
      <c r="IM17" s="48"/>
      <c r="IN17" s="29">
        <f t="shared" si="199"/>
        <v>-1.603205792857521</v>
      </c>
      <c r="IO17" s="29">
        <f t="shared" ref="IO17:IO44" si="239">IF(AND($AQ17&gt;=100%,$AQ16&lt;100%),0,IN16*(1+$AB16) - JV16*(1+$AB16)^0.5)</f>
        <v>-0.76619610660806547</v>
      </c>
      <c r="IP17" s="29">
        <f t="shared" si="200"/>
        <v>0</v>
      </c>
      <c r="IQ17" s="29">
        <f t="shared" si="200"/>
        <v>0</v>
      </c>
      <c r="IR17" s="29">
        <f t="shared" si="200"/>
        <v>0</v>
      </c>
      <c r="IS17" s="29">
        <f t="shared" si="200"/>
        <v>0</v>
      </c>
      <c r="IT17" s="29">
        <f t="shared" si="200"/>
        <v>0</v>
      </c>
      <c r="IU17" s="29">
        <f t="shared" si="200"/>
        <v>0</v>
      </c>
      <c r="IV17" s="29">
        <f t="shared" si="200"/>
        <v>0</v>
      </c>
      <c r="IW17" s="29">
        <f t="shared" si="200"/>
        <v>0</v>
      </c>
      <c r="IX17" s="29">
        <f t="shared" si="200"/>
        <v>0</v>
      </c>
      <c r="IY17" s="29">
        <f t="shared" si="200"/>
        <v>0</v>
      </c>
      <c r="IZ17" s="29">
        <f t="shared" si="200"/>
        <v>0</v>
      </c>
      <c r="JA17" s="29">
        <f t="shared" si="200"/>
        <v>0</v>
      </c>
      <c r="JB17" s="29">
        <f t="shared" si="200"/>
        <v>0</v>
      </c>
      <c r="JC17" s="29">
        <f t="shared" si="200"/>
        <v>0</v>
      </c>
      <c r="JD17" s="29">
        <f t="shared" si="200"/>
        <v>0</v>
      </c>
      <c r="JE17" s="29">
        <f t="shared" si="200"/>
        <v>0</v>
      </c>
      <c r="JF17" s="29">
        <f t="shared" si="200"/>
        <v>0</v>
      </c>
      <c r="JG17" s="29">
        <f t="shared" si="200"/>
        <v>0</v>
      </c>
      <c r="JH17" s="29">
        <f t="shared" si="200"/>
        <v>0</v>
      </c>
      <c r="JI17" s="29">
        <f t="shared" si="200"/>
        <v>0</v>
      </c>
      <c r="JJ17" s="29">
        <f t="shared" si="200"/>
        <v>0</v>
      </c>
      <c r="JK17" s="29">
        <f t="shared" si="200"/>
        <v>0</v>
      </c>
      <c r="JL17" s="29">
        <f t="shared" si="200"/>
        <v>0</v>
      </c>
      <c r="JM17" s="29">
        <f t="shared" si="200"/>
        <v>0</v>
      </c>
      <c r="JN17" s="29">
        <f t="shared" si="200"/>
        <v>0</v>
      </c>
      <c r="JO17" s="29">
        <f t="shared" si="200"/>
        <v>0</v>
      </c>
      <c r="JP17" s="29">
        <f t="shared" si="200"/>
        <v>0</v>
      </c>
      <c r="JQ17" s="29">
        <f t="shared" si="200"/>
        <v>0</v>
      </c>
      <c r="JR17" s="29">
        <f t="shared" si="200"/>
        <v>0</v>
      </c>
      <c r="JS17" s="29">
        <f t="shared" si="200"/>
        <v>0</v>
      </c>
      <c r="JT17" s="48"/>
      <c r="JU17" s="401">
        <f t="shared" si="201"/>
        <v>20</v>
      </c>
      <c r="JV17" s="29">
        <f t="shared" si="202"/>
        <v>0</v>
      </c>
      <c r="JW17" s="29">
        <f t="shared" si="203"/>
        <v>-5.556018871193795E-2</v>
      </c>
      <c r="JX17" s="29">
        <f t="shared" si="204"/>
        <v>0</v>
      </c>
      <c r="JY17" s="29">
        <f t="shared" si="205"/>
        <v>0</v>
      </c>
      <c r="JZ17" s="29">
        <f t="shared" si="206"/>
        <v>0</v>
      </c>
      <c r="KA17" s="29">
        <f t="shared" si="207"/>
        <v>0</v>
      </c>
      <c r="KB17" s="29">
        <f t="shared" si="208"/>
        <v>0</v>
      </c>
      <c r="KC17" s="29">
        <f t="shared" si="209"/>
        <v>0</v>
      </c>
      <c r="KD17" s="29">
        <f t="shared" si="210"/>
        <v>0</v>
      </c>
      <c r="KE17" s="29">
        <f t="shared" si="211"/>
        <v>0</v>
      </c>
      <c r="KF17" s="29">
        <f t="shared" si="212"/>
        <v>0</v>
      </c>
      <c r="KG17" s="29">
        <f t="shared" si="213"/>
        <v>0</v>
      </c>
      <c r="KH17" s="29">
        <f t="shared" si="214"/>
        <v>0</v>
      </c>
      <c r="KI17" s="29">
        <f t="shared" si="215"/>
        <v>0</v>
      </c>
      <c r="KJ17" s="29">
        <f t="shared" si="216"/>
        <v>0</v>
      </c>
      <c r="KK17" s="29">
        <f t="shared" si="217"/>
        <v>0</v>
      </c>
      <c r="KL17" s="29">
        <f t="shared" si="218"/>
        <v>0</v>
      </c>
      <c r="KM17" s="29">
        <f t="shared" si="219"/>
        <v>0</v>
      </c>
      <c r="KN17" s="29">
        <f t="shared" si="220"/>
        <v>0</v>
      </c>
      <c r="KO17" s="29">
        <f t="shared" si="221"/>
        <v>0</v>
      </c>
      <c r="KP17" s="29">
        <f t="shared" si="222"/>
        <v>0</v>
      </c>
      <c r="KQ17" s="29">
        <f t="shared" si="223"/>
        <v>0</v>
      </c>
      <c r="KR17" s="29">
        <f t="shared" si="224"/>
        <v>0</v>
      </c>
      <c r="KS17" s="29">
        <f t="shared" si="225"/>
        <v>0</v>
      </c>
      <c r="KT17" s="29">
        <f t="shared" si="226"/>
        <v>0</v>
      </c>
      <c r="KU17" s="29">
        <f t="shared" si="227"/>
        <v>0</v>
      </c>
      <c r="KV17" s="29">
        <f t="shared" si="228"/>
        <v>0</v>
      </c>
      <c r="KW17" s="29">
        <f t="shared" si="229"/>
        <v>0</v>
      </c>
      <c r="KX17" s="29">
        <f t="shared" si="230"/>
        <v>0</v>
      </c>
      <c r="KY17" s="29">
        <f t="shared" si="231"/>
        <v>0</v>
      </c>
      <c r="KZ17" s="29">
        <f t="shared" si="232"/>
        <v>0</v>
      </c>
      <c r="LA17" s="29">
        <f t="shared" si="233"/>
        <v>0</v>
      </c>
      <c r="LB17" s="48"/>
      <c r="LC17" s="48"/>
      <c r="LD17" s="48"/>
      <c r="LE17" s="48"/>
      <c r="LF17" s="48"/>
      <c r="LG17" s="48"/>
      <c r="LH17" s="48"/>
      <c r="LI17" s="48"/>
      <c r="LJ17" s="48"/>
      <c r="LK17" s="48"/>
      <c r="LL17" s="48"/>
      <c r="LM17" s="48"/>
      <c r="LN17" s="48"/>
      <c r="LO17" s="46">
        <f t="shared" si="30"/>
        <v>0.4592895419506216</v>
      </c>
      <c r="LP17" s="47">
        <f t="shared" si="31"/>
        <v>0.77423332080488205</v>
      </c>
      <c r="LQ17" s="28"/>
      <c r="LR17" s="48"/>
      <c r="LS17" s="28" t="s">
        <v>208</v>
      </c>
      <c r="LT17" s="166">
        <v>1.2133333333333335E-2</v>
      </c>
      <c r="LU17" s="115">
        <f t="shared" si="70"/>
        <v>1.9671007640360054E-18</v>
      </c>
      <c r="LV17" s="157">
        <f t="shared" si="15"/>
        <v>1.7308195608789935E-15</v>
      </c>
      <c r="LW17" s="229" t="e">
        <f>LW16*(1+#REF!)</f>
        <v>#REF!</v>
      </c>
      <c r="LX17" s="158"/>
      <c r="LY17" s="129">
        <f t="shared" si="71"/>
        <v>33.636234827587032</v>
      </c>
      <c r="LZ17" s="130">
        <f t="shared" si="72"/>
        <v>-299.78945184579061</v>
      </c>
      <c r="MA17" s="28"/>
      <c r="MB17" s="115">
        <v>5.0000000000000001E-3</v>
      </c>
      <c r="MC17" s="394">
        <f t="shared" si="177"/>
        <v>-4.3498878335553917</v>
      </c>
      <c r="MD17" s="157">
        <f t="shared" si="158"/>
        <v>-3428.7570259497966</v>
      </c>
      <c r="ME17" s="214"/>
      <c r="MF17" s="115">
        <v>5.0000000000000001E-3</v>
      </c>
      <c r="MG17" s="394">
        <f t="shared" si="178"/>
        <v>-0.16908156075701114</v>
      </c>
      <c r="MH17" s="157">
        <f t="shared" si="159"/>
        <v>-133.27690542546881</v>
      </c>
      <c r="MI17" s="28"/>
      <c r="MJ17" s="149">
        <v>2.1399999999999999E-2</v>
      </c>
      <c r="MK17" s="104">
        <f>ML17/(1+MT$7)</f>
        <v>0.12576638897725473</v>
      </c>
      <c r="ML17" s="104">
        <f>MM17/(1+MU$7)</f>
        <v>0.12928208953323653</v>
      </c>
      <c r="MM17" s="236">
        <v>0.13300000000000001</v>
      </c>
      <c r="MN17" s="104">
        <f t="shared" si="33"/>
        <v>0.13687675802122873</v>
      </c>
      <c r="MO17" s="104">
        <f t="shared" si="34"/>
        <v>0.14092014441880368</v>
      </c>
      <c r="MP17" s="104">
        <f>MO17*(1+MX$7)</f>
        <v>0.14513833971737264</v>
      </c>
      <c r="MQ17" s="28"/>
      <c r="MR17" s="28">
        <f t="shared" si="84"/>
        <v>70</v>
      </c>
      <c r="MS17" s="28">
        <f t="shared" si="85"/>
        <v>0.57124392319675099</v>
      </c>
      <c r="MT17" s="28">
        <f t="shared" si="86"/>
        <v>0.58673397002933414</v>
      </c>
      <c r="MU17" s="28">
        <f t="shared" si="87"/>
        <v>0.60259030770984912</v>
      </c>
      <c r="MV17" s="28">
        <f t="shared" si="88"/>
        <v>0.61882033555607596</v>
      </c>
      <c r="MW17" s="28">
        <f t="shared" si="89"/>
        <v>0.63543157702815634</v>
      </c>
      <c r="MX17" s="28">
        <f t="shared" si="90"/>
        <v>0.65243168138927232</v>
      </c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</row>
    <row r="18" spans="1:374" s="30" customFormat="1" ht="12.75" customHeight="1" x14ac:dyDescent="0.3">
      <c r="A18" s="305">
        <f t="shared" si="91"/>
        <v>2027</v>
      </c>
      <c r="B18" s="355">
        <f t="shared" si="1"/>
        <v>2025</v>
      </c>
      <c r="C18" s="26">
        <v>45839</v>
      </c>
      <c r="D18" s="96">
        <f t="shared" si="132"/>
        <v>9904.3460880426683</v>
      </c>
      <c r="E18" s="27">
        <f t="shared" si="133"/>
        <v>9904.3460880426683</v>
      </c>
      <c r="F18" s="111">
        <f t="shared" si="18"/>
        <v>1294.6857631428327</v>
      </c>
      <c r="G18" s="27">
        <f t="shared" si="134"/>
        <v>12801.098481605864</v>
      </c>
      <c r="H18" s="27">
        <f t="shared" si="135"/>
        <v>11520.988633445279</v>
      </c>
      <c r="I18" s="296">
        <f t="shared" si="136"/>
        <v>9792.8403384284866</v>
      </c>
      <c r="J18" s="69">
        <v>4248.1291760000004</v>
      </c>
      <c r="K18" s="297">
        <f t="shared" si="160"/>
        <v>5544.7111624284862</v>
      </c>
      <c r="L18" s="297">
        <f t="shared" si="137"/>
        <v>1280.1098481605866</v>
      </c>
      <c r="M18" s="297">
        <f t="shared" si="161"/>
        <v>1088.0933709364986</v>
      </c>
      <c r="N18" s="27">
        <f t="shared" si="162"/>
        <v>0</v>
      </c>
      <c r="O18" s="297">
        <f t="shared" si="138"/>
        <v>1728.1482950167917</v>
      </c>
      <c r="P18" s="297">
        <f t="shared" si="139"/>
        <v>192.01647722408799</v>
      </c>
      <c r="Q18" s="297">
        <f t="shared" si="140"/>
        <v>555.13925741189246</v>
      </c>
      <c r="R18" s="260">
        <f t="shared" si="2"/>
        <v>0.9</v>
      </c>
      <c r="S18" s="257">
        <v>0.1</v>
      </c>
      <c r="T18" s="290">
        <f t="shared" si="163"/>
        <v>7.2499999999999995E-2</v>
      </c>
      <c r="U18" s="290">
        <f t="shared" si="164"/>
        <v>7.2499999999999995E-2</v>
      </c>
      <c r="V18" s="27">
        <f t="shared" si="4"/>
        <v>59655.284290335636</v>
      </c>
      <c r="W18" s="27">
        <f t="shared" si="141"/>
        <v>59453.31961593427</v>
      </c>
      <c r="X18" s="27">
        <f t="shared" si="179"/>
        <v>201.96467440136598</v>
      </c>
      <c r="Y18" s="27">
        <f t="shared" si="142"/>
        <v>1014.0001757394134</v>
      </c>
      <c r="Z18" s="27">
        <f t="shared" si="180"/>
        <v>101.5191115083753</v>
      </c>
      <c r="AA18" s="115">
        <f t="shared" si="165"/>
        <v>7.0000000000000007E-2</v>
      </c>
      <c r="AB18" s="115">
        <f t="shared" si="166"/>
        <v>7.0000000000000007E-2</v>
      </c>
      <c r="AC18" s="96">
        <f t="shared" si="6"/>
        <v>61297.00398544997</v>
      </c>
      <c r="AD18" s="27">
        <f t="shared" si="143"/>
        <v>61089.481221976923</v>
      </c>
      <c r="AE18" s="27">
        <f t="shared" si="181"/>
        <v>207.52276347304596</v>
      </c>
      <c r="AF18" s="150">
        <f t="shared" si="144"/>
        <v>1067.2606554405318</v>
      </c>
      <c r="AG18" s="27">
        <f t="shared" si="234"/>
        <v>106.8514149015425</v>
      </c>
      <c r="AH18" s="27">
        <f t="shared" si="167"/>
        <v>33308.185364488105</v>
      </c>
      <c r="AI18" s="27">
        <f t="shared" si="145"/>
        <v>33096.152551437786</v>
      </c>
      <c r="AJ18" s="27">
        <f t="shared" si="182"/>
        <v>212.03281305032004</v>
      </c>
      <c r="AK18" s="27">
        <f t="shared" si="10"/>
        <v>32717.563709821356</v>
      </c>
      <c r="AL18" s="27">
        <f t="shared" si="168"/>
        <v>32507.251890443644</v>
      </c>
      <c r="AM18" s="27">
        <f t="shared" si="235"/>
        <v>210.3118193777135</v>
      </c>
      <c r="AN18" s="417">
        <f>INDEX(Inv.Returns!$B$2:$E$32,MATCH(B18,Inv.Returns!$A$2:$A$32,0),MATCH(SCRS!$DT$52,Inv.Returns!$B$1:$E$1,0))</f>
        <v>0.06</v>
      </c>
      <c r="AO18" s="27">
        <f t="shared" si="36"/>
        <v>27988.818620961865</v>
      </c>
      <c r="AP18" s="229">
        <f t="shared" si="11"/>
        <v>28579.440275628614</v>
      </c>
      <c r="AQ18" s="68">
        <f t="shared" si="19"/>
        <v>0.54339010390123543</v>
      </c>
      <c r="AR18" s="151">
        <f t="shared" si="20"/>
        <v>0.53375469570401035</v>
      </c>
      <c r="AS18" s="353"/>
      <c r="AT18" s="289">
        <f t="shared" si="94"/>
        <v>0.10916147012265899</v>
      </c>
      <c r="AU18" s="397">
        <f t="shared" si="169"/>
        <v>9.9400593584701102E-2</v>
      </c>
      <c r="AV18" s="303">
        <f t="shared" si="95"/>
        <v>0.17034797693525164</v>
      </c>
      <c r="AW18" s="303">
        <f t="shared" si="146"/>
        <v>-1.5865945958704641E-4</v>
      </c>
      <c r="AX18" s="115">
        <f t="shared" si="61"/>
        <v>0.09</v>
      </c>
      <c r="AY18" s="115">
        <f t="shared" si="147"/>
        <v>0.09</v>
      </c>
      <c r="AZ18" s="115">
        <f t="shared" si="148"/>
        <v>0</v>
      </c>
      <c r="BA18" s="262">
        <f t="shared" si="21"/>
        <v>1.9161470122658994E-2</v>
      </c>
      <c r="BB18" s="115">
        <f t="shared" si="170"/>
        <v>9.4005935847011057E-3</v>
      </c>
      <c r="BC18" s="133">
        <f t="shared" si="77"/>
        <v>0.18560000000000004</v>
      </c>
      <c r="BD18" s="133">
        <f t="shared" si="96"/>
        <v>0.18560000000000004</v>
      </c>
      <c r="BE18" s="410">
        <f t="shared" si="12"/>
        <v>0.16643852987734103</v>
      </c>
      <c r="BF18" s="410">
        <f t="shared" si="149"/>
        <v>0.17619940641529894</v>
      </c>
      <c r="BG18" s="410">
        <f t="shared" si="171"/>
        <v>0.13560000000000005</v>
      </c>
      <c r="BH18" s="410">
        <f t="shared" si="23"/>
        <v>0.18560000000000004</v>
      </c>
      <c r="BI18" s="157">
        <f t="shared" si="37"/>
        <v>12.884647851338265</v>
      </c>
      <c r="BJ18" s="104">
        <f t="shared" si="38"/>
        <v>3.8834951456310662E-2</v>
      </c>
      <c r="BK18" s="27">
        <f t="shared" si="62"/>
        <v>17.24787528542144</v>
      </c>
      <c r="BL18" s="27">
        <f t="shared" si="14"/>
        <v>21</v>
      </c>
      <c r="BM18" s="111">
        <f t="shared" si="26"/>
        <v>15.722306969539057</v>
      </c>
      <c r="BN18" s="27"/>
      <c r="BO18" s="27"/>
      <c r="BP18" s="96">
        <f t="shared" si="172"/>
        <v>-3526.1677088684855</v>
      </c>
      <c r="BQ18" s="27">
        <f t="shared" si="183"/>
        <v>-8.1607002820237398</v>
      </c>
      <c r="BR18" s="27">
        <f t="shared" si="173"/>
        <v>-137.06329048469831</v>
      </c>
      <c r="BS18" s="27">
        <f t="shared" si="184"/>
        <v>-0.3172090852344927</v>
      </c>
      <c r="BT18" s="27">
        <f t="shared" si="150"/>
        <v>-11.751408406114184</v>
      </c>
      <c r="BU18" s="27">
        <f t="shared" si="185"/>
        <v>-1.3057120451237982</v>
      </c>
      <c r="BV18" s="304">
        <f t="shared" si="151"/>
        <v>881.35563045856372</v>
      </c>
      <c r="BW18" s="304">
        <f t="shared" si="186"/>
        <v>97.928403384284863</v>
      </c>
      <c r="BX18" s="304">
        <f t="shared" si="187"/>
        <v>0</v>
      </c>
      <c r="BY18" s="304">
        <f t="shared" si="152"/>
        <v>49.962533167070319</v>
      </c>
      <c r="BZ18" s="304">
        <f t="shared" si="78"/>
        <v>197.65643338808229</v>
      </c>
      <c r="CA18" s="304">
        <f t="shared" si="188"/>
        <v>10.228723562381433</v>
      </c>
      <c r="CB18" s="304">
        <f t="shared" si="236"/>
        <v>2197.0973252717481</v>
      </c>
      <c r="CC18" s="304">
        <f t="shared" si="189"/>
        <v>0</v>
      </c>
      <c r="CD18" s="304">
        <f t="shared" si="190"/>
        <v>-5.5560188711937943E-2</v>
      </c>
      <c r="CE18" s="304"/>
      <c r="CF18" s="304">
        <f t="shared" si="174"/>
        <v>0</v>
      </c>
      <c r="CG18" s="304">
        <f t="shared" si="153"/>
        <v>0</v>
      </c>
      <c r="CH18" s="304">
        <f t="shared" si="175"/>
        <v>0</v>
      </c>
      <c r="CI18" s="27"/>
      <c r="CJ18" s="27">
        <f t="shared" si="39"/>
        <v>0</v>
      </c>
      <c r="CK18" s="27">
        <f t="shared" si="40"/>
        <v>0</v>
      </c>
      <c r="CL18" s="27">
        <f t="shared" si="41"/>
        <v>0</v>
      </c>
      <c r="CM18" s="27">
        <f t="shared" si="42"/>
        <v>3434.1734890434191</v>
      </c>
      <c r="CN18" s="27">
        <f t="shared" si="43"/>
        <v>0</v>
      </c>
      <c r="CO18" s="111">
        <f t="shared" si="3"/>
        <v>3434.1734890434191</v>
      </c>
      <c r="CP18" s="27">
        <f t="shared" si="154"/>
        <v>2197.0417650830364</v>
      </c>
      <c r="CQ18" s="27">
        <f t="shared" si="155"/>
        <v>0</v>
      </c>
      <c r="CR18" s="27">
        <f t="shared" si="176"/>
        <v>2197.0417650830364</v>
      </c>
      <c r="CS18" s="27">
        <f>SUM($CR$14:CR18)</f>
        <v>9430.8974078125175</v>
      </c>
      <c r="CT18" s="229">
        <v>1979.0182596956133</v>
      </c>
      <c r="CU18" s="425">
        <v>388.1612295880384</v>
      </c>
      <c r="CV18" s="425">
        <v>2367.1794892836515</v>
      </c>
      <c r="CW18" s="425">
        <v>9866.3768071390259</v>
      </c>
      <c r="CX18" s="107">
        <f t="shared" si="44"/>
        <v>96.008238612043996</v>
      </c>
      <c r="CY18" s="115">
        <f t="shared" si="92"/>
        <v>0.18724847591919755</v>
      </c>
      <c r="CZ18" s="96">
        <f t="shared" si="45"/>
        <v>2500.9351606455439</v>
      </c>
      <c r="DA18" s="418">
        <f t="shared" si="46"/>
        <v>2287.9638886229877</v>
      </c>
      <c r="DB18" s="314">
        <f t="shared" si="47"/>
        <v>1880.1612430230766</v>
      </c>
      <c r="DC18" s="314">
        <f t="shared" si="48"/>
        <v>177.90176832767628</v>
      </c>
      <c r="DD18" s="314">
        <f t="shared" si="49"/>
        <v>0</v>
      </c>
      <c r="DE18" s="314">
        <f t="shared" si="50"/>
        <v>39227.616237726594</v>
      </c>
      <c r="DF18" s="314" t="b">
        <f t="shared" si="63"/>
        <v>0</v>
      </c>
      <c r="DG18" s="27">
        <f t="shared" si="51"/>
        <v>96.008238612043996</v>
      </c>
      <c r="DH18" s="100">
        <f t="shared" si="52"/>
        <v>82.160918430448874</v>
      </c>
      <c r="DI18" s="105">
        <f t="shared" si="53"/>
        <v>3.6124012869203671E-2</v>
      </c>
      <c r="DJ18" s="96">
        <f t="shared" si="54"/>
        <v>0</v>
      </c>
      <c r="DK18" s="100">
        <f t="shared" si="55"/>
        <v>0</v>
      </c>
      <c r="DL18" s="105">
        <f t="shared" si="56"/>
        <v>0</v>
      </c>
      <c r="DM18" s="299">
        <v>2478.9177243616964</v>
      </c>
      <c r="DN18" s="100">
        <f t="shared" si="57"/>
        <v>2267.8213835592028</v>
      </c>
      <c r="DO18" s="301">
        <v>0.58448884230369069</v>
      </c>
      <c r="DP18" s="29"/>
      <c r="DQ18" s="33"/>
      <c r="DR18" s="28"/>
      <c r="DS18" s="28"/>
      <c r="DT18" s="28"/>
      <c r="DU18" s="29"/>
      <c r="DV18" s="327"/>
      <c r="DW18" s="328"/>
      <c r="DX18" s="328"/>
      <c r="DY18" s="328"/>
      <c r="DZ18" s="328"/>
      <c r="EA18" s="328"/>
      <c r="EB18" s="328"/>
      <c r="EC18" s="328"/>
      <c r="ED18" s="328"/>
      <c r="EE18" s="328"/>
      <c r="EF18" s="328"/>
      <c r="EG18" s="328"/>
      <c r="EH18" s="329"/>
      <c r="EI18" s="330"/>
      <c r="EJ18" s="339">
        <f t="shared" si="64"/>
        <v>0.16643852987734103</v>
      </c>
      <c r="EK18" s="339">
        <f t="shared" si="58"/>
        <v>1.9161470122658994E-2</v>
      </c>
      <c r="EL18" s="339" t="e">
        <f t="shared" si="65"/>
        <v>#DIV/0!</v>
      </c>
      <c r="EM18" s="339">
        <f t="shared" si="59"/>
        <v>0</v>
      </c>
      <c r="EN18" s="339">
        <v>0.18560000000000004</v>
      </c>
      <c r="EO18" s="339">
        <v>0.15001201000079967</v>
      </c>
      <c r="EP18" s="340" t="e">
        <f t="shared" si="66"/>
        <v>#DIV/0!</v>
      </c>
      <c r="EQ18" s="283"/>
      <c r="ER18" s="30">
        <v>9</v>
      </c>
      <c r="ES18" s="29">
        <f t="shared" si="79"/>
        <v>2158.2158740521054</v>
      </c>
      <c r="ET18" s="29">
        <f t="shared" si="80"/>
        <v>1850.051789579059</v>
      </c>
      <c r="EU18" s="29">
        <f t="shared" si="67"/>
        <v>-308.16408447304639</v>
      </c>
      <c r="EV18" s="29">
        <f t="shared" si="68"/>
        <v>-246.53126757843711</v>
      </c>
      <c r="EW18" s="29">
        <f t="shared" si="81"/>
        <v>-176.42949267471869</v>
      </c>
      <c r="EX18" s="29">
        <f t="shared" si="93"/>
        <v>-112.30667987585328</v>
      </c>
      <c r="EY18" s="29">
        <f t="shared" si="97"/>
        <v>-53.633220865135947</v>
      </c>
      <c r="EZ18" s="29">
        <f t="shared" si="69"/>
        <v>-588.90066099414503</v>
      </c>
      <c r="FA18" s="29"/>
      <c r="FB18" s="29">
        <f t="shared" si="237"/>
        <v>10.64500633798318</v>
      </c>
      <c r="FC18" s="29">
        <f t="shared" si="238"/>
        <v>9.0813275908819264</v>
      </c>
      <c r="FD18" s="29">
        <f t="shared" si="191"/>
        <v>-1.5636787471012532</v>
      </c>
      <c r="FE18" s="29">
        <f t="shared" si="192"/>
        <v>-1.2509429976810025</v>
      </c>
      <c r="FF18" s="29">
        <f t="shared" si="193"/>
        <v>-0.40607651580181248</v>
      </c>
      <c r="FG18" s="29">
        <f t="shared" si="194"/>
        <v>-6.3974159123712404E-2</v>
      </c>
      <c r="FH18" s="29">
        <f t="shared" si="195"/>
        <v>0</v>
      </c>
      <c r="FI18" s="29">
        <f t="shared" si="196"/>
        <v>-1.7209936726065274</v>
      </c>
      <c r="FJ18" s="29"/>
      <c r="FK18" s="29"/>
      <c r="FL18" s="27">
        <f t="shared" si="24"/>
        <v>28004.358555811254</v>
      </c>
      <c r="FM18" s="29"/>
      <c r="FN18" s="308">
        <f t="shared" si="156"/>
        <v>2197.0973252717481</v>
      </c>
      <c r="FO18" s="93">
        <f t="shared" si="197"/>
        <v>-5.556018871193795E-2</v>
      </c>
      <c r="FP18" s="27">
        <f t="shared" si="82"/>
        <v>20</v>
      </c>
      <c r="FQ18" s="309">
        <f t="shared" si="27"/>
        <v>13.512970250241354</v>
      </c>
      <c r="FR18" s="93">
        <f t="shared" si="60"/>
        <v>2072.4058469166739</v>
      </c>
      <c r="FS18" s="93">
        <f t="shared" si="198"/>
        <v>2197.0417650830364</v>
      </c>
      <c r="FT18" s="29">
        <f t="shared" si="83"/>
        <v>20</v>
      </c>
      <c r="FU18" s="142">
        <f t="shared" si="28"/>
        <v>13.512970250241354</v>
      </c>
      <c r="FV18" s="48">
        <v>1930.150376658399</v>
      </c>
      <c r="FW18" s="29">
        <f t="shared" si="98"/>
        <v>298.82490091623185</v>
      </c>
      <c r="FX18" s="29">
        <f t="shared" si="157"/>
        <v>799.06251155647578</v>
      </c>
      <c r="FY18" s="29">
        <f t="shared" si="99"/>
        <v>849.7144893232612</v>
      </c>
      <c r="FZ18" s="29">
        <f t="shared" si="99"/>
        <v>776.44325122975215</v>
      </c>
      <c r="GA18" s="29">
        <f t="shared" si="99"/>
        <v>587.33062300256131</v>
      </c>
      <c r="GB18" s="29">
        <f t="shared" si="99"/>
        <v>24681.952894510854</v>
      </c>
      <c r="GC18" s="29">
        <f t="shared" si="99"/>
        <v>0</v>
      </c>
      <c r="GD18" s="29">
        <f t="shared" si="99"/>
        <v>0</v>
      </c>
      <c r="GE18" s="29">
        <f t="shared" si="99"/>
        <v>0</v>
      </c>
      <c r="GF18" s="29">
        <f t="shared" si="99"/>
        <v>0</v>
      </c>
      <c r="GG18" s="29">
        <f t="shared" si="99"/>
        <v>0</v>
      </c>
      <c r="GH18" s="29">
        <f t="shared" si="99"/>
        <v>0</v>
      </c>
      <c r="GI18" s="29">
        <f t="shared" si="99"/>
        <v>0</v>
      </c>
      <c r="GJ18" s="29">
        <f t="shared" si="99"/>
        <v>0</v>
      </c>
      <c r="GK18" s="29">
        <f t="shared" si="99"/>
        <v>0</v>
      </c>
      <c r="GL18" s="29">
        <f t="shared" si="99"/>
        <v>0</v>
      </c>
      <c r="GM18" s="29">
        <f t="shared" si="99"/>
        <v>0</v>
      </c>
      <c r="GN18" s="29">
        <f t="shared" si="99"/>
        <v>0</v>
      </c>
      <c r="GO18" s="29">
        <f t="shared" si="99"/>
        <v>0</v>
      </c>
      <c r="GP18" s="29">
        <f t="shared" si="99"/>
        <v>0</v>
      </c>
      <c r="GQ18" s="29">
        <f t="shared" si="99"/>
        <v>0</v>
      </c>
      <c r="GR18" s="29">
        <f t="shared" si="99"/>
        <v>0</v>
      </c>
      <c r="GS18" s="29">
        <f t="shared" si="99"/>
        <v>0</v>
      </c>
      <c r="GT18" s="29">
        <f t="shared" si="99"/>
        <v>0</v>
      </c>
      <c r="GU18" s="29">
        <f t="shared" si="99"/>
        <v>0</v>
      </c>
      <c r="GV18" s="29">
        <f t="shared" si="99"/>
        <v>0</v>
      </c>
      <c r="GW18" s="29">
        <f t="shared" si="99"/>
        <v>0</v>
      </c>
      <c r="GX18" s="29">
        <f t="shared" si="99"/>
        <v>0</v>
      </c>
      <c r="GY18" s="29">
        <f t="shared" si="99"/>
        <v>0</v>
      </c>
      <c r="GZ18" s="29">
        <f t="shared" si="99"/>
        <v>0</v>
      </c>
      <c r="HA18" s="29">
        <f t="shared" si="99"/>
        <v>0</v>
      </c>
      <c r="HB18" s="29">
        <f t="shared" si="99"/>
        <v>0</v>
      </c>
      <c r="HC18" s="29"/>
      <c r="HD18" s="29">
        <f t="shared" si="29"/>
        <v>20</v>
      </c>
      <c r="HE18" s="29">
        <f t="shared" si="100"/>
        <v>0</v>
      </c>
      <c r="HF18" s="29">
        <f t="shared" si="101"/>
        <v>57.943473677063388</v>
      </c>
      <c r="HG18" s="29">
        <f t="shared" si="102"/>
        <v>63.784483002881657</v>
      </c>
      <c r="HH18" s="29">
        <f t="shared" si="103"/>
        <v>60.495559095931732</v>
      </c>
      <c r="HI18" s="29">
        <f t="shared" si="104"/>
        <v>47.638639067936012</v>
      </c>
      <c r="HJ18" s="29">
        <f t="shared" si="105"/>
        <v>2091.0915638631514</v>
      </c>
      <c r="HK18" s="29">
        <f t="shared" si="106"/>
        <v>0</v>
      </c>
      <c r="HL18" s="29">
        <f t="shared" si="107"/>
        <v>0</v>
      </c>
      <c r="HM18" s="29">
        <f t="shared" si="108"/>
        <v>0</v>
      </c>
      <c r="HN18" s="29">
        <f t="shared" si="109"/>
        <v>0</v>
      </c>
      <c r="HO18" s="29">
        <f t="shared" si="110"/>
        <v>0</v>
      </c>
      <c r="HP18" s="29">
        <f t="shared" si="111"/>
        <v>0</v>
      </c>
      <c r="HQ18" s="29">
        <f t="shared" si="112"/>
        <v>0</v>
      </c>
      <c r="HR18" s="29">
        <f t="shared" si="113"/>
        <v>0</v>
      </c>
      <c r="HS18" s="29">
        <f t="shared" si="114"/>
        <v>0</v>
      </c>
      <c r="HT18" s="29">
        <f t="shared" si="115"/>
        <v>0</v>
      </c>
      <c r="HU18" s="29">
        <f t="shared" si="116"/>
        <v>0</v>
      </c>
      <c r="HV18" s="29">
        <f t="shared" si="117"/>
        <v>0</v>
      </c>
      <c r="HW18" s="29">
        <f t="shared" si="118"/>
        <v>0</v>
      </c>
      <c r="HX18" s="29">
        <f t="shared" si="119"/>
        <v>0</v>
      </c>
      <c r="HY18" s="29">
        <f t="shared" si="120"/>
        <v>0</v>
      </c>
      <c r="HZ18" s="29">
        <f t="shared" si="121"/>
        <v>0</v>
      </c>
      <c r="IA18" s="29">
        <f t="shared" si="122"/>
        <v>0</v>
      </c>
      <c r="IB18" s="29">
        <f t="shared" si="123"/>
        <v>0</v>
      </c>
      <c r="IC18" s="29">
        <f t="shared" si="124"/>
        <v>0</v>
      </c>
      <c r="ID18" s="29">
        <f t="shared" si="125"/>
        <v>0</v>
      </c>
      <c r="IE18" s="29">
        <f t="shared" si="126"/>
        <v>0</v>
      </c>
      <c r="IF18" s="29">
        <f t="shared" si="127"/>
        <v>0</v>
      </c>
      <c r="IG18" s="29">
        <f t="shared" si="128"/>
        <v>0</v>
      </c>
      <c r="IH18" s="29">
        <f t="shared" si="129"/>
        <v>0</v>
      </c>
      <c r="II18" s="29">
        <f t="shared" si="130"/>
        <v>0</v>
      </c>
      <c r="IJ18" s="29">
        <f t="shared" si="131"/>
        <v>0</v>
      </c>
      <c r="IK18" s="48"/>
      <c r="IL18" s="48"/>
      <c r="IM18" s="48"/>
      <c r="IN18" s="29">
        <f t="shared" si="199"/>
        <v>-2.0322614509356307</v>
      </c>
      <c r="IO18" s="29">
        <f t="shared" si="239"/>
        <v>-1.7154301983575475</v>
      </c>
      <c r="IP18" s="29">
        <f t="shared" si="200"/>
        <v>-0.76235792798091018</v>
      </c>
      <c r="IQ18" s="29">
        <f t="shared" si="200"/>
        <v>0</v>
      </c>
      <c r="IR18" s="29">
        <f t="shared" si="200"/>
        <v>0</v>
      </c>
      <c r="IS18" s="29">
        <f t="shared" si="200"/>
        <v>0</v>
      </c>
      <c r="IT18" s="29">
        <f t="shared" si="200"/>
        <v>0</v>
      </c>
      <c r="IU18" s="29">
        <f t="shared" si="200"/>
        <v>0</v>
      </c>
      <c r="IV18" s="29">
        <f t="shared" si="200"/>
        <v>0</v>
      </c>
      <c r="IW18" s="29">
        <f t="shared" si="200"/>
        <v>0</v>
      </c>
      <c r="IX18" s="29">
        <f t="shared" si="200"/>
        <v>0</v>
      </c>
      <c r="IY18" s="29">
        <f t="shared" si="200"/>
        <v>0</v>
      </c>
      <c r="IZ18" s="29">
        <f t="shared" si="200"/>
        <v>0</v>
      </c>
      <c r="JA18" s="29">
        <f t="shared" si="200"/>
        <v>0</v>
      </c>
      <c r="JB18" s="29">
        <f t="shared" si="200"/>
        <v>0</v>
      </c>
      <c r="JC18" s="29">
        <f t="shared" si="200"/>
        <v>0</v>
      </c>
      <c r="JD18" s="29">
        <f t="shared" si="200"/>
        <v>0</v>
      </c>
      <c r="JE18" s="29">
        <f t="shared" si="200"/>
        <v>0</v>
      </c>
      <c r="JF18" s="29">
        <f t="shared" si="200"/>
        <v>0</v>
      </c>
      <c r="JG18" s="29">
        <f t="shared" si="200"/>
        <v>0</v>
      </c>
      <c r="JH18" s="29">
        <f t="shared" si="200"/>
        <v>0</v>
      </c>
      <c r="JI18" s="29">
        <f t="shared" si="200"/>
        <v>0</v>
      </c>
      <c r="JJ18" s="29">
        <f t="shared" si="200"/>
        <v>0</v>
      </c>
      <c r="JK18" s="29">
        <f t="shared" si="200"/>
        <v>0</v>
      </c>
      <c r="JL18" s="29">
        <f t="shared" si="200"/>
        <v>0</v>
      </c>
      <c r="JM18" s="29">
        <f t="shared" si="200"/>
        <v>0</v>
      </c>
      <c r="JN18" s="29">
        <f t="shared" si="200"/>
        <v>0</v>
      </c>
      <c r="JO18" s="29">
        <f t="shared" si="200"/>
        <v>0</v>
      </c>
      <c r="JP18" s="29">
        <f t="shared" si="200"/>
        <v>0</v>
      </c>
      <c r="JQ18" s="29">
        <f t="shared" si="200"/>
        <v>0</v>
      </c>
      <c r="JR18" s="29">
        <f t="shared" si="200"/>
        <v>0</v>
      </c>
      <c r="JS18" s="29">
        <f t="shared" si="200"/>
        <v>0</v>
      </c>
      <c r="JT18" s="48"/>
      <c r="JU18" s="401">
        <f t="shared" si="201"/>
        <v>20</v>
      </c>
      <c r="JV18" s="29">
        <f t="shared" si="202"/>
        <v>0</v>
      </c>
      <c r="JW18" s="29">
        <f t="shared" si="203"/>
        <v>-0.12439325222472906</v>
      </c>
      <c r="JX18" s="29">
        <f t="shared" si="204"/>
        <v>-5.7226994373296113E-2</v>
      </c>
      <c r="JY18" s="29">
        <f t="shared" si="205"/>
        <v>0</v>
      </c>
      <c r="JZ18" s="29">
        <f t="shared" si="206"/>
        <v>0</v>
      </c>
      <c r="KA18" s="29">
        <f t="shared" si="207"/>
        <v>0</v>
      </c>
      <c r="KB18" s="29">
        <f t="shared" si="208"/>
        <v>0</v>
      </c>
      <c r="KC18" s="29">
        <f t="shared" si="209"/>
        <v>0</v>
      </c>
      <c r="KD18" s="29">
        <f t="shared" si="210"/>
        <v>0</v>
      </c>
      <c r="KE18" s="29">
        <f t="shared" si="211"/>
        <v>0</v>
      </c>
      <c r="KF18" s="29">
        <f t="shared" si="212"/>
        <v>0</v>
      </c>
      <c r="KG18" s="29">
        <f t="shared" si="213"/>
        <v>0</v>
      </c>
      <c r="KH18" s="29">
        <f t="shared" si="214"/>
        <v>0</v>
      </c>
      <c r="KI18" s="29">
        <f t="shared" si="215"/>
        <v>0</v>
      </c>
      <c r="KJ18" s="29">
        <f t="shared" si="216"/>
        <v>0</v>
      </c>
      <c r="KK18" s="29">
        <f t="shared" si="217"/>
        <v>0</v>
      </c>
      <c r="KL18" s="29">
        <f t="shared" si="218"/>
        <v>0</v>
      </c>
      <c r="KM18" s="29">
        <f t="shared" si="219"/>
        <v>0</v>
      </c>
      <c r="KN18" s="29">
        <f t="shared" si="220"/>
        <v>0</v>
      </c>
      <c r="KO18" s="29">
        <f t="shared" si="221"/>
        <v>0</v>
      </c>
      <c r="KP18" s="29">
        <f t="shared" si="222"/>
        <v>0</v>
      </c>
      <c r="KQ18" s="29">
        <f t="shared" si="223"/>
        <v>0</v>
      </c>
      <c r="KR18" s="29">
        <f t="shared" si="224"/>
        <v>0</v>
      </c>
      <c r="KS18" s="29">
        <f t="shared" si="225"/>
        <v>0</v>
      </c>
      <c r="KT18" s="29">
        <f t="shared" si="226"/>
        <v>0</v>
      </c>
      <c r="KU18" s="29">
        <f t="shared" si="227"/>
        <v>0</v>
      </c>
      <c r="KV18" s="29">
        <f t="shared" si="228"/>
        <v>0</v>
      </c>
      <c r="KW18" s="29">
        <f t="shared" si="229"/>
        <v>0</v>
      </c>
      <c r="KX18" s="29">
        <f t="shared" si="230"/>
        <v>0</v>
      </c>
      <c r="KY18" s="29">
        <f t="shared" si="231"/>
        <v>0</v>
      </c>
      <c r="KZ18" s="29">
        <f t="shared" si="232"/>
        <v>0</v>
      </c>
      <c r="LA18" s="29">
        <f t="shared" si="233"/>
        <v>0</v>
      </c>
      <c r="LB18" s="48"/>
      <c r="LC18" s="48"/>
      <c r="LD18" s="48"/>
      <c r="LE18" s="48"/>
      <c r="LF18" s="48"/>
      <c r="LG18" s="48"/>
      <c r="LH18" s="48"/>
      <c r="LI18" s="48"/>
      <c r="LJ18" s="48"/>
      <c r="LK18" s="48"/>
      <c r="LL18" s="48"/>
      <c r="LM18" s="48"/>
      <c r="LN18" s="48"/>
      <c r="LO18" s="46">
        <f t="shared" si="30"/>
        <v>0.42924256257067439</v>
      </c>
      <c r="LP18" s="47">
        <f t="shared" si="31"/>
        <v>0.75719640176516589</v>
      </c>
      <c r="LQ18" s="28"/>
      <c r="LR18" s="48"/>
      <c r="LS18" s="28" t="s">
        <v>208</v>
      </c>
      <c r="LT18" s="166">
        <v>1.3650000000000002E-2</v>
      </c>
      <c r="LU18" s="115">
        <f t="shared" si="70"/>
        <v>2.2129883595405062E-18</v>
      </c>
      <c r="LV18" s="157">
        <f t="shared" si="15"/>
        <v>2.8651245230979056E-15</v>
      </c>
      <c r="LW18" s="229" t="e">
        <f>LW17*(1+#REF!)</f>
        <v>#REF!</v>
      </c>
      <c r="LX18" s="158"/>
      <c r="LY18" s="129">
        <f t="shared" si="71"/>
        <v>30.096690822043456</v>
      </c>
      <c r="LZ18" s="130">
        <f t="shared" si="72"/>
        <v>-319.99635983991902</v>
      </c>
      <c r="MA18" s="28"/>
      <c r="MB18" s="115">
        <v>7.4999999999999997E-3</v>
      </c>
      <c r="MC18" s="394">
        <f t="shared" si="177"/>
        <v>-9.6008238612043986</v>
      </c>
      <c r="MD18" s="157">
        <f t="shared" si="158"/>
        <v>-3535.7685327296899</v>
      </c>
      <c r="ME18" s="215"/>
      <c r="MF18" s="115">
        <v>7.4999999999999997E-3</v>
      </c>
      <c r="MG18" s="394">
        <f t="shared" si="178"/>
        <v>-0.3731871590994032</v>
      </c>
      <c r="MH18" s="157">
        <f t="shared" si="159"/>
        <v>-137.43647764379773</v>
      </c>
      <c r="MI18" s="28"/>
      <c r="MJ18" s="104">
        <v>2.2499999999999999E-2</v>
      </c>
      <c r="MK18" s="104">
        <f>$MK$17*($MJ18/$MJ$17)</f>
        <v>0.13223101644804819</v>
      </c>
      <c r="ML18" s="104">
        <f t="shared" si="75"/>
        <v>0.13592743058401038</v>
      </c>
      <c r="MM18" s="104">
        <f t="shared" si="32"/>
        <v>0.13983644859813085</v>
      </c>
      <c r="MN18" s="104">
        <f t="shared" si="33"/>
        <v>0.14391247922792738</v>
      </c>
      <c r="MO18" s="104">
        <f t="shared" si="34"/>
        <v>0.14816370324406927</v>
      </c>
      <c r="MP18" s="104">
        <f t="shared" si="35"/>
        <v>0.15259872166546187</v>
      </c>
      <c r="MQ18" s="28"/>
      <c r="MR18" s="28">
        <f t="shared" si="84"/>
        <v>71</v>
      </c>
      <c r="MS18" s="28">
        <f t="shared" si="85"/>
        <v>0.53262836661701729</v>
      </c>
      <c r="MT18" s="28">
        <f t="shared" si="86"/>
        <v>0.54890398958408615</v>
      </c>
      <c r="MU18" s="28">
        <f t="shared" si="87"/>
        <v>0.56562019838834965</v>
      </c>
      <c r="MV18" s="28">
        <f t="shared" si="88"/>
        <v>0.58278739387264755</v>
      </c>
      <c r="MW18" s="28">
        <f t="shared" si="89"/>
        <v>0.60041618662968177</v>
      </c>
      <c r="MX18" s="28">
        <f t="shared" si="90"/>
        <v>0.61851740051519122</v>
      </c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</row>
    <row r="19" spans="1:374" s="30" customFormat="1" ht="12.75" customHeight="1" x14ac:dyDescent="0.3">
      <c r="A19" s="305">
        <f t="shared" si="91"/>
        <v>2028</v>
      </c>
      <c r="B19" s="355">
        <f t="shared" si="1"/>
        <v>2026</v>
      </c>
      <c r="C19" s="26">
        <v>46204</v>
      </c>
      <c r="D19" s="96">
        <f t="shared" si="132"/>
        <v>9861.4272549944817</v>
      </c>
      <c r="E19" s="27">
        <f t="shared" si="133"/>
        <v>9861.4272549944817</v>
      </c>
      <c r="F19" s="111">
        <f t="shared" si="18"/>
        <v>1733.5842368482527</v>
      </c>
      <c r="G19" s="27">
        <f t="shared" si="134"/>
        <v>13185.13143605404</v>
      </c>
      <c r="H19" s="27">
        <f t="shared" si="135"/>
        <v>11471.064349367014</v>
      </c>
      <c r="I19" s="296">
        <f t="shared" si="136"/>
        <v>9750.4046969619612</v>
      </c>
      <c r="J19" s="69">
        <v>4023.5093459999998</v>
      </c>
      <c r="K19" s="297">
        <f t="shared" si="160"/>
        <v>5726.8953509619614</v>
      </c>
      <c r="L19" s="297">
        <f t="shared" si="137"/>
        <v>1714.0670866870253</v>
      </c>
      <c r="M19" s="297">
        <f t="shared" si="161"/>
        <v>1456.9570236839716</v>
      </c>
      <c r="N19" s="27">
        <f t="shared" si="162"/>
        <v>0</v>
      </c>
      <c r="O19" s="297">
        <f t="shared" si="138"/>
        <v>1720.6596524050522</v>
      </c>
      <c r="P19" s="297">
        <f t="shared" si="139"/>
        <v>257.11006300305377</v>
      </c>
      <c r="Q19" s="297">
        <f t="shared" si="140"/>
        <v>571.79343513424919</v>
      </c>
      <c r="R19" s="260">
        <f t="shared" si="2"/>
        <v>0.87</v>
      </c>
      <c r="S19" s="257">
        <v>0.13</v>
      </c>
      <c r="T19" s="290">
        <f t="shared" si="163"/>
        <v>7.2499999999999995E-2</v>
      </c>
      <c r="U19" s="290">
        <f t="shared" si="164"/>
        <v>7.2499999999999995E-2</v>
      </c>
      <c r="V19" s="27">
        <f t="shared" si="4"/>
        <v>61241.601835744841</v>
      </c>
      <c r="W19" s="27">
        <f t="shared" si="141"/>
        <v>60899.894206906247</v>
      </c>
      <c r="X19" s="27">
        <f t="shared" si="179"/>
        <v>341.70762883859317</v>
      </c>
      <c r="Y19" s="27">
        <f t="shared" si="142"/>
        <v>1004.7360782916879</v>
      </c>
      <c r="Z19" s="27">
        <f t="shared" si="180"/>
        <v>135.93409030971455</v>
      </c>
      <c r="AA19" s="115">
        <f t="shared" si="165"/>
        <v>7.0000000000000007E-2</v>
      </c>
      <c r="AB19" s="115">
        <f t="shared" si="166"/>
        <v>7.0000000000000007E-2</v>
      </c>
      <c r="AC19" s="96">
        <f t="shared" si="6"/>
        <v>62926.97715647531</v>
      </c>
      <c r="AD19" s="27">
        <f t="shared" si="143"/>
        <v>62575.865697768022</v>
      </c>
      <c r="AE19" s="27">
        <f t="shared" si="181"/>
        <v>351.11145870729132</v>
      </c>
      <c r="AF19" s="150">
        <f t="shared" si="144"/>
        <v>1057.5099601737243</v>
      </c>
      <c r="AG19" s="27">
        <f t="shared" si="234"/>
        <v>143.07404455316541</v>
      </c>
      <c r="AH19" s="27">
        <f t="shared" si="167"/>
        <v>35082.711635339365</v>
      </c>
      <c r="AI19" s="27">
        <f t="shared" si="145"/>
        <v>34724.76861365926</v>
      </c>
      <c r="AJ19" s="27">
        <f t="shared" si="182"/>
        <v>357.94302168010381</v>
      </c>
      <c r="AK19" s="27">
        <f t="shared" si="10"/>
        <v>34461.982427673</v>
      </c>
      <c r="AL19" s="27">
        <f t="shared" si="168"/>
        <v>34107.518500915372</v>
      </c>
      <c r="AM19" s="27">
        <f t="shared" si="235"/>
        <v>354.46392675762553</v>
      </c>
      <c r="AN19" s="417">
        <f>INDEX(Inv.Returns!$B$2:$E$32,MATCH(B19,Inv.Returns!$A$2:$A$32,0),MATCH(SCRS!$DT$52,Inv.Returns!$B$1:$E$1,0))</f>
        <v>0.06</v>
      </c>
      <c r="AO19" s="27">
        <f t="shared" si="36"/>
        <v>27844.265521135945</v>
      </c>
      <c r="AP19" s="229">
        <f t="shared" si="11"/>
        <v>28464.99472880231</v>
      </c>
      <c r="AQ19" s="68">
        <f t="shared" si="19"/>
        <v>0.55751464984726795</v>
      </c>
      <c r="AR19" s="151">
        <f t="shared" si="20"/>
        <v>0.54765037166777042</v>
      </c>
      <c r="AS19" s="353"/>
      <c r="AT19" s="289">
        <f t="shared" si="94"/>
        <v>0.10869304632666345</v>
      </c>
      <c r="AU19" s="397">
        <f t="shared" si="169"/>
        <v>9.9400593584701102E-2</v>
      </c>
      <c r="AV19" s="303">
        <f t="shared" si="95"/>
        <v>0.17193781726513199</v>
      </c>
      <c r="AW19" s="303">
        <f t="shared" si="146"/>
        <v>-1.9765045257214172E-4</v>
      </c>
      <c r="AX19" s="115">
        <f t="shared" si="61"/>
        <v>0.09</v>
      </c>
      <c r="AY19" s="115">
        <f t="shared" si="147"/>
        <v>0.09</v>
      </c>
      <c r="AZ19" s="115">
        <f t="shared" si="148"/>
        <v>0</v>
      </c>
      <c r="BA19" s="262">
        <f t="shared" si="21"/>
        <v>1.8693046326663451E-2</v>
      </c>
      <c r="BB19" s="115">
        <f t="shared" si="170"/>
        <v>9.4005935847011057E-3</v>
      </c>
      <c r="BC19" s="133">
        <f t="shared" si="77"/>
        <v>0.18560000000000004</v>
      </c>
      <c r="BD19" s="133">
        <f t="shared" si="96"/>
        <v>0.18560000000000004</v>
      </c>
      <c r="BE19" s="410">
        <f t="shared" si="12"/>
        <v>0.16690695367333658</v>
      </c>
      <c r="BF19" s="410">
        <f t="shared" si="149"/>
        <v>0.17619940641529894</v>
      </c>
      <c r="BG19" s="410">
        <f t="shared" si="171"/>
        <v>0.13560000000000005</v>
      </c>
      <c r="BH19" s="410">
        <f t="shared" si="23"/>
        <v>0.18560000000000004</v>
      </c>
      <c r="BI19" s="157">
        <f t="shared" si="37"/>
        <v>12.141440596681463</v>
      </c>
      <c r="BJ19" s="104">
        <f t="shared" si="38"/>
        <v>3.8834951456310662E-2</v>
      </c>
      <c r="BK19" s="27">
        <f t="shared" si="62"/>
        <v>15.877409379086563</v>
      </c>
      <c r="BL19" s="27">
        <f t="shared" si="14"/>
        <v>20</v>
      </c>
      <c r="BM19" s="111">
        <f t="shared" si="26"/>
        <v>14.594366116574481</v>
      </c>
      <c r="BN19" s="27"/>
      <c r="BO19" s="27"/>
      <c r="BP19" s="96">
        <f t="shared" si="172"/>
        <v>-3628.9791977693139</v>
      </c>
      <c r="BQ19" s="27">
        <f t="shared" si="183"/>
        <v>-14.569570236839716</v>
      </c>
      <c r="BR19" s="27">
        <f t="shared" si="173"/>
        <v>-141.05960663634855</v>
      </c>
      <c r="BS19" s="27">
        <f t="shared" si="184"/>
        <v>-0.56632395350531439</v>
      </c>
      <c r="BT19" s="27">
        <f t="shared" si="150"/>
        <v>-11.700485636354353</v>
      </c>
      <c r="BU19" s="27">
        <f t="shared" si="185"/>
        <v>-1.7483484284207658</v>
      </c>
      <c r="BV19" s="304">
        <f t="shared" si="151"/>
        <v>877.53642272657646</v>
      </c>
      <c r="BW19" s="304">
        <f t="shared" si="186"/>
        <v>131.12613213155743</v>
      </c>
      <c r="BX19" s="304">
        <f t="shared" si="187"/>
        <v>0</v>
      </c>
      <c r="BY19" s="304">
        <f t="shared" si="152"/>
        <v>51.461409162082425</v>
      </c>
      <c r="BZ19" s="304">
        <f t="shared" si="78"/>
        <v>191.67402308350222</v>
      </c>
      <c r="CA19" s="304">
        <f t="shared" si="188"/>
        <v>13.69626085002875</v>
      </c>
      <c r="CB19" s="304">
        <f t="shared" si="236"/>
        <v>2320.9537187069641</v>
      </c>
      <c r="CC19" s="304">
        <f t="shared" si="189"/>
        <v>0</v>
      </c>
      <c r="CD19" s="304">
        <f t="shared" si="190"/>
        <v>-0.18162024659802517</v>
      </c>
      <c r="CE19" s="304"/>
      <c r="CF19" s="304">
        <f t="shared" si="174"/>
        <v>0</v>
      </c>
      <c r="CG19" s="304">
        <f t="shared" si="153"/>
        <v>0</v>
      </c>
      <c r="CH19" s="304">
        <f t="shared" si="175"/>
        <v>0</v>
      </c>
      <c r="CI19" s="27"/>
      <c r="CJ19" s="27">
        <f t="shared" si="39"/>
        <v>0</v>
      </c>
      <c r="CK19" s="27">
        <f t="shared" si="40"/>
        <v>0</v>
      </c>
      <c r="CL19" s="27">
        <f t="shared" si="41"/>
        <v>0</v>
      </c>
      <c r="CM19" s="27">
        <f t="shared" si="42"/>
        <v>3586.2663464141133</v>
      </c>
      <c r="CN19" s="27">
        <f t="shared" si="43"/>
        <v>0</v>
      </c>
      <c r="CO19" s="111">
        <f t="shared" si="3"/>
        <v>3586.2663464141133</v>
      </c>
      <c r="CP19" s="27">
        <f t="shared" si="154"/>
        <v>2320.7720984603661</v>
      </c>
      <c r="CQ19" s="27">
        <f t="shared" si="155"/>
        <v>0</v>
      </c>
      <c r="CR19" s="27">
        <f t="shared" si="176"/>
        <v>2320.7720984603661</v>
      </c>
      <c r="CS19" s="27">
        <f>SUM($CR$14:CR19)</f>
        <v>11751.669506272883</v>
      </c>
      <c r="CT19" s="229">
        <v>2158.7771219567608</v>
      </c>
      <c r="CU19" s="425">
        <v>425.30169798110308</v>
      </c>
      <c r="CV19" s="425">
        <v>2584.078819937864</v>
      </c>
      <c r="CW19" s="425">
        <v>12450.45562707689</v>
      </c>
      <c r="CX19" s="107">
        <f t="shared" si="44"/>
        <v>98.888485770405296</v>
      </c>
      <c r="CY19" s="115">
        <f t="shared" si="92"/>
        <v>0.19081523616240834</v>
      </c>
      <c r="CZ19" s="96">
        <f t="shared" si="45"/>
        <v>2625.0308681643023</v>
      </c>
      <c r="DA19" s="418">
        <f t="shared" si="46"/>
        <v>2348.6474531255217</v>
      </c>
      <c r="DB19" s="314">
        <f t="shared" si="47"/>
        <v>1942.3431623444187</v>
      </c>
      <c r="DC19" s="314">
        <f t="shared" si="48"/>
        <v>171.88226582509392</v>
      </c>
      <c r="DD19" s="314">
        <f t="shared" si="49"/>
        <v>0</v>
      </c>
      <c r="DE19" s="314">
        <f t="shared" si="50"/>
        <v>38669.899354830661</v>
      </c>
      <c r="DF19" s="314" t="b">
        <f t="shared" si="63"/>
        <v>0</v>
      </c>
      <c r="DG19" s="27">
        <f t="shared" si="51"/>
        <v>98.888485770405296</v>
      </c>
      <c r="DH19" s="100">
        <f t="shared" si="52"/>
        <v>82.763565753899599</v>
      </c>
      <c r="DI19" s="105">
        <f t="shared" si="53"/>
        <v>3.1198011114312255E-2</v>
      </c>
      <c r="DJ19" s="96">
        <f t="shared" si="54"/>
        <v>0</v>
      </c>
      <c r="DK19" s="100">
        <f t="shared" si="55"/>
        <v>0</v>
      </c>
      <c r="DL19" s="105">
        <f t="shared" si="56"/>
        <v>0</v>
      </c>
      <c r="DM19" s="299">
        <v>2553.2852560925467</v>
      </c>
      <c r="DN19" s="100">
        <f t="shared" si="57"/>
        <v>2284.4557702356756</v>
      </c>
      <c r="DO19" s="301">
        <v>0.60582205265646216</v>
      </c>
      <c r="DP19" s="29"/>
      <c r="DQ19" s="28"/>
      <c r="DR19" s="28"/>
      <c r="DS19" s="28"/>
      <c r="DT19" s="28"/>
      <c r="DU19" s="29"/>
      <c r="DV19" s="327"/>
      <c r="DW19" s="328"/>
      <c r="DX19" s="328"/>
      <c r="DY19" s="328"/>
      <c r="DZ19" s="328"/>
      <c r="EA19" s="328"/>
      <c r="EB19" s="328"/>
      <c r="EC19" s="328"/>
      <c r="ED19" s="328"/>
      <c r="EE19" s="328"/>
      <c r="EF19" s="328"/>
      <c r="EG19" s="328"/>
      <c r="EH19" s="329"/>
      <c r="EI19" s="330"/>
      <c r="EJ19" s="339">
        <f t="shared" si="64"/>
        <v>0.16690695367333658</v>
      </c>
      <c r="EK19" s="339">
        <f t="shared" si="58"/>
        <v>1.8693046326663451E-2</v>
      </c>
      <c r="EL19" s="339" t="e">
        <f t="shared" si="65"/>
        <v>#DIV/0!</v>
      </c>
      <c r="EM19" s="339">
        <f t="shared" si="59"/>
        <v>0</v>
      </c>
      <c r="EN19" s="339">
        <v>0.18560000000000004</v>
      </c>
      <c r="EO19" s="339">
        <v>0.14961702432319526</v>
      </c>
      <c r="EP19" s="340" t="e">
        <f t="shared" si="66"/>
        <v>#DIV/0!</v>
      </c>
      <c r="EQ19" s="283"/>
      <c r="ER19" s="341">
        <v>10</v>
      </c>
      <c r="ES19" s="29">
        <f t="shared" si="79"/>
        <v>2263.603652258354</v>
      </c>
      <c r="ET19" s="29">
        <f t="shared" si="80"/>
        <v>1940.3803268346201</v>
      </c>
      <c r="EU19" s="29">
        <f t="shared" si="67"/>
        <v>-323.22332542373397</v>
      </c>
      <c r="EV19" s="29">
        <f t="shared" si="68"/>
        <v>-258.57866033898716</v>
      </c>
      <c r="EW19" s="29">
        <f t="shared" si="81"/>
        <v>-184.89845068382783</v>
      </c>
      <c r="EX19" s="29">
        <f t="shared" si="93"/>
        <v>-117.61966178314579</v>
      </c>
      <c r="EY19" s="29">
        <f t="shared" si="97"/>
        <v>-56.153339937926638</v>
      </c>
      <c r="EZ19" s="29">
        <f t="shared" si="69"/>
        <v>-617.25011274388737</v>
      </c>
      <c r="FA19" s="29"/>
      <c r="FB19" s="29">
        <f t="shared" si="237"/>
        <v>19.193305910507732</v>
      </c>
      <c r="FC19" s="29">
        <f t="shared" si="238"/>
        <v>16.395577263689674</v>
      </c>
      <c r="FD19" s="29">
        <f t="shared" si="191"/>
        <v>-2.797728646818058</v>
      </c>
      <c r="FE19" s="29">
        <f t="shared" si="192"/>
        <v>-2.2381829174544463</v>
      </c>
      <c r="FF19" s="29">
        <f t="shared" si="193"/>
        <v>-0.93820724826075186</v>
      </c>
      <c r="FG19" s="29">
        <f t="shared" si="194"/>
        <v>-0.27071767720120832</v>
      </c>
      <c r="FH19" s="29">
        <f t="shared" si="195"/>
        <v>-3.1987079561856202E-2</v>
      </c>
      <c r="FI19" s="29">
        <f t="shared" si="196"/>
        <v>-3.4790949224782626</v>
      </c>
      <c r="FJ19" s="29"/>
      <c r="FK19" s="29"/>
      <c r="FL19" s="27">
        <f t="shared" si="24"/>
        <v>27988.818620961865</v>
      </c>
      <c r="FM19" s="29"/>
      <c r="FN19" s="308">
        <f t="shared" si="156"/>
        <v>2320.9537187069641</v>
      </c>
      <c r="FO19" s="93">
        <f t="shared" si="197"/>
        <v>-0.18162024659802517</v>
      </c>
      <c r="FP19" s="27">
        <f t="shared" si="82"/>
        <v>20</v>
      </c>
      <c r="FQ19" s="309">
        <f t="shared" si="27"/>
        <v>13.512970250241354</v>
      </c>
      <c r="FR19" s="93">
        <f t="shared" si="60"/>
        <v>2071.255845506058</v>
      </c>
      <c r="FS19" s="93">
        <f t="shared" si="198"/>
        <v>2320.7720984603661</v>
      </c>
      <c r="FT19" s="29">
        <f t="shared" si="83"/>
        <v>20</v>
      </c>
      <c r="FU19" s="142">
        <f t="shared" si="28"/>
        <v>13.512970250241354</v>
      </c>
      <c r="FV19" s="48">
        <v>2073.9182897416172</v>
      </c>
      <c r="FW19" s="29">
        <f t="shared" si="98"/>
        <v>299.04860134034971</v>
      </c>
      <c r="FX19" s="29">
        <f t="shared" si="157"/>
        <v>319.74264398036809</v>
      </c>
      <c r="FY19" s="29">
        <f t="shared" si="99"/>
        <v>795.05969213835795</v>
      </c>
      <c r="FZ19" s="29">
        <f t="shared" si="99"/>
        <v>843.21532132132506</v>
      </c>
      <c r="GA19" s="29">
        <f t="shared" si="99"/>
        <v>768.21718590435148</v>
      </c>
      <c r="GB19" s="29">
        <f t="shared" si="99"/>
        <v>579.16597519000914</v>
      </c>
      <c r="GC19" s="29">
        <f t="shared" si="99"/>
        <v>24246.647664234002</v>
      </c>
      <c r="GD19" s="29">
        <f t="shared" si="99"/>
        <v>0</v>
      </c>
      <c r="GE19" s="29">
        <f t="shared" si="99"/>
        <v>0</v>
      </c>
      <c r="GF19" s="29">
        <f t="shared" si="99"/>
        <v>0</v>
      </c>
      <c r="GG19" s="29">
        <f t="shared" si="99"/>
        <v>0</v>
      </c>
      <c r="GH19" s="29">
        <f t="shared" si="99"/>
        <v>0</v>
      </c>
      <c r="GI19" s="29">
        <f t="shared" si="99"/>
        <v>0</v>
      </c>
      <c r="GJ19" s="29">
        <f t="shared" si="99"/>
        <v>0</v>
      </c>
      <c r="GK19" s="29">
        <f t="shared" si="99"/>
        <v>0</v>
      </c>
      <c r="GL19" s="29">
        <f t="shared" si="99"/>
        <v>0</v>
      </c>
      <c r="GM19" s="29">
        <f t="shared" si="99"/>
        <v>0</v>
      </c>
      <c r="GN19" s="29">
        <f t="shared" si="99"/>
        <v>0</v>
      </c>
      <c r="GO19" s="29">
        <f t="shared" si="99"/>
        <v>0</v>
      </c>
      <c r="GP19" s="29">
        <f t="shared" si="99"/>
        <v>0</v>
      </c>
      <c r="GQ19" s="29">
        <f t="shared" si="99"/>
        <v>0</v>
      </c>
      <c r="GR19" s="29">
        <f t="shared" si="99"/>
        <v>0</v>
      </c>
      <c r="GS19" s="29">
        <f t="shared" si="99"/>
        <v>0</v>
      </c>
      <c r="GT19" s="29">
        <f t="shared" si="99"/>
        <v>0</v>
      </c>
      <c r="GU19" s="29">
        <f t="shared" si="99"/>
        <v>0</v>
      </c>
      <c r="GV19" s="29">
        <f t="shared" si="99"/>
        <v>0</v>
      </c>
      <c r="GW19" s="29">
        <f t="shared" si="99"/>
        <v>0</v>
      </c>
      <c r="GX19" s="29">
        <f t="shared" si="99"/>
        <v>0</v>
      </c>
      <c r="GY19" s="29">
        <f t="shared" si="99"/>
        <v>0</v>
      </c>
      <c r="GZ19" s="29">
        <f t="shared" si="99"/>
        <v>0</v>
      </c>
      <c r="HA19" s="29">
        <f t="shared" si="99"/>
        <v>0</v>
      </c>
      <c r="HB19" s="29">
        <f t="shared" si="99"/>
        <v>0</v>
      </c>
      <c r="HC19" s="29"/>
      <c r="HD19" s="29">
        <f t="shared" si="29"/>
        <v>20</v>
      </c>
      <c r="HE19" s="29">
        <f t="shared" si="100"/>
        <v>0</v>
      </c>
      <c r="HF19" s="29">
        <f t="shared" si="101"/>
        <v>23.185920008714692</v>
      </c>
      <c r="HG19" s="29">
        <f t="shared" si="102"/>
        <v>59.681777887375311</v>
      </c>
      <c r="HH19" s="29">
        <f t="shared" si="103"/>
        <v>65.698017492968106</v>
      </c>
      <c r="HI19" s="29">
        <f t="shared" si="104"/>
        <v>62.310425868809681</v>
      </c>
      <c r="HJ19" s="29">
        <f t="shared" si="105"/>
        <v>49.067798239974103</v>
      </c>
      <c r="HK19" s="29">
        <f t="shared" si="106"/>
        <v>2153.8243107790458</v>
      </c>
      <c r="HL19" s="29">
        <f t="shared" si="107"/>
        <v>0</v>
      </c>
      <c r="HM19" s="29">
        <f t="shared" si="108"/>
        <v>0</v>
      </c>
      <c r="HN19" s="29">
        <f t="shared" si="109"/>
        <v>0</v>
      </c>
      <c r="HO19" s="29">
        <f t="shared" si="110"/>
        <v>0</v>
      </c>
      <c r="HP19" s="29">
        <f t="shared" si="111"/>
        <v>0</v>
      </c>
      <c r="HQ19" s="29">
        <f t="shared" si="112"/>
        <v>0</v>
      </c>
      <c r="HR19" s="29">
        <f t="shared" si="113"/>
        <v>0</v>
      </c>
      <c r="HS19" s="29">
        <f t="shared" si="114"/>
        <v>0</v>
      </c>
      <c r="HT19" s="29">
        <f t="shared" si="115"/>
        <v>0</v>
      </c>
      <c r="HU19" s="29">
        <f t="shared" si="116"/>
        <v>0</v>
      </c>
      <c r="HV19" s="29">
        <f t="shared" si="117"/>
        <v>0</v>
      </c>
      <c r="HW19" s="29">
        <f t="shared" si="118"/>
        <v>0</v>
      </c>
      <c r="HX19" s="29">
        <f t="shared" si="119"/>
        <v>0</v>
      </c>
      <c r="HY19" s="29">
        <f t="shared" si="120"/>
        <v>0</v>
      </c>
      <c r="HZ19" s="29">
        <f t="shared" si="121"/>
        <v>0</v>
      </c>
      <c r="IA19" s="29">
        <f t="shared" si="122"/>
        <v>0</v>
      </c>
      <c r="IB19" s="29">
        <f t="shared" si="123"/>
        <v>0</v>
      </c>
      <c r="IC19" s="29">
        <f t="shared" si="124"/>
        <v>0</v>
      </c>
      <c r="ID19" s="29">
        <f t="shared" si="125"/>
        <v>0</v>
      </c>
      <c r="IE19" s="29">
        <f t="shared" si="126"/>
        <v>0</v>
      </c>
      <c r="IF19" s="29">
        <f t="shared" si="127"/>
        <v>0</v>
      </c>
      <c r="IG19" s="29">
        <f t="shared" si="128"/>
        <v>0</v>
      </c>
      <c r="IH19" s="29">
        <f t="shared" si="129"/>
        <v>0</v>
      </c>
      <c r="II19" s="29">
        <f t="shared" si="130"/>
        <v>0</v>
      </c>
      <c r="IJ19" s="29">
        <f t="shared" si="131"/>
        <v>0</v>
      </c>
      <c r="IK19" s="48"/>
      <c r="IL19" s="48"/>
      <c r="IM19" s="48"/>
      <c r="IN19" s="29">
        <f t="shared" si="199"/>
        <v>-2.1936793690325045</v>
      </c>
      <c r="IO19" s="29">
        <f t="shared" si="239"/>
        <v>-2.1745197525011251</v>
      </c>
      <c r="IP19" s="29">
        <f t="shared" si="200"/>
        <v>-1.7068369316117002</v>
      </c>
      <c r="IQ19" s="29">
        <f t="shared" si="200"/>
        <v>-0.75652691966716235</v>
      </c>
      <c r="IR19" s="29">
        <f t="shared" si="200"/>
        <v>0</v>
      </c>
      <c r="IS19" s="29">
        <f t="shared" si="200"/>
        <v>0</v>
      </c>
      <c r="IT19" s="29">
        <f t="shared" si="200"/>
        <v>0</v>
      </c>
      <c r="IU19" s="29">
        <f t="shared" si="200"/>
        <v>0</v>
      </c>
      <c r="IV19" s="29">
        <f t="shared" si="200"/>
        <v>0</v>
      </c>
      <c r="IW19" s="29">
        <f t="shared" si="200"/>
        <v>0</v>
      </c>
      <c r="IX19" s="29">
        <f t="shared" si="200"/>
        <v>0</v>
      </c>
      <c r="IY19" s="29">
        <f t="shared" si="200"/>
        <v>0</v>
      </c>
      <c r="IZ19" s="29">
        <f t="shared" si="200"/>
        <v>0</v>
      </c>
      <c r="JA19" s="29">
        <f t="shared" si="200"/>
        <v>0</v>
      </c>
      <c r="JB19" s="29">
        <f t="shared" si="200"/>
        <v>0</v>
      </c>
      <c r="JC19" s="29">
        <f t="shared" si="200"/>
        <v>0</v>
      </c>
      <c r="JD19" s="29">
        <f t="shared" si="200"/>
        <v>0</v>
      </c>
      <c r="JE19" s="29">
        <f t="shared" si="200"/>
        <v>0</v>
      </c>
      <c r="JF19" s="29">
        <f t="shared" si="200"/>
        <v>0</v>
      </c>
      <c r="JG19" s="29">
        <f t="shared" si="200"/>
        <v>0</v>
      </c>
      <c r="JH19" s="29">
        <f t="shared" si="200"/>
        <v>0</v>
      </c>
      <c r="JI19" s="29">
        <f t="shared" si="200"/>
        <v>0</v>
      </c>
      <c r="JJ19" s="29">
        <f t="shared" si="200"/>
        <v>0</v>
      </c>
      <c r="JK19" s="29">
        <f t="shared" si="200"/>
        <v>0</v>
      </c>
      <c r="JL19" s="29">
        <f t="shared" si="200"/>
        <v>0</v>
      </c>
      <c r="JM19" s="29">
        <f t="shared" si="200"/>
        <v>0</v>
      </c>
      <c r="JN19" s="29">
        <f t="shared" si="200"/>
        <v>0</v>
      </c>
      <c r="JO19" s="29">
        <f t="shared" si="200"/>
        <v>0</v>
      </c>
      <c r="JP19" s="29">
        <f t="shared" si="200"/>
        <v>0</v>
      </c>
      <c r="JQ19" s="29">
        <f t="shared" si="200"/>
        <v>0</v>
      </c>
      <c r="JR19" s="29">
        <f t="shared" si="200"/>
        <v>0</v>
      </c>
      <c r="JS19" s="29">
        <f t="shared" si="200"/>
        <v>0</v>
      </c>
      <c r="JT19" s="48"/>
      <c r="JU19" s="401">
        <f t="shared" si="201"/>
        <v>20</v>
      </c>
      <c r="JV19" s="29">
        <f t="shared" si="202"/>
        <v>0</v>
      </c>
      <c r="JW19" s="29">
        <f t="shared" si="203"/>
        <v>-0.15768381849609273</v>
      </c>
      <c r="JX19" s="29">
        <f t="shared" si="204"/>
        <v>-0.12812504979147099</v>
      </c>
      <c r="JY19" s="29">
        <f t="shared" si="205"/>
        <v>-5.8943804204494986E-2</v>
      </c>
      <c r="JZ19" s="29">
        <f t="shared" si="206"/>
        <v>0</v>
      </c>
      <c r="KA19" s="29">
        <f t="shared" si="207"/>
        <v>0</v>
      </c>
      <c r="KB19" s="29">
        <f t="shared" si="208"/>
        <v>0</v>
      </c>
      <c r="KC19" s="29">
        <f t="shared" si="209"/>
        <v>0</v>
      </c>
      <c r="KD19" s="29">
        <f t="shared" si="210"/>
        <v>0</v>
      </c>
      <c r="KE19" s="29">
        <f t="shared" si="211"/>
        <v>0</v>
      </c>
      <c r="KF19" s="29">
        <f t="shared" si="212"/>
        <v>0</v>
      </c>
      <c r="KG19" s="29">
        <f t="shared" si="213"/>
        <v>0</v>
      </c>
      <c r="KH19" s="29">
        <f t="shared" si="214"/>
        <v>0</v>
      </c>
      <c r="KI19" s="29">
        <f t="shared" si="215"/>
        <v>0</v>
      </c>
      <c r="KJ19" s="29">
        <f t="shared" si="216"/>
        <v>0</v>
      </c>
      <c r="KK19" s="29">
        <f t="shared" si="217"/>
        <v>0</v>
      </c>
      <c r="KL19" s="29">
        <f t="shared" si="218"/>
        <v>0</v>
      </c>
      <c r="KM19" s="29">
        <f t="shared" si="219"/>
        <v>0</v>
      </c>
      <c r="KN19" s="29">
        <f t="shared" si="220"/>
        <v>0</v>
      </c>
      <c r="KO19" s="29">
        <f t="shared" si="221"/>
        <v>0</v>
      </c>
      <c r="KP19" s="29">
        <f t="shared" si="222"/>
        <v>0</v>
      </c>
      <c r="KQ19" s="29">
        <f t="shared" si="223"/>
        <v>0</v>
      </c>
      <c r="KR19" s="29">
        <f t="shared" si="224"/>
        <v>0</v>
      </c>
      <c r="KS19" s="29">
        <f t="shared" si="225"/>
        <v>0</v>
      </c>
      <c r="KT19" s="29">
        <f t="shared" si="226"/>
        <v>0</v>
      </c>
      <c r="KU19" s="29">
        <f t="shared" si="227"/>
        <v>0</v>
      </c>
      <c r="KV19" s="29">
        <f t="shared" si="228"/>
        <v>0</v>
      </c>
      <c r="KW19" s="29">
        <f t="shared" si="229"/>
        <v>0</v>
      </c>
      <c r="KX19" s="29">
        <f t="shared" si="230"/>
        <v>0</v>
      </c>
      <c r="KY19" s="29">
        <f t="shared" si="231"/>
        <v>0</v>
      </c>
      <c r="KZ19" s="29">
        <f t="shared" si="232"/>
        <v>0</v>
      </c>
      <c r="LA19" s="29">
        <f t="shared" si="233"/>
        <v>0</v>
      </c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6">
        <f t="shared" si="30"/>
        <v>0.40116127343053681</v>
      </c>
      <c r="LP19" s="47">
        <f t="shared" si="31"/>
        <v>0.74053437825444102</v>
      </c>
      <c r="LQ19" s="28"/>
      <c r="LR19" s="48"/>
      <c r="LS19" s="28"/>
      <c r="LT19" s="166">
        <v>1.5166666666666667E-2</v>
      </c>
      <c r="LU19" s="115">
        <f t="shared" si="70"/>
        <v>2.4588759550450066E-18</v>
      </c>
      <c r="LV19" s="157">
        <f t="shared" si="15"/>
        <v>4.2626685960312161E-15</v>
      </c>
      <c r="LW19" s="229" t="e">
        <f>LW18*(1+#REF!)</f>
        <v>#REF!</v>
      </c>
      <c r="LX19" s="158"/>
      <c r="LY19" s="129">
        <f t="shared" si="71"/>
        <v>24.43038552183134</v>
      </c>
      <c r="LZ19" s="130">
        <f t="shared" si="72"/>
        <v>-343.61195670375309</v>
      </c>
      <c r="MA19" s="28"/>
      <c r="MB19" s="115">
        <v>0.01</v>
      </c>
      <c r="MC19" s="394">
        <f t="shared" si="177"/>
        <v>-17.140670866870252</v>
      </c>
      <c r="MD19" s="157">
        <f t="shared" si="158"/>
        <v>-3646.119868636184</v>
      </c>
      <c r="ME19" s="215"/>
      <c r="MF19" s="115">
        <v>0.01</v>
      </c>
      <c r="MG19" s="394">
        <f t="shared" si="178"/>
        <v>-0.66626347471213443</v>
      </c>
      <c r="MH19" s="157">
        <f t="shared" si="159"/>
        <v>-141.72587011106069</v>
      </c>
      <c r="MI19" s="28"/>
      <c r="MJ19" s="104">
        <f t="shared" si="73"/>
        <v>2.4999999999999998E-2</v>
      </c>
      <c r="MK19" s="104">
        <f>$MK$17*($MJ19/$MJ$17)</f>
        <v>0.14692335160894243</v>
      </c>
      <c r="ML19" s="104">
        <f t="shared" si="75"/>
        <v>0.15103047842667819</v>
      </c>
      <c r="MM19" s="104">
        <f t="shared" si="32"/>
        <v>0.15537383177570094</v>
      </c>
      <c r="MN19" s="104">
        <f t="shared" si="33"/>
        <v>0.1599027546976971</v>
      </c>
      <c r="MO19" s="104">
        <f t="shared" si="34"/>
        <v>0.16462633693785478</v>
      </c>
      <c r="MP19" s="104">
        <f t="shared" si="35"/>
        <v>0.16955413518384654</v>
      </c>
      <c r="MQ19" s="28"/>
      <c r="MR19" s="28">
        <f t="shared" si="84"/>
        <v>72</v>
      </c>
      <c r="MS19" s="28">
        <f t="shared" si="85"/>
        <v>0.49662318565689256</v>
      </c>
      <c r="MT19" s="28">
        <f t="shared" si="86"/>
        <v>0.51351311696894431</v>
      </c>
      <c r="MU19" s="28">
        <f t="shared" si="87"/>
        <v>0.53091827852452367</v>
      </c>
      <c r="MV19" s="28">
        <f t="shared" si="88"/>
        <v>0.54885259410822151</v>
      </c>
      <c r="MW19" s="28">
        <f t="shared" si="89"/>
        <v>0.56733031564617198</v>
      </c>
      <c r="MX19" s="28">
        <f t="shared" si="90"/>
        <v>0.58636602981242025</v>
      </c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</row>
    <row r="20" spans="1:374" s="30" customFormat="1" ht="12.75" customHeight="1" x14ac:dyDescent="0.3">
      <c r="A20" s="305">
        <f t="shared" si="91"/>
        <v>2029</v>
      </c>
      <c r="B20" s="355">
        <f t="shared" si="1"/>
        <v>2027</v>
      </c>
      <c r="C20" s="26">
        <v>46569</v>
      </c>
      <c r="D20" s="96">
        <f t="shared" si="132"/>
        <v>9807.0193804841692</v>
      </c>
      <c r="E20" s="27">
        <f t="shared" si="133"/>
        <v>9807.0193804841692</v>
      </c>
      <c r="F20" s="111">
        <f t="shared" si="18"/>
        <v>2197.6514017891695</v>
      </c>
      <c r="G20" s="27">
        <f t="shared" si="134"/>
        <v>13580.685379135661</v>
      </c>
      <c r="H20" s="27">
        <f t="shared" si="135"/>
        <v>11407.775718473955</v>
      </c>
      <c r="I20" s="296">
        <f t="shared" si="136"/>
        <v>9696.6093607028615</v>
      </c>
      <c r="J20" s="69">
        <v>3807.5977750000002</v>
      </c>
      <c r="K20" s="297">
        <f t="shared" si="160"/>
        <v>5889.0115857028613</v>
      </c>
      <c r="L20" s="297">
        <f t="shared" si="137"/>
        <v>2172.9096606617059</v>
      </c>
      <c r="M20" s="297">
        <f t="shared" si="161"/>
        <v>1846.9732115624499</v>
      </c>
      <c r="N20" s="27">
        <f t="shared" si="162"/>
        <v>0</v>
      </c>
      <c r="O20" s="297">
        <f t="shared" si="138"/>
        <v>1711.1663577710931</v>
      </c>
      <c r="P20" s="297">
        <f t="shared" si="139"/>
        <v>325.93644909925587</v>
      </c>
      <c r="Q20" s="297">
        <f t="shared" si="140"/>
        <v>588.94723818827663</v>
      </c>
      <c r="R20" s="260">
        <f t="shared" si="2"/>
        <v>0.84</v>
      </c>
      <c r="S20" s="257">
        <v>0.16</v>
      </c>
      <c r="T20" s="290">
        <f t="shared" si="163"/>
        <v>7.2499999999999995E-2</v>
      </c>
      <c r="U20" s="290">
        <f t="shared" si="164"/>
        <v>7.2499999999999995E-2</v>
      </c>
      <c r="V20" s="27">
        <f t="shared" si="4"/>
        <v>62849.321286712307</v>
      </c>
      <c r="W20" s="27">
        <f t="shared" si="141"/>
        <v>62329.218653437289</v>
      </c>
      <c r="X20" s="27">
        <f t="shared" si="179"/>
        <v>520.10263327501707</v>
      </c>
      <c r="Y20" s="27">
        <f t="shared" si="142"/>
        <v>994.61778448870768</v>
      </c>
      <c r="Z20" s="27">
        <f t="shared" si="180"/>
        <v>172.32260063877658</v>
      </c>
      <c r="AA20" s="115">
        <f t="shared" si="165"/>
        <v>7.0000000000000007E-2</v>
      </c>
      <c r="AB20" s="115">
        <f t="shared" si="166"/>
        <v>7.0000000000000007E-2</v>
      </c>
      <c r="AC20" s="298">
        <f t="shared" si="6"/>
        <v>64578.94121574983</v>
      </c>
      <c r="AD20" s="27">
        <f t="shared" si="143"/>
        <v>64044.525303329705</v>
      </c>
      <c r="AE20" s="27">
        <f t="shared" si="181"/>
        <v>534.41591242012623</v>
      </c>
      <c r="AF20" s="150">
        <f t="shared" si="144"/>
        <v>1046.8602017866174</v>
      </c>
      <c r="AG20" s="27">
        <f t="shared" si="234"/>
        <v>181.37386571047429</v>
      </c>
      <c r="AH20" s="27">
        <f t="shared" si="167"/>
        <v>36969.6515032471</v>
      </c>
      <c r="AI20" s="27">
        <f t="shared" si="145"/>
        <v>36426.274230514246</v>
      </c>
      <c r="AJ20" s="27">
        <f t="shared" si="182"/>
        <v>543.37727273285725</v>
      </c>
      <c r="AK20" s="27">
        <f t="shared" si="10"/>
        <v>36316.407816382234</v>
      </c>
      <c r="AL20" s="27">
        <f t="shared" si="168"/>
        <v>35778.988801758613</v>
      </c>
      <c r="AM20" s="27">
        <f t="shared" si="235"/>
        <v>537.41901462361875</v>
      </c>
      <c r="AN20" s="417">
        <f>INDEX(Inv.Returns!$B$2:$E$32,MATCH(B20,Inv.Returns!$A$2:$A$32,0),MATCH(SCRS!$DT$52,Inv.Returns!$B$1:$E$1,0))</f>
        <v>0.06</v>
      </c>
      <c r="AO20" s="27">
        <f t="shared" si="36"/>
        <v>27609.28971250273</v>
      </c>
      <c r="AP20" s="229">
        <f t="shared" si="11"/>
        <v>28262.533399367596</v>
      </c>
      <c r="AQ20" s="68">
        <f t="shared" si="19"/>
        <v>0.57247224570833877</v>
      </c>
      <c r="AR20" s="151">
        <f t="shared" si="20"/>
        <v>0.5623568168306422</v>
      </c>
      <c r="AS20" s="353"/>
      <c r="AT20" s="289">
        <f t="shared" si="94"/>
        <v>0.10825187602723847</v>
      </c>
      <c r="AU20" s="397">
        <f t="shared" si="169"/>
        <v>9.9400593584701089E-2</v>
      </c>
      <c r="AV20" s="303">
        <f t="shared" si="95"/>
        <v>0.17356057973369612</v>
      </c>
      <c r="AW20" s="303">
        <f t="shared" si="146"/>
        <v>-2.198563568134223E-4</v>
      </c>
      <c r="AX20" s="115">
        <f t="shared" si="61"/>
        <v>0.09</v>
      </c>
      <c r="AY20" s="115">
        <f t="shared" si="147"/>
        <v>0.09</v>
      </c>
      <c r="AZ20" s="115">
        <f t="shared" si="148"/>
        <v>0</v>
      </c>
      <c r="BA20" s="262">
        <f t="shared" si="21"/>
        <v>1.8251876027238476E-2</v>
      </c>
      <c r="BB20" s="115">
        <f t="shared" si="170"/>
        <v>9.4005935847010919E-3</v>
      </c>
      <c r="BC20" s="133">
        <f t="shared" si="77"/>
        <v>0.18560000000000004</v>
      </c>
      <c r="BD20" s="133">
        <f t="shared" si="96"/>
        <v>0.18560000000000004</v>
      </c>
      <c r="BE20" s="410">
        <f t="shared" si="12"/>
        <v>0.16734812397276155</v>
      </c>
      <c r="BF20" s="410">
        <f t="shared" si="149"/>
        <v>0.17619940641529896</v>
      </c>
      <c r="BG20" s="410">
        <f t="shared" si="171"/>
        <v>0.13560000000000005</v>
      </c>
      <c r="BH20" s="410">
        <f t="shared" si="23"/>
        <v>0.18560000000000004</v>
      </c>
      <c r="BI20" s="157">
        <f t="shared" si="37"/>
        <v>11.579199828468436</v>
      </c>
      <c r="BJ20" s="104">
        <f t="shared" si="38"/>
        <v>3.8834951456310662E-2</v>
      </c>
      <c r="BK20" s="27">
        <f t="shared" si="62"/>
        <v>14.88620008976528</v>
      </c>
      <c r="BL20" s="27">
        <f t="shared" si="14"/>
        <v>20</v>
      </c>
      <c r="BM20" s="111">
        <f t="shared" si="26"/>
        <v>13.76117641502133</v>
      </c>
      <c r="BN20" s="27"/>
      <c r="BO20" s="27"/>
      <c r="BP20" s="96">
        <f t="shared" si="172"/>
        <v>-3732.7538989780487</v>
      </c>
      <c r="BQ20" s="27">
        <f t="shared" si="183"/>
        <v>-23.087165144530626</v>
      </c>
      <c r="BR20" s="27">
        <f t="shared" si="173"/>
        <v>-145.09336316499076</v>
      </c>
      <c r="BS20" s="27">
        <f t="shared" si="184"/>
        <v>-0.89740564940072887</v>
      </c>
      <c r="BT20" s="27">
        <f t="shared" si="150"/>
        <v>-11.635931232843433</v>
      </c>
      <c r="BU20" s="27">
        <f t="shared" si="185"/>
        <v>-2.2163678538749396</v>
      </c>
      <c r="BV20" s="304">
        <f t="shared" si="151"/>
        <v>872.69484246325749</v>
      </c>
      <c r="BW20" s="304">
        <f t="shared" si="186"/>
        <v>166.2275890406205</v>
      </c>
      <c r="BX20" s="304">
        <f t="shared" si="187"/>
        <v>0</v>
      </c>
      <c r="BY20" s="304">
        <f t="shared" si="152"/>
        <v>53.005251436944896</v>
      </c>
      <c r="BZ20" s="304">
        <f t="shared" si="78"/>
        <v>185.80129055620353</v>
      </c>
      <c r="CA20" s="304">
        <f t="shared" si="188"/>
        <v>17.362644523728761</v>
      </c>
      <c r="CB20" s="304">
        <f t="shared" si="236"/>
        <v>2413.7682502768876</v>
      </c>
      <c r="CC20" s="304">
        <f t="shared" si="189"/>
        <v>0</v>
      </c>
      <c r="CD20" s="304">
        <f t="shared" si="190"/>
        <v>-0.34475267249205865</v>
      </c>
      <c r="CE20" s="304"/>
      <c r="CF20" s="304">
        <f t="shared" si="174"/>
        <v>0</v>
      </c>
      <c r="CG20" s="304">
        <f t="shared" si="153"/>
        <v>0</v>
      </c>
      <c r="CH20" s="304">
        <f t="shared" si="175"/>
        <v>0</v>
      </c>
      <c r="CI20" s="27"/>
      <c r="CJ20" s="27">
        <f t="shared" si="39"/>
        <v>0</v>
      </c>
      <c r="CK20" s="27">
        <f t="shared" si="40"/>
        <v>0</v>
      </c>
      <c r="CL20" s="27">
        <f t="shared" si="41"/>
        <v>0</v>
      </c>
      <c r="CM20" s="27">
        <f t="shared" si="42"/>
        <v>3708.5151156251504</v>
      </c>
      <c r="CN20" s="27">
        <f t="shared" si="43"/>
        <v>0</v>
      </c>
      <c r="CO20" s="111">
        <f t="shared" si="3"/>
        <v>3708.5151156251504</v>
      </c>
      <c r="CP20" s="27">
        <f t="shared" si="154"/>
        <v>2413.4234976043954</v>
      </c>
      <c r="CQ20" s="27">
        <f t="shared" si="155"/>
        <v>0</v>
      </c>
      <c r="CR20" s="27">
        <f t="shared" si="176"/>
        <v>2413.4234976043954</v>
      </c>
      <c r="CS20" s="27">
        <f>SUM($CR$14:CR20)</f>
        <v>14165.093003877279</v>
      </c>
      <c r="CT20" s="229">
        <v>2346.9261498700771</v>
      </c>
      <c r="CU20" s="425">
        <v>464.32124937112241</v>
      </c>
      <c r="CV20" s="425">
        <v>2811.2473992411997</v>
      </c>
      <c r="CW20" s="425">
        <v>15261.70302631809</v>
      </c>
      <c r="CX20" s="107">
        <f t="shared" si="44"/>
        <v>101.85514034351746</v>
      </c>
      <c r="CY20" s="115">
        <f t="shared" si="92"/>
        <v>0.19184989804917382</v>
      </c>
      <c r="CZ20" s="96">
        <f t="shared" si="45"/>
        <v>2718.4425730278454</v>
      </c>
      <c r="DA20" s="418">
        <f t="shared" si="46"/>
        <v>2378.7032333703314</v>
      </c>
      <c r="DB20" s="314">
        <f t="shared" si="47"/>
        <v>1975.4392871698656</v>
      </c>
      <c r="DC20" s="314">
        <f t="shared" si="48"/>
        <v>166.29407126072201</v>
      </c>
      <c r="DD20" s="314">
        <f t="shared" si="49"/>
        <v>0</v>
      </c>
      <c r="DE20" s="314">
        <f t="shared" si="50"/>
        <v>38117.732861857228</v>
      </c>
      <c r="DF20" s="314" t="b">
        <f t="shared" si="63"/>
        <v>0</v>
      </c>
      <c r="DG20" s="27">
        <f t="shared" si="51"/>
        <v>101.85514034351746</v>
      </c>
      <c r="DH20" s="100">
        <f t="shared" si="52"/>
        <v>83.370633473365871</v>
      </c>
      <c r="DI20" s="105">
        <f t="shared" si="53"/>
        <v>2.7454249780594787E-2</v>
      </c>
      <c r="DJ20" s="96">
        <f t="shared" si="54"/>
        <v>0</v>
      </c>
      <c r="DK20" s="100">
        <f t="shared" si="55"/>
        <v>0</v>
      </c>
      <c r="DL20" s="105">
        <f t="shared" si="56"/>
        <v>0</v>
      </c>
      <c r="DM20" s="299">
        <v>2629.8838137753237</v>
      </c>
      <c r="DN20" s="100">
        <f t="shared" si="57"/>
        <v>2301.2121695283586</v>
      </c>
      <c r="DO20" s="301">
        <v>0.62824917064618702</v>
      </c>
      <c r="DP20" s="29"/>
      <c r="DQ20" s="28"/>
      <c r="DR20" s="28"/>
      <c r="DS20" s="28"/>
      <c r="DT20" s="28"/>
      <c r="DU20" s="29"/>
      <c r="DV20" s="327"/>
      <c r="DW20" s="328"/>
      <c r="DX20" s="328"/>
      <c r="DY20" s="328"/>
      <c r="DZ20" s="328"/>
      <c r="EA20" s="328"/>
      <c r="EB20" s="328"/>
      <c r="EC20" s="328"/>
      <c r="ED20" s="328"/>
      <c r="EE20" s="328"/>
      <c r="EF20" s="328"/>
      <c r="EG20" s="328"/>
      <c r="EH20" s="329"/>
      <c r="EI20" s="330"/>
      <c r="EJ20" s="339">
        <f t="shared" si="64"/>
        <v>0.16734812397276155</v>
      </c>
      <c r="EK20" s="339">
        <f t="shared" si="58"/>
        <v>1.8251876027238476E-2</v>
      </c>
      <c r="EL20" s="339" t="e">
        <f t="shared" si="65"/>
        <v>#DIV/0!</v>
      </c>
      <c r="EM20" s="339">
        <f t="shared" si="59"/>
        <v>0</v>
      </c>
      <c r="EN20" s="339">
        <v>0.18560000000000004</v>
      </c>
      <c r="EO20" s="339">
        <v>0.14913082589908561</v>
      </c>
      <c r="EP20" s="340" t="e">
        <f t="shared" si="66"/>
        <v>#DIV/0!</v>
      </c>
      <c r="EQ20" s="283"/>
      <c r="ER20" s="30">
        <v>11</v>
      </c>
      <c r="ES20" s="29">
        <f t="shared" si="79"/>
        <v>2374.7788205115858</v>
      </c>
      <c r="ET20" s="29">
        <f t="shared" si="80"/>
        <v>2035.6838594858305</v>
      </c>
      <c r="EU20" s="29">
        <f t="shared" si="67"/>
        <v>-339.09496102575531</v>
      </c>
      <c r="EV20" s="29">
        <f t="shared" si="68"/>
        <v>-271.27596882060425</v>
      </c>
      <c r="EW20" s="29">
        <f t="shared" si="81"/>
        <v>-193.93399525424036</v>
      </c>
      <c r="EX20" s="29">
        <f t="shared" si="93"/>
        <v>-123.26563378921855</v>
      </c>
      <c r="EY20" s="29">
        <f t="shared" si="97"/>
        <v>-58.809830891572894</v>
      </c>
      <c r="EZ20" s="29">
        <f t="shared" si="69"/>
        <v>-647.28542875563608</v>
      </c>
      <c r="FA20" s="29"/>
      <c r="FB20" s="29">
        <f t="shared" si="237"/>
        <v>30.30903385157557</v>
      </c>
      <c r="FC20" s="29">
        <f t="shared" si="238"/>
        <v>25.910545621942305</v>
      </c>
      <c r="FD20" s="29">
        <f t="shared" si="191"/>
        <v>-4.3984882296332657</v>
      </c>
      <c r="FE20" s="29">
        <f t="shared" si="192"/>
        <v>-3.5187905837066125</v>
      </c>
      <c r="FF20" s="29">
        <f t="shared" si="193"/>
        <v>-1.6786371880908346</v>
      </c>
      <c r="FG20" s="29">
        <f t="shared" si="194"/>
        <v>-0.62547149884050124</v>
      </c>
      <c r="FH20" s="29">
        <f t="shared" si="195"/>
        <v>-0.13535883860060416</v>
      </c>
      <c r="FI20" s="29">
        <f t="shared" si="196"/>
        <v>-5.9582581092385523</v>
      </c>
      <c r="FJ20" s="29"/>
      <c r="FK20" s="29"/>
      <c r="FL20" s="27">
        <f t="shared" si="24"/>
        <v>27844.265521135945</v>
      </c>
      <c r="FM20" s="29"/>
      <c r="FN20" s="308">
        <f t="shared" si="156"/>
        <v>2413.7682502768876</v>
      </c>
      <c r="FO20" s="93">
        <f t="shared" si="197"/>
        <v>-0.34475267249205865</v>
      </c>
      <c r="FP20" s="27">
        <f t="shared" si="82"/>
        <v>20</v>
      </c>
      <c r="FQ20" s="309">
        <f t="shared" si="27"/>
        <v>13.512970250241354</v>
      </c>
      <c r="FR20" s="93">
        <f t="shared" si="60"/>
        <v>2060.5584860692356</v>
      </c>
      <c r="FS20" s="93">
        <f t="shared" si="198"/>
        <v>2413.4234976043954</v>
      </c>
      <c r="FT20" s="29">
        <f t="shared" si="83"/>
        <v>20</v>
      </c>
      <c r="FU20" s="142">
        <f t="shared" si="28"/>
        <v>13.512970250241354</v>
      </c>
      <c r="FV20" s="48">
        <v>2209.0302965899987</v>
      </c>
      <c r="FW20" s="29">
        <f t="shared" si="98"/>
        <v>314.39848551663454</v>
      </c>
      <c r="FX20" s="29">
        <f t="shared" si="157"/>
        <v>319.9820034341742</v>
      </c>
      <c r="FY20" s="29">
        <f t="shared" si="99"/>
        <v>318.14092691115917</v>
      </c>
      <c r="FZ20" s="29">
        <f t="shared" si="99"/>
        <v>788.97855950415965</v>
      </c>
      <c r="GA20" s="29">
        <f t="shared" si="99"/>
        <v>834.28183609161636</v>
      </c>
      <c r="GB20" s="29">
        <f t="shared" si="99"/>
        <v>757.53798321882823</v>
      </c>
      <c r="GC20" s="29">
        <f t="shared" si="99"/>
        <v>568.9514682878962</v>
      </c>
      <c r="GD20" s="29">
        <f t="shared" si="99"/>
        <v>23715.979809850993</v>
      </c>
      <c r="GE20" s="29">
        <f t="shared" si="99"/>
        <v>0</v>
      </c>
      <c r="GF20" s="29">
        <f t="shared" si="99"/>
        <v>0</v>
      </c>
      <c r="GG20" s="29">
        <f t="shared" si="99"/>
        <v>0</v>
      </c>
      <c r="GH20" s="29">
        <f t="shared" si="99"/>
        <v>0</v>
      </c>
      <c r="GI20" s="29">
        <f t="shared" si="99"/>
        <v>0</v>
      </c>
      <c r="GJ20" s="29">
        <f t="shared" si="99"/>
        <v>0</v>
      </c>
      <c r="GK20" s="29">
        <f t="shared" si="99"/>
        <v>0</v>
      </c>
      <c r="GL20" s="29">
        <f t="shared" si="99"/>
        <v>0</v>
      </c>
      <c r="GM20" s="29">
        <f t="shared" si="99"/>
        <v>0</v>
      </c>
      <c r="GN20" s="29">
        <f t="shared" si="99"/>
        <v>0</v>
      </c>
      <c r="GO20" s="29">
        <f t="shared" si="99"/>
        <v>0</v>
      </c>
      <c r="GP20" s="29">
        <f t="shared" si="99"/>
        <v>0</v>
      </c>
      <c r="GQ20" s="29">
        <f t="shared" si="99"/>
        <v>0</v>
      </c>
      <c r="GR20" s="29">
        <f t="shared" si="99"/>
        <v>0</v>
      </c>
      <c r="GS20" s="29">
        <f t="shared" si="99"/>
        <v>0</v>
      </c>
      <c r="GT20" s="29">
        <f t="shared" si="99"/>
        <v>0</v>
      </c>
      <c r="GU20" s="29">
        <f t="shared" si="99"/>
        <v>0</v>
      </c>
      <c r="GV20" s="29">
        <f t="shared" si="99"/>
        <v>0</v>
      </c>
      <c r="GW20" s="29">
        <f t="shared" si="99"/>
        <v>0</v>
      </c>
      <c r="GX20" s="29">
        <f t="shared" si="99"/>
        <v>0</v>
      </c>
      <c r="GY20" s="29">
        <f t="shared" si="99"/>
        <v>0</v>
      </c>
      <c r="GZ20" s="29">
        <f t="shared" si="99"/>
        <v>0</v>
      </c>
      <c r="HA20" s="29">
        <f t="shared" si="99"/>
        <v>0</v>
      </c>
      <c r="HB20" s="29">
        <f t="shared" si="99"/>
        <v>0</v>
      </c>
      <c r="HC20" s="29"/>
      <c r="HD20" s="29">
        <f t="shared" si="29"/>
        <v>20</v>
      </c>
      <c r="HE20" s="29">
        <f t="shared" si="100"/>
        <v>0</v>
      </c>
      <c r="HF20" s="29">
        <f t="shared" si="101"/>
        <v>23.203276996447673</v>
      </c>
      <c r="HG20" s="29">
        <f t="shared" si="102"/>
        <v>23.881497608976144</v>
      </c>
      <c r="HH20" s="29">
        <f t="shared" si="103"/>
        <v>61.472231223996566</v>
      </c>
      <c r="HI20" s="29">
        <f t="shared" si="104"/>
        <v>67.668958017757134</v>
      </c>
      <c r="HJ20" s="29">
        <f t="shared" si="105"/>
        <v>64.179738644873979</v>
      </c>
      <c r="HK20" s="29">
        <f t="shared" si="106"/>
        <v>50.53983218717331</v>
      </c>
      <c r="HL20" s="29">
        <f t="shared" si="107"/>
        <v>2218.4390401024175</v>
      </c>
      <c r="HM20" s="29">
        <f t="shared" si="108"/>
        <v>0</v>
      </c>
      <c r="HN20" s="29">
        <f t="shared" si="109"/>
        <v>0</v>
      </c>
      <c r="HO20" s="29">
        <f t="shared" si="110"/>
        <v>0</v>
      </c>
      <c r="HP20" s="29">
        <f t="shared" si="111"/>
        <v>0</v>
      </c>
      <c r="HQ20" s="29">
        <f t="shared" si="112"/>
        <v>0</v>
      </c>
      <c r="HR20" s="29">
        <f t="shared" si="113"/>
        <v>0</v>
      </c>
      <c r="HS20" s="29">
        <f t="shared" si="114"/>
        <v>0</v>
      </c>
      <c r="HT20" s="29">
        <f t="shared" si="115"/>
        <v>0</v>
      </c>
      <c r="HU20" s="29">
        <f t="shared" si="116"/>
        <v>0</v>
      </c>
      <c r="HV20" s="29">
        <f t="shared" si="117"/>
        <v>0</v>
      </c>
      <c r="HW20" s="29">
        <f t="shared" si="118"/>
        <v>0</v>
      </c>
      <c r="HX20" s="29">
        <f t="shared" si="119"/>
        <v>0</v>
      </c>
      <c r="HY20" s="29">
        <f t="shared" si="120"/>
        <v>0</v>
      </c>
      <c r="HZ20" s="29">
        <f t="shared" si="121"/>
        <v>0</v>
      </c>
      <c r="IA20" s="29">
        <f t="shared" si="122"/>
        <v>0</v>
      </c>
      <c r="IB20" s="29">
        <f t="shared" si="123"/>
        <v>0</v>
      </c>
      <c r="IC20" s="29">
        <f t="shared" si="124"/>
        <v>0</v>
      </c>
      <c r="ID20" s="29">
        <f t="shared" si="125"/>
        <v>0</v>
      </c>
      <c r="IE20" s="29">
        <f t="shared" si="126"/>
        <v>0</v>
      </c>
      <c r="IF20" s="29">
        <f t="shared" si="127"/>
        <v>0</v>
      </c>
      <c r="IG20" s="29">
        <f t="shared" si="128"/>
        <v>0</v>
      </c>
      <c r="IH20" s="29">
        <f t="shared" si="129"/>
        <v>0</v>
      </c>
      <c r="II20" s="29">
        <f t="shared" si="130"/>
        <v>0</v>
      </c>
      <c r="IJ20" s="29">
        <f t="shared" si="131"/>
        <v>0</v>
      </c>
      <c r="IK20" s="48"/>
      <c r="IL20" s="48"/>
      <c r="IM20" s="48"/>
      <c r="IN20" s="29">
        <f t="shared" si="199"/>
        <v>-2.0082028691893177</v>
      </c>
      <c r="IO20" s="29">
        <f t="shared" si="239"/>
        <v>-2.34723692486478</v>
      </c>
      <c r="IP20" s="29">
        <f t="shared" si="200"/>
        <v>-2.1636267250289216</v>
      </c>
      <c r="IQ20" s="29">
        <f t="shared" si="200"/>
        <v>-1.6937819347747172</v>
      </c>
      <c r="IR20" s="29">
        <f t="shared" si="200"/>
        <v>-0.74851185887327987</v>
      </c>
      <c r="IS20" s="29">
        <f t="shared" si="200"/>
        <v>0</v>
      </c>
      <c r="IT20" s="29">
        <f t="shared" si="200"/>
        <v>0</v>
      </c>
      <c r="IU20" s="29">
        <f t="shared" si="200"/>
        <v>0</v>
      </c>
      <c r="IV20" s="29">
        <f t="shared" si="200"/>
        <v>0</v>
      </c>
      <c r="IW20" s="29">
        <f t="shared" si="200"/>
        <v>0</v>
      </c>
      <c r="IX20" s="29">
        <f t="shared" si="200"/>
        <v>0</v>
      </c>
      <c r="IY20" s="29">
        <f t="shared" si="200"/>
        <v>0</v>
      </c>
      <c r="IZ20" s="29">
        <f t="shared" si="200"/>
        <v>0</v>
      </c>
      <c r="JA20" s="29">
        <f t="shared" si="200"/>
        <v>0</v>
      </c>
      <c r="JB20" s="29">
        <f t="shared" si="200"/>
        <v>0</v>
      </c>
      <c r="JC20" s="29">
        <f t="shared" si="200"/>
        <v>0</v>
      </c>
      <c r="JD20" s="29">
        <f t="shared" si="200"/>
        <v>0</v>
      </c>
      <c r="JE20" s="29">
        <f t="shared" si="200"/>
        <v>0</v>
      </c>
      <c r="JF20" s="29">
        <f t="shared" si="200"/>
        <v>0</v>
      </c>
      <c r="JG20" s="29">
        <f t="shared" si="200"/>
        <v>0</v>
      </c>
      <c r="JH20" s="29">
        <f t="shared" si="200"/>
        <v>0</v>
      </c>
      <c r="JI20" s="29">
        <f t="shared" si="200"/>
        <v>0</v>
      </c>
      <c r="JJ20" s="29">
        <f t="shared" si="200"/>
        <v>0</v>
      </c>
      <c r="JK20" s="29">
        <f t="shared" si="200"/>
        <v>0</v>
      </c>
      <c r="JL20" s="29">
        <f t="shared" si="200"/>
        <v>0</v>
      </c>
      <c r="JM20" s="29">
        <f t="shared" si="200"/>
        <v>0</v>
      </c>
      <c r="JN20" s="29">
        <f t="shared" si="200"/>
        <v>0</v>
      </c>
      <c r="JO20" s="29">
        <f t="shared" si="200"/>
        <v>0</v>
      </c>
      <c r="JP20" s="29">
        <f t="shared" si="200"/>
        <v>0</v>
      </c>
      <c r="JQ20" s="29">
        <f t="shared" si="200"/>
        <v>0</v>
      </c>
      <c r="JR20" s="29">
        <f t="shared" si="200"/>
        <v>0</v>
      </c>
      <c r="JS20" s="29">
        <f t="shared" si="200"/>
        <v>0</v>
      </c>
      <c r="JT20" s="48"/>
      <c r="JU20" s="401">
        <f t="shared" si="201"/>
        <v>20</v>
      </c>
      <c r="JV20" s="29">
        <f t="shared" si="202"/>
        <v>0</v>
      </c>
      <c r="JW20" s="29">
        <f t="shared" si="203"/>
        <v>-0.17020828658925383</v>
      </c>
      <c r="JX20" s="29">
        <f t="shared" si="204"/>
        <v>-0.16241433305097555</v>
      </c>
      <c r="JY20" s="29">
        <f t="shared" si="205"/>
        <v>-0.13196880128521507</v>
      </c>
      <c r="JZ20" s="29">
        <f t="shared" si="206"/>
        <v>-6.0712118330629825E-2</v>
      </c>
      <c r="KA20" s="29">
        <f t="shared" si="207"/>
        <v>0</v>
      </c>
      <c r="KB20" s="29">
        <f t="shared" si="208"/>
        <v>0</v>
      </c>
      <c r="KC20" s="29">
        <f t="shared" si="209"/>
        <v>0</v>
      </c>
      <c r="KD20" s="29">
        <f t="shared" si="210"/>
        <v>0</v>
      </c>
      <c r="KE20" s="29">
        <f t="shared" si="211"/>
        <v>0</v>
      </c>
      <c r="KF20" s="29">
        <f t="shared" si="212"/>
        <v>0</v>
      </c>
      <c r="KG20" s="29">
        <f t="shared" si="213"/>
        <v>0</v>
      </c>
      <c r="KH20" s="29">
        <f t="shared" si="214"/>
        <v>0</v>
      </c>
      <c r="KI20" s="29">
        <f t="shared" si="215"/>
        <v>0</v>
      </c>
      <c r="KJ20" s="29">
        <f t="shared" si="216"/>
        <v>0</v>
      </c>
      <c r="KK20" s="29">
        <f t="shared" si="217"/>
        <v>0</v>
      </c>
      <c r="KL20" s="29">
        <f t="shared" si="218"/>
        <v>0</v>
      </c>
      <c r="KM20" s="29">
        <f t="shared" si="219"/>
        <v>0</v>
      </c>
      <c r="KN20" s="29">
        <f t="shared" si="220"/>
        <v>0</v>
      </c>
      <c r="KO20" s="29">
        <f t="shared" si="221"/>
        <v>0</v>
      </c>
      <c r="KP20" s="29">
        <f t="shared" si="222"/>
        <v>0</v>
      </c>
      <c r="KQ20" s="29">
        <f t="shared" si="223"/>
        <v>0</v>
      </c>
      <c r="KR20" s="29">
        <f t="shared" si="224"/>
        <v>0</v>
      </c>
      <c r="KS20" s="29">
        <f t="shared" si="225"/>
        <v>0</v>
      </c>
      <c r="KT20" s="29">
        <f t="shared" si="226"/>
        <v>0</v>
      </c>
      <c r="KU20" s="29">
        <f t="shared" si="227"/>
        <v>0</v>
      </c>
      <c r="KV20" s="29">
        <f t="shared" si="228"/>
        <v>0</v>
      </c>
      <c r="KW20" s="29">
        <f t="shared" si="229"/>
        <v>0</v>
      </c>
      <c r="KX20" s="29">
        <f t="shared" si="230"/>
        <v>0</v>
      </c>
      <c r="KY20" s="29">
        <f t="shared" si="231"/>
        <v>0</v>
      </c>
      <c r="KZ20" s="29">
        <f t="shared" si="232"/>
        <v>0</v>
      </c>
      <c r="LA20" s="29">
        <f t="shared" si="233"/>
        <v>0</v>
      </c>
      <c r="LB20" s="48"/>
      <c r="LC20" s="48"/>
      <c r="LD20" s="48"/>
      <c r="LE20" s="48"/>
      <c r="LF20" s="48"/>
      <c r="LG20" s="48"/>
      <c r="LH20" s="48"/>
      <c r="LI20" s="48"/>
      <c r="LJ20" s="48"/>
      <c r="LK20" s="48"/>
      <c r="LL20" s="48"/>
      <c r="LM20" s="48"/>
      <c r="LN20" s="48"/>
      <c r="LO20" s="46">
        <f t="shared" si="30"/>
        <v>0.37491707797246426</v>
      </c>
      <c r="LP20" s="47">
        <f t="shared" si="31"/>
        <v>0.72423900073783964</v>
      </c>
      <c r="LQ20" s="28"/>
      <c r="LR20" s="48"/>
      <c r="LS20" s="28" t="s">
        <v>8</v>
      </c>
      <c r="LT20" s="166">
        <v>1.6683333333333335E-2</v>
      </c>
      <c r="LU20" s="115">
        <f t="shared" si="70"/>
        <v>2.7047635505495075E-18</v>
      </c>
      <c r="LV20" s="157">
        <f t="shared" si="15"/>
        <v>5.9441274083733762E-15</v>
      </c>
      <c r="LW20" s="229" t="e">
        <f>LW19*(1+#REF!)</f>
        <v>#REF!</v>
      </c>
      <c r="LX20" s="158"/>
      <c r="LY20" s="129">
        <f t="shared" si="71"/>
        <v>16.458305767468119</v>
      </c>
      <c r="LZ20" s="130">
        <f t="shared" si="72"/>
        <v>-370.71854602580424</v>
      </c>
      <c r="MA20" s="28"/>
      <c r="MB20" s="115">
        <v>1.2500000000000001E-2</v>
      </c>
      <c r="MC20" s="394">
        <f t="shared" si="177"/>
        <v>-27.161370758271325</v>
      </c>
      <c r="MD20" s="157">
        <f t="shared" si="158"/>
        <v>-3759.9152697363202</v>
      </c>
      <c r="ME20" s="215"/>
      <c r="MF20" s="115">
        <v>1.2500000000000001E-2</v>
      </c>
      <c r="MG20" s="394">
        <f t="shared" si="178"/>
        <v>-1.0557713522361516</v>
      </c>
      <c r="MH20" s="157">
        <f t="shared" si="159"/>
        <v>-146.14913451722691</v>
      </c>
      <c r="MI20" s="28"/>
      <c r="MJ20" s="104">
        <f t="shared" si="73"/>
        <v>2.7499999999999997E-2</v>
      </c>
      <c r="MK20" s="104">
        <f>$MK$17*($MJ20/$MJ$17)</f>
        <v>0.16161568676983668</v>
      </c>
      <c r="ML20" s="104">
        <f t="shared" si="75"/>
        <v>0.16613352626934602</v>
      </c>
      <c r="MM20" s="104">
        <f t="shared" si="32"/>
        <v>0.17091121495327105</v>
      </c>
      <c r="MN20" s="104">
        <f t="shared" si="33"/>
        <v>0.17589303016746682</v>
      </c>
      <c r="MO20" s="104">
        <f t="shared" si="34"/>
        <v>0.18108897063164026</v>
      </c>
      <c r="MP20" s="104">
        <f t="shared" si="35"/>
        <v>0.18650954870223121</v>
      </c>
      <c r="MQ20" s="28"/>
      <c r="MR20" s="28">
        <f t="shared" si="84"/>
        <v>73</v>
      </c>
      <c r="MS20" s="28">
        <f t="shared" si="85"/>
        <v>0.463051921358408</v>
      </c>
      <c r="MT20" s="28">
        <f t="shared" si="86"/>
        <v>0.48040408942731028</v>
      </c>
      <c r="MU20" s="28">
        <f t="shared" si="87"/>
        <v>0.49834539020106106</v>
      </c>
      <c r="MV20" s="28">
        <f t="shared" si="88"/>
        <v>0.51689376473567283</v>
      </c>
      <c r="MW20" s="28">
        <f t="shared" si="89"/>
        <v>0.53606763811266267</v>
      </c>
      <c r="MX20" s="28">
        <f t="shared" si="90"/>
        <v>0.55588593082683291</v>
      </c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</row>
    <row r="21" spans="1:374" s="30" customFormat="1" ht="12.45" customHeight="1" x14ac:dyDescent="0.3">
      <c r="A21" s="305">
        <f t="shared" si="91"/>
        <v>2030</v>
      </c>
      <c r="B21" s="355">
        <f t="shared" si="1"/>
        <v>2028</v>
      </c>
      <c r="C21" s="26">
        <v>46935</v>
      </c>
      <c r="D21" s="96">
        <f t="shared" si="132"/>
        <v>9740.4717489737413</v>
      </c>
      <c r="E21" s="27">
        <f t="shared" si="133"/>
        <v>9740.4717489737413</v>
      </c>
      <c r="F21" s="111">
        <f t="shared" si="18"/>
        <v>2688.0023708133781</v>
      </c>
      <c r="G21" s="27">
        <f t="shared" si="134"/>
        <v>13988.105940509731</v>
      </c>
      <c r="H21" s="27">
        <f t="shared" si="135"/>
        <v>11330.365811812882</v>
      </c>
      <c r="I21" s="296">
        <f t="shared" si="136"/>
        <v>9630.8109400409503</v>
      </c>
      <c r="J21" s="69">
        <v>3600.274077</v>
      </c>
      <c r="K21" s="297">
        <f t="shared" si="160"/>
        <v>6030.5368630409503</v>
      </c>
      <c r="L21" s="297">
        <f t="shared" si="137"/>
        <v>2657.7401286968488</v>
      </c>
      <c r="M21" s="297">
        <f t="shared" si="161"/>
        <v>2259.0791093923217</v>
      </c>
      <c r="N21" s="27">
        <f t="shared" si="162"/>
        <v>0</v>
      </c>
      <c r="O21" s="297">
        <f t="shared" si="138"/>
        <v>1699.5548717719323</v>
      </c>
      <c r="P21" s="297">
        <f t="shared" si="139"/>
        <v>398.66101930452731</v>
      </c>
      <c r="Q21" s="297">
        <f t="shared" si="140"/>
        <v>606.61565533392491</v>
      </c>
      <c r="R21" s="260">
        <f t="shared" si="2"/>
        <v>0.81</v>
      </c>
      <c r="S21" s="257">
        <v>0.19</v>
      </c>
      <c r="T21" s="290">
        <f t="shared" si="163"/>
        <v>7.2499999999999995E-2</v>
      </c>
      <c r="U21" s="290">
        <f t="shared" si="164"/>
        <v>7.2499999999999995E-2</v>
      </c>
      <c r="V21" s="27">
        <f t="shared" si="4"/>
        <v>64477.791062396005</v>
      </c>
      <c r="W21" s="27">
        <f t="shared" si="141"/>
        <v>63738.15924763638</v>
      </c>
      <c r="X21" s="27">
        <f t="shared" si="179"/>
        <v>739.63181475962483</v>
      </c>
      <c r="Y21" s="27">
        <f t="shared" si="142"/>
        <v>983.5824229206886</v>
      </c>
      <c r="Z21" s="27">
        <f t="shared" si="180"/>
        <v>210.77208090630361</v>
      </c>
      <c r="AA21" s="115">
        <f t="shared" si="165"/>
        <v>7.0000000000000007E-2</v>
      </c>
      <c r="AB21" s="115">
        <f t="shared" si="166"/>
        <v>7.0000000000000007E-2</v>
      </c>
      <c r="AC21" s="96">
        <f t="shared" si="6"/>
        <v>66252.226650858211</v>
      </c>
      <c r="AD21" s="27">
        <f t="shared" si="143"/>
        <v>65492.240090800347</v>
      </c>
      <c r="AE21" s="27">
        <f t="shared" si="181"/>
        <v>759.98656005786734</v>
      </c>
      <c r="AF21" s="150">
        <f t="shared" si="144"/>
        <v>1035.245206541159</v>
      </c>
      <c r="AG21" s="27">
        <f t="shared" si="234"/>
        <v>221.84290949712388</v>
      </c>
      <c r="AH21" s="27">
        <f t="shared" si="167"/>
        <v>38976.332260335046</v>
      </c>
      <c r="AI21" s="27">
        <f t="shared" si="145"/>
        <v>38205.871961682911</v>
      </c>
      <c r="AJ21" s="27">
        <f t="shared" si="182"/>
        <v>770.46029865213359</v>
      </c>
      <c r="AK21" s="27">
        <f t="shared" si="10"/>
        <v>38288.226167440494</v>
      </c>
      <c r="AL21" s="27">
        <f t="shared" si="168"/>
        <v>37526.945661503363</v>
      </c>
      <c r="AM21" s="27">
        <f t="shared" si="235"/>
        <v>761.28050593713169</v>
      </c>
      <c r="AN21" s="417">
        <f>INDEX(Inv.Returns!$B$2:$E$32,MATCH(B21,Inv.Returns!$A$2:$A$32,0),MATCH(SCRS!$DT$52,Inv.Returns!$B$1:$E$1,0))</f>
        <v>0.06</v>
      </c>
      <c r="AO21" s="27">
        <f t="shared" si="36"/>
        <v>27275.894390523164</v>
      </c>
      <c r="AP21" s="229">
        <f t="shared" si="11"/>
        <v>27964.000483417716</v>
      </c>
      <c r="AQ21" s="68">
        <f t="shared" si="19"/>
        <v>0.58830222364805851</v>
      </c>
      <c r="AR21" s="151">
        <f t="shared" si="20"/>
        <v>0.57791606566244402</v>
      </c>
      <c r="AS21" s="353"/>
      <c r="AT21" s="289">
        <f t="shared" si="94"/>
        <v>0.10783710321478435</v>
      </c>
      <c r="AU21" s="397">
        <f t="shared" si="169"/>
        <v>9.9400593584701075E-2</v>
      </c>
      <c r="AV21" s="303">
        <f t="shared" si="95"/>
        <v>0.17521710045127759</v>
      </c>
      <c r="AW21" s="303">
        <f t="shared" si="146"/>
        <v>-2.2334823166303194E-4</v>
      </c>
      <c r="AX21" s="115">
        <f t="shared" si="61"/>
        <v>0.09</v>
      </c>
      <c r="AY21" s="115">
        <f t="shared" si="147"/>
        <v>0.09</v>
      </c>
      <c r="AZ21" s="115">
        <f t="shared" si="148"/>
        <v>0</v>
      </c>
      <c r="BA21" s="262">
        <f t="shared" si="21"/>
        <v>1.783710321478435E-2</v>
      </c>
      <c r="BB21" s="115">
        <f t="shared" si="170"/>
        <v>9.400593584701078E-3</v>
      </c>
      <c r="BC21" s="133">
        <f t="shared" si="77"/>
        <v>0.18560000000000004</v>
      </c>
      <c r="BD21" s="133">
        <f t="shared" si="96"/>
        <v>0.18560000000000004</v>
      </c>
      <c r="BE21" s="410">
        <f t="shared" si="12"/>
        <v>0.16776289678521569</v>
      </c>
      <c r="BF21" s="410">
        <f t="shared" si="149"/>
        <v>0.17619940641529896</v>
      </c>
      <c r="BG21" s="410">
        <f t="shared" si="171"/>
        <v>0.13560000000000005</v>
      </c>
      <c r="BH21" s="410">
        <f t="shared" si="23"/>
        <v>0.18560000000000004</v>
      </c>
      <c r="BI21" s="157">
        <f t="shared" si="37"/>
        <v>11.006398811284482</v>
      </c>
      <c r="BJ21" s="104">
        <f t="shared" si="38"/>
        <v>3.8834951456310662E-2</v>
      </c>
      <c r="BK21" s="27">
        <f t="shared" si="62"/>
        <v>13.913454167834967</v>
      </c>
      <c r="BL21" s="27">
        <f t="shared" si="14"/>
        <v>20</v>
      </c>
      <c r="BM21" s="111">
        <f t="shared" si="26"/>
        <v>12.927261274784877</v>
      </c>
      <c r="BN21" s="27"/>
      <c r="BO21" s="27"/>
      <c r="BP21" s="96">
        <f t="shared" si="172"/>
        <v>-3837.3961233743385</v>
      </c>
      <c r="BQ21" s="27">
        <f t="shared" si="183"/>
        <v>-33.88618664088483</v>
      </c>
      <c r="BR21" s="27">
        <f t="shared" si="173"/>
        <v>-149.16084060326497</v>
      </c>
      <c r="BS21" s="27">
        <f t="shared" si="184"/>
        <v>-1.3171671419079198</v>
      </c>
      <c r="BT21" s="27">
        <f t="shared" si="150"/>
        <v>-11.556973128049139</v>
      </c>
      <c r="BU21" s="27">
        <f t="shared" si="185"/>
        <v>-2.710894931270786</v>
      </c>
      <c r="BV21" s="304">
        <f t="shared" si="151"/>
        <v>866.77298460368547</v>
      </c>
      <c r="BW21" s="304">
        <f t="shared" si="186"/>
        <v>203.31711984530895</v>
      </c>
      <c r="BX21" s="304">
        <f t="shared" si="187"/>
        <v>0</v>
      </c>
      <c r="BY21" s="304">
        <f t="shared" si="152"/>
        <v>54.595408980053243</v>
      </c>
      <c r="BZ21" s="304">
        <f t="shared" si="78"/>
        <v>180.0291950655228</v>
      </c>
      <c r="CA21" s="304">
        <f t="shared" si="188"/>
        <v>21.236684583085747</v>
      </c>
      <c r="CB21" s="304">
        <f t="shared" si="236"/>
        <v>2509.3845747816422</v>
      </c>
      <c r="CC21" s="304">
        <f t="shared" si="189"/>
        <v>0</v>
      </c>
      <c r="CD21" s="304">
        <f t="shared" si="190"/>
        <v>-0.52530353925607431</v>
      </c>
      <c r="CE21" s="304"/>
      <c r="CF21" s="304">
        <f t="shared" si="174"/>
        <v>0</v>
      </c>
      <c r="CG21" s="304">
        <f t="shared" si="153"/>
        <v>0</v>
      </c>
      <c r="CH21" s="304">
        <f t="shared" si="175"/>
        <v>0</v>
      </c>
      <c r="CI21" s="27"/>
      <c r="CJ21" s="27">
        <f t="shared" si="39"/>
        <v>0</v>
      </c>
      <c r="CK21" s="27">
        <f t="shared" si="40"/>
        <v>0</v>
      </c>
      <c r="CL21" s="27">
        <f t="shared" si="41"/>
        <v>0</v>
      </c>
      <c r="CM21" s="27">
        <f t="shared" si="42"/>
        <v>3834.8106643200422</v>
      </c>
      <c r="CN21" s="27">
        <f t="shared" si="43"/>
        <v>0</v>
      </c>
      <c r="CO21" s="111">
        <f t="shared" si="3"/>
        <v>3834.8106643200422</v>
      </c>
      <c r="CP21" s="27">
        <f t="shared" si="154"/>
        <v>2508.8592712423861</v>
      </c>
      <c r="CQ21" s="27">
        <f t="shared" si="155"/>
        <v>0</v>
      </c>
      <c r="CR21" s="27">
        <f t="shared" si="176"/>
        <v>2508.8592712423861</v>
      </c>
      <c r="CS21" s="27">
        <f>SUM($CR$14:CR21)</f>
        <v>16673.952275119664</v>
      </c>
      <c r="CT21" s="229">
        <v>1889.8829749959987</v>
      </c>
      <c r="CU21" s="425">
        <v>397.10594045994452</v>
      </c>
      <c r="CV21" s="425">
        <v>2286.9889154559432</v>
      </c>
      <c r="CW21" s="425">
        <v>17548.691941774032</v>
      </c>
      <c r="CX21" s="107">
        <f t="shared" si="44"/>
        <v>104.910794553823</v>
      </c>
      <c r="CY21" s="115">
        <f t="shared" si="92"/>
        <v>0.19288041412495974</v>
      </c>
      <c r="CZ21" s="96">
        <f t="shared" si="45"/>
        <v>2815.0359454448176</v>
      </c>
      <c r="DA21" s="418">
        <f t="shared" si="46"/>
        <v>2409.0217885057518</v>
      </c>
      <c r="DB21" s="314">
        <f t="shared" si="47"/>
        <v>2008.3672667691426</v>
      </c>
      <c r="DC21" s="314">
        <f t="shared" si="48"/>
        <v>161.11537591488568</v>
      </c>
      <c r="DD21" s="314">
        <f t="shared" si="49"/>
        <v>0</v>
      </c>
      <c r="DE21" s="314">
        <f t="shared" si="50"/>
        <v>37571.943052481714</v>
      </c>
      <c r="DF21" s="314" t="b">
        <f t="shared" si="63"/>
        <v>0</v>
      </c>
      <c r="DG21" s="27">
        <f t="shared" si="51"/>
        <v>104.910794553823</v>
      </c>
      <c r="DH21" s="100">
        <f t="shared" si="52"/>
        <v>83.982154012290323</v>
      </c>
      <c r="DI21" s="105">
        <f t="shared" si="53"/>
        <v>2.3667456707409301E-2</v>
      </c>
      <c r="DJ21" s="96">
        <f t="shared" si="54"/>
        <v>0</v>
      </c>
      <c r="DK21" s="100">
        <f t="shared" si="55"/>
        <v>0</v>
      </c>
      <c r="DL21" s="105">
        <f t="shared" si="56"/>
        <v>0</v>
      </c>
      <c r="DM21" s="299">
        <v>2708.7803281885831</v>
      </c>
      <c r="DN21" s="100">
        <f t="shared" si="57"/>
        <v>2318.0914763953147</v>
      </c>
      <c r="DO21" s="301">
        <v>0.65183943336430827</v>
      </c>
      <c r="DP21" s="29"/>
      <c r="DQ21" s="28"/>
      <c r="DR21" s="28"/>
      <c r="DS21" s="28"/>
      <c r="DT21" s="28"/>
      <c r="DU21" s="29"/>
      <c r="DV21" s="327"/>
      <c r="DW21" s="328"/>
      <c r="DX21" s="328"/>
      <c r="DY21" s="328"/>
      <c r="DZ21" s="328"/>
      <c r="EA21" s="328"/>
      <c r="EB21" s="328"/>
      <c r="EC21" s="328"/>
      <c r="ED21" s="328"/>
      <c r="EE21" s="328"/>
      <c r="EF21" s="328"/>
      <c r="EG21" s="328"/>
      <c r="EH21" s="329"/>
      <c r="EI21" s="330"/>
      <c r="EJ21" s="339">
        <f t="shared" si="64"/>
        <v>0.16776289678521569</v>
      </c>
      <c r="EK21" s="339">
        <f t="shared" si="58"/>
        <v>1.783710321478435E-2</v>
      </c>
      <c r="EL21" s="339" t="e">
        <f t="shared" si="65"/>
        <v>#DIV/0!</v>
      </c>
      <c r="EM21" s="339">
        <f t="shared" si="59"/>
        <v>0</v>
      </c>
      <c r="EN21" s="339">
        <v>0.18560000000000004</v>
      </c>
      <c r="EO21" s="339">
        <v>0.14878371111218719</v>
      </c>
      <c r="EP21" s="340" t="e">
        <f t="shared" si="66"/>
        <v>#DIV/0!</v>
      </c>
      <c r="EQ21" s="283"/>
      <c r="ER21" s="341">
        <v>12</v>
      </c>
      <c r="ES21" s="29">
        <f t="shared" si="79"/>
        <v>2490.9726040444871</v>
      </c>
      <c r="ET21" s="29">
        <f t="shared" si="80"/>
        <v>2135.2886334194995</v>
      </c>
      <c r="EU21" s="29">
        <f t="shared" si="67"/>
        <v>-355.68397062498752</v>
      </c>
      <c r="EV21" s="29">
        <f t="shared" si="68"/>
        <v>-284.54717649999003</v>
      </c>
      <c r="EW21" s="29">
        <f t="shared" si="81"/>
        <v>-203.45697661545319</v>
      </c>
      <c r="EX21" s="29">
        <f t="shared" si="93"/>
        <v>-129.28933016949355</v>
      </c>
      <c r="EY21" s="29">
        <f t="shared" si="97"/>
        <v>-61.632816894609277</v>
      </c>
      <c r="EZ21" s="29">
        <f t="shared" si="69"/>
        <v>-678.92630017954605</v>
      </c>
      <c r="FA21" s="29"/>
      <c r="FB21" s="29">
        <f t="shared" si="237"/>
        <v>44.133329849780942</v>
      </c>
      <c r="FC21" s="29">
        <f t="shared" si="238"/>
        <v>37.747239138437862</v>
      </c>
      <c r="FD21" s="29">
        <f t="shared" si="191"/>
        <v>-6.3860907113430798</v>
      </c>
      <c r="FE21" s="29">
        <f t="shared" si="192"/>
        <v>-5.1088725690744639</v>
      </c>
      <c r="FF21" s="29">
        <f t="shared" si="193"/>
        <v>-2.6390929377799592</v>
      </c>
      <c r="FG21" s="29">
        <f t="shared" si="194"/>
        <v>-1.1190914587272229</v>
      </c>
      <c r="FH21" s="29">
        <f t="shared" si="195"/>
        <v>-0.31273574942025062</v>
      </c>
      <c r="FI21" s="29">
        <f t="shared" si="196"/>
        <v>-9.1797927150018968</v>
      </c>
      <c r="FJ21" s="29"/>
      <c r="FK21" s="29"/>
      <c r="FL21" s="27">
        <f t="shared" si="24"/>
        <v>27609.28971250273</v>
      </c>
      <c r="FM21" s="29"/>
      <c r="FN21" s="308">
        <f t="shared" si="156"/>
        <v>2509.3845747816422</v>
      </c>
      <c r="FO21" s="93">
        <f t="shared" si="197"/>
        <v>-0.52530353925607431</v>
      </c>
      <c r="FP21" s="27">
        <f t="shared" si="82"/>
        <v>20</v>
      </c>
      <c r="FQ21" s="309">
        <f t="shared" si="27"/>
        <v>13.512970250241354</v>
      </c>
      <c r="FR21" s="93">
        <f t="shared" si="60"/>
        <v>2043.1695771704672</v>
      </c>
      <c r="FS21" s="93">
        <f t="shared" si="198"/>
        <v>2508.8592712423861</v>
      </c>
      <c r="FT21" s="29">
        <f t="shared" si="83"/>
        <v>20</v>
      </c>
      <c r="FU21" s="142">
        <f t="shared" si="28"/>
        <v>13.512970250241354</v>
      </c>
      <c r="FV21" s="48">
        <v>2251.7488568859617</v>
      </c>
      <c r="FW21" s="29">
        <f t="shared" si="98"/>
        <v>330.56706903892336</v>
      </c>
      <c r="FX21" s="29">
        <f t="shared" si="157"/>
        <v>336.40637950279898</v>
      </c>
      <c r="FY21" s="29">
        <f t="shared" si="99"/>
        <v>318.37908731901359</v>
      </c>
      <c r="FZ21" s="29">
        <f t="shared" si="99"/>
        <v>315.70757858267052</v>
      </c>
      <c r="GA21" s="29">
        <f t="shared" si="99"/>
        <v>780.61968825305087</v>
      </c>
      <c r="GB21" s="29">
        <f t="shared" si="99"/>
        <v>822.68425016416211</v>
      </c>
      <c r="GC21" s="29">
        <f t="shared" si="99"/>
        <v>744.17760417435352</v>
      </c>
      <c r="GD21" s="29">
        <f t="shared" si="99"/>
        <v>556.49926214767311</v>
      </c>
      <c r="GE21" s="29">
        <f t="shared" si="99"/>
        <v>23081.327209934789</v>
      </c>
      <c r="GF21" s="29">
        <f t="shared" si="99"/>
        <v>0</v>
      </c>
      <c r="GG21" s="29">
        <f t="shared" si="99"/>
        <v>0</v>
      </c>
      <c r="GH21" s="29">
        <f t="shared" si="99"/>
        <v>0</v>
      </c>
      <c r="GI21" s="29">
        <f t="shared" si="99"/>
        <v>0</v>
      </c>
      <c r="GJ21" s="29">
        <f t="shared" si="99"/>
        <v>0</v>
      </c>
      <c r="GK21" s="29">
        <f t="shared" si="99"/>
        <v>0</v>
      </c>
      <c r="GL21" s="29">
        <f t="shared" si="99"/>
        <v>0</v>
      </c>
      <c r="GM21" s="29">
        <f t="shared" si="99"/>
        <v>0</v>
      </c>
      <c r="GN21" s="29">
        <f t="shared" ref="GN21:GN44" si="240">IF(AND($AQ21&gt;=100%,$AQ20&lt;100%),0,GM20*(1+$AA20) - HU20*(1+$AA20)^0.5)</f>
        <v>0</v>
      </c>
      <c r="GO21" s="29">
        <f t="shared" ref="GO21:GO44" si="241">IF(AND($AQ21&gt;=100%,$AQ20&lt;100%),0,GN20*(1+$AA20) - HV20*(1+$AA20)^0.5)</f>
        <v>0</v>
      </c>
      <c r="GP21" s="29">
        <f t="shared" ref="GP21:GP44" si="242">IF(AND($AQ21&gt;=100%,$AQ20&lt;100%),0,GO20*(1+$AA20) - HW20*(1+$AA20)^0.5)</f>
        <v>0</v>
      </c>
      <c r="GQ21" s="29">
        <f t="shared" ref="GQ21:GQ44" si="243">IF(AND($AQ21&gt;=100%,$AQ20&lt;100%),0,GP20*(1+$AA20) - HX20*(1+$AA20)^0.5)</f>
        <v>0</v>
      </c>
      <c r="GR21" s="29">
        <f t="shared" ref="GR21:GR44" si="244">IF(AND($AQ21&gt;=100%,$AQ20&lt;100%),0,GQ20*(1+$AA20) - HY20*(1+$AA20)^0.5)</f>
        <v>0</v>
      </c>
      <c r="GS21" s="29">
        <f t="shared" ref="GS21:GS44" si="245">IF(AND($AQ21&gt;=100%,$AQ20&lt;100%),0,GR20*(1+$AA20) - HZ20*(1+$AA20)^0.5)</f>
        <v>0</v>
      </c>
      <c r="GT21" s="29">
        <f t="shared" ref="GT21:GT44" si="246">IF(AND($AQ21&gt;=100%,$AQ20&lt;100%),0,GS20*(1+$AA20) - IA20*(1+$AA20)^0.5)</f>
        <v>0</v>
      </c>
      <c r="GU21" s="29">
        <f t="shared" ref="GU21:GU44" si="247">IF(AND($AQ21&gt;=100%,$AQ20&lt;100%),0,GT20*(1+$AA20) - IB20*(1+$AA20)^0.5)</f>
        <v>0</v>
      </c>
      <c r="GV21" s="29">
        <f t="shared" ref="GV21:GV44" si="248">IF(AND($AQ21&gt;=100%,$AQ20&lt;100%),0,GU20*(1+$AA20) - IC20*(1+$AA20)^0.5)</f>
        <v>0</v>
      </c>
      <c r="GW21" s="29">
        <f t="shared" ref="GW21:GW44" si="249">IF(AND($AQ21&gt;=100%,$AQ20&lt;100%),0,GV20*(1+$AA20) - ID20*(1+$AA20)^0.5)</f>
        <v>0</v>
      </c>
      <c r="GX21" s="29">
        <f t="shared" ref="GX21:GX44" si="250">IF(AND($AQ21&gt;=100%,$AQ20&lt;100%),0,GW20*(1+$AA20) - IE20*(1+$AA20)^0.5)</f>
        <v>0</v>
      </c>
      <c r="GY21" s="29">
        <f t="shared" ref="GY21:GY44" si="251">IF(AND($AQ21&gt;=100%,$AQ20&lt;100%),0,GX20*(1+$AA20) - IF20*(1+$AA20)^0.5)</f>
        <v>0</v>
      </c>
      <c r="GZ21" s="29">
        <f t="shared" ref="GZ21:GZ44" si="252">IF(AND($AQ21&gt;=100%,$AQ20&lt;100%),0,GY20*(1+$AA20) - IG20*(1+$AA20)^0.5)</f>
        <v>0</v>
      </c>
      <c r="HA21" s="29">
        <f t="shared" ref="HA21:HA44" si="253">IF(AND($AQ21&gt;=100%,$AQ20&lt;100%),0,GZ20*(1+$AA20) - IH20*(1+$AA20)^0.5)</f>
        <v>0</v>
      </c>
      <c r="HB21" s="29">
        <f t="shared" ref="HB21:HB44" si="254">IF(AND($AQ21&gt;=100%,$AQ20&lt;100%),0,HA20*(1+$AA20) - II20*(1+$AA20)^0.5)</f>
        <v>0</v>
      </c>
      <c r="HC21" s="29"/>
      <c r="HD21" s="29">
        <f t="shared" si="29"/>
        <v>20</v>
      </c>
      <c r="HE21" s="29">
        <f t="shared" si="100"/>
        <v>0</v>
      </c>
      <c r="HF21" s="29">
        <f t="shared" si="101"/>
        <v>24.394279438222579</v>
      </c>
      <c r="HG21" s="29">
        <f t="shared" si="102"/>
        <v>23.899375306341113</v>
      </c>
      <c r="HH21" s="29">
        <f t="shared" si="103"/>
        <v>24.597942537245423</v>
      </c>
      <c r="HI21" s="29">
        <f t="shared" si="104"/>
        <v>63.316398160716453</v>
      </c>
      <c r="HJ21" s="29">
        <f t="shared" si="105"/>
        <v>69.699026758289861</v>
      </c>
      <c r="HK21" s="29">
        <f t="shared" si="106"/>
        <v>66.105130804220195</v>
      </c>
      <c r="HL21" s="29">
        <f t="shared" si="107"/>
        <v>52.056027152788523</v>
      </c>
      <c r="HM21" s="29">
        <f t="shared" si="108"/>
        <v>2284.9922113054909</v>
      </c>
      <c r="HN21" s="29">
        <f t="shared" si="109"/>
        <v>0</v>
      </c>
      <c r="HO21" s="29">
        <f t="shared" si="110"/>
        <v>0</v>
      </c>
      <c r="HP21" s="29">
        <f t="shared" si="111"/>
        <v>0</v>
      </c>
      <c r="HQ21" s="29">
        <f t="shared" si="112"/>
        <v>0</v>
      </c>
      <c r="HR21" s="29">
        <f t="shared" si="113"/>
        <v>0</v>
      </c>
      <c r="HS21" s="29">
        <f t="shared" si="114"/>
        <v>0</v>
      </c>
      <c r="HT21" s="29">
        <f t="shared" si="115"/>
        <v>0</v>
      </c>
      <c r="HU21" s="29">
        <f t="shared" si="116"/>
        <v>0</v>
      </c>
      <c r="HV21" s="29">
        <f t="shared" si="117"/>
        <v>0</v>
      </c>
      <c r="HW21" s="29">
        <f t="shared" si="118"/>
        <v>0</v>
      </c>
      <c r="HX21" s="29">
        <f t="shared" si="119"/>
        <v>0</v>
      </c>
      <c r="HY21" s="29">
        <f t="shared" si="120"/>
        <v>0</v>
      </c>
      <c r="HZ21" s="29">
        <f t="shared" si="121"/>
        <v>0</v>
      </c>
      <c r="IA21" s="29">
        <f t="shared" si="122"/>
        <v>0</v>
      </c>
      <c r="IB21" s="29">
        <f t="shared" si="123"/>
        <v>0</v>
      </c>
      <c r="IC21" s="29">
        <f t="shared" si="124"/>
        <v>0</v>
      </c>
      <c r="ID21" s="29">
        <f t="shared" si="125"/>
        <v>0</v>
      </c>
      <c r="IE21" s="29">
        <f t="shared" si="126"/>
        <v>0</v>
      </c>
      <c r="IF21" s="29">
        <f t="shared" si="127"/>
        <v>0</v>
      </c>
      <c r="IG21" s="29">
        <f t="shared" si="128"/>
        <v>0</v>
      </c>
      <c r="IH21" s="29">
        <f t="shared" si="129"/>
        <v>0</v>
      </c>
      <c r="II21" s="29">
        <f t="shared" si="130"/>
        <v>0</v>
      </c>
      <c r="IJ21" s="29">
        <f t="shared" si="131"/>
        <v>0</v>
      </c>
      <c r="IK21" s="48"/>
      <c r="IL21" s="48"/>
      <c r="IM21" s="48"/>
      <c r="IN21" s="29">
        <f t="shared" si="199"/>
        <v>-1.4284612658133984</v>
      </c>
      <c r="IO21" s="29">
        <f t="shared" si="239"/>
        <v>-2.1487770700325699</v>
      </c>
      <c r="IP21" s="29">
        <f t="shared" si="200"/>
        <v>-2.3354786889246775</v>
      </c>
      <c r="IQ21" s="29">
        <f t="shared" si="200"/>
        <v>-2.1470779033292455</v>
      </c>
      <c r="IR21" s="29">
        <f t="shared" si="200"/>
        <v>-1.6758370806976515</v>
      </c>
      <c r="IS21" s="29">
        <f t="shared" si="200"/>
        <v>-0.738106585468708</v>
      </c>
      <c r="IT21" s="29">
        <f t="shared" si="200"/>
        <v>0</v>
      </c>
      <c r="IU21" s="29">
        <f t="shared" si="200"/>
        <v>0</v>
      </c>
      <c r="IV21" s="29">
        <f t="shared" si="200"/>
        <v>0</v>
      </c>
      <c r="IW21" s="29">
        <f t="shared" si="200"/>
        <v>0</v>
      </c>
      <c r="IX21" s="29">
        <f t="shared" si="200"/>
        <v>0</v>
      </c>
      <c r="IY21" s="29">
        <f t="shared" si="200"/>
        <v>0</v>
      </c>
      <c r="IZ21" s="29">
        <f t="shared" si="200"/>
        <v>0</v>
      </c>
      <c r="JA21" s="29">
        <f t="shared" si="200"/>
        <v>0</v>
      </c>
      <c r="JB21" s="29">
        <f t="shared" si="200"/>
        <v>0</v>
      </c>
      <c r="JC21" s="29">
        <f t="shared" si="200"/>
        <v>0</v>
      </c>
      <c r="JD21" s="29">
        <f t="shared" si="200"/>
        <v>0</v>
      </c>
      <c r="JE21" s="29">
        <f t="shared" si="200"/>
        <v>0</v>
      </c>
      <c r="JF21" s="29">
        <f t="shared" si="200"/>
        <v>0</v>
      </c>
      <c r="JG21" s="29">
        <f t="shared" si="200"/>
        <v>0</v>
      </c>
      <c r="JH21" s="29">
        <f t="shared" si="200"/>
        <v>0</v>
      </c>
      <c r="JI21" s="29">
        <f t="shared" si="200"/>
        <v>0</v>
      </c>
      <c r="JJ21" s="29">
        <f t="shared" si="200"/>
        <v>0</v>
      </c>
      <c r="JK21" s="29">
        <f t="shared" si="200"/>
        <v>0</v>
      </c>
      <c r="JL21" s="29">
        <f t="shared" si="200"/>
        <v>0</v>
      </c>
      <c r="JM21" s="29">
        <f t="shared" si="200"/>
        <v>0</v>
      </c>
      <c r="JN21" s="29">
        <f t="shared" si="200"/>
        <v>0</v>
      </c>
      <c r="JO21" s="29">
        <f t="shared" si="200"/>
        <v>0</v>
      </c>
      <c r="JP21" s="29">
        <f t="shared" si="200"/>
        <v>0</v>
      </c>
      <c r="JQ21" s="29">
        <f t="shared" si="200"/>
        <v>0</v>
      </c>
      <c r="JR21" s="29">
        <f t="shared" si="200"/>
        <v>0</v>
      </c>
      <c r="JS21" s="29">
        <f t="shared" si="200"/>
        <v>0</v>
      </c>
      <c r="JT21" s="48"/>
      <c r="JU21" s="401">
        <f t="shared" si="201"/>
        <v>20</v>
      </c>
      <c r="JV21" s="29">
        <f t="shared" si="202"/>
        <v>0</v>
      </c>
      <c r="JW21" s="29">
        <f t="shared" si="203"/>
        <v>-0.15581710541367289</v>
      </c>
      <c r="JX21" s="29">
        <f t="shared" si="204"/>
        <v>-0.17531453518693152</v>
      </c>
      <c r="JY21" s="29">
        <f t="shared" si="205"/>
        <v>-0.16728676304250481</v>
      </c>
      <c r="JZ21" s="29">
        <f t="shared" si="206"/>
        <v>-0.13592786532377152</v>
      </c>
      <c r="KA21" s="29">
        <f t="shared" si="207"/>
        <v>-6.2533481880548719E-2</v>
      </c>
      <c r="KB21" s="29">
        <f t="shared" si="208"/>
        <v>0</v>
      </c>
      <c r="KC21" s="29">
        <f t="shared" si="209"/>
        <v>0</v>
      </c>
      <c r="KD21" s="29">
        <f t="shared" si="210"/>
        <v>0</v>
      </c>
      <c r="KE21" s="29">
        <f t="shared" si="211"/>
        <v>0</v>
      </c>
      <c r="KF21" s="29">
        <f t="shared" si="212"/>
        <v>0</v>
      </c>
      <c r="KG21" s="29">
        <f t="shared" si="213"/>
        <v>0</v>
      </c>
      <c r="KH21" s="29">
        <f t="shared" si="214"/>
        <v>0</v>
      </c>
      <c r="KI21" s="29">
        <f t="shared" si="215"/>
        <v>0</v>
      </c>
      <c r="KJ21" s="29">
        <f t="shared" si="216"/>
        <v>0</v>
      </c>
      <c r="KK21" s="29">
        <f t="shared" si="217"/>
        <v>0</v>
      </c>
      <c r="KL21" s="29">
        <f t="shared" si="218"/>
        <v>0</v>
      </c>
      <c r="KM21" s="29">
        <f t="shared" si="219"/>
        <v>0</v>
      </c>
      <c r="KN21" s="29">
        <f t="shared" si="220"/>
        <v>0</v>
      </c>
      <c r="KO21" s="29">
        <f t="shared" si="221"/>
        <v>0</v>
      </c>
      <c r="KP21" s="29">
        <f t="shared" si="222"/>
        <v>0</v>
      </c>
      <c r="KQ21" s="29">
        <f t="shared" si="223"/>
        <v>0</v>
      </c>
      <c r="KR21" s="29">
        <f t="shared" si="224"/>
        <v>0</v>
      </c>
      <c r="KS21" s="29">
        <f t="shared" si="225"/>
        <v>0</v>
      </c>
      <c r="KT21" s="29">
        <f t="shared" si="226"/>
        <v>0</v>
      </c>
      <c r="KU21" s="29">
        <f t="shared" si="227"/>
        <v>0</v>
      </c>
      <c r="KV21" s="29">
        <f t="shared" si="228"/>
        <v>0</v>
      </c>
      <c r="KW21" s="29">
        <f t="shared" si="229"/>
        <v>0</v>
      </c>
      <c r="KX21" s="29">
        <f t="shared" si="230"/>
        <v>0</v>
      </c>
      <c r="KY21" s="29">
        <f t="shared" si="231"/>
        <v>0</v>
      </c>
      <c r="KZ21" s="29">
        <f t="shared" si="232"/>
        <v>0</v>
      </c>
      <c r="LA21" s="29">
        <f t="shared" si="233"/>
        <v>0</v>
      </c>
      <c r="LB21" s="48"/>
      <c r="LC21" s="48"/>
      <c r="LD21" s="48"/>
      <c r="LE21" s="48"/>
      <c r="LF21" s="48"/>
      <c r="LG21" s="48"/>
      <c r="LH21" s="48"/>
      <c r="LI21" s="48"/>
      <c r="LJ21" s="48"/>
      <c r="LK21" s="48"/>
      <c r="LL21" s="48"/>
      <c r="LM21" s="48"/>
      <c r="LN21" s="48"/>
      <c r="LO21" s="46">
        <f t="shared" si="30"/>
        <v>0.35038979249763014</v>
      </c>
      <c r="LP21" s="47">
        <f t="shared" si="31"/>
        <v>0.70830220121060117</v>
      </c>
      <c r="LQ21" s="28"/>
      <c r="LR21" s="48"/>
      <c r="LS21" s="28" t="s">
        <v>37</v>
      </c>
      <c r="LT21" s="166">
        <v>1.8200000000000001E-2</v>
      </c>
      <c r="LU21" s="115">
        <f t="shared" si="70"/>
        <v>2.9506511460540083E-18</v>
      </c>
      <c r="LV21" s="157">
        <f t="shared" si="15"/>
        <v>7.931357276036385E-15</v>
      </c>
      <c r="LW21" s="229" t="e">
        <f>LW20*(1+#REF!)</f>
        <v>#REF!</v>
      </c>
      <c r="LX21" s="158"/>
      <c r="LY21" s="129">
        <f t="shared" si="71"/>
        <v>5.9909400855685817</v>
      </c>
      <c r="LZ21" s="130">
        <f t="shared" si="72"/>
        <v>-401.4079772253026</v>
      </c>
      <c r="MA21" s="28"/>
      <c r="MB21" s="381">
        <f>MB20+0.25%</f>
        <v>1.5000000000000001E-2</v>
      </c>
      <c r="MC21" s="394">
        <f t="shared" si="177"/>
        <v>-39.866101930452736</v>
      </c>
      <c r="MD21" s="157">
        <f t="shared" si="158"/>
        <v>-3877.2622253047912</v>
      </c>
      <c r="ME21" s="215"/>
      <c r="MF21" s="381">
        <f>MF20+0.25%</f>
        <v>1.5000000000000001E-2</v>
      </c>
      <c r="MG21" s="394">
        <f t="shared" si="178"/>
        <v>-1.5496084022446117</v>
      </c>
      <c r="MH21" s="157">
        <f t="shared" si="159"/>
        <v>-150.71044900550959</v>
      </c>
      <c r="MI21" s="28"/>
      <c r="MJ21" s="104">
        <f t="shared" si="73"/>
        <v>2.9999999999999995E-2</v>
      </c>
      <c r="MK21" s="104">
        <f>$MK$17*($MJ21/$MJ$17)</f>
        <v>0.17630802193073092</v>
      </c>
      <c r="ML21" s="104">
        <f t="shared" si="75"/>
        <v>0.18123657411201383</v>
      </c>
      <c r="MM21" s="104">
        <f t="shared" si="32"/>
        <v>0.18644859813084111</v>
      </c>
      <c r="MN21" s="104">
        <f t="shared" si="33"/>
        <v>0.19188330563723649</v>
      </c>
      <c r="MO21" s="104">
        <f t="shared" si="34"/>
        <v>0.19755160432542568</v>
      </c>
      <c r="MP21" s="104">
        <f t="shared" si="35"/>
        <v>0.2034649622206158</v>
      </c>
      <c r="MQ21" s="28"/>
      <c r="MR21" s="28">
        <f t="shared" si="84"/>
        <v>74</v>
      </c>
      <c r="MS21" s="28">
        <f t="shared" si="85"/>
        <v>0.43175004322462285</v>
      </c>
      <c r="MT21" s="28">
        <f t="shared" si="86"/>
        <v>0.44942978380129767</v>
      </c>
      <c r="MU21" s="28">
        <f t="shared" si="87"/>
        <v>0.46777091311459962</v>
      </c>
      <c r="MV21" s="28">
        <f t="shared" si="88"/>
        <v>0.48679584808509674</v>
      </c>
      <c r="MW21" s="28">
        <f t="shared" si="89"/>
        <v>0.50652768714533558</v>
      </c>
      <c r="MX21" s="28">
        <f t="shared" si="90"/>
        <v>0.52699022859504185</v>
      </c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</row>
    <row r="22" spans="1:374" s="30" customFormat="1" ht="12.75" customHeight="1" x14ac:dyDescent="0.3">
      <c r="A22" s="305">
        <f t="shared" si="91"/>
        <v>2031</v>
      </c>
      <c r="B22" s="355">
        <f t="shared" si="1"/>
        <v>2029</v>
      </c>
      <c r="C22" s="26">
        <v>47300</v>
      </c>
      <c r="D22" s="96">
        <f t="shared" si="132"/>
        <v>9661.1049421302523</v>
      </c>
      <c r="E22" s="27">
        <f t="shared" si="133"/>
        <v>9661.1049421302523</v>
      </c>
      <c r="F22" s="111">
        <f t="shared" si="18"/>
        <v>3205.7965117174285</v>
      </c>
      <c r="G22" s="27">
        <f t="shared" si="134"/>
        <v>14407.749118725023</v>
      </c>
      <c r="H22" s="27">
        <f t="shared" si="135"/>
        <v>11238.044312605518</v>
      </c>
      <c r="I22" s="296">
        <f t="shared" si="136"/>
        <v>9552.337665714691</v>
      </c>
      <c r="J22" s="69">
        <v>3401.403937</v>
      </c>
      <c r="K22" s="297">
        <f t="shared" si="160"/>
        <v>6150.9337287146909</v>
      </c>
      <c r="L22" s="297">
        <f t="shared" si="137"/>
        <v>3169.7048061195051</v>
      </c>
      <c r="M22" s="297">
        <f t="shared" si="161"/>
        <v>2694.2490852015794</v>
      </c>
      <c r="N22" s="27">
        <f t="shared" si="162"/>
        <v>0</v>
      </c>
      <c r="O22" s="297">
        <f t="shared" si="138"/>
        <v>1685.7066468908276</v>
      </c>
      <c r="P22" s="297">
        <f t="shared" si="139"/>
        <v>475.45572091792576</v>
      </c>
      <c r="Q22" s="297">
        <f t="shared" si="140"/>
        <v>624.81412499394264</v>
      </c>
      <c r="R22" s="260">
        <f t="shared" si="2"/>
        <v>0.78</v>
      </c>
      <c r="S22" s="257">
        <v>0.22</v>
      </c>
      <c r="T22" s="290">
        <f t="shared" si="163"/>
        <v>7.2499999999999995E-2</v>
      </c>
      <c r="U22" s="290">
        <f t="shared" si="164"/>
        <v>7.2499999999999995E-2</v>
      </c>
      <c r="V22" s="27">
        <f t="shared" si="4"/>
        <v>66126.253733363526</v>
      </c>
      <c r="W22" s="27">
        <f t="shared" si="141"/>
        <v>65123.398920140658</v>
      </c>
      <c r="X22" s="27">
        <f t="shared" si="179"/>
        <v>1002.8548132228722</v>
      </c>
      <c r="Y22" s="27">
        <f t="shared" si="142"/>
        <v>971.56414539484092</v>
      </c>
      <c r="Z22" s="27">
        <f t="shared" si="180"/>
        <v>251.37343964930736</v>
      </c>
      <c r="AA22" s="115">
        <f t="shared" si="165"/>
        <v>7.0000000000000007E-2</v>
      </c>
      <c r="AB22" s="115">
        <f t="shared" si="166"/>
        <v>7.0000000000000007E-2</v>
      </c>
      <c r="AC22" s="96">
        <f t="shared" si="6"/>
        <v>67946.05518783044</v>
      </c>
      <c r="AD22" s="27">
        <f t="shared" si="143"/>
        <v>66915.601704719491</v>
      </c>
      <c r="AE22" s="27">
        <f t="shared" si="181"/>
        <v>1030.4534831109463</v>
      </c>
      <c r="AF22" s="150">
        <f t="shared" si="144"/>
        <v>1022.5956675604095</v>
      </c>
      <c r="AG22" s="27">
        <f t="shared" si="234"/>
        <v>264.57685943183299</v>
      </c>
      <c r="AH22" s="27">
        <f t="shared" si="167"/>
        <v>41111.842303903788</v>
      </c>
      <c r="AI22" s="27">
        <f t="shared" si="145"/>
        <v>40070.458470949154</v>
      </c>
      <c r="AJ22" s="27">
        <f t="shared" si="182"/>
        <v>1041.3838329546359</v>
      </c>
      <c r="AK22" s="27">
        <f t="shared" si="10"/>
        <v>40386.533523118458</v>
      </c>
      <c r="AL22" s="27">
        <f t="shared" si="168"/>
        <v>39358.32524718358</v>
      </c>
      <c r="AM22" s="27">
        <f t="shared" si="235"/>
        <v>1028.2082759348791</v>
      </c>
      <c r="AN22" s="417">
        <f>INDEX(Inv.Returns!$B$2:$E$32,MATCH(B22,Inv.Returns!$A$2:$A$32,0),MATCH(SCRS!$DT$52,Inv.Returns!$B$1:$E$1,0))</f>
        <v>0.06</v>
      </c>
      <c r="AO22" s="27">
        <f t="shared" si="36"/>
        <v>26834.212883926652</v>
      </c>
      <c r="AP22" s="229">
        <f t="shared" si="11"/>
        <v>27559.521664711981</v>
      </c>
      <c r="AQ22" s="68">
        <f t="shared" si="19"/>
        <v>0.60506591869467607</v>
      </c>
      <c r="AR22" s="151">
        <f t="shared" si="20"/>
        <v>0.59439114473200405</v>
      </c>
      <c r="AS22" s="353"/>
      <c r="AT22" s="289">
        <f t="shared" si="94"/>
        <v>0.1075612770512667</v>
      </c>
      <c r="AU22" s="397">
        <f t="shared" si="169"/>
        <v>9.9400593584701089E-2</v>
      </c>
      <c r="AV22" s="303">
        <f t="shared" si="95"/>
        <v>0.17690805850640398</v>
      </c>
      <c r="AW22" s="303">
        <f t="shared" si="146"/>
        <v>-2.0031876839639363E-4</v>
      </c>
      <c r="AX22" s="115">
        <f t="shared" si="61"/>
        <v>0.09</v>
      </c>
      <c r="AY22" s="115">
        <f t="shared" si="147"/>
        <v>0.09</v>
      </c>
      <c r="AZ22" s="115">
        <f t="shared" si="148"/>
        <v>0</v>
      </c>
      <c r="BA22" s="262">
        <f t="shared" si="21"/>
        <v>1.7561277051266699E-2</v>
      </c>
      <c r="BB22" s="115">
        <f t="shared" si="170"/>
        <v>9.4005935847010919E-3</v>
      </c>
      <c r="BC22" s="133">
        <f t="shared" si="77"/>
        <v>0.18560000000000004</v>
      </c>
      <c r="BD22" s="133">
        <f t="shared" si="96"/>
        <v>0.18560000000000004</v>
      </c>
      <c r="BE22" s="410">
        <f t="shared" si="12"/>
        <v>0.16803872294873334</v>
      </c>
      <c r="BF22" s="410">
        <f t="shared" si="149"/>
        <v>0.17619940641529896</v>
      </c>
      <c r="BG22" s="410">
        <f t="shared" si="171"/>
        <v>0.13560000000000005</v>
      </c>
      <c r="BH22" s="410">
        <f t="shared" si="23"/>
        <v>0.18560000000000004</v>
      </c>
      <c r="BI22" s="157">
        <f t="shared" si="37"/>
        <v>10.417157980404122</v>
      </c>
      <c r="BJ22" s="104">
        <f t="shared" si="38"/>
        <v>3.8834951456310662E-2</v>
      </c>
      <c r="BK22" s="27">
        <f t="shared" si="62"/>
        <v>12.949042937789034</v>
      </c>
      <c r="BL22" s="27">
        <f t="shared" si="14"/>
        <v>20</v>
      </c>
      <c r="BM22" s="111">
        <f t="shared" si="26"/>
        <v>12.086154363761967</v>
      </c>
      <c r="BN22" s="27"/>
      <c r="BO22" s="27"/>
      <c r="BP22" s="96">
        <f t="shared" si="172"/>
        <v>-3942.8017452494628</v>
      </c>
      <c r="BQ22" s="27">
        <f t="shared" si="183"/>
        <v>-47.149358991027647</v>
      </c>
      <c r="BR22" s="27">
        <f t="shared" si="173"/>
        <v>-153.25799155086594</v>
      </c>
      <c r="BS22" s="27">
        <f t="shared" si="184"/>
        <v>-1.8327109828897741</v>
      </c>
      <c r="BT22" s="27">
        <f t="shared" si="150"/>
        <v>-11.462805198857628</v>
      </c>
      <c r="BU22" s="27">
        <f t="shared" si="185"/>
        <v>-3.233098902241895</v>
      </c>
      <c r="BV22" s="304">
        <f t="shared" si="151"/>
        <v>859.71038991432215</v>
      </c>
      <c r="BW22" s="304">
        <f t="shared" si="186"/>
        <v>242.48241766814215</v>
      </c>
      <c r="BX22" s="304">
        <f t="shared" si="187"/>
        <v>0</v>
      </c>
      <c r="BY22" s="304">
        <f t="shared" si="152"/>
        <v>56.233271249454837</v>
      </c>
      <c r="BZ22" s="304">
        <f t="shared" si="78"/>
        <v>174.34808284494511</v>
      </c>
      <c r="CA22" s="304">
        <f t="shared" si="188"/>
        <v>25.327540665932759</v>
      </c>
      <c r="CB22" s="304">
        <f t="shared" si="236"/>
        <v>2609.0603914633152</v>
      </c>
      <c r="CC22" s="304">
        <f t="shared" si="189"/>
        <v>0</v>
      </c>
      <c r="CD22" s="304">
        <f t="shared" si="190"/>
        <v>-0.69687975084742948</v>
      </c>
      <c r="CE22" s="304"/>
      <c r="CF22" s="304">
        <f t="shared" si="174"/>
        <v>0</v>
      </c>
      <c r="CG22" s="304">
        <f t="shared" si="153"/>
        <v>0</v>
      </c>
      <c r="CH22" s="304">
        <f t="shared" si="175"/>
        <v>0</v>
      </c>
      <c r="CI22" s="27"/>
      <c r="CJ22" s="27">
        <f t="shared" si="39"/>
        <v>0</v>
      </c>
      <c r="CK22" s="27">
        <f t="shared" si="40"/>
        <v>0</v>
      </c>
      <c r="CL22" s="27">
        <f t="shared" si="41"/>
        <v>0</v>
      </c>
      <c r="CM22" s="27">
        <f t="shared" si="42"/>
        <v>3966.4652140552648</v>
      </c>
      <c r="CN22" s="27">
        <f t="shared" si="43"/>
        <v>0</v>
      </c>
      <c r="CO22" s="111">
        <f t="shared" si="3"/>
        <v>3966.4652140552648</v>
      </c>
      <c r="CP22" s="27">
        <f t="shared" si="154"/>
        <v>2608.3635117124677</v>
      </c>
      <c r="CQ22" s="27">
        <f t="shared" si="155"/>
        <v>0</v>
      </c>
      <c r="CR22" s="27">
        <f t="shared" si="176"/>
        <v>2608.3635117124677</v>
      </c>
      <c r="CS22" s="27">
        <f>SUM($CR$14:CR22)</f>
        <v>19282.315786832132</v>
      </c>
      <c r="CT22" s="229">
        <v>1953.8270181435323</v>
      </c>
      <c r="CU22" s="425">
        <v>409.01911867374287</v>
      </c>
      <c r="CV22" s="425">
        <v>2362.8461368172752</v>
      </c>
      <c r="CW22" s="425">
        <v>19911.538078591308</v>
      </c>
      <c r="CX22" s="107">
        <f t="shared" si="44"/>
        <v>108.05811839043768</v>
      </c>
      <c r="CY22" s="115">
        <f t="shared" si="92"/>
        <v>0.19398536406172859</v>
      </c>
      <c r="CZ22" s="96">
        <f t="shared" si="45"/>
        <v>2916.0972536137833</v>
      </c>
      <c r="DA22" s="418">
        <f t="shared" si="46"/>
        <v>2440.5936132400466</v>
      </c>
      <c r="DB22" s="314">
        <f t="shared" si="47"/>
        <v>2042.0747378556271</v>
      </c>
      <c r="DC22" s="314">
        <f t="shared" si="48"/>
        <v>156.32504622388052</v>
      </c>
      <c r="DD22" s="314">
        <f t="shared" si="49"/>
        <v>0</v>
      </c>
      <c r="DE22" s="314">
        <f t="shared" si="50"/>
        <v>37030.933252534604</v>
      </c>
      <c r="DF22" s="314" t="b">
        <f t="shared" si="63"/>
        <v>0</v>
      </c>
      <c r="DG22" s="27">
        <f t="shared" si="51"/>
        <v>108.05811839043768</v>
      </c>
      <c r="DH22" s="100">
        <f t="shared" si="52"/>
        <v>84.598160031940381</v>
      </c>
      <c r="DI22" s="105">
        <f t="shared" si="53"/>
        <v>2.1448632641089677E-2</v>
      </c>
      <c r="DJ22" s="96">
        <f t="shared" si="54"/>
        <v>0</v>
      </c>
      <c r="DK22" s="100">
        <f t="shared" si="55"/>
        <v>0</v>
      </c>
      <c r="DL22" s="105">
        <f t="shared" si="56"/>
        <v>0</v>
      </c>
      <c r="DM22" s="299">
        <v>2790.0437380342405</v>
      </c>
      <c r="DN22" s="100">
        <f t="shared" si="57"/>
        <v>2335.0945923590948</v>
      </c>
      <c r="DO22" s="301">
        <v>0.67666709084471877</v>
      </c>
      <c r="DP22" s="29"/>
      <c r="DQ22" s="28"/>
      <c r="DR22" s="28"/>
      <c r="DS22" s="28"/>
      <c r="DT22" s="28"/>
      <c r="DU22" s="29"/>
      <c r="DV22" s="327"/>
      <c r="DW22" s="328"/>
      <c r="DX22" s="328"/>
      <c r="DY22" s="328"/>
      <c r="DZ22" s="328"/>
      <c r="EA22" s="328"/>
      <c r="EB22" s="328"/>
      <c r="EC22" s="328"/>
      <c r="ED22" s="328"/>
      <c r="EE22" s="328"/>
      <c r="EF22" s="328"/>
      <c r="EG22" s="328"/>
      <c r="EH22" s="329"/>
      <c r="EI22" s="330"/>
      <c r="EJ22" s="339">
        <f t="shared" si="64"/>
        <v>0.16803872294873334</v>
      </c>
      <c r="EK22" s="339">
        <f t="shared" si="58"/>
        <v>1.7561277051266699E-2</v>
      </c>
      <c r="EL22" s="339" t="e">
        <f t="shared" si="65"/>
        <v>#DIV/0!</v>
      </c>
      <c r="EM22" s="339">
        <f t="shared" si="59"/>
        <v>0</v>
      </c>
      <c r="EN22" s="339">
        <v>0.18560000000000004</v>
      </c>
      <c r="EO22" s="339">
        <v>0.14836793068126636</v>
      </c>
      <c r="EP22" s="340" t="e">
        <f t="shared" si="66"/>
        <v>#DIV/0!</v>
      </c>
      <c r="EQ22" s="283"/>
      <c r="ER22" s="30">
        <v>13</v>
      </c>
      <c r="ES22" s="29">
        <f t="shared" si="79"/>
        <v>2612.6002320767857</v>
      </c>
      <c r="ET22" s="29">
        <f t="shared" si="80"/>
        <v>2239.5499922073664</v>
      </c>
      <c r="EU22" s="29">
        <f t="shared" si="67"/>
        <v>-373.05023986941933</v>
      </c>
      <c r="EV22" s="29">
        <f t="shared" si="68"/>
        <v>-298.44019189553546</v>
      </c>
      <c r="EW22" s="29">
        <f t="shared" si="81"/>
        <v>-213.41038237499254</v>
      </c>
      <c r="EX22" s="29">
        <f t="shared" si="93"/>
        <v>-135.63798441030212</v>
      </c>
      <c r="EY22" s="29">
        <f t="shared" si="97"/>
        <v>-64.644665084746777</v>
      </c>
      <c r="EZ22" s="29">
        <f t="shared" si="69"/>
        <v>-712.13322376557687</v>
      </c>
      <c r="FA22" s="29"/>
      <c r="FB22" s="29">
        <f t="shared" si="237"/>
        <v>60.811062255346606</v>
      </c>
      <c r="FC22" s="29">
        <f t="shared" si="238"/>
        <v>52.029860290679238</v>
      </c>
      <c r="FD22" s="29">
        <f t="shared" si="191"/>
        <v>-8.7812019646673676</v>
      </c>
      <c r="FE22" s="29">
        <f t="shared" si="192"/>
        <v>-7.0249615717338942</v>
      </c>
      <c r="FF22" s="29">
        <f t="shared" si="193"/>
        <v>-3.8316544268058479</v>
      </c>
      <c r="FG22" s="29">
        <f t="shared" si="194"/>
        <v>-1.759395291853306</v>
      </c>
      <c r="FH22" s="29">
        <f t="shared" si="195"/>
        <v>-0.55954572936361147</v>
      </c>
      <c r="FI22" s="29">
        <f t="shared" si="196"/>
        <v>-13.175557019756658</v>
      </c>
      <c r="FJ22" s="29"/>
      <c r="FK22" s="29"/>
      <c r="FL22" s="27">
        <f t="shared" si="24"/>
        <v>27275.894390523164</v>
      </c>
      <c r="FM22" s="29"/>
      <c r="FN22" s="308">
        <f t="shared" si="156"/>
        <v>2609.0603914633152</v>
      </c>
      <c r="FO22" s="93">
        <f t="shared" si="197"/>
        <v>-0.69687975084742948</v>
      </c>
      <c r="FP22" s="27">
        <f t="shared" si="82"/>
        <v>20</v>
      </c>
      <c r="FQ22" s="309">
        <f t="shared" si="27"/>
        <v>13.512970250241354</v>
      </c>
      <c r="FR22" s="93">
        <f t="shared" si="60"/>
        <v>2018.497331483135</v>
      </c>
      <c r="FS22" s="93">
        <f t="shared" si="198"/>
        <v>2608.3635117124677</v>
      </c>
      <c r="FT22" s="29">
        <f t="shared" si="83"/>
        <v>20</v>
      </c>
      <c r="FU22" s="142">
        <f t="shared" si="28"/>
        <v>13.512970250241354</v>
      </c>
      <c r="FV22" s="48">
        <v>2300.383327832752</v>
      </c>
      <c r="FW22" s="29">
        <f t="shared" si="98"/>
        <v>347.5623899446291</v>
      </c>
      <c r="FX22" s="29">
        <f t="shared" si="157"/>
        <v>353.70676387164804</v>
      </c>
      <c r="FY22" s="29">
        <f t="shared" ref="FY22:FY44" si="255">IF(AND($AQ22&gt;=100%,$AQ21&lt;100%),0,FX21*(1+$AA21) - HF21*(1+$AA21)^0.5)</f>
        <v>334.7211872071054</v>
      </c>
      <c r="FZ22" s="29">
        <f t="shared" ref="FZ22:FZ44" si="256">IF(AND($AQ22&gt;=100%,$AQ21&lt;100%),0,FY21*(1+$AA21) - HG21*(1+$AA21)^0.5)</f>
        <v>315.94391738512513</v>
      </c>
      <c r="GA22" s="29">
        <f t="shared" ref="GA22:GA44" si="257">IF(AND($AQ22&gt;=100%,$AQ21&lt;100%),0,FZ21*(1+$AA21) - HH21*(1+$AA21)^0.5)</f>
        <v>312.36279947481961</v>
      </c>
      <c r="GB22" s="29">
        <f t="shared" ref="GB22:GB44" si="258">IF(AND($AQ22&gt;=100%,$AQ21&lt;100%),0,GA21*(1+$AA21) - HI21*(1+$AA21)^0.5)</f>
        <v>769.76807490187264</v>
      </c>
      <c r="GC22" s="29">
        <f t="shared" ref="GC22:GC44" si="259">IF(AND($AQ22&gt;=100%,$AQ21&lt;100%),0,GB21*(1+$AA21) - HJ21*(1+$AA21)^0.5)</f>
        <v>808.17491378816999</v>
      </c>
      <c r="GD22" s="29">
        <f t="shared" ref="GD22:GD44" si="260">IF(AND($AQ22&gt;=100%,$AQ21&lt;100%),0,GC21*(1+$AA21) - HK21*(1+$AA21)^0.5)</f>
        <v>727.89035746067179</v>
      </c>
      <c r="GE22" s="29">
        <f t="shared" ref="GE22:GE44" si="261">IF(AND($AQ22&gt;=100%,$AQ21&lt;100%),0,GD21*(1+$AA21) - HL21*(1+$AA21)^0.5)</f>
        <v>541.60703731002309</v>
      </c>
      <c r="GF22" s="29">
        <f t="shared" ref="GF22:GF44" si="262">IF(AND($AQ22&gt;=100%,$AQ21&lt;100%),0,GE21*(1+$AA21) - HM21*(1+$AA21)^0.5)</f>
        <v>22333.405792426274</v>
      </c>
      <c r="GG22" s="29">
        <f t="shared" ref="GG22:GG44" si="263">IF(AND($AQ22&gt;=100%,$AQ21&lt;100%),0,GF21*(1+$AA21) - HN21*(1+$AA21)^0.5)</f>
        <v>0</v>
      </c>
      <c r="GH22" s="29">
        <f t="shared" ref="GH22:GH44" si="264">IF(AND($AQ22&gt;=100%,$AQ21&lt;100%),0,GG21*(1+$AA21) - HO21*(1+$AA21)^0.5)</f>
        <v>0</v>
      </c>
      <c r="GI22" s="29">
        <f t="shared" ref="GI22:GI44" si="265">IF(AND($AQ22&gt;=100%,$AQ21&lt;100%),0,GH21*(1+$AA21) - HP21*(1+$AA21)^0.5)</f>
        <v>0</v>
      </c>
      <c r="GJ22" s="29">
        <f t="shared" ref="GJ22:GJ44" si="266">IF(AND($AQ22&gt;=100%,$AQ21&lt;100%),0,GI21*(1+$AA21) - HQ21*(1+$AA21)^0.5)</f>
        <v>0</v>
      </c>
      <c r="GK22" s="29">
        <f t="shared" ref="GK22:GK44" si="267">IF(AND($AQ22&gt;=100%,$AQ21&lt;100%),0,GJ21*(1+$AA21) - HR21*(1+$AA21)^0.5)</f>
        <v>0</v>
      </c>
      <c r="GL22" s="29">
        <f t="shared" ref="GL22:GL44" si="268">IF(AND($AQ22&gt;=100%,$AQ21&lt;100%),0,GK21*(1+$AA21) - HS21*(1+$AA21)^0.5)</f>
        <v>0</v>
      </c>
      <c r="GM22" s="29">
        <f t="shared" ref="GM22:GM44" si="269">IF(AND($AQ22&gt;=100%,$AQ21&lt;100%),0,GL21*(1+$AA21) - HT21*(1+$AA21)^0.5)</f>
        <v>0</v>
      </c>
      <c r="GN22" s="29">
        <f t="shared" si="240"/>
        <v>0</v>
      </c>
      <c r="GO22" s="29">
        <f t="shared" si="241"/>
        <v>0</v>
      </c>
      <c r="GP22" s="29">
        <f t="shared" si="242"/>
        <v>0</v>
      </c>
      <c r="GQ22" s="29">
        <f t="shared" si="243"/>
        <v>0</v>
      </c>
      <c r="GR22" s="29">
        <f t="shared" si="244"/>
        <v>0</v>
      </c>
      <c r="GS22" s="29">
        <f t="shared" si="245"/>
        <v>0</v>
      </c>
      <c r="GT22" s="29">
        <f t="shared" si="246"/>
        <v>0</v>
      </c>
      <c r="GU22" s="29">
        <f t="shared" si="247"/>
        <v>0</v>
      </c>
      <c r="GV22" s="29">
        <f t="shared" si="248"/>
        <v>0</v>
      </c>
      <c r="GW22" s="29">
        <f t="shared" si="249"/>
        <v>0</v>
      </c>
      <c r="GX22" s="29">
        <f t="shared" si="250"/>
        <v>0</v>
      </c>
      <c r="GY22" s="29">
        <f t="shared" si="251"/>
        <v>0</v>
      </c>
      <c r="GZ22" s="29">
        <f t="shared" si="252"/>
        <v>0</v>
      </c>
      <c r="HA22" s="29">
        <f t="shared" si="253"/>
        <v>0</v>
      </c>
      <c r="HB22" s="29">
        <f t="shared" si="254"/>
        <v>0</v>
      </c>
      <c r="HC22" s="29"/>
      <c r="HD22" s="29">
        <f t="shared" si="29"/>
        <v>20</v>
      </c>
      <c r="HE22" s="29">
        <f t="shared" si="100"/>
        <v>0</v>
      </c>
      <c r="HF22" s="29">
        <f t="shared" si="101"/>
        <v>25.648805025121714</v>
      </c>
      <c r="HG22" s="29">
        <f t="shared" si="102"/>
        <v>25.126107821369267</v>
      </c>
      <c r="HH22" s="29">
        <f t="shared" si="103"/>
        <v>24.616356565531344</v>
      </c>
      <c r="HI22" s="29">
        <f t="shared" si="104"/>
        <v>25.335880813362785</v>
      </c>
      <c r="HJ22" s="29">
        <f t="shared" si="105"/>
        <v>65.215890105537952</v>
      </c>
      <c r="HK22" s="29">
        <f t="shared" si="106"/>
        <v>71.789997561038547</v>
      </c>
      <c r="HL22" s="29">
        <f t="shared" si="107"/>
        <v>68.088284728346807</v>
      </c>
      <c r="HM22" s="29">
        <f t="shared" si="108"/>
        <v>53.617707967372191</v>
      </c>
      <c r="HN22" s="29">
        <f t="shared" si="109"/>
        <v>2353.5419776446556</v>
      </c>
      <c r="HO22" s="29">
        <f t="shared" si="110"/>
        <v>0</v>
      </c>
      <c r="HP22" s="29">
        <f t="shared" si="111"/>
        <v>0</v>
      </c>
      <c r="HQ22" s="29">
        <f t="shared" si="112"/>
        <v>0</v>
      </c>
      <c r="HR22" s="29">
        <f t="shared" si="113"/>
        <v>0</v>
      </c>
      <c r="HS22" s="29">
        <f t="shared" si="114"/>
        <v>0</v>
      </c>
      <c r="HT22" s="29">
        <f t="shared" si="115"/>
        <v>0</v>
      </c>
      <c r="HU22" s="29">
        <f t="shared" si="116"/>
        <v>0</v>
      </c>
      <c r="HV22" s="29">
        <f t="shared" si="117"/>
        <v>0</v>
      </c>
      <c r="HW22" s="29">
        <f t="shared" si="118"/>
        <v>0</v>
      </c>
      <c r="HX22" s="29">
        <f t="shared" si="119"/>
        <v>0</v>
      </c>
      <c r="HY22" s="29">
        <f t="shared" si="120"/>
        <v>0</v>
      </c>
      <c r="HZ22" s="29">
        <f t="shared" si="121"/>
        <v>0</v>
      </c>
      <c r="IA22" s="29">
        <f t="shared" si="122"/>
        <v>0</v>
      </c>
      <c r="IB22" s="29">
        <f t="shared" si="123"/>
        <v>0</v>
      </c>
      <c r="IC22" s="29">
        <f t="shared" si="124"/>
        <v>0</v>
      </c>
      <c r="ID22" s="29">
        <f t="shared" si="125"/>
        <v>0</v>
      </c>
      <c r="IE22" s="29">
        <f t="shared" si="126"/>
        <v>0</v>
      </c>
      <c r="IF22" s="29">
        <f t="shared" si="127"/>
        <v>0</v>
      </c>
      <c r="IG22" s="29">
        <f t="shared" si="128"/>
        <v>0</v>
      </c>
      <c r="IH22" s="29">
        <f t="shared" si="129"/>
        <v>0</v>
      </c>
      <c r="II22" s="29">
        <f t="shared" si="130"/>
        <v>0</v>
      </c>
      <c r="IJ22" s="29">
        <f t="shared" si="131"/>
        <v>0</v>
      </c>
      <c r="IK22" s="48"/>
      <c r="IL22" s="48"/>
      <c r="IM22" s="48"/>
      <c r="IN22" s="29">
        <f t="shared" si="199"/>
        <v>-0.44430756729941656</v>
      </c>
      <c r="IO22" s="29">
        <f t="shared" si="239"/>
        <v>-1.5284535544203364</v>
      </c>
      <c r="IP22" s="29">
        <f t="shared" si="200"/>
        <v>-2.1380129978145166</v>
      </c>
      <c r="IQ22" s="29">
        <f t="shared" si="200"/>
        <v>-2.3176154318483482</v>
      </c>
      <c r="IR22" s="29">
        <f t="shared" si="200"/>
        <v>-2.1243305833370414</v>
      </c>
      <c r="IS22" s="29">
        <f t="shared" si="200"/>
        <v>-1.6525407991498524</v>
      </c>
      <c r="IT22" s="29">
        <f t="shared" si="200"/>
        <v>-0.72508890982004515</v>
      </c>
      <c r="IU22" s="29">
        <f t="shared" si="200"/>
        <v>0</v>
      </c>
      <c r="IV22" s="29">
        <f t="shared" si="200"/>
        <v>0</v>
      </c>
      <c r="IW22" s="29">
        <f t="shared" si="200"/>
        <v>0</v>
      </c>
      <c r="IX22" s="29">
        <f t="shared" si="200"/>
        <v>0</v>
      </c>
      <c r="IY22" s="29">
        <f t="shared" si="200"/>
        <v>0</v>
      </c>
      <c r="IZ22" s="29">
        <f t="shared" si="200"/>
        <v>0</v>
      </c>
      <c r="JA22" s="29">
        <f t="shared" si="200"/>
        <v>0</v>
      </c>
      <c r="JB22" s="29">
        <f t="shared" si="200"/>
        <v>0</v>
      </c>
      <c r="JC22" s="29">
        <f t="shared" si="200"/>
        <v>0</v>
      </c>
      <c r="JD22" s="29">
        <f t="shared" si="200"/>
        <v>0</v>
      </c>
      <c r="JE22" s="29">
        <f t="shared" si="200"/>
        <v>0</v>
      </c>
      <c r="JF22" s="29">
        <f t="shared" si="200"/>
        <v>0</v>
      </c>
      <c r="JG22" s="29">
        <f t="shared" si="200"/>
        <v>0</v>
      </c>
      <c r="JH22" s="29">
        <f t="shared" si="200"/>
        <v>0</v>
      </c>
      <c r="JI22" s="29">
        <f t="shared" si="200"/>
        <v>0</v>
      </c>
      <c r="JJ22" s="29">
        <f t="shared" si="200"/>
        <v>0</v>
      </c>
      <c r="JK22" s="29">
        <f t="shared" si="200"/>
        <v>0</v>
      </c>
      <c r="JL22" s="29">
        <f t="shared" si="200"/>
        <v>0</v>
      </c>
      <c r="JM22" s="29">
        <f t="shared" si="200"/>
        <v>0</v>
      </c>
      <c r="JN22" s="29">
        <f t="shared" si="200"/>
        <v>0</v>
      </c>
      <c r="JO22" s="29">
        <f t="shared" si="200"/>
        <v>0</v>
      </c>
      <c r="JP22" s="29">
        <f t="shared" si="200"/>
        <v>0</v>
      </c>
      <c r="JQ22" s="29">
        <f t="shared" si="200"/>
        <v>0</v>
      </c>
      <c r="JR22" s="29">
        <f t="shared" si="200"/>
        <v>0</v>
      </c>
      <c r="JS22" s="29">
        <f t="shared" si="200"/>
        <v>0</v>
      </c>
      <c r="JT22" s="48"/>
      <c r="JU22" s="401">
        <f t="shared" si="201"/>
        <v>20</v>
      </c>
      <c r="JV22" s="29">
        <f t="shared" si="202"/>
        <v>0</v>
      </c>
      <c r="JW22" s="29">
        <f t="shared" si="203"/>
        <v>-0.11083476826444666</v>
      </c>
      <c r="JX22" s="29">
        <f t="shared" si="204"/>
        <v>-0.16049161857608313</v>
      </c>
      <c r="JY22" s="29">
        <f t="shared" si="205"/>
        <v>-0.18057397124253943</v>
      </c>
      <c r="JZ22" s="29">
        <f t="shared" si="206"/>
        <v>-0.17230536593377996</v>
      </c>
      <c r="KA22" s="29">
        <f t="shared" si="207"/>
        <v>-0.14000570128348469</v>
      </c>
      <c r="KB22" s="29">
        <f t="shared" si="208"/>
        <v>-6.440948633696518E-2</v>
      </c>
      <c r="KC22" s="29">
        <f t="shared" si="209"/>
        <v>0</v>
      </c>
      <c r="KD22" s="29">
        <f t="shared" si="210"/>
        <v>0</v>
      </c>
      <c r="KE22" s="29">
        <f t="shared" si="211"/>
        <v>0</v>
      </c>
      <c r="KF22" s="29">
        <f t="shared" si="212"/>
        <v>0</v>
      </c>
      <c r="KG22" s="29">
        <f t="shared" si="213"/>
        <v>0</v>
      </c>
      <c r="KH22" s="29">
        <f t="shared" si="214"/>
        <v>0</v>
      </c>
      <c r="KI22" s="29">
        <f t="shared" si="215"/>
        <v>0</v>
      </c>
      <c r="KJ22" s="29">
        <f t="shared" si="216"/>
        <v>0</v>
      </c>
      <c r="KK22" s="29">
        <f t="shared" si="217"/>
        <v>0</v>
      </c>
      <c r="KL22" s="29">
        <f t="shared" si="218"/>
        <v>0</v>
      </c>
      <c r="KM22" s="29">
        <f t="shared" si="219"/>
        <v>0</v>
      </c>
      <c r="KN22" s="29">
        <f t="shared" si="220"/>
        <v>0</v>
      </c>
      <c r="KO22" s="29">
        <f t="shared" si="221"/>
        <v>0</v>
      </c>
      <c r="KP22" s="29">
        <f t="shared" si="222"/>
        <v>0</v>
      </c>
      <c r="KQ22" s="29">
        <f t="shared" si="223"/>
        <v>0</v>
      </c>
      <c r="KR22" s="29">
        <f t="shared" si="224"/>
        <v>0</v>
      </c>
      <c r="KS22" s="29">
        <f t="shared" si="225"/>
        <v>0</v>
      </c>
      <c r="KT22" s="29">
        <f t="shared" si="226"/>
        <v>0</v>
      </c>
      <c r="KU22" s="29">
        <f t="shared" si="227"/>
        <v>0</v>
      </c>
      <c r="KV22" s="29">
        <f t="shared" si="228"/>
        <v>0</v>
      </c>
      <c r="KW22" s="29">
        <f t="shared" si="229"/>
        <v>0</v>
      </c>
      <c r="KX22" s="29">
        <f t="shared" si="230"/>
        <v>0</v>
      </c>
      <c r="KY22" s="29">
        <f t="shared" si="231"/>
        <v>0</v>
      </c>
      <c r="KZ22" s="29">
        <f t="shared" si="232"/>
        <v>0</v>
      </c>
      <c r="LA22" s="29">
        <f t="shared" si="233"/>
        <v>0</v>
      </c>
      <c r="LB22" s="48"/>
      <c r="LC22" s="48"/>
      <c r="LD22" s="48"/>
      <c r="LE22" s="48"/>
      <c r="LF22" s="48"/>
      <c r="LG22" s="48"/>
      <c r="LH22" s="48"/>
      <c r="LI22" s="48"/>
      <c r="LJ22" s="48"/>
      <c r="LK22" s="48"/>
      <c r="LL22" s="48"/>
      <c r="LM22" s="48"/>
      <c r="LN22" s="48"/>
      <c r="LO22" s="46">
        <f t="shared" si="30"/>
        <v>0.3274670957921777</v>
      </c>
      <c r="LP22" s="47">
        <f t="shared" si="31"/>
        <v>0.6927160892035219</v>
      </c>
      <c r="LQ22" s="28"/>
      <c r="LR22" s="48"/>
      <c r="LS22" s="28"/>
      <c r="LT22" s="166">
        <v>1.9716666666666667E-2</v>
      </c>
      <c r="LU22" s="115">
        <f t="shared" si="70"/>
        <v>3.1965387415585087E-18</v>
      </c>
      <c r="LV22" s="157">
        <f t="shared" si="15"/>
        <v>1.0247452747257886E-14</v>
      </c>
      <c r="LW22" s="229" t="e">
        <f>LW21*(1+#REF!)</f>
        <v>#REF!</v>
      </c>
      <c r="LX22" s="158"/>
      <c r="LY22" s="129">
        <f t="shared" si="71"/>
        <v>-7.1722494311688934</v>
      </c>
      <c r="LZ22" s="130">
        <f t="shared" si="72"/>
        <v>-435.95764145425346</v>
      </c>
      <c r="MA22" s="28"/>
      <c r="MB22" s="381">
        <f>MB21+0.25%</f>
        <v>1.7500000000000002E-2</v>
      </c>
      <c r="MC22" s="394">
        <f t="shared" si="177"/>
        <v>-55.469834107091344</v>
      </c>
      <c r="MD22" s="157">
        <f t="shared" si="158"/>
        <v>-3998.271579356554</v>
      </c>
      <c r="ME22" s="215"/>
      <c r="MF22" s="381">
        <f>MF21+0.25%</f>
        <v>1.7500000000000002E-2</v>
      </c>
      <c r="MG22" s="394">
        <f t="shared" si="178"/>
        <v>-2.1561305681056164</v>
      </c>
      <c r="MH22" s="157">
        <f t="shared" si="159"/>
        <v>-155.41412211897156</v>
      </c>
      <c r="MI22" s="28"/>
      <c r="MJ22" s="134"/>
      <c r="MK22" s="135"/>
      <c r="ML22" s="28"/>
      <c r="MM22" s="28"/>
      <c r="MN22" s="28"/>
      <c r="MO22" s="28"/>
      <c r="MP22" s="28"/>
      <c r="MQ22" s="28"/>
      <c r="MR22" s="28">
        <f t="shared" si="84"/>
        <v>75</v>
      </c>
      <c r="MS22" s="28">
        <f t="shared" si="85"/>
        <v>0.40256414286678122</v>
      </c>
      <c r="MT22" s="28">
        <f t="shared" si="86"/>
        <v>0.42045256277578741</v>
      </c>
      <c r="MU22" s="28">
        <f t="shared" si="87"/>
        <v>0.43907224077619339</v>
      </c>
      <c r="MV22" s="28">
        <f t="shared" si="88"/>
        <v>0.45845048611501343</v>
      </c>
      <c r="MW22" s="28">
        <f t="shared" si="89"/>
        <v>0.47861553207746682</v>
      </c>
      <c r="MX22" s="28">
        <f t="shared" si="90"/>
        <v>0.49959656403170988</v>
      </c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</row>
    <row r="23" spans="1:374" s="30" customFormat="1" ht="12.75" customHeight="1" x14ac:dyDescent="0.3">
      <c r="A23" s="305">
        <f t="shared" si="91"/>
        <v>2032</v>
      </c>
      <c r="B23" s="355">
        <f t="shared" si="1"/>
        <v>2030</v>
      </c>
      <c r="C23" s="26">
        <v>47665</v>
      </c>
      <c r="D23" s="96">
        <f t="shared" si="132"/>
        <v>9568.2097023020779</v>
      </c>
      <c r="E23" s="27">
        <f t="shared" si="133"/>
        <v>9568.2097023020779</v>
      </c>
      <c r="F23" s="111">
        <f t="shared" si="18"/>
        <v>3752.2390989419905</v>
      </c>
      <c r="G23" s="27">
        <f t="shared" si="134"/>
        <v>14839.981592286775</v>
      </c>
      <c r="H23" s="27">
        <f t="shared" si="135"/>
        <v>11129.986194215082</v>
      </c>
      <c r="I23" s="296">
        <f t="shared" si="136"/>
        <v>9460.4882650828204</v>
      </c>
      <c r="J23" s="69">
        <v>3210.8402820000001</v>
      </c>
      <c r="K23" s="297">
        <f t="shared" si="160"/>
        <v>6249.6479830828202</v>
      </c>
      <c r="L23" s="297">
        <f t="shared" si="137"/>
        <v>3709.9953980716937</v>
      </c>
      <c r="M23" s="297">
        <f t="shared" si="161"/>
        <v>3153.4960883609397</v>
      </c>
      <c r="N23" s="27">
        <f t="shared" si="162"/>
        <v>0</v>
      </c>
      <c r="O23" s="297">
        <f t="shared" si="138"/>
        <v>1669.4979291322622</v>
      </c>
      <c r="P23" s="297">
        <f t="shared" si="139"/>
        <v>556.49930971075401</v>
      </c>
      <c r="Q23" s="297">
        <f t="shared" si="140"/>
        <v>643.55854874376098</v>
      </c>
      <c r="R23" s="260">
        <f t="shared" si="2"/>
        <v>0.75</v>
      </c>
      <c r="S23" s="257">
        <v>0.25</v>
      </c>
      <c r="T23" s="290">
        <f t="shared" si="163"/>
        <v>7.2499999999999995E-2</v>
      </c>
      <c r="U23" s="290">
        <f t="shared" si="164"/>
        <v>7.2499999999999995E-2</v>
      </c>
      <c r="V23" s="27">
        <f t="shared" si="4"/>
        <v>67793.837187191311</v>
      </c>
      <c r="W23" s="27">
        <f t="shared" si="141"/>
        <v>66481.430371296112</v>
      </c>
      <c r="X23" s="27">
        <f t="shared" si="179"/>
        <v>1312.4068158951991</v>
      </c>
      <c r="Y23" s="27">
        <f t="shared" si="142"/>
        <v>958.49404974704453</v>
      </c>
      <c r="Z23" s="27">
        <f t="shared" si="180"/>
        <v>294.22118504407564</v>
      </c>
      <c r="AA23" s="115">
        <f t="shared" si="165"/>
        <v>7.0000000000000007E-2</v>
      </c>
      <c r="AB23" s="115">
        <f t="shared" si="166"/>
        <v>7.0000000000000007E-2</v>
      </c>
      <c r="AC23" s="96">
        <f t="shared" si="6"/>
        <v>69659.53071361738</v>
      </c>
      <c r="AD23" s="27">
        <f t="shared" si="143"/>
        <v>68311.006324177957</v>
      </c>
      <c r="AE23" s="27">
        <f t="shared" si="181"/>
        <v>1348.5243894394173</v>
      </c>
      <c r="AF23" s="150">
        <f t="shared" si="144"/>
        <v>1008.8390635858927</v>
      </c>
      <c r="AG23" s="27">
        <f t="shared" si="234"/>
        <v>309.67518774407722</v>
      </c>
      <c r="AH23" s="27">
        <f t="shared" si="167"/>
        <v>43386.058806965935</v>
      </c>
      <c r="AI23" s="27">
        <f t="shared" si="145"/>
        <v>42027.652629193304</v>
      </c>
      <c r="AJ23" s="27">
        <f t="shared" si="182"/>
        <v>1358.4061777726326</v>
      </c>
      <c r="AK23" s="27">
        <f t="shared" si="10"/>
        <v>42621.137685256122</v>
      </c>
      <c r="AL23" s="27">
        <f t="shared" si="168"/>
        <v>41280.718392895986</v>
      </c>
      <c r="AM23" s="27">
        <f t="shared" si="235"/>
        <v>1340.4192923601388</v>
      </c>
      <c r="AN23" s="417">
        <f>INDEX(Inv.Returns!$B$2:$E$32,MATCH(B23,Inv.Returns!$A$2:$A$32,0),MATCH(SCRS!$DT$52,Inv.Returns!$B$1:$E$1,0))</f>
        <v>0.06</v>
      </c>
      <c r="AO23" s="27">
        <f t="shared" si="36"/>
        <v>26273.471906651444</v>
      </c>
      <c r="AP23" s="229">
        <f t="shared" si="11"/>
        <v>27038.393028361257</v>
      </c>
      <c r="AQ23" s="68">
        <f t="shared" si="19"/>
        <v>0.62283019082246871</v>
      </c>
      <c r="AR23" s="151">
        <f t="shared" si="20"/>
        <v>0.61184933703442734</v>
      </c>
      <c r="AS23" s="353"/>
      <c r="AT23" s="289">
        <f t="shared" si="94"/>
        <v>0.10719663292097342</v>
      </c>
      <c r="AU23" s="397">
        <f t="shared" si="169"/>
        <v>9.9400593584701089E-2</v>
      </c>
      <c r="AV23" s="303">
        <f t="shared" si="95"/>
        <v>0.17863392573438736</v>
      </c>
      <c r="AW23" s="303">
        <f t="shared" si="146"/>
        <v>-1.6680696937086773E-4</v>
      </c>
      <c r="AX23" s="115">
        <f t="shared" si="61"/>
        <v>0.09</v>
      </c>
      <c r="AY23" s="115">
        <f t="shared" si="147"/>
        <v>0.09</v>
      </c>
      <c r="AZ23" s="115">
        <f t="shared" si="148"/>
        <v>0</v>
      </c>
      <c r="BA23" s="262">
        <f t="shared" si="21"/>
        <v>1.7196632920973426E-2</v>
      </c>
      <c r="BB23" s="115">
        <f t="shared" si="170"/>
        <v>9.4005935847010919E-3</v>
      </c>
      <c r="BC23" s="133">
        <f t="shared" si="77"/>
        <v>0.18560000000000004</v>
      </c>
      <c r="BD23" s="133">
        <f t="shared" si="96"/>
        <v>0.18560000000000004</v>
      </c>
      <c r="BE23" s="410">
        <f t="shared" si="12"/>
        <v>0.16840336707902662</v>
      </c>
      <c r="BF23" s="410">
        <f t="shared" si="149"/>
        <v>0.17619940641529896</v>
      </c>
      <c r="BG23" s="410">
        <f t="shared" si="171"/>
        <v>0.13560000000000005</v>
      </c>
      <c r="BH23" s="410">
        <f t="shared" si="23"/>
        <v>0.18560000000000004</v>
      </c>
      <c r="BI23" s="157">
        <f t="shared" si="37"/>
        <v>9.8111111271006006</v>
      </c>
      <c r="BJ23" s="104">
        <f t="shared" si="38"/>
        <v>3.8834951456310662E-2</v>
      </c>
      <c r="BK23" s="27">
        <f t="shared" si="62"/>
        <v>11.992761739833778</v>
      </c>
      <c r="BL23" s="27">
        <f t="shared" si="14"/>
        <v>20</v>
      </c>
      <c r="BM23" s="111">
        <f t="shared" si="26"/>
        <v>11.23951823150087</v>
      </c>
      <c r="BN23" s="27"/>
      <c r="BO23" s="27"/>
      <c r="BP23" s="96">
        <f t="shared" si="172"/>
        <v>-4048.8577273868391</v>
      </c>
      <c r="BQ23" s="27">
        <f t="shared" si="183"/>
        <v>-63.069921767218794</v>
      </c>
      <c r="BR23" s="27">
        <f t="shared" si="173"/>
        <v>-157.3804222142673</v>
      </c>
      <c r="BS23" s="27">
        <f t="shared" si="184"/>
        <v>-2.4515484576317759</v>
      </c>
      <c r="BT23" s="27">
        <f t="shared" si="150"/>
        <v>-11.352585918099383</v>
      </c>
      <c r="BU23" s="27">
        <f t="shared" si="185"/>
        <v>-3.7841953060331273</v>
      </c>
      <c r="BV23" s="304">
        <f t="shared" si="151"/>
        <v>851.44394385745375</v>
      </c>
      <c r="BW23" s="304">
        <f t="shared" si="186"/>
        <v>283.81464795248456</v>
      </c>
      <c r="BX23" s="304">
        <f t="shared" si="187"/>
        <v>0</v>
      </c>
      <c r="BY23" s="304">
        <f t="shared" si="152"/>
        <v>57.920269386938486</v>
      </c>
      <c r="BZ23" s="304">
        <f t="shared" si="78"/>
        <v>168.74770564653841</v>
      </c>
      <c r="CA23" s="304">
        <f t="shared" si="188"/>
        <v>29.644735097625812</v>
      </c>
      <c r="CB23" s="304">
        <f t="shared" si="236"/>
        <v>2712.9810082323361</v>
      </c>
      <c r="CC23" s="304">
        <f t="shared" si="189"/>
        <v>0</v>
      </c>
      <c r="CD23" s="304">
        <f t="shared" si="190"/>
        <v>-0.82862091163729901</v>
      </c>
      <c r="CE23" s="304"/>
      <c r="CF23" s="304">
        <f t="shared" si="174"/>
        <v>0</v>
      </c>
      <c r="CG23" s="304">
        <f t="shared" si="153"/>
        <v>0</v>
      </c>
      <c r="CH23" s="304">
        <f t="shared" si="175"/>
        <v>0</v>
      </c>
      <c r="CI23" s="27"/>
      <c r="CJ23" s="27">
        <f t="shared" si="39"/>
        <v>0</v>
      </c>
      <c r="CK23" s="27">
        <f t="shared" si="40"/>
        <v>0</v>
      </c>
      <c r="CL23" s="27">
        <f t="shared" si="41"/>
        <v>0</v>
      </c>
      <c r="CM23" s="27">
        <f t="shared" si="42"/>
        <v>4103.7236892617393</v>
      </c>
      <c r="CN23" s="27">
        <f t="shared" si="43"/>
        <v>0</v>
      </c>
      <c r="CO23" s="111">
        <f t="shared" si="3"/>
        <v>4103.7236892617393</v>
      </c>
      <c r="CP23" s="27">
        <f t="shared" si="154"/>
        <v>2712.1523873206988</v>
      </c>
      <c r="CQ23" s="27">
        <f t="shared" si="155"/>
        <v>0</v>
      </c>
      <c r="CR23" s="27">
        <f t="shared" si="176"/>
        <v>2712.1523873206988</v>
      </c>
      <c r="CS23" s="27">
        <f>SUM($CR$14:CR23)</f>
        <v>21994.468174152833</v>
      </c>
      <c r="CT23" s="229">
        <v>2208.5620717938482</v>
      </c>
      <c r="CU23" s="425">
        <v>449.98525010982303</v>
      </c>
      <c r="CV23" s="425">
        <v>2658.5473219036712</v>
      </c>
      <c r="CW23" s="425">
        <v>22570.08540049498</v>
      </c>
      <c r="CX23" s="107">
        <f t="shared" si="44"/>
        <v>111.29986194215081</v>
      </c>
      <c r="CY23" s="115">
        <f t="shared" si="92"/>
        <v>0.19516497276997335</v>
      </c>
      <c r="CZ23" s="96">
        <f t="shared" si="45"/>
        <v>3021.8446900070139</v>
      </c>
      <c r="DA23" s="418">
        <f t="shared" si="46"/>
        <v>2473.445181208725</v>
      </c>
      <c r="DB23" s="314">
        <f t="shared" si="47"/>
        <v>2076.6068744077534</v>
      </c>
      <c r="DC23" s="314">
        <f t="shared" si="48"/>
        <v>151.90263947036442</v>
      </c>
      <c r="DD23" s="314">
        <f t="shared" si="49"/>
        <v>0</v>
      </c>
      <c r="DE23" s="314">
        <f t="shared" si="50"/>
        <v>36495.54026955989</v>
      </c>
      <c r="DF23" s="314" t="b">
        <f t="shared" si="63"/>
        <v>0</v>
      </c>
      <c r="DG23" s="27">
        <f t="shared" si="51"/>
        <v>111.29986194215081</v>
      </c>
      <c r="DH23" s="100">
        <f t="shared" si="52"/>
        <v>85.21868443315266</v>
      </c>
      <c r="DI23" s="105">
        <f t="shared" si="53"/>
        <v>1.9065451236524159E-2</v>
      </c>
      <c r="DJ23" s="96">
        <f t="shared" si="54"/>
        <v>0</v>
      </c>
      <c r="DK23" s="100">
        <f t="shared" si="55"/>
        <v>0</v>
      </c>
      <c r="DL23" s="105">
        <f t="shared" si="56"/>
        <v>0</v>
      </c>
      <c r="DM23" s="299">
        <v>2873.7450501752687</v>
      </c>
      <c r="DN23" s="100">
        <f t="shared" si="57"/>
        <v>2352.2224255548836</v>
      </c>
      <c r="DO23" s="301">
        <v>0.70281160621792638</v>
      </c>
      <c r="DP23" s="29"/>
      <c r="DQ23" s="395" t="s">
        <v>254</v>
      </c>
      <c r="DR23" s="28"/>
      <c r="DS23" s="28"/>
      <c r="DT23" s="248">
        <v>7.2499999999999995E-2</v>
      </c>
      <c r="DU23" s="29"/>
      <c r="DV23" s="327"/>
      <c r="DW23" s="328"/>
      <c r="DX23" s="328"/>
      <c r="DY23" s="328"/>
      <c r="DZ23" s="328"/>
      <c r="EA23" s="328"/>
      <c r="EB23" s="328"/>
      <c r="EC23" s="328"/>
      <c r="ED23" s="328"/>
      <c r="EE23" s="328"/>
      <c r="EF23" s="328"/>
      <c r="EG23" s="328"/>
      <c r="EH23" s="329"/>
      <c r="EI23" s="330"/>
      <c r="EJ23" s="339">
        <f t="shared" si="64"/>
        <v>0.16840336707902662</v>
      </c>
      <c r="EK23" s="339">
        <f t="shared" si="58"/>
        <v>1.7196632920973426E-2</v>
      </c>
      <c r="EL23" s="339" t="e">
        <f t="shared" si="65"/>
        <v>#DIV/0!</v>
      </c>
      <c r="EM23" s="339">
        <f t="shared" si="59"/>
        <v>0</v>
      </c>
      <c r="EN23" s="339">
        <v>0.18560000000000004</v>
      </c>
      <c r="EO23" s="339">
        <v>0.14797773225750099</v>
      </c>
      <c r="EP23" s="340" t="e">
        <f t="shared" si="66"/>
        <v>#DIV/0!</v>
      </c>
      <c r="EQ23" s="283"/>
      <c r="ER23" s="341">
        <v>14</v>
      </c>
      <c r="ES23" s="29">
        <f t="shared" si="79"/>
        <v>2740.1553440089929</v>
      </c>
      <c r="ET23" s="29">
        <f t="shared" si="80"/>
        <v>2348.8909541083444</v>
      </c>
      <c r="EU23" s="29">
        <f t="shared" si="67"/>
        <v>-391.26438990064844</v>
      </c>
      <c r="EV23" s="29">
        <f t="shared" si="68"/>
        <v>-313.01151192051873</v>
      </c>
      <c r="EW23" s="29">
        <f t="shared" si="81"/>
        <v>-223.8301439216516</v>
      </c>
      <c r="EX23" s="29">
        <f t="shared" si="93"/>
        <v>-142.27358824999502</v>
      </c>
      <c r="EY23" s="29">
        <f t="shared" si="97"/>
        <v>-67.818992205151062</v>
      </c>
      <c r="EZ23" s="29">
        <f t="shared" si="69"/>
        <v>-746.93423629731637</v>
      </c>
      <c r="FA23" s="29"/>
      <c r="FB23" s="29">
        <f t="shared" si="237"/>
        <v>80.49095769670717</v>
      </c>
      <c r="FC23" s="29">
        <f t="shared" si="238"/>
        <v>68.885919817670299</v>
      </c>
      <c r="FD23" s="29">
        <f t="shared" si="191"/>
        <v>-11.605037879036871</v>
      </c>
      <c r="FE23" s="29">
        <f t="shared" si="192"/>
        <v>-9.2840303032294962</v>
      </c>
      <c r="FF23" s="29">
        <f t="shared" si="193"/>
        <v>-5.2687211788004209</v>
      </c>
      <c r="FG23" s="29">
        <f t="shared" si="194"/>
        <v>-2.5544362845372319</v>
      </c>
      <c r="FH23" s="29">
        <f t="shared" si="195"/>
        <v>-0.879697645926653</v>
      </c>
      <c r="FI23" s="29">
        <f t="shared" si="196"/>
        <v>-17.986885412493805</v>
      </c>
      <c r="FJ23" s="29"/>
      <c r="FK23" s="29"/>
      <c r="FL23" s="27">
        <f t="shared" si="24"/>
        <v>26834.212883926652</v>
      </c>
      <c r="FM23" s="29"/>
      <c r="FN23" s="308">
        <f t="shared" si="156"/>
        <v>2712.9810082323361</v>
      </c>
      <c r="FO23" s="93">
        <f t="shared" si="197"/>
        <v>-0.82862091163729901</v>
      </c>
      <c r="FP23" s="27">
        <f t="shared" si="82"/>
        <v>20</v>
      </c>
      <c r="FQ23" s="309">
        <f t="shared" si="27"/>
        <v>13.512970250241354</v>
      </c>
      <c r="FR23" s="93">
        <f t="shared" si="60"/>
        <v>1985.8115859795789</v>
      </c>
      <c r="FS23" s="93">
        <f t="shared" si="198"/>
        <v>2712.1523873206988</v>
      </c>
      <c r="FT23" s="29">
        <f t="shared" si="83"/>
        <v>20</v>
      </c>
      <c r="FU23" s="142">
        <f t="shared" si="28"/>
        <v>13.512970250241354</v>
      </c>
      <c r="FV23" s="48">
        <v>2347.3505679890536</v>
      </c>
      <c r="FW23" s="29">
        <f t="shared" si="98"/>
        <v>365.37981102870981</v>
      </c>
      <c r="FX23" s="29">
        <f t="shared" si="157"/>
        <v>371.89175724075318</v>
      </c>
      <c r="FY23" s="29">
        <f t="shared" si="255"/>
        <v>351.93490712418628</v>
      </c>
      <c r="FZ23" s="29">
        <f t="shared" si="256"/>
        <v>332.16102228488654</v>
      </c>
      <c r="GA23" s="29">
        <f t="shared" si="257"/>
        <v>312.59663437447796</v>
      </c>
      <c r="GB23" s="29">
        <f t="shared" si="258"/>
        <v>308.02055654115998</v>
      </c>
      <c r="GC23" s="29">
        <f t="shared" si="259"/>
        <v>756.19199887024513</v>
      </c>
      <c r="GD23" s="29">
        <f t="shared" si="260"/>
        <v>790.48700684923392</v>
      </c>
      <c r="GE23" s="29">
        <f t="shared" si="261"/>
        <v>708.41161310685584</v>
      </c>
      <c r="GF23" s="29">
        <f t="shared" si="262"/>
        <v>524.05694153809793</v>
      </c>
      <c r="GG23" s="29">
        <f t="shared" si="263"/>
        <v>21462.221446026047</v>
      </c>
      <c r="GH23" s="29">
        <f t="shared" si="264"/>
        <v>0</v>
      </c>
      <c r="GI23" s="29">
        <f t="shared" si="265"/>
        <v>0</v>
      </c>
      <c r="GJ23" s="29">
        <f t="shared" si="266"/>
        <v>0</v>
      </c>
      <c r="GK23" s="29">
        <f t="shared" si="267"/>
        <v>0</v>
      </c>
      <c r="GL23" s="29">
        <f t="shared" si="268"/>
        <v>0</v>
      </c>
      <c r="GM23" s="29">
        <f t="shared" si="269"/>
        <v>0</v>
      </c>
      <c r="GN23" s="29">
        <f t="shared" si="240"/>
        <v>0</v>
      </c>
      <c r="GO23" s="29">
        <f t="shared" si="241"/>
        <v>0</v>
      </c>
      <c r="GP23" s="29">
        <f t="shared" si="242"/>
        <v>0</v>
      </c>
      <c r="GQ23" s="29">
        <f t="shared" si="243"/>
        <v>0</v>
      </c>
      <c r="GR23" s="29">
        <f t="shared" si="244"/>
        <v>0</v>
      </c>
      <c r="GS23" s="29">
        <f t="shared" si="245"/>
        <v>0</v>
      </c>
      <c r="GT23" s="29">
        <f t="shared" si="246"/>
        <v>0</v>
      </c>
      <c r="GU23" s="29">
        <f t="shared" si="247"/>
        <v>0</v>
      </c>
      <c r="GV23" s="29">
        <f t="shared" si="248"/>
        <v>0</v>
      </c>
      <c r="GW23" s="29">
        <f t="shared" si="249"/>
        <v>0</v>
      </c>
      <c r="GX23" s="29">
        <f t="shared" si="250"/>
        <v>0</v>
      </c>
      <c r="GY23" s="29">
        <f t="shared" si="251"/>
        <v>0</v>
      </c>
      <c r="GZ23" s="29">
        <f t="shared" si="252"/>
        <v>0</v>
      </c>
      <c r="HA23" s="29">
        <f t="shared" si="253"/>
        <v>0</v>
      </c>
      <c r="HB23" s="29">
        <f t="shared" si="254"/>
        <v>0</v>
      </c>
      <c r="HC23" s="29"/>
      <c r="HD23" s="29">
        <f t="shared" si="29"/>
        <v>20</v>
      </c>
      <c r="HE23" s="29">
        <f t="shared" si="100"/>
        <v>0</v>
      </c>
      <c r="HF23" s="29">
        <f t="shared" si="101"/>
        <v>26.967477431048795</v>
      </c>
      <c r="HG23" s="29">
        <f t="shared" si="102"/>
        <v>26.418269175875373</v>
      </c>
      <c r="HH23" s="29">
        <f t="shared" si="103"/>
        <v>25.87989105601034</v>
      </c>
      <c r="HI23" s="29">
        <f t="shared" si="104"/>
        <v>25.354847262497284</v>
      </c>
      <c r="HJ23" s="29">
        <f t="shared" si="105"/>
        <v>26.09595723776367</v>
      </c>
      <c r="HK23" s="29">
        <f t="shared" si="106"/>
        <v>67.172366808704098</v>
      </c>
      <c r="HL23" s="29">
        <f t="shared" si="107"/>
        <v>73.943697487869713</v>
      </c>
      <c r="HM23" s="29">
        <f t="shared" si="108"/>
        <v>70.130933270197232</v>
      </c>
      <c r="HN23" s="29">
        <f t="shared" si="109"/>
        <v>55.226239206393366</v>
      </c>
      <c r="HO23" s="29">
        <f t="shared" si="110"/>
        <v>2424.1482369739952</v>
      </c>
      <c r="HP23" s="29">
        <f t="shared" si="111"/>
        <v>0</v>
      </c>
      <c r="HQ23" s="29">
        <f t="shared" si="112"/>
        <v>0</v>
      </c>
      <c r="HR23" s="29">
        <f t="shared" si="113"/>
        <v>0</v>
      </c>
      <c r="HS23" s="29">
        <f t="shared" si="114"/>
        <v>0</v>
      </c>
      <c r="HT23" s="29">
        <f t="shared" si="115"/>
        <v>0</v>
      </c>
      <c r="HU23" s="29">
        <f t="shared" si="116"/>
        <v>0</v>
      </c>
      <c r="HV23" s="29">
        <f t="shared" si="117"/>
        <v>0</v>
      </c>
      <c r="HW23" s="29">
        <f t="shared" si="118"/>
        <v>0</v>
      </c>
      <c r="HX23" s="29">
        <f t="shared" si="119"/>
        <v>0</v>
      </c>
      <c r="HY23" s="29">
        <f t="shared" si="120"/>
        <v>0</v>
      </c>
      <c r="HZ23" s="29">
        <f t="shared" si="121"/>
        <v>0</v>
      </c>
      <c r="IA23" s="29">
        <f t="shared" si="122"/>
        <v>0</v>
      </c>
      <c r="IB23" s="29">
        <f t="shared" si="123"/>
        <v>0</v>
      </c>
      <c r="IC23" s="29">
        <f t="shared" si="124"/>
        <v>0</v>
      </c>
      <c r="ID23" s="29">
        <f t="shared" si="125"/>
        <v>0</v>
      </c>
      <c r="IE23" s="29">
        <f t="shared" si="126"/>
        <v>0</v>
      </c>
      <c r="IF23" s="29">
        <f t="shared" si="127"/>
        <v>0</v>
      </c>
      <c r="IG23" s="29">
        <f t="shared" si="128"/>
        <v>0</v>
      </c>
      <c r="IH23" s="29">
        <f t="shared" si="129"/>
        <v>0</v>
      </c>
      <c r="II23" s="29">
        <f t="shared" si="130"/>
        <v>0</v>
      </c>
      <c r="IJ23" s="29">
        <f t="shared" si="131"/>
        <v>0</v>
      </c>
      <c r="IK23" s="48"/>
      <c r="IL23" s="48"/>
      <c r="IM23" s="48"/>
      <c r="IN23" s="29">
        <f t="shared" si="199"/>
        <v>0.95655386370578732</v>
      </c>
      <c r="IO23" s="29">
        <f t="shared" si="239"/>
        <v>-0.47540909701037576</v>
      </c>
      <c r="IP23" s="29">
        <f t="shared" si="200"/>
        <v>-1.5207969274620678</v>
      </c>
      <c r="IQ23" s="29">
        <f t="shared" si="200"/>
        <v>-2.1216600865275894</v>
      </c>
      <c r="IR23" s="29">
        <f t="shared" si="200"/>
        <v>-2.2930613438176444</v>
      </c>
      <c r="IS23" s="29">
        <f t="shared" si="200"/>
        <v>-2.0947996677486254</v>
      </c>
      <c r="IT23" s="29">
        <f t="shared" si="200"/>
        <v>-1.6233956315778082</v>
      </c>
      <c r="IU23" s="29">
        <f t="shared" si="200"/>
        <v>-0.70921944277703175</v>
      </c>
      <c r="IV23" s="29">
        <f t="shared" si="200"/>
        <v>0</v>
      </c>
      <c r="IW23" s="29">
        <f t="shared" si="200"/>
        <v>0</v>
      </c>
      <c r="IX23" s="29">
        <f t="shared" si="200"/>
        <v>0</v>
      </c>
      <c r="IY23" s="29">
        <f t="shared" si="200"/>
        <v>0</v>
      </c>
      <c r="IZ23" s="29">
        <f t="shared" si="200"/>
        <v>0</v>
      </c>
      <c r="JA23" s="29">
        <f t="shared" si="200"/>
        <v>0</v>
      </c>
      <c r="JB23" s="29">
        <f t="shared" si="200"/>
        <v>0</v>
      </c>
      <c r="JC23" s="29">
        <f t="shared" si="200"/>
        <v>0</v>
      </c>
      <c r="JD23" s="29">
        <f t="shared" si="200"/>
        <v>0</v>
      </c>
      <c r="JE23" s="29">
        <f t="shared" si="200"/>
        <v>0</v>
      </c>
      <c r="JF23" s="29">
        <f t="shared" si="200"/>
        <v>0</v>
      </c>
      <c r="JG23" s="29">
        <f t="shared" si="200"/>
        <v>0</v>
      </c>
      <c r="JH23" s="29">
        <f t="shared" si="200"/>
        <v>0</v>
      </c>
      <c r="JI23" s="29">
        <f t="shared" si="200"/>
        <v>0</v>
      </c>
      <c r="JJ23" s="29">
        <f t="shared" si="200"/>
        <v>0</v>
      </c>
      <c r="JK23" s="29">
        <f t="shared" si="200"/>
        <v>0</v>
      </c>
      <c r="JL23" s="29">
        <f t="shared" si="200"/>
        <v>0</v>
      </c>
      <c r="JM23" s="29">
        <f t="shared" si="200"/>
        <v>0</v>
      </c>
      <c r="JN23" s="29">
        <f t="shared" si="200"/>
        <v>0</v>
      </c>
      <c r="JO23" s="29">
        <f t="shared" si="200"/>
        <v>0</v>
      </c>
      <c r="JP23" s="29">
        <f t="shared" si="200"/>
        <v>0</v>
      </c>
      <c r="JQ23" s="29">
        <f t="shared" si="200"/>
        <v>0</v>
      </c>
      <c r="JR23" s="29">
        <f t="shared" si="200"/>
        <v>0</v>
      </c>
      <c r="JS23" s="29">
        <f t="shared" si="200"/>
        <v>0</v>
      </c>
      <c r="JT23" s="48"/>
      <c r="JU23" s="401">
        <f t="shared" si="201"/>
        <v>20</v>
      </c>
      <c r="JV23" s="29">
        <f t="shared" si="202"/>
        <v>0</v>
      </c>
      <c r="JW23" s="29">
        <f t="shared" si="203"/>
        <v>-3.4473966804924046E-2</v>
      </c>
      <c r="JX23" s="29">
        <f t="shared" si="204"/>
        <v>-0.11415981131238011</v>
      </c>
      <c r="JY23" s="29">
        <f t="shared" si="205"/>
        <v>-0.16530636713336558</v>
      </c>
      <c r="JZ23" s="29">
        <f t="shared" si="206"/>
        <v>-0.18599119037981562</v>
      </c>
      <c r="KA23" s="29">
        <f t="shared" si="207"/>
        <v>-0.17747452691179338</v>
      </c>
      <c r="KB23" s="29">
        <f t="shared" si="208"/>
        <v>-0.14420587232198923</v>
      </c>
      <c r="KC23" s="29">
        <f t="shared" si="209"/>
        <v>-6.6341770927074134E-2</v>
      </c>
      <c r="KD23" s="29">
        <f t="shared" si="210"/>
        <v>0</v>
      </c>
      <c r="KE23" s="29">
        <f t="shared" si="211"/>
        <v>0</v>
      </c>
      <c r="KF23" s="29">
        <f t="shared" si="212"/>
        <v>0</v>
      </c>
      <c r="KG23" s="29">
        <f t="shared" si="213"/>
        <v>0</v>
      </c>
      <c r="KH23" s="29">
        <f t="shared" si="214"/>
        <v>0</v>
      </c>
      <c r="KI23" s="29">
        <f t="shared" si="215"/>
        <v>0</v>
      </c>
      <c r="KJ23" s="29">
        <f t="shared" si="216"/>
        <v>0</v>
      </c>
      <c r="KK23" s="29">
        <f t="shared" si="217"/>
        <v>0</v>
      </c>
      <c r="KL23" s="29">
        <f t="shared" si="218"/>
        <v>0</v>
      </c>
      <c r="KM23" s="29">
        <f t="shared" si="219"/>
        <v>0</v>
      </c>
      <c r="KN23" s="29">
        <f t="shared" si="220"/>
        <v>0</v>
      </c>
      <c r="KO23" s="29">
        <f t="shared" si="221"/>
        <v>0</v>
      </c>
      <c r="KP23" s="29">
        <f t="shared" si="222"/>
        <v>0</v>
      </c>
      <c r="KQ23" s="29">
        <f t="shared" si="223"/>
        <v>0</v>
      </c>
      <c r="KR23" s="29">
        <f t="shared" si="224"/>
        <v>0</v>
      </c>
      <c r="KS23" s="29">
        <f t="shared" si="225"/>
        <v>0</v>
      </c>
      <c r="KT23" s="29">
        <f t="shared" si="226"/>
        <v>0</v>
      </c>
      <c r="KU23" s="29">
        <f t="shared" si="227"/>
        <v>0</v>
      </c>
      <c r="KV23" s="29">
        <f t="shared" si="228"/>
        <v>0</v>
      </c>
      <c r="KW23" s="29">
        <f t="shared" si="229"/>
        <v>0</v>
      </c>
      <c r="KX23" s="29">
        <f t="shared" si="230"/>
        <v>0</v>
      </c>
      <c r="KY23" s="29">
        <f t="shared" si="231"/>
        <v>0</v>
      </c>
      <c r="KZ23" s="29">
        <f t="shared" si="232"/>
        <v>0</v>
      </c>
      <c r="LA23" s="29">
        <f t="shared" si="233"/>
        <v>0</v>
      </c>
      <c r="LB23" s="48"/>
      <c r="LC23" s="48"/>
      <c r="LD23" s="48"/>
      <c r="LE23" s="48"/>
      <c r="LF23" s="48"/>
      <c r="LG23" s="48"/>
      <c r="LH23" s="48"/>
      <c r="LI23" s="48"/>
      <c r="LJ23" s="48"/>
      <c r="LK23" s="48"/>
      <c r="LL23" s="48"/>
      <c r="LM23" s="48"/>
      <c r="LN23" s="48"/>
      <c r="LO23" s="46">
        <f t="shared" si="30"/>
        <v>0.30604401475904458</v>
      </c>
      <c r="LP23" s="47">
        <f t="shared" si="31"/>
        <v>0.67747294787630508</v>
      </c>
      <c r="LQ23" s="28"/>
      <c r="LR23" s="48"/>
      <c r="LS23" s="28"/>
      <c r="LT23" s="166">
        <v>2.1233333333333337E-2</v>
      </c>
      <c r="LU23" s="115">
        <f t="shared" si="70"/>
        <v>3.4424263370630099E-18</v>
      </c>
      <c r="LV23" s="157">
        <f t="shared" si="15"/>
        <v>1.2916806697155485E-14</v>
      </c>
      <c r="LW23" s="229" t="e">
        <f>LW22*(1+#REF!)</f>
        <v>#REF!</v>
      </c>
      <c r="LX23" s="158"/>
      <c r="LY23" s="129">
        <f t="shared" si="71"/>
        <v>-23.243378475759528</v>
      </c>
      <c r="LZ23" s="130">
        <f t="shared" si="72"/>
        <v>-474.66819596750429</v>
      </c>
      <c r="MA23" s="28"/>
      <c r="MB23" s="381">
        <f>MB22+0.25%</f>
        <v>0.02</v>
      </c>
      <c r="MC23" s="394">
        <f t="shared" si="177"/>
        <v>-74.19990796143388</v>
      </c>
      <c r="MD23" s="157">
        <f t="shared" si="158"/>
        <v>-4123.0576353482729</v>
      </c>
      <c r="ME23" s="215"/>
      <c r="MF23" s="381">
        <f>MF22+0.25%</f>
        <v>0.02</v>
      </c>
      <c r="MG23" s="394">
        <f t="shared" si="178"/>
        <v>-2.8841746560373829</v>
      </c>
      <c r="MH23" s="157">
        <f t="shared" si="159"/>
        <v>-160.26459687030467</v>
      </c>
      <c r="MI23" s="28"/>
      <c r="MJ23" s="134"/>
      <c r="MK23" s="28"/>
      <c r="ML23" s="28"/>
      <c r="MM23" s="28"/>
      <c r="MN23" s="28"/>
      <c r="MO23" s="28"/>
      <c r="MP23" s="28"/>
      <c r="MQ23" s="28"/>
      <c r="MR23" s="28">
        <f t="shared" si="84"/>
        <v>76</v>
      </c>
      <c r="MS23" s="28">
        <f t="shared" si="85"/>
        <v>0.37535118216016894</v>
      </c>
      <c r="MT23" s="28">
        <f t="shared" si="86"/>
        <v>0.3933436632737401</v>
      </c>
      <c r="MU23" s="28">
        <f t="shared" si="87"/>
        <v>0.41213428884791964</v>
      </c>
      <c r="MV23" s="28">
        <f t="shared" si="88"/>
        <v>0.43175563030346786</v>
      </c>
      <c r="MW23" s="28">
        <f t="shared" si="89"/>
        <v>0.45224147338676446</v>
      </c>
      <c r="MX23" s="28">
        <f t="shared" si="90"/>
        <v>0.47362685918810354</v>
      </c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</row>
    <row r="24" spans="1:374" s="30" customFormat="1" ht="12.75" customHeight="1" x14ac:dyDescent="0.3">
      <c r="A24" s="305">
        <f t="shared" si="91"/>
        <v>2033</v>
      </c>
      <c r="B24" s="355">
        <f t="shared" si="1"/>
        <v>2031</v>
      </c>
      <c r="C24" s="26">
        <v>48030</v>
      </c>
      <c r="D24" s="96">
        <f t="shared" si="132"/>
        <v>9329.642340391345</v>
      </c>
      <c r="E24" s="27">
        <f t="shared" si="133"/>
        <v>9329.642340391345</v>
      </c>
      <c r="F24" s="111">
        <f t="shared" si="18"/>
        <v>4483.1752754158906</v>
      </c>
      <c r="G24" s="27">
        <f t="shared" si="134"/>
        <v>15285.181040055379</v>
      </c>
      <c r="H24" s="27">
        <f t="shared" si="135"/>
        <v>10852.478538439318</v>
      </c>
      <c r="I24" s="296">
        <f t="shared" si="136"/>
        <v>9224.6067576734204</v>
      </c>
      <c r="J24" s="69">
        <v>3028.4244180000001</v>
      </c>
      <c r="K24" s="297">
        <f t="shared" si="160"/>
        <v>6196.1823396734198</v>
      </c>
      <c r="L24" s="297">
        <f t="shared" si="137"/>
        <v>4432.7025016160596</v>
      </c>
      <c r="M24" s="297">
        <f t="shared" si="161"/>
        <v>3767.7971263736508</v>
      </c>
      <c r="N24" s="27">
        <f t="shared" si="162"/>
        <v>0</v>
      </c>
      <c r="O24" s="297">
        <f t="shared" si="138"/>
        <v>1627.8717807658977</v>
      </c>
      <c r="P24" s="297">
        <f t="shared" si="139"/>
        <v>664.90537524240892</v>
      </c>
      <c r="Q24" s="297">
        <f t="shared" si="140"/>
        <v>662.8653052060738</v>
      </c>
      <c r="R24" s="260">
        <f t="shared" si="2"/>
        <v>0.71</v>
      </c>
      <c r="S24" s="257">
        <v>0.28999999999999998</v>
      </c>
      <c r="T24" s="290">
        <f t="shared" si="163"/>
        <v>7.2499999999999995E-2</v>
      </c>
      <c r="U24" s="290">
        <f t="shared" si="164"/>
        <v>7.2499999999999995E-2</v>
      </c>
      <c r="V24" s="27">
        <f t="shared" si="4"/>
        <v>69480.100203771872</v>
      </c>
      <c r="W24" s="27">
        <f t="shared" si="141"/>
        <v>67799.69560768985</v>
      </c>
      <c r="X24" s="27">
        <f t="shared" si="179"/>
        <v>1680.4045960820292</v>
      </c>
      <c r="Y24" s="27">
        <f t="shared" si="142"/>
        <v>932.17818511913356</v>
      </c>
      <c r="Z24" s="27">
        <f t="shared" si="180"/>
        <v>351.5354718906616</v>
      </c>
      <c r="AA24" s="115">
        <f t="shared" si="165"/>
        <v>7.0000000000000007E-2</v>
      </c>
      <c r="AB24" s="115">
        <f t="shared" si="166"/>
        <v>7.0000000000000007E-2</v>
      </c>
      <c r="AC24" s="96">
        <f t="shared" si="6"/>
        <v>71392.199865687799</v>
      </c>
      <c r="AD24" s="27">
        <f t="shared" si="143"/>
        <v>69665.550358463923</v>
      </c>
      <c r="AE24" s="27">
        <f t="shared" si="181"/>
        <v>1726.6495072238815</v>
      </c>
      <c r="AF24" s="150">
        <f t="shared" si="144"/>
        <v>981.14095504188958</v>
      </c>
      <c r="AG24" s="27">
        <f t="shared" si="234"/>
        <v>369.99991431662352</v>
      </c>
      <c r="AH24" s="27">
        <f t="shared" si="167"/>
        <v>45810.256765119979</v>
      </c>
      <c r="AI24" s="27">
        <f t="shared" si="145"/>
        <v>44076.36412142613</v>
      </c>
      <c r="AJ24" s="27">
        <f t="shared" si="182"/>
        <v>1733.8926436938484</v>
      </c>
      <c r="AK24" s="27">
        <f t="shared" si="10"/>
        <v>45003.159779404894</v>
      </c>
      <c r="AL24" s="27">
        <f t="shared" si="168"/>
        <v>43292.965625672368</v>
      </c>
      <c r="AM24" s="27">
        <f t="shared" si="235"/>
        <v>1710.1941537325283</v>
      </c>
      <c r="AN24" s="417">
        <f>INDEX(Inv.Returns!$B$2:$E$32,MATCH(B24,Inv.Returns!$A$2:$A$32,0),MATCH(SCRS!$DT$52,Inv.Returns!$B$1:$E$1,0))</f>
        <v>0.06</v>
      </c>
      <c r="AO24" s="27">
        <f t="shared" si="36"/>
        <v>25581.94310056782</v>
      </c>
      <c r="AP24" s="229">
        <f t="shared" si="11"/>
        <v>26389.040086282905</v>
      </c>
      <c r="AQ24" s="68">
        <f t="shared" si="19"/>
        <v>0.64167033445256116</v>
      </c>
      <c r="AR24" s="151">
        <f t="shared" si="20"/>
        <v>0.63036522006704698</v>
      </c>
      <c r="AS24" s="353"/>
      <c r="AT24" s="289">
        <f t="shared" si="94"/>
        <v>0.1069730703760953</v>
      </c>
      <c r="AU24" s="397">
        <f t="shared" si="169"/>
        <v>9.9400593584701089E-2</v>
      </c>
      <c r="AV24" s="303">
        <f t="shared" si="95"/>
        <v>0.18039680681702527</v>
      </c>
      <c r="AW24" s="303">
        <f t="shared" si="146"/>
        <v>-1.1621651313703577E-4</v>
      </c>
      <c r="AX24" s="115">
        <f t="shared" si="61"/>
        <v>0.09</v>
      </c>
      <c r="AY24" s="115">
        <f t="shared" si="147"/>
        <v>0.09</v>
      </c>
      <c r="AZ24" s="115">
        <f t="shared" si="148"/>
        <v>0</v>
      </c>
      <c r="BA24" s="262">
        <f t="shared" si="21"/>
        <v>1.6973070376095301E-2</v>
      </c>
      <c r="BB24" s="115">
        <f t="shared" si="170"/>
        <v>9.4005935847010919E-3</v>
      </c>
      <c r="BC24" s="133">
        <f t="shared" si="77"/>
        <v>0.18560000000000004</v>
      </c>
      <c r="BD24" s="133">
        <f t="shared" si="96"/>
        <v>0.18560000000000004</v>
      </c>
      <c r="BE24" s="410">
        <f t="shared" si="12"/>
        <v>0.16862692962390474</v>
      </c>
      <c r="BF24" s="410">
        <f t="shared" si="149"/>
        <v>0.17619940641529896</v>
      </c>
      <c r="BG24" s="410">
        <f t="shared" si="171"/>
        <v>0.13560000000000005</v>
      </c>
      <c r="BH24" s="410">
        <f t="shared" si="23"/>
        <v>0.18560000000000004</v>
      </c>
      <c r="BI24" s="157">
        <f t="shared" si="37"/>
        <v>9.187908639940142</v>
      </c>
      <c r="BJ24" s="104">
        <f t="shared" si="38"/>
        <v>3.8834951456310662E-2</v>
      </c>
      <c r="BK24" s="27">
        <f t="shared" si="62"/>
        <v>11.044448623441937</v>
      </c>
      <c r="BL24" s="27">
        <f t="shared" si="14"/>
        <v>20</v>
      </c>
      <c r="BM24" s="111">
        <f t="shared" si="26"/>
        <v>10.388866727987335</v>
      </c>
      <c r="BN24" s="27"/>
      <c r="BO24" s="27"/>
      <c r="BP24" s="96">
        <f t="shared" si="172"/>
        <v>-4152.0024578611319</v>
      </c>
      <c r="BQ24" s="27">
        <f t="shared" si="183"/>
        <v>-84.775435343407139</v>
      </c>
      <c r="BR24" s="27">
        <f t="shared" si="173"/>
        <v>-161.38969157471422</v>
      </c>
      <c r="BS24" s="27">
        <f t="shared" si="184"/>
        <v>-3.2952488593257501</v>
      </c>
      <c r="BT24" s="27">
        <f t="shared" si="150"/>
        <v>-11.069528109208104</v>
      </c>
      <c r="BU24" s="27">
        <f t="shared" si="185"/>
        <v>-4.5213565516483802</v>
      </c>
      <c r="BV24" s="304">
        <f t="shared" si="151"/>
        <v>830.21460819060781</v>
      </c>
      <c r="BW24" s="304">
        <f t="shared" si="186"/>
        <v>339.10174137362856</v>
      </c>
      <c r="BX24" s="304">
        <f t="shared" si="187"/>
        <v>0</v>
      </c>
      <c r="BY24" s="304">
        <f t="shared" si="152"/>
        <v>59.657877468546637</v>
      </c>
      <c r="BZ24" s="304">
        <f t="shared" si="78"/>
        <v>161.99587496048991</v>
      </c>
      <c r="CA24" s="304">
        <f t="shared" si="188"/>
        <v>35.419529494643371</v>
      </c>
      <c r="CB24" s="304">
        <f t="shared" si="236"/>
        <v>2821.3379159103552</v>
      </c>
      <c r="CC24" s="304">
        <f t="shared" si="189"/>
        <v>0</v>
      </c>
      <c r="CD24" s="304">
        <f t="shared" si="190"/>
        <v>-0.88795350579134213</v>
      </c>
      <c r="CE24" s="304"/>
      <c r="CF24" s="304">
        <f t="shared" si="174"/>
        <v>0</v>
      </c>
      <c r="CG24" s="304">
        <f t="shared" si="153"/>
        <v>0</v>
      </c>
      <c r="CH24" s="304">
        <f t="shared" si="175"/>
        <v>0</v>
      </c>
      <c r="CI24" s="27"/>
      <c r="CJ24" s="27">
        <f t="shared" si="39"/>
        <v>0</v>
      </c>
      <c r="CK24" s="27">
        <f t="shared" si="40"/>
        <v>0</v>
      </c>
      <c r="CL24" s="27">
        <f t="shared" si="41"/>
        <v>0</v>
      </c>
      <c r="CM24" s="27">
        <f t="shared" si="42"/>
        <v>4246.8395938924805</v>
      </c>
      <c r="CN24" s="27">
        <f t="shared" si="43"/>
        <v>0</v>
      </c>
      <c r="CO24" s="111">
        <f t="shared" si="3"/>
        <v>4246.8395938924805</v>
      </c>
      <c r="CP24" s="27">
        <f t="shared" si="154"/>
        <v>2820.4499624045638</v>
      </c>
      <c r="CQ24" s="27">
        <f t="shared" si="155"/>
        <v>0</v>
      </c>
      <c r="CR24" s="27">
        <f t="shared" si="176"/>
        <v>2820.4499624045638</v>
      </c>
      <c r="CS24" s="27">
        <f>SUM($CR$14:CR24)</f>
        <v>24814.918136557397</v>
      </c>
      <c r="CT24" s="229">
        <v>2476.2880270334276</v>
      </c>
      <c r="CU24" s="425">
        <v>493.04123222526147</v>
      </c>
      <c r="CV24" s="425">
        <v>2969.329259258689</v>
      </c>
      <c r="CW24" s="425">
        <v>25539.414659753667</v>
      </c>
      <c r="CX24" s="107">
        <f t="shared" si="44"/>
        <v>114.63885780041534</v>
      </c>
      <c r="CY24" s="115">
        <f t="shared" si="92"/>
        <v>0.19641930784775119</v>
      </c>
      <c r="CZ24" s="96">
        <f t="shared" si="45"/>
        <v>3132.5042246601124</v>
      </c>
      <c r="DA24" s="418">
        <f t="shared" si="46"/>
        <v>2507.6013708445325</v>
      </c>
      <c r="DB24" s="314">
        <f t="shared" si="47"/>
        <v>2112.0066556853353</v>
      </c>
      <c r="DC24" s="314">
        <f t="shared" si="48"/>
        <v>147.82841521804238</v>
      </c>
      <c r="DD24" s="314">
        <f t="shared" si="49"/>
        <v>0</v>
      </c>
      <c r="DE24" s="314">
        <f t="shared" si="50"/>
        <v>35965.778873837793</v>
      </c>
      <c r="DF24" s="314" t="b">
        <f t="shared" si="63"/>
        <v>0</v>
      </c>
      <c r="DG24" s="27">
        <f t="shared" si="51"/>
        <v>114.63885780041534</v>
      </c>
      <c r="DH24" s="100">
        <f t="shared" si="52"/>
        <v>85.843760358090208</v>
      </c>
      <c r="DI24" s="105">
        <f t="shared" si="53"/>
        <v>1.7158906112871741E-2</v>
      </c>
      <c r="DJ24" s="96">
        <f t="shared" si="54"/>
        <v>0</v>
      </c>
      <c r="DK24" s="100">
        <f t="shared" si="55"/>
        <v>0</v>
      </c>
      <c r="DL24" s="105">
        <f t="shared" si="56"/>
        <v>0</v>
      </c>
      <c r="DM24" s="299">
        <v>2959.9574016805259</v>
      </c>
      <c r="DN24" s="100">
        <f t="shared" si="57"/>
        <v>2369.4758907790019</v>
      </c>
      <c r="DO24" s="301">
        <v>0.7303605718563011</v>
      </c>
      <c r="DP24" s="29"/>
      <c r="DQ24" s="396" t="s">
        <v>255</v>
      </c>
      <c r="DR24" s="28"/>
      <c r="DS24" s="28"/>
      <c r="DT24" s="249">
        <v>7.0000000000000007E-2</v>
      </c>
      <c r="DU24" s="29"/>
      <c r="DV24" s="327"/>
      <c r="DW24" s="328"/>
      <c r="DX24" s="328"/>
      <c r="DY24" s="328"/>
      <c r="DZ24" s="328"/>
      <c r="EA24" s="328"/>
      <c r="EB24" s="328"/>
      <c r="EC24" s="328"/>
      <c r="ED24" s="328"/>
      <c r="EE24" s="328"/>
      <c r="EF24" s="328"/>
      <c r="EG24" s="328"/>
      <c r="EH24" s="329"/>
      <c r="EI24" s="330"/>
      <c r="EJ24" s="339">
        <f t="shared" si="64"/>
        <v>0.16862692962390474</v>
      </c>
      <c r="EK24" s="339">
        <f t="shared" si="58"/>
        <v>1.6973070376095301E-2</v>
      </c>
      <c r="EL24" s="339" t="e">
        <f t="shared" si="65"/>
        <v>#DIV/0!</v>
      </c>
      <c r="EM24" s="339">
        <f t="shared" si="59"/>
        <v>0</v>
      </c>
      <c r="EN24" s="339">
        <v>0.18560000000000004</v>
      </c>
      <c r="EO24" s="339">
        <v>0.14767126975694481</v>
      </c>
      <c r="EP24" s="340" t="e">
        <f t="shared" si="66"/>
        <v>#DIV/0!</v>
      </c>
      <c r="EQ24" s="283"/>
      <c r="ER24" s="30">
        <v>15</v>
      </c>
      <c r="ES24" s="29">
        <f t="shared" si="79"/>
        <v>2873.8563484671927</v>
      </c>
      <c r="ET24" s="29">
        <f t="shared" si="80"/>
        <v>2463.5026337914383</v>
      </c>
      <c r="EU24" s="29">
        <f t="shared" si="67"/>
        <v>-410.35371467575442</v>
      </c>
      <c r="EV24" s="29">
        <f t="shared" si="68"/>
        <v>-328.28297174060356</v>
      </c>
      <c r="EW24" s="29">
        <f t="shared" si="81"/>
        <v>-234.75863394038905</v>
      </c>
      <c r="EX24" s="29">
        <f t="shared" si="93"/>
        <v>-149.22009594776773</v>
      </c>
      <c r="EY24" s="29">
        <f t="shared" si="97"/>
        <v>-71.136794124997508</v>
      </c>
      <c r="EZ24" s="29">
        <f t="shared" si="69"/>
        <v>-783.39849575375786</v>
      </c>
      <c r="FA24" s="29"/>
      <c r="FB24" s="29">
        <f t="shared" si="237"/>
        <v>103.66579514649321</v>
      </c>
      <c r="FC24" s="29">
        <f t="shared" si="238"/>
        <v>88.733584764290242</v>
      </c>
      <c r="FD24" s="29">
        <f t="shared" si="191"/>
        <v>-14.932210382202967</v>
      </c>
      <c r="FE24" s="29">
        <f t="shared" si="192"/>
        <v>-11.945768305762375</v>
      </c>
      <c r="FF24" s="29">
        <f t="shared" si="193"/>
        <v>-6.9630227274221221</v>
      </c>
      <c r="FG24" s="29">
        <f t="shared" si="194"/>
        <v>-3.5124807858669471</v>
      </c>
      <c r="FH24" s="29">
        <f t="shared" si="195"/>
        <v>-1.277218142268616</v>
      </c>
      <c r="FI24" s="29">
        <f t="shared" si="196"/>
        <v>-23.69848996132006</v>
      </c>
      <c r="FJ24" s="29"/>
      <c r="FK24" s="29"/>
      <c r="FL24" s="27">
        <f t="shared" si="24"/>
        <v>26273.471906651444</v>
      </c>
      <c r="FM24" s="29"/>
      <c r="FN24" s="308">
        <f t="shared" si="156"/>
        <v>2821.3379159103552</v>
      </c>
      <c r="FO24" s="93">
        <f t="shared" si="197"/>
        <v>-0.88795350579134213</v>
      </c>
      <c r="FP24" s="27">
        <f t="shared" si="82"/>
        <v>20</v>
      </c>
      <c r="FQ24" s="309">
        <f t="shared" si="27"/>
        <v>13.512970250241354</v>
      </c>
      <c r="FR24" s="93">
        <f t="shared" si="60"/>
        <v>1944.3150854403884</v>
      </c>
      <c r="FS24" s="93">
        <f t="shared" si="198"/>
        <v>2820.4499624045638</v>
      </c>
      <c r="FT24" s="29">
        <f t="shared" si="83"/>
        <v>20</v>
      </c>
      <c r="FU24" s="142">
        <f t="shared" si="28"/>
        <v>13.512970250241354</v>
      </c>
      <c r="FV24" s="48">
        <v>2392.9147760079586</v>
      </c>
      <c r="FW24" s="29">
        <f t="shared" si="98"/>
        <v>384.41241642949899</v>
      </c>
      <c r="FX24" s="29">
        <f t="shared" si="157"/>
        <v>390.95639780071951</v>
      </c>
      <c r="FY24" s="29">
        <f t="shared" si="255"/>
        <v>370.02880468598795</v>
      </c>
      <c r="FZ24" s="29">
        <f t="shared" si="256"/>
        <v>349.24308049784787</v>
      </c>
      <c r="GA24" s="29">
        <f t="shared" si="257"/>
        <v>328.64192637731094</v>
      </c>
      <c r="GB24" s="29">
        <f t="shared" si="258"/>
        <v>308.25114083625721</v>
      </c>
      <c r="GC24" s="29">
        <f t="shared" si="259"/>
        <v>302.58812743523725</v>
      </c>
      <c r="GD24" s="29">
        <f t="shared" si="260"/>
        <v>739.64180227816087</v>
      </c>
      <c r="GE24" s="29">
        <f t="shared" si="261"/>
        <v>769.33314189744908</v>
      </c>
      <c r="GF24" s="29">
        <f t="shared" si="262"/>
        <v>685.45642456699079</v>
      </c>
      <c r="GG24" s="29">
        <f t="shared" si="263"/>
        <v>503.61446141062913</v>
      </c>
      <c r="GH24" s="29">
        <f t="shared" si="264"/>
        <v>20457.018512821702</v>
      </c>
      <c r="GI24" s="29">
        <f t="shared" si="265"/>
        <v>0</v>
      </c>
      <c r="GJ24" s="29">
        <f t="shared" si="266"/>
        <v>0</v>
      </c>
      <c r="GK24" s="29">
        <f t="shared" si="267"/>
        <v>0</v>
      </c>
      <c r="GL24" s="29">
        <f t="shared" si="268"/>
        <v>0</v>
      </c>
      <c r="GM24" s="29">
        <f t="shared" si="269"/>
        <v>0</v>
      </c>
      <c r="GN24" s="29">
        <f t="shared" si="240"/>
        <v>0</v>
      </c>
      <c r="GO24" s="29">
        <f t="shared" si="241"/>
        <v>0</v>
      </c>
      <c r="GP24" s="29">
        <f t="shared" si="242"/>
        <v>0</v>
      </c>
      <c r="GQ24" s="29">
        <f t="shared" si="243"/>
        <v>0</v>
      </c>
      <c r="GR24" s="29">
        <f t="shared" si="244"/>
        <v>0</v>
      </c>
      <c r="GS24" s="29">
        <f t="shared" si="245"/>
        <v>0</v>
      </c>
      <c r="GT24" s="29">
        <f t="shared" si="246"/>
        <v>0</v>
      </c>
      <c r="GU24" s="29">
        <f t="shared" si="247"/>
        <v>0</v>
      </c>
      <c r="GV24" s="29">
        <f t="shared" si="248"/>
        <v>0</v>
      </c>
      <c r="GW24" s="29">
        <f t="shared" si="249"/>
        <v>0</v>
      </c>
      <c r="GX24" s="29">
        <f t="shared" si="250"/>
        <v>0</v>
      </c>
      <c r="GY24" s="29">
        <f t="shared" si="251"/>
        <v>0</v>
      </c>
      <c r="GZ24" s="29">
        <f t="shared" si="252"/>
        <v>0</v>
      </c>
      <c r="HA24" s="29">
        <f t="shared" si="253"/>
        <v>0</v>
      </c>
      <c r="HB24" s="29">
        <f t="shared" si="254"/>
        <v>0</v>
      </c>
      <c r="HC24" s="29"/>
      <c r="HD24" s="29">
        <f t="shared" si="29"/>
        <v>20</v>
      </c>
      <c r="HE24" s="29">
        <f t="shared" si="100"/>
        <v>0</v>
      </c>
      <c r="HF24" s="29">
        <f t="shared" si="101"/>
        <v>28.349936853775713</v>
      </c>
      <c r="HG24" s="29">
        <f t="shared" si="102"/>
        <v>27.776501753980273</v>
      </c>
      <c r="HH24" s="29">
        <f t="shared" si="103"/>
        <v>27.210817251151632</v>
      </c>
      <c r="HI24" s="29">
        <f t="shared" si="104"/>
        <v>26.656287787690651</v>
      </c>
      <c r="HJ24" s="29">
        <f t="shared" si="105"/>
        <v>26.115492680372199</v>
      </c>
      <c r="HK24" s="29">
        <f t="shared" si="106"/>
        <v>26.878835954896577</v>
      </c>
      <c r="HL24" s="29">
        <f t="shared" si="107"/>
        <v>69.187537812965232</v>
      </c>
      <c r="HM24" s="29">
        <f t="shared" si="108"/>
        <v>76.162008412505827</v>
      </c>
      <c r="HN24" s="29">
        <f t="shared" si="109"/>
        <v>72.234861268303163</v>
      </c>
      <c r="HO24" s="29">
        <f t="shared" si="110"/>
        <v>56.883026382585165</v>
      </c>
      <c r="HP24" s="29">
        <f t="shared" si="111"/>
        <v>2496.8726840832155</v>
      </c>
      <c r="HQ24" s="29">
        <f t="shared" si="112"/>
        <v>0</v>
      </c>
      <c r="HR24" s="29">
        <f t="shared" si="113"/>
        <v>0</v>
      </c>
      <c r="HS24" s="29">
        <f t="shared" si="114"/>
        <v>0</v>
      </c>
      <c r="HT24" s="29">
        <f t="shared" si="115"/>
        <v>0</v>
      </c>
      <c r="HU24" s="29">
        <f t="shared" si="116"/>
        <v>0</v>
      </c>
      <c r="HV24" s="29">
        <f t="shared" si="117"/>
        <v>0</v>
      </c>
      <c r="HW24" s="29">
        <f t="shared" si="118"/>
        <v>0</v>
      </c>
      <c r="HX24" s="29">
        <f t="shared" si="119"/>
        <v>0</v>
      </c>
      <c r="HY24" s="29">
        <f t="shared" si="120"/>
        <v>0</v>
      </c>
      <c r="HZ24" s="29">
        <f t="shared" si="121"/>
        <v>0</v>
      </c>
      <c r="IA24" s="29">
        <f t="shared" si="122"/>
        <v>0</v>
      </c>
      <c r="IB24" s="29">
        <f t="shared" si="123"/>
        <v>0</v>
      </c>
      <c r="IC24" s="29">
        <f t="shared" si="124"/>
        <v>0</v>
      </c>
      <c r="ID24" s="29">
        <f t="shared" si="125"/>
        <v>0</v>
      </c>
      <c r="IE24" s="29">
        <f t="shared" si="126"/>
        <v>0</v>
      </c>
      <c r="IF24" s="29">
        <f t="shared" si="127"/>
        <v>0</v>
      </c>
      <c r="IG24" s="29">
        <f t="shared" si="128"/>
        <v>0</v>
      </c>
      <c r="IH24" s="29">
        <f t="shared" si="129"/>
        <v>0</v>
      </c>
      <c r="II24" s="29">
        <f t="shared" si="130"/>
        <v>0</v>
      </c>
      <c r="IJ24" s="29">
        <f t="shared" si="131"/>
        <v>0</v>
      </c>
      <c r="IK24" s="48"/>
      <c r="IL24" s="48"/>
      <c r="IM24" s="48"/>
      <c r="IN24" s="29">
        <f t="shared" si="199"/>
        <v>2.4118707981253209</v>
      </c>
      <c r="IO24" s="29">
        <f t="shared" si="239"/>
        <v>1.0235126341651926</v>
      </c>
      <c r="IP24" s="29">
        <f t="shared" si="200"/>
        <v>-0.47302758525436023</v>
      </c>
      <c r="IQ24" s="29">
        <f t="shared" si="200"/>
        <v>-1.5091648853436896</v>
      </c>
      <c r="IR24" s="29">
        <f t="shared" si="200"/>
        <v>-2.0991820568165593</v>
      </c>
      <c r="IS24" s="29">
        <f t="shared" si="200"/>
        <v>-2.2611848545769884</v>
      </c>
      <c r="IT24" s="29">
        <f t="shared" si="200"/>
        <v>-2.0578545663763594</v>
      </c>
      <c r="IU24" s="29">
        <f t="shared" si="200"/>
        <v>-1.5878656115703449</v>
      </c>
      <c r="IV24" s="29">
        <f t="shared" si="200"/>
        <v>-0.69024034231909492</v>
      </c>
      <c r="IW24" s="29">
        <f t="shared" si="200"/>
        <v>0</v>
      </c>
      <c r="IX24" s="29">
        <f t="shared" si="200"/>
        <v>0</v>
      </c>
      <c r="IY24" s="29">
        <f t="shared" si="200"/>
        <v>0</v>
      </c>
      <c r="IZ24" s="29">
        <f t="shared" si="200"/>
        <v>0</v>
      </c>
      <c r="JA24" s="29">
        <f t="shared" si="200"/>
        <v>0</v>
      </c>
      <c r="JB24" s="29">
        <f t="shared" si="200"/>
        <v>0</v>
      </c>
      <c r="JC24" s="29">
        <f t="shared" si="200"/>
        <v>0</v>
      </c>
      <c r="JD24" s="29">
        <f t="shared" si="200"/>
        <v>0</v>
      </c>
      <c r="JE24" s="29">
        <f t="shared" ref="JE24:JE44" si="270">IF(AND($AQ24&gt;=100%,$AQ23&lt;100%),0,JD23*(1+$AB23) - KL23*(1+$AB23)^0.5)</f>
        <v>0</v>
      </c>
      <c r="JF24" s="29">
        <f t="shared" ref="JF24:JF44" si="271">IF(AND($AQ24&gt;=100%,$AQ23&lt;100%),0,JE23*(1+$AB23) - KM23*(1+$AB23)^0.5)</f>
        <v>0</v>
      </c>
      <c r="JG24" s="29">
        <f t="shared" ref="JG24:JG44" si="272">IF(AND($AQ24&gt;=100%,$AQ23&lt;100%),0,JF23*(1+$AB23) - KN23*(1+$AB23)^0.5)</f>
        <v>0</v>
      </c>
      <c r="JH24" s="29">
        <f t="shared" ref="JH24:JH44" si="273">IF(AND($AQ24&gt;=100%,$AQ23&lt;100%),0,JG23*(1+$AB23) - KO23*(1+$AB23)^0.5)</f>
        <v>0</v>
      </c>
      <c r="JI24" s="29">
        <f t="shared" ref="JI24:JI44" si="274">IF(AND($AQ24&gt;=100%,$AQ23&lt;100%),0,JH23*(1+$AB23) - KP23*(1+$AB23)^0.5)</f>
        <v>0</v>
      </c>
      <c r="JJ24" s="29">
        <f t="shared" ref="JJ24:JJ44" si="275">IF(AND($AQ24&gt;=100%,$AQ23&lt;100%),0,JI23*(1+$AB23) - KQ23*(1+$AB23)^0.5)</f>
        <v>0</v>
      </c>
      <c r="JK24" s="29">
        <f t="shared" ref="JK24:JK44" si="276">IF(AND($AQ24&gt;=100%,$AQ23&lt;100%),0,JJ23*(1+$AB23) - KR23*(1+$AB23)^0.5)</f>
        <v>0</v>
      </c>
      <c r="JL24" s="29">
        <f t="shared" ref="JL24:JL44" si="277">IF(AND($AQ24&gt;=100%,$AQ23&lt;100%),0,JK23*(1+$AB23) - KS23*(1+$AB23)^0.5)</f>
        <v>0</v>
      </c>
      <c r="JM24" s="29">
        <f t="shared" ref="JM24:JM44" si="278">IF(AND($AQ24&gt;=100%,$AQ23&lt;100%),0,JL23*(1+$AB23) - KT23*(1+$AB23)^0.5)</f>
        <v>0</v>
      </c>
      <c r="JN24" s="29">
        <f t="shared" ref="JN24:JN44" si="279">IF(AND($AQ24&gt;=100%,$AQ23&lt;100%),0,JM23*(1+$AB23) - KU23*(1+$AB23)^0.5)</f>
        <v>0</v>
      </c>
      <c r="JO24" s="29">
        <f t="shared" ref="JO24:JO44" si="280">IF(AND($AQ24&gt;=100%,$AQ23&lt;100%),0,JN23*(1+$AB23) - KV23*(1+$AB23)^0.5)</f>
        <v>0</v>
      </c>
      <c r="JP24" s="29">
        <f t="shared" ref="JP24:JP44" si="281">IF(AND($AQ24&gt;=100%,$AQ23&lt;100%),0,JO23*(1+$AB23) - KW23*(1+$AB23)^0.5)</f>
        <v>0</v>
      </c>
      <c r="JQ24" s="29">
        <f t="shared" ref="JQ24:JQ44" si="282">IF(AND($AQ24&gt;=100%,$AQ23&lt;100%),0,JP23*(1+$AB23) - KX23*(1+$AB23)^0.5)</f>
        <v>0</v>
      </c>
      <c r="JR24" s="29">
        <f t="shared" ref="JR24:JR44" si="283">IF(AND($AQ24&gt;=100%,$AQ23&lt;100%),0,JQ23*(1+$AB23) - KY23*(1+$AB23)^0.5)</f>
        <v>0</v>
      </c>
      <c r="JS24" s="29">
        <f t="shared" ref="JS24:JS44" si="284">IF(AND($AQ24&gt;=100%,$AQ23&lt;100%),0,JR23*(1+$AB23) - KZ23*(1+$AB23)^0.5)</f>
        <v>0</v>
      </c>
      <c r="JT24" s="48"/>
      <c r="JU24" s="401">
        <f t="shared" si="201"/>
        <v>20</v>
      </c>
      <c r="JV24" s="29">
        <f t="shared" si="202"/>
        <v>0</v>
      </c>
      <c r="JW24" s="29">
        <f t="shared" si="203"/>
        <v>7.421932141500677E-2</v>
      </c>
      <c r="JX24" s="29">
        <f t="shared" si="204"/>
        <v>-3.5508185809071779E-2</v>
      </c>
      <c r="JY24" s="29">
        <f t="shared" si="205"/>
        <v>-0.11758460565175149</v>
      </c>
      <c r="JZ24" s="29">
        <f t="shared" si="206"/>
        <v>-0.17026555814736655</v>
      </c>
      <c r="KA24" s="29">
        <f t="shared" si="207"/>
        <v>-0.19157092609121007</v>
      </c>
      <c r="KB24" s="29">
        <f t="shared" si="208"/>
        <v>-0.18279876271914713</v>
      </c>
      <c r="KC24" s="29">
        <f t="shared" si="209"/>
        <v>-0.14853204849164892</v>
      </c>
      <c r="KD24" s="29">
        <f t="shared" si="210"/>
        <v>-6.8332024054886378E-2</v>
      </c>
      <c r="KE24" s="29">
        <f t="shared" si="211"/>
        <v>0</v>
      </c>
      <c r="KF24" s="29">
        <f t="shared" si="212"/>
        <v>0</v>
      </c>
      <c r="KG24" s="29">
        <f t="shared" si="213"/>
        <v>0</v>
      </c>
      <c r="KH24" s="29">
        <f t="shared" si="214"/>
        <v>0</v>
      </c>
      <c r="KI24" s="29">
        <f t="shared" si="215"/>
        <v>0</v>
      </c>
      <c r="KJ24" s="29">
        <f t="shared" si="216"/>
        <v>0</v>
      </c>
      <c r="KK24" s="29">
        <f t="shared" si="217"/>
        <v>0</v>
      </c>
      <c r="KL24" s="29">
        <f t="shared" si="218"/>
        <v>0</v>
      </c>
      <c r="KM24" s="29">
        <f t="shared" si="219"/>
        <v>0</v>
      </c>
      <c r="KN24" s="29">
        <f t="shared" si="220"/>
        <v>0</v>
      </c>
      <c r="KO24" s="29">
        <f t="shared" si="221"/>
        <v>0</v>
      </c>
      <c r="KP24" s="29">
        <f t="shared" si="222"/>
        <v>0</v>
      </c>
      <c r="KQ24" s="29">
        <f t="shared" si="223"/>
        <v>0</v>
      </c>
      <c r="KR24" s="29">
        <f t="shared" si="224"/>
        <v>0</v>
      </c>
      <c r="KS24" s="29">
        <f t="shared" si="225"/>
        <v>0</v>
      </c>
      <c r="KT24" s="29">
        <f t="shared" si="226"/>
        <v>0</v>
      </c>
      <c r="KU24" s="29">
        <f t="shared" si="227"/>
        <v>0</v>
      </c>
      <c r="KV24" s="29">
        <f t="shared" si="228"/>
        <v>0</v>
      </c>
      <c r="KW24" s="29">
        <f t="shared" si="229"/>
        <v>0</v>
      </c>
      <c r="KX24" s="29">
        <f t="shared" si="230"/>
        <v>0</v>
      </c>
      <c r="KY24" s="29">
        <f t="shared" si="231"/>
        <v>0</v>
      </c>
      <c r="KZ24" s="29">
        <f t="shared" si="232"/>
        <v>0</v>
      </c>
      <c r="LA24" s="29">
        <f t="shared" si="233"/>
        <v>0</v>
      </c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6">
        <f t="shared" si="30"/>
        <v>0.28602244370004165</v>
      </c>
      <c r="LP24" s="47">
        <f t="shared" si="31"/>
        <v>0.66256523019687541</v>
      </c>
      <c r="LQ24" s="28"/>
      <c r="LR24" s="48"/>
      <c r="LS24" s="28"/>
      <c r="LT24" s="166">
        <v>2.2749999999999999E-2</v>
      </c>
      <c r="LU24" s="115">
        <f t="shared" si="70"/>
        <v>3.6883139325675096E-18</v>
      </c>
      <c r="LV24" s="157">
        <f t="shared" si="15"/>
        <v>1.6535357830458612E-14</v>
      </c>
      <c r="LW24" s="229" t="e">
        <f>LW23*(1+#REF!)</f>
        <v>#REF!</v>
      </c>
      <c r="LX24" s="158"/>
      <c r="LY24" s="129">
        <f t="shared" si="71"/>
        <v>-45.572211443999549</v>
      </c>
      <c r="LZ24" s="130">
        <f t="shared" si="72"/>
        <v>-521.16463615287648</v>
      </c>
      <c r="MA24" s="28"/>
      <c r="MB24" s="381">
        <f t="shared" ref="MB24:MB48" si="285">MB23+0.25%</f>
        <v>2.2499999999999999E-2</v>
      </c>
      <c r="MC24" s="394">
        <f t="shared" si="177"/>
        <v>-99.735806286361338</v>
      </c>
      <c r="MD24" s="157">
        <f t="shared" si="158"/>
        <v>-4251.7382641474933</v>
      </c>
      <c r="ME24" s="215"/>
      <c r="MF24" s="381">
        <f t="shared" ref="MF24:MF48" si="286">MF23+0.25%</f>
        <v>2.2499999999999999E-2</v>
      </c>
      <c r="MG24" s="394">
        <f t="shared" si="178"/>
        <v>-3.8767633639126471</v>
      </c>
      <c r="MH24" s="157">
        <f t="shared" si="159"/>
        <v>-165.26645493862688</v>
      </c>
      <c r="MI24" s="28"/>
      <c r="MJ24" s="28"/>
      <c r="MK24" s="134" t="s">
        <v>90</v>
      </c>
      <c r="ML24" s="28"/>
      <c r="MM24" s="28"/>
      <c r="MN24" s="28"/>
      <c r="MO24" s="28"/>
      <c r="MP24" s="28"/>
      <c r="MQ24" s="28"/>
      <c r="MR24" s="28">
        <f t="shared" si="84"/>
        <v>77</v>
      </c>
      <c r="MS24" s="28">
        <f t="shared" si="85"/>
        <v>0.34997779222393371</v>
      </c>
      <c r="MT24" s="28">
        <f t="shared" si="86"/>
        <v>0.36798262428504158</v>
      </c>
      <c r="MU24" s="28">
        <f t="shared" si="87"/>
        <v>0.38684903364400997</v>
      </c>
      <c r="MV24" s="28">
        <f t="shared" si="88"/>
        <v>0.40661517425456195</v>
      </c>
      <c r="MW24" s="28">
        <f t="shared" si="89"/>
        <v>0.4273207544337036</v>
      </c>
      <c r="MX24" s="28">
        <f t="shared" si="90"/>
        <v>0.44900709471282452</v>
      </c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</row>
    <row r="25" spans="1:374" s="30" customFormat="1" ht="12.75" customHeight="1" x14ac:dyDescent="0.3">
      <c r="A25" s="305">
        <f t="shared" si="91"/>
        <v>2034</v>
      </c>
      <c r="B25" s="355">
        <f t="shared" si="1"/>
        <v>2032</v>
      </c>
      <c r="C25" s="26">
        <v>48396</v>
      </c>
      <c r="D25" s="96">
        <f t="shared" si="132"/>
        <v>9203.4950636761951</v>
      </c>
      <c r="E25" s="27">
        <f t="shared" si="133"/>
        <v>9203.4950636761951</v>
      </c>
      <c r="F25" s="111">
        <f t="shared" si="18"/>
        <v>5095.360588886474</v>
      </c>
      <c r="G25" s="27">
        <f t="shared" si="134"/>
        <v>15743.73647125704</v>
      </c>
      <c r="H25" s="27">
        <f t="shared" si="135"/>
        <v>10705.740800454787</v>
      </c>
      <c r="I25" s="296">
        <f t="shared" si="136"/>
        <v>9099.8796803865698</v>
      </c>
      <c r="J25" s="69">
        <v>2853.9871720000001</v>
      </c>
      <c r="K25" s="297">
        <f t="shared" si="160"/>
        <v>6245.8925083865697</v>
      </c>
      <c r="L25" s="297">
        <f t="shared" si="137"/>
        <v>5037.9956708022528</v>
      </c>
      <c r="M25" s="297">
        <f t="shared" si="161"/>
        <v>4282.2963201819148</v>
      </c>
      <c r="N25" s="27">
        <f t="shared" si="162"/>
        <v>0</v>
      </c>
      <c r="O25" s="297">
        <f t="shared" si="138"/>
        <v>1605.861120068218</v>
      </c>
      <c r="P25" s="297">
        <f t="shared" si="139"/>
        <v>755.6993506203379</v>
      </c>
      <c r="Q25" s="297">
        <f t="shared" si="140"/>
        <v>682.75126436225605</v>
      </c>
      <c r="R25" s="260">
        <f t="shared" si="2"/>
        <v>0.67999999999999994</v>
      </c>
      <c r="S25" s="257">
        <v>0.32</v>
      </c>
      <c r="T25" s="290">
        <f t="shared" si="163"/>
        <v>7.2499999999999995E-2</v>
      </c>
      <c r="U25" s="290">
        <f t="shared" si="164"/>
        <v>7.2499999999999995E-2</v>
      </c>
      <c r="V25" s="27">
        <f t="shared" si="4"/>
        <v>71183.477732754196</v>
      </c>
      <c r="W25" s="27">
        <f t="shared" si="141"/>
        <v>69082.655604046988</v>
      </c>
      <c r="X25" s="27">
        <f t="shared" si="179"/>
        <v>2100.8221287072101</v>
      </c>
      <c r="Y25" s="27">
        <f t="shared" si="142"/>
        <v>916.4214600409465</v>
      </c>
      <c r="Z25" s="27">
        <f t="shared" si="180"/>
        <v>399.5382466729726</v>
      </c>
      <c r="AA25" s="115">
        <f t="shared" si="165"/>
        <v>7.0000000000000007E-2</v>
      </c>
      <c r="AB25" s="115">
        <f t="shared" si="166"/>
        <v>7.0000000000000007E-2</v>
      </c>
      <c r="AC25" s="96">
        <f t="shared" si="6"/>
        <v>73142.454523340493</v>
      </c>
      <c r="AD25" s="27">
        <f t="shared" si="143"/>
        <v>70983.817548795909</v>
      </c>
      <c r="AE25" s="27">
        <f t="shared" si="181"/>
        <v>2158.6369745445868</v>
      </c>
      <c r="AF25" s="150">
        <f t="shared" si="144"/>
        <v>964.55660610696009</v>
      </c>
      <c r="AG25" s="27">
        <f t="shared" si="234"/>
        <v>420.52404054744517</v>
      </c>
      <c r="AH25" s="27">
        <f t="shared" si="167"/>
        <v>48395.579738329718</v>
      </c>
      <c r="AI25" s="27">
        <f t="shared" si="145"/>
        <v>46234.809049279305</v>
      </c>
      <c r="AJ25" s="27">
        <f t="shared" si="182"/>
        <v>2160.7706890504146</v>
      </c>
      <c r="AK25" s="27">
        <f t="shared" si="10"/>
        <v>47543.543974465596</v>
      </c>
      <c r="AL25" s="27">
        <f t="shared" si="168"/>
        <v>45413.154115883313</v>
      </c>
      <c r="AM25" s="27">
        <f t="shared" si="235"/>
        <v>2130.3898585822826</v>
      </c>
      <c r="AN25" s="417">
        <f>INDEX(Inv.Returns!$B$2:$E$32,MATCH(B25,Inv.Returns!$A$2:$A$32,0),MATCH(SCRS!$DT$52,Inv.Returns!$B$1:$E$1,0))</f>
        <v>0.06</v>
      </c>
      <c r="AO25" s="27">
        <f t="shared" si="36"/>
        <v>24746.874785010776</v>
      </c>
      <c r="AP25" s="229">
        <f t="shared" si="11"/>
        <v>25598.910548874897</v>
      </c>
      <c r="AQ25" s="68">
        <f t="shared" si="19"/>
        <v>0.66166195889538004</v>
      </c>
      <c r="AR25" s="151">
        <f t="shared" si="20"/>
        <v>0.65001296831368949</v>
      </c>
      <c r="AS25" s="353"/>
      <c r="AT25" s="289">
        <f t="shared" si="94"/>
        <v>0.10677858760650143</v>
      </c>
      <c r="AU25" s="397">
        <f t="shared" si="169"/>
        <v>9.9400593584701102E-2</v>
      </c>
      <c r="AV25" s="303">
        <f t="shared" si="95"/>
        <v>0.18219498121087527</v>
      </c>
      <c r="AW25" s="303">
        <f t="shared" si="146"/>
        <v>-4.9463523011466408E-5</v>
      </c>
      <c r="AX25" s="115">
        <f t="shared" si="61"/>
        <v>0.09</v>
      </c>
      <c r="AY25" s="115">
        <f t="shared" si="147"/>
        <v>0.09</v>
      </c>
      <c r="AZ25" s="115">
        <f t="shared" si="148"/>
        <v>0</v>
      </c>
      <c r="BA25" s="262">
        <f t="shared" si="21"/>
        <v>1.677858760650143E-2</v>
      </c>
      <c r="BB25" s="115">
        <f t="shared" si="170"/>
        <v>9.4005935847011057E-3</v>
      </c>
      <c r="BC25" s="133">
        <f t="shared" si="77"/>
        <v>0.18560000000000004</v>
      </c>
      <c r="BD25" s="133">
        <f t="shared" si="96"/>
        <v>0.18560000000000004</v>
      </c>
      <c r="BE25" s="410">
        <f t="shared" si="12"/>
        <v>0.16882141239349863</v>
      </c>
      <c r="BF25" s="410">
        <f t="shared" si="149"/>
        <v>0.17619940641529894</v>
      </c>
      <c r="BG25" s="410">
        <f t="shared" si="171"/>
        <v>0.13560000000000005</v>
      </c>
      <c r="BH25" s="410">
        <f t="shared" si="23"/>
        <v>0.18560000000000004</v>
      </c>
      <c r="BI25" s="157">
        <f t="shared" si="37"/>
        <v>8.5472186698985766</v>
      </c>
      <c r="BJ25" s="104">
        <f t="shared" si="38"/>
        <v>3.8834951456310662E-2</v>
      </c>
      <c r="BK25" s="27">
        <f t="shared" si="62"/>
        <v>10.103979639524143</v>
      </c>
      <c r="BL25" s="27">
        <f t="shared" si="14"/>
        <v>20</v>
      </c>
      <c r="BM25" s="111">
        <f t="shared" si="26"/>
        <v>9.5355745116998012</v>
      </c>
      <c r="BN25" s="27"/>
      <c r="BO25" s="27"/>
      <c r="BP25" s="96">
        <f t="shared" si="172"/>
        <v>-4258.4851236014802</v>
      </c>
      <c r="BQ25" s="27">
        <f t="shared" si="183"/>
        <v>-107.05740800454787</v>
      </c>
      <c r="BR25" s="27">
        <f t="shared" si="173"/>
        <v>-165.52870756911736</v>
      </c>
      <c r="BS25" s="27">
        <f t="shared" si="184"/>
        <v>-4.1613564139224808</v>
      </c>
      <c r="BT25" s="27">
        <f t="shared" si="150"/>
        <v>-10.919855616463883</v>
      </c>
      <c r="BU25" s="27">
        <f t="shared" si="185"/>
        <v>-5.1387555842182975</v>
      </c>
      <c r="BV25" s="304">
        <f t="shared" si="151"/>
        <v>818.98917123479123</v>
      </c>
      <c r="BW25" s="304">
        <f t="shared" si="186"/>
        <v>385.4066688163723</v>
      </c>
      <c r="BX25" s="304">
        <f t="shared" si="187"/>
        <v>0</v>
      </c>
      <c r="BY25" s="304">
        <f t="shared" si="152"/>
        <v>61.447613792603043</v>
      </c>
      <c r="BZ25" s="304">
        <f t="shared" si="78"/>
        <v>156.48729048863288</v>
      </c>
      <c r="CA25" s="304">
        <f t="shared" si="188"/>
        <v>40.256127315291224</v>
      </c>
      <c r="CB25" s="304">
        <f t="shared" si="236"/>
        <v>2934.327990241442</v>
      </c>
      <c r="CC25" s="304">
        <f t="shared" si="189"/>
        <v>0</v>
      </c>
      <c r="CD25" s="304">
        <f t="shared" si="190"/>
        <v>-0.84037278955007566</v>
      </c>
      <c r="CE25" s="304"/>
      <c r="CF25" s="304">
        <f t="shared" si="174"/>
        <v>0</v>
      </c>
      <c r="CG25" s="304">
        <f t="shared" si="153"/>
        <v>0</v>
      </c>
      <c r="CH25" s="304">
        <f t="shared" si="175"/>
        <v>0</v>
      </c>
      <c r="CI25" s="27"/>
      <c r="CJ25" s="27">
        <f t="shared" si="39"/>
        <v>0</v>
      </c>
      <c r="CK25" s="27">
        <f t="shared" si="40"/>
        <v>0</v>
      </c>
      <c r="CL25" s="27">
        <f t="shared" si="41"/>
        <v>0</v>
      </c>
      <c r="CM25" s="27">
        <f t="shared" si="42"/>
        <v>4396.074489099582</v>
      </c>
      <c r="CN25" s="27">
        <f t="shared" si="43"/>
        <v>0</v>
      </c>
      <c r="CO25" s="111">
        <f t="shared" si="3"/>
        <v>4396.074489099582</v>
      </c>
      <c r="CP25" s="27">
        <f t="shared" si="154"/>
        <v>2933.4876174518918</v>
      </c>
      <c r="CQ25" s="27">
        <f t="shared" si="155"/>
        <v>0</v>
      </c>
      <c r="CR25" s="27">
        <f t="shared" si="176"/>
        <v>2933.4876174518918</v>
      </c>
      <c r="CS25" s="27">
        <f>SUM($CR$14:CR25)</f>
        <v>27748.405754009287</v>
      </c>
      <c r="CT25" s="229">
        <v>2155.3767478335462</v>
      </c>
      <c r="CU25" s="425">
        <v>446.94623449100305</v>
      </c>
      <c r="CV25" s="425">
        <v>2602.3229823245492</v>
      </c>
      <c r="CW25" s="425">
        <v>28141.737642078217</v>
      </c>
      <c r="CX25" s="107">
        <f t="shared" si="44"/>
        <v>118.07802353442781</v>
      </c>
      <c r="CY25" s="115">
        <f t="shared" si="92"/>
        <v>0.19774824119867029</v>
      </c>
      <c r="CZ25" s="96">
        <f t="shared" si="45"/>
        <v>3248.3090587902439</v>
      </c>
      <c r="DA25" s="418">
        <f t="shared" si="46"/>
        <v>2543.0849035869987</v>
      </c>
      <c r="DB25" s="314">
        <f t="shared" si="47"/>
        <v>2148.3143324423054</v>
      </c>
      <c r="DC25" s="314">
        <f t="shared" si="48"/>
        <v>144.08334358301968</v>
      </c>
      <c r="DD25" s="314">
        <f t="shared" si="49"/>
        <v>0</v>
      </c>
      <c r="DE25" s="314">
        <f t="shared" si="50"/>
        <v>35442.392807230885</v>
      </c>
      <c r="DF25" s="314" t="b">
        <f t="shared" si="63"/>
        <v>0</v>
      </c>
      <c r="DG25" s="27">
        <f t="shared" si="51"/>
        <v>118.07802353442781</v>
      </c>
      <c r="DH25" s="100">
        <f t="shared" si="52"/>
        <v>86.473421192012637</v>
      </c>
      <c r="DI25" s="105">
        <f t="shared" si="53"/>
        <v>1.5961773128252785E-2</v>
      </c>
      <c r="DJ25" s="96">
        <f t="shared" si="54"/>
        <v>0</v>
      </c>
      <c r="DK25" s="100">
        <f t="shared" si="55"/>
        <v>0</v>
      </c>
      <c r="DL25" s="105">
        <f t="shared" si="56"/>
        <v>0</v>
      </c>
      <c r="DM25" s="299">
        <v>3048.7561237309424</v>
      </c>
      <c r="DN25" s="100">
        <f t="shared" si="57"/>
        <v>2386.8559095377732</v>
      </c>
      <c r="DO25" s="301">
        <v>0.75940363948486811</v>
      </c>
      <c r="DP25" s="29"/>
      <c r="DQ25" s="396" t="s">
        <v>256</v>
      </c>
      <c r="DT25" s="248">
        <v>7.2499999999999995E-2</v>
      </c>
      <c r="DU25" s="29"/>
      <c r="DV25" s="327"/>
      <c r="DW25" s="328"/>
      <c r="DX25" s="328"/>
      <c r="DY25" s="328"/>
      <c r="DZ25" s="328"/>
      <c r="EA25" s="328"/>
      <c r="EB25" s="328"/>
      <c r="EC25" s="328"/>
      <c r="ED25" s="328"/>
      <c r="EE25" s="328"/>
      <c r="EF25" s="328"/>
      <c r="EG25" s="328"/>
      <c r="EH25" s="329"/>
      <c r="EI25" s="330"/>
      <c r="EJ25" s="339">
        <f t="shared" si="64"/>
        <v>0.16882141239349863</v>
      </c>
      <c r="EK25" s="339">
        <f t="shared" si="58"/>
        <v>1.677858760650143E-2</v>
      </c>
      <c r="EL25" s="339" t="e">
        <f t="shared" si="65"/>
        <v>#DIV/0!</v>
      </c>
      <c r="EM25" s="339">
        <f t="shared" si="59"/>
        <v>0</v>
      </c>
      <c r="EN25" s="339">
        <v>0.18560000000000004</v>
      </c>
      <c r="EO25" s="339">
        <v>0.14721796552821831</v>
      </c>
      <c r="EP25" s="340" t="e">
        <f t="shared" si="66"/>
        <v>#DIV/0!</v>
      </c>
      <c r="EQ25" s="283"/>
      <c r="ER25" s="341">
        <v>16</v>
      </c>
      <c r="ES25" s="29">
        <f t="shared" si="79"/>
        <v>3014.2787370610304</v>
      </c>
      <c r="ET25" s="29">
        <f t="shared" si="80"/>
        <v>2583.8701112405374</v>
      </c>
      <c r="EU25" s="29">
        <f t="shared" si="67"/>
        <v>-430.40862582049294</v>
      </c>
      <c r="EV25" s="29">
        <f t="shared" si="68"/>
        <v>-344.32690065639434</v>
      </c>
      <c r="EW25" s="29">
        <f t="shared" si="81"/>
        <v>-246.21222880545267</v>
      </c>
      <c r="EX25" s="29">
        <f t="shared" si="93"/>
        <v>-156.50575596025936</v>
      </c>
      <c r="EY25" s="29">
        <f t="shared" si="97"/>
        <v>-74.610047973883866</v>
      </c>
      <c r="EZ25" s="29">
        <f t="shared" si="69"/>
        <v>-821.65493339599016</v>
      </c>
      <c r="FA25" s="29"/>
      <c r="FB25" s="29">
        <f t="shared" si="237"/>
        <v>130.50986237815687</v>
      </c>
      <c r="FC25" s="29">
        <f t="shared" si="238"/>
        <v>111.73080151032951</v>
      </c>
      <c r="FD25" s="29">
        <f t="shared" si="191"/>
        <v>-18.779060867827354</v>
      </c>
      <c r="FE25" s="29">
        <f t="shared" si="192"/>
        <v>-15.023248694261884</v>
      </c>
      <c r="FF25" s="29">
        <f t="shared" si="193"/>
        <v>-8.9593262293217819</v>
      </c>
      <c r="FG25" s="29">
        <f t="shared" si="194"/>
        <v>-4.6420151516147481</v>
      </c>
      <c r="FH25" s="29">
        <f t="shared" si="195"/>
        <v>-1.7562403929334736</v>
      </c>
      <c r="FI25" s="29">
        <f t="shared" si="196"/>
        <v>-30.380830468131887</v>
      </c>
      <c r="FJ25" s="29"/>
      <c r="FK25" s="29"/>
      <c r="FL25" s="27">
        <f t="shared" si="24"/>
        <v>25581.94310056782</v>
      </c>
      <c r="FM25" s="29"/>
      <c r="FN25" s="308">
        <f t="shared" si="156"/>
        <v>2934.327990241442</v>
      </c>
      <c r="FO25" s="93">
        <f t="shared" si="197"/>
        <v>-0.84037278955007555</v>
      </c>
      <c r="FP25" s="27">
        <f t="shared" si="82"/>
        <v>20</v>
      </c>
      <c r="FQ25" s="309">
        <f t="shared" si="27"/>
        <v>13.512970250241354</v>
      </c>
      <c r="FR25" s="93">
        <f t="shared" si="60"/>
        <v>1893.1398964717548</v>
      </c>
      <c r="FS25" s="93">
        <f t="shared" si="198"/>
        <v>2933.4876174518918</v>
      </c>
      <c r="FT25" s="29">
        <f t="shared" si="83"/>
        <v>20</v>
      </c>
      <c r="FU25" s="142">
        <f t="shared" si="28"/>
        <v>13.512970250241354</v>
      </c>
      <c r="FV25" s="48">
        <v>2436.7202422198197</v>
      </c>
      <c r="FW25" s="29">
        <f t="shared" si="98"/>
        <v>403.87170061020151</v>
      </c>
      <c r="FX25" s="29">
        <f t="shared" si="157"/>
        <v>411.32128557956395</v>
      </c>
      <c r="FY25" s="29">
        <f t="shared" si="255"/>
        <v>388.99794293877653</v>
      </c>
      <c r="FZ25" s="29">
        <f t="shared" si="256"/>
        <v>367.19858418554054</v>
      </c>
      <c r="GA25" s="29">
        <f t="shared" si="257"/>
        <v>345.54300790391483</v>
      </c>
      <c r="GB25" s="29">
        <f t="shared" si="258"/>
        <v>324.07338273217948</v>
      </c>
      <c r="GC25" s="29">
        <f t="shared" si="259"/>
        <v>302.814645012028</v>
      </c>
      <c r="GD25" s="29">
        <f t="shared" si="260"/>
        <v>295.96561224998584</v>
      </c>
      <c r="GE25" s="29">
        <f t="shared" si="261"/>
        <v>719.84858282924063</v>
      </c>
      <c r="GF25" s="29">
        <f t="shared" si="262"/>
        <v>744.40386773610237</v>
      </c>
      <c r="GG25" s="29">
        <f t="shared" si="263"/>
        <v>658.71805278561476</v>
      </c>
      <c r="GH25" s="29">
        <f t="shared" si="264"/>
        <v>480.02721369318357</v>
      </c>
      <c r="GI25" s="29">
        <f t="shared" si="265"/>
        <v>19306.224621260269</v>
      </c>
      <c r="GJ25" s="29">
        <f t="shared" si="266"/>
        <v>0</v>
      </c>
      <c r="GK25" s="29">
        <f t="shared" si="267"/>
        <v>0</v>
      </c>
      <c r="GL25" s="29">
        <f t="shared" si="268"/>
        <v>0</v>
      </c>
      <c r="GM25" s="29">
        <f t="shared" si="269"/>
        <v>0</v>
      </c>
      <c r="GN25" s="29">
        <f t="shared" si="240"/>
        <v>0</v>
      </c>
      <c r="GO25" s="29">
        <f t="shared" si="241"/>
        <v>0</v>
      </c>
      <c r="GP25" s="29">
        <f t="shared" si="242"/>
        <v>0</v>
      </c>
      <c r="GQ25" s="29">
        <f t="shared" si="243"/>
        <v>0</v>
      </c>
      <c r="GR25" s="29">
        <f t="shared" si="244"/>
        <v>0</v>
      </c>
      <c r="GS25" s="29">
        <f t="shared" si="245"/>
        <v>0</v>
      </c>
      <c r="GT25" s="29">
        <f t="shared" si="246"/>
        <v>0</v>
      </c>
      <c r="GU25" s="29">
        <f t="shared" si="247"/>
        <v>0</v>
      </c>
      <c r="GV25" s="29">
        <f t="shared" si="248"/>
        <v>0</v>
      </c>
      <c r="GW25" s="29">
        <f t="shared" si="249"/>
        <v>0</v>
      </c>
      <c r="GX25" s="29">
        <f t="shared" si="250"/>
        <v>0</v>
      </c>
      <c r="GY25" s="29">
        <f t="shared" si="251"/>
        <v>0</v>
      </c>
      <c r="GZ25" s="29">
        <f t="shared" si="252"/>
        <v>0</v>
      </c>
      <c r="HA25" s="29">
        <f t="shared" si="253"/>
        <v>0</v>
      </c>
      <c r="HB25" s="29">
        <f t="shared" si="254"/>
        <v>0</v>
      </c>
      <c r="HC25" s="29"/>
      <c r="HD25" s="29">
        <f t="shared" si="29"/>
        <v>20</v>
      </c>
      <c r="HE25" s="29">
        <f t="shared" si="100"/>
        <v>0</v>
      </c>
      <c r="HF25" s="29">
        <f t="shared" si="101"/>
        <v>29.826682817807114</v>
      </c>
      <c r="HG25" s="29">
        <f t="shared" si="102"/>
        <v>29.200434959388993</v>
      </c>
      <c r="HH25" s="29">
        <f t="shared" si="103"/>
        <v>28.609796806599675</v>
      </c>
      <c r="HI25" s="29">
        <f t="shared" si="104"/>
        <v>28.027141768686175</v>
      </c>
      <c r="HJ25" s="29">
        <f t="shared" si="105"/>
        <v>27.455976421321374</v>
      </c>
      <c r="HK25" s="29">
        <f t="shared" si="106"/>
        <v>26.898957460783361</v>
      </c>
      <c r="HL25" s="29">
        <f t="shared" si="107"/>
        <v>27.685201033543478</v>
      </c>
      <c r="HM25" s="29">
        <f t="shared" si="108"/>
        <v>71.263163947354201</v>
      </c>
      <c r="HN25" s="29">
        <f t="shared" si="109"/>
        <v>78.446868664881023</v>
      </c>
      <c r="HO25" s="29">
        <f t="shared" si="110"/>
        <v>74.401907106352255</v>
      </c>
      <c r="HP25" s="29">
        <f t="shared" si="111"/>
        <v>58.589517174062735</v>
      </c>
      <c r="HQ25" s="29">
        <f t="shared" si="112"/>
        <v>2571.7788646057115</v>
      </c>
      <c r="HR25" s="29">
        <f t="shared" si="113"/>
        <v>0</v>
      </c>
      <c r="HS25" s="29">
        <f t="shared" si="114"/>
        <v>0</v>
      </c>
      <c r="HT25" s="29">
        <f t="shared" si="115"/>
        <v>0</v>
      </c>
      <c r="HU25" s="29">
        <f t="shared" si="116"/>
        <v>0</v>
      </c>
      <c r="HV25" s="29">
        <f t="shared" si="117"/>
        <v>0</v>
      </c>
      <c r="HW25" s="29">
        <f t="shared" si="118"/>
        <v>0</v>
      </c>
      <c r="HX25" s="29">
        <f t="shared" si="119"/>
        <v>0</v>
      </c>
      <c r="HY25" s="29">
        <f t="shared" si="120"/>
        <v>0</v>
      </c>
      <c r="HZ25" s="29">
        <f t="shared" si="121"/>
        <v>0</v>
      </c>
      <c r="IA25" s="29">
        <f t="shared" si="122"/>
        <v>0</v>
      </c>
      <c r="IB25" s="29">
        <f t="shared" si="123"/>
        <v>0</v>
      </c>
      <c r="IC25" s="29">
        <f t="shared" si="124"/>
        <v>0</v>
      </c>
      <c r="ID25" s="29">
        <f t="shared" si="125"/>
        <v>0</v>
      </c>
      <c r="IE25" s="29">
        <f t="shared" si="126"/>
        <v>0</v>
      </c>
      <c r="IF25" s="29">
        <f t="shared" si="127"/>
        <v>0</v>
      </c>
      <c r="IG25" s="29">
        <f t="shared" si="128"/>
        <v>0</v>
      </c>
      <c r="IH25" s="29">
        <f t="shared" si="129"/>
        <v>0</v>
      </c>
      <c r="II25" s="29">
        <f t="shared" si="130"/>
        <v>0</v>
      </c>
      <c r="IJ25" s="29">
        <f t="shared" si="131"/>
        <v>0</v>
      </c>
      <c r="IK25" s="48"/>
      <c r="IL25" s="48"/>
      <c r="IM25" s="48"/>
      <c r="IN25" s="29">
        <f t="shared" si="199"/>
        <v>4.7471531441734633</v>
      </c>
      <c r="IO25" s="29">
        <f t="shared" si="239"/>
        <v>2.5807017539940933</v>
      </c>
      <c r="IP25" s="29">
        <f t="shared" ref="IP25:IP44" si="287">IF(AND($AQ25&gt;=100%,$AQ24&lt;100%),0,IO24*(1+$AB24) - JW24*(1+$AB24)^0.5)</f>
        <v>1.018385455518374</v>
      </c>
      <c r="IQ25" s="29">
        <f t="shared" ref="IQ25:IQ44" si="288">IF(AND($AQ25&gt;=100%,$AQ24&lt;100%),0,IP24*(1+$AB24) - JX24*(1+$AB24)^0.5)</f>
        <v>-0.46940956321902133</v>
      </c>
      <c r="IR25" s="29">
        <f t="shared" ref="IR25:IR44" si="289">IF(AND($AQ25&gt;=100%,$AQ24&lt;100%),0,IQ24*(1+$AB24) - JY24*(1+$AB24)^0.5)</f>
        <v>-1.4931759654658034</v>
      </c>
      <c r="IS25" s="29">
        <f t="shared" ref="IS25:IS44" si="290">IF(AND($AQ25&gt;=100%,$AQ24&lt;100%),0,IR24*(1+$AB24) - JZ24*(1+$AB24)^0.5)</f>
        <v>-2.0700007379527179</v>
      </c>
      <c r="IT25" s="29">
        <f t="shared" ref="IT25:IT44" si="291">IF(AND($AQ25&gt;=100%,$AQ24&lt;100%),0,IS24*(1+$AB24) - KA24*(1+$AB24)^0.5)</f>
        <v>-2.2213052875902499</v>
      </c>
      <c r="IU25" s="29">
        <f t="shared" ref="IU25:IU44" si="292">IF(AND($AQ25&gt;=100%,$AQ24&lt;100%),0,IT24*(1+$AB24) - KB24*(1+$AB24)^0.5)</f>
        <v>-2.0128158755645953</v>
      </c>
      <c r="IV25" s="29">
        <f t="shared" ref="IV25:IV44" si="293">IF(AND($AQ25&gt;=100%,$AQ24&lt;100%),0,IU24*(1+$AB24) - KC24*(1+$AB24)^0.5)</f>
        <v>-1.5453734587358219</v>
      </c>
      <c r="IW25" s="29">
        <f t="shared" ref="IW25:IW44" si="294">IF(AND($AQ25&gt;=100%,$AQ24&lt;100%),0,IV24*(1+$AB24) - KD24*(1+$AB24)^0.5)</f>
        <v>-0.66787397098553258</v>
      </c>
      <c r="IX25" s="29">
        <f t="shared" ref="IX25:IX44" si="295">IF(AND($AQ25&gt;=100%,$AQ24&lt;100%),0,IW24*(1+$AB24) - KE24*(1+$AB24)^0.5)</f>
        <v>0</v>
      </c>
      <c r="IY25" s="29">
        <f t="shared" ref="IY25:IY44" si="296">IF(AND($AQ25&gt;=100%,$AQ24&lt;100%),0,IX24*(1+$AB24) - KF24*(1+$AB24)^0.5)</f>
        <v>0</v>
      </c>
      <c r="IZ25" s="29">
        <f t="shared" ref="IZ25:IZ44" si="297">IF(AND($AQ25&gt;=100%,$AQ24&lt;100%),0,IY24*(1+$AB24) - KG24*(1+$AB24)^0.5)</f>
        <v>0</v>
      </c>
      <c r="JA25" s="29">
        <f t="shared" ref="JA25:JA44" si="298">IF(AND($AQ25&gt;=100%,$AQ24&lt;100%),0,IZ24*(1+$AB24) - KH24*(1+$AB24)^0.5)</f>
        <v>0</v>
      </c>
      <c r="JB25" s="29">
        <f t="shared" ref="JB25:JB44" si="299">IF(AND($AQ25&gt;=100%,$AQ24&lt;100%),0,JA24*(1+$AB24) - KI24*(1+$AB24)^0.5)</f>
        <v>0</v>
      </c>
      <c r="JC25" s="29">
        <f t="shared" ref="JC25:JC44" si="300">IF(AND($AQ25&gt;=100%,$AQ24&lt;100%),0,JB24*(1+$AB24) - KJ24*(1+$AB24)^0.5)</f>
        <v>0</v>
      </c>
      <c r="JD25" s="29">
        <f t="shared" ref="JD25:JD44" si="301">IF(AND($AQ25&gt;=100%,$AQ24&lt;100%),0,JC24*(1+$AB24) - KK24*(1+$AB24)^0.5)</f>
        <v>0</v>
      </c>
      <c r="JE25" s="29">
        <f t="shared" si="270"/>
        <v>0</v>
      </c>
      <c r="JF25" s="29">
        <f t="shared" si="271"/>
        <v>0</v>
      </c>
      <c r="JG25" s="29">
        <f t="shared" si="272"/>
        <v>0</v>
      </c>
      <c r="JH25" s="29">
        <f t="shared" si="273"/>
        <v>0</v>
      </c>
      <c r="JI25" s="29">
        <f t="shared" si="274"/>
        <v>0</v>
      </c>
      <c r="JJ25" s="29">
        <f t="shared" si="275"/>
        <v>0</v>
      </c>
      <c r="JK25" s="29">
        <f t="shared" si="276"/>
        <v>0</v>
      </c>
      <c r="JL25" s="29">
        <f t="shared" si="277"/>
        <v>0</v>
      </c>
      <c r="JM25" s="29">
        <f t="shared" si="278"/>
        <v>0</v>
      </c>
      <c r="JN25" s="29">
        <f t="shared" si="279"/>
        <v>0</v>
      </c>
      <c r="JO25" s="29">
        <f t="shared" si="280"/>
        <v>0</v>
      </c>
      <c r="JP25" s="29">
        <f t="shared" si="281"/>
        <v>0</v>
      </c>
      <c r="JQ25" s="29">
        <f t="shared" si="282"/>
        <v>0</v>
      </c>
      <c r="JR25" s="29">
        <f t="shared" si="283"/>
        <v>0</v>
      </c>
      <c r="JS25" s="29">
        <f t="shared" si="284"/>
        <v>0</v>
      </c>
      <c r="JT25" s="48"/>
      <c r="JU25" s="401">
        <f t="shared" si="201"/>
        <v>20</v>
      </c>
      <c r="JV25" s="29">
        <f t="shared" si="202"/>
        <v>0</v>
      </c>
      <c r="JW25" s="29">
        <f t="shared" si="203"/>
        <v>0.1871378296294148</v>
      </c>
      <c r="JX25" s="29">
        <f t="shared" si="204"/>
        <v>7.6445901057456994E-2</v>
      </c>
      <c r="JY25" s="29">
        <f t="shared" si="205"/>
        <v>-3.6573431383343923E-2</v>
      </c>
      <c r="JZ25" s="29">
        <f t="shared" si="206"/>
        <v>-0.12111214382130403</v>
      </c>
      <c r="KA25" s="29">
        <f t="shared" si="207"/>
        <v>-0.17537352489178754</v>
      </c>
      <c r="KB25" s="29">
        <f t="shared" si="208"/>
        <v>-0.19731805387394635</v>
      </c>
      <c r="KC25" s="29">
        <f t="shared" si="209"/>
        <v>-0.1882827256007216</v>
      </c>
      <c r="KD25" s="29">
        <f t="shared" si="210"/>
        <v>-0.15298800994639844</v>
      </c>
      <c r="KE25" s="29">
        <f t="shared" si="211"/>
        <v>-7.0381984776532985E-2</v>
      </c>
      <c r="KF25" s="29">
        <f t="shared" si="212"/>
        <v>0</v>
      </c>
      <c r="KG25" s="29">
        <f t="shared" si="213"/>
        <v>0</v>
      </c>
      <c r="KH25" s="29">
        <f t="shared" si="214"/>
        <v>0</v>
      </c>
      <c r="KI25" s="29">
        <f t="shared" si="215"/>
        <v>0</v>
      </c>
      <c r="KJ25" s="29">
        <f t="shared" si="216"/>
        <v>0</v>
      </c>
      <c r="KK25" s="29">
        <f t="shared" si="217"/>
        <v>0</v>
      </c>
      <c r="KL25" s="29">
        <f t="shared" si="218"/>
        <v>0</v>
      </c>
      <c r="KM25" s="29">
        <f t="shared" si="219"/>
        <v>0</v>
      </c>
      <c r="KN25" s="29">
        <f t="shared" si="220"/>
        <v>0</v>
      </c>
      <c r="KO25" s="29">
        <f t="shared" si="221"/>
        <v>0</v>
      </c>
      <c r="KP25" s="29">
        <f t="shared" si="222"/>
        <v>0</v>
      </c>
      <c r="KQ25" s="29">
        <f t="shared" si="223"/>
        <v>0</v>
      </c>
      <c r="KR25" s="29">
        <f t="shared" si="224"/>
        <v>0</v>
      </c>
      <c r="KS25" s="29">
        <f t="shared" si="225"/>
        <v>0</v>
      </c>
      <c r="KT25" s="29">
        <f t="shared" si="226"/>
        <v>0</v>
      </c>
      <c r="KU25" s="29">
        <f t="shared" si="227"/>
        <v>0</v>
      </c>
      <c r="KV25" s="29">
        <f t="shared" si="228"/>
        <v>0</v>
      </c>
      <c r="KW25" s="29">
        <f t="shared" si="229"/>
        <v>0</v>
      </c>
      <c r="KX25" s="29">
        <f t="shared" si="230"/>
        <v>0</v>
      </c>
      <c r="KY25" s="29">
        <f t="shared" si="231"/>
        <v>0</v>
      </c>
      <c r="KZ25" s="29">
        <f t="shared" si="232"/>
        <v>0</v>
      </c>
      <c r="LA25" s="29">
        <f t="shared" si="233"/>
        <v>0</v>
      </c>
      <c r="LB25" s="48"/>
      <c r="LC25" s="48"/>
      <c r="LD25" s="48"/>
      <c r="LE25" s="48"/>
      <c r="LF25" s="48"/>
      <c r="LG25" s="48"/>
      <c r="LH25" s="48"/>
      <c r="LI25" s="48"/>
      <c r="LJ25" s="48"/>
      <c r="LK25" s="48"/>
      <c r="LL25" s="48"/>
      <c r="LM25" s="48"/>
      <c r="LN25" s="48"/>
      <c r="LO25" s="46">
        <f t="shared" si="30"/>
        <v>0.26731069504676791</v>
      </c>
      <c r="LP25" s="47">
        <f t="shared" si="31"/>
        <v>0.64798555520476819</v>
      </c>
      <c r="LQ25" s="28"/>
      <c r="LR25" s="48"/>
      <c r="LS25" s="28" t="s">
        <v>52</v>
      </c>
      <c r="LT25" s="166">
        <v>2.4266666666666669E-2</v>
      </c>
      <c r="LU25" s="115">
        <f t="shared" si="70"/>
        <v>3.9342015280720108E-18</v>
      </c>
      <c r="LV25" s="157">
        <f t="shared" si="15"/>
        <v>2.0046175414875065E-14</v>
      </c>
      <c r="LW25" s="229" t="e">
        <f>LW24*(1+#REF!)</f>
        <v>#REF!</v>
      </c>
      <c r="LX25" s="158"/>
      <c r="LY25" s="129">
        <f t="shared" si="71"/>
        <v>-68.59482527289947</v>
      </c>
      <c r="LZ25" s="130">
        <f t="shared" si="72"/>
        <v>-569.64072285435395</v>
      </c>
      <c r="MA25" s="28"/>
      <c r="MB25" s="381">
        <f t="shared" si="285"/>
        <v>2.4999999999999998E-2</v>
      </c>
      <c r="MC25" s="394">
        <f t="shared" si="177"/>
        <v>-125.94989177005631</v>
      </c>
      <c r="MD25" s="157">
        <f t="shared" si="158"/>
        <v>-4384.4350153715368</v>
      </c>
      <c r="ME25" s="215"/>
      <c r="MF25" s="381">
        <f t="shared" si="286"/>
        <v>2.4999999999999998E-2</v>
      </c>
      <c r="MG25" s="394">
        <f t="shared" si="178"/>
        <v>-4.8957134281440942</v>
      </c>
      <c r="MH25" s="157">
        <f t="shared" si="159"/>
        <v>-170.42442099726145</v>
      </c>
      <c r="MI25" s="28"/>
      <c r="MJ25" s="28" t="s">
        <v>37</v>
      </c>
      <c r="MK25" s="235">
        <v>9.3299999999999994E-2</v>
      </c>
      <c r="ML25" s="35"/>
      <c r="MM25" s="28"/>
      <c r="MN25" s="28"/>
      <c r="MO25" s="28"/>
      <c r="MP25" s="28"/>
      <c r="MQ25" s="28"/>
      <c r="MR25" s="28">
        <f t="shared" si="84"/>
        <v>78</v>
      </c>
      <c r="MS25" s="28">
        <f t="shared" si="85"/>
        <v>0.32631961978921559</v>
      </c>
      <c r="MT25" s="28">
        <f t="shared" si="86"/>
        <v>0.34425675158638364</v>
      </c>
      <c r="MU25" s="28">
        <f t="shared" si="87"/>
        <v>0.36311507894585066</v>
      </c>
      <c r="MV25" s="28">
        <f t="shared" si="88"/>
        <v>0.38293860769773452</v>
      </c>
      <c r="MW25" s="28">
        <f t="shared" si="89"/>
        <v>0.40377328908448973</v>
      </c>
      <c r="MX25" s="28">
        <f t="shared" si="90"/>
        <v>0.42566709888043297</v>
      </c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</row>
    <row r="26" spans="1:374" s="35" customFormat="1" ht="12.75" customHeight="1" x14ac:dyDescent="0.3">
      <c r="A26" s="305">
        <f t="shared" si="91"/>
        <v>2035</v>
      </c>
      <c r="B26" s="355">
        <f t="shared" si="1"/>
        <v>2033</v>
      </c>
      <c r="C26" s="26">
        <v>48761</v>
      </c>
      <c r="D26" s="96">
        <f t="shared" si="132"/>
        <v>8921.9763911402169</v>
      </c>
      <c r="E26" s="27">
        <f t="shared" si="133"/>
        <v>8921.9763911402169</v>
      </c>
      <c r="F26" s="111">
        <f t="shared" si="18"/>
        <v>5904.249082372201</v>
      </c>
      <c r="G26" s="27">
        <f t="shared" si="134"/>
        <v>16216.048565394751</v>
      </c>
      <c r="H26" s="27">
        <f t="shared" si="135"/>
        <v>10378.271081852641</v>
      </c>
      <c r="I26" s="296">
        <f t="shared" si="136"/>
        <v>8821.5304195747449</v>
      </c>
      <c r="J26" s="69">
        <v>2687.3499959999999</v>
      </c>
      <c r="K26" s="297">
        <f t="shared" si="160"/>
        <v>6134.180423574745</v>
      </c>
      <c r="L26" s="297">
        <f t="shared" si="137"/>
        <v>5837.7774835421096</v>
      </c>
      <c r="M26" s="297">
        <f t="shared" si="161"/>
        <v>4962.1108610107931</v>
      </c>
      <c r="N26" s="27">
        <f t="shared" si="162"/>
        <v>0</v>
      </c>
      <c r="O26" s="297">
        <f t="shared" si="138"/>
        <v>1556.740662277896</v>
      </c>
      <c r="P26" s="297">
        <f t="shared" si="139"/>
        <v>875.66662253131642</v>
      </c>
      <c r="Q26" s="297">
        <f t="shared" si="140"/>
        <v>703.23380229312374</v>
      </c>
      <c r="R26" s="260">
        <f t="shared" si="2"/>
        <v>0.64</v>
      </c>
      <c r="S26" s="257">
        <v>0.36</v>
      </c>
      <c r="T26" s="290">
        <f t="shared" si="163"/>
        <v>7.2499999999999995E-2</v>
      </c>
      <c r="U26" s="290">
        <f t="shared" si="164"/>
        <v>7.2499999999999995E-2</v>
      </c>
      <c r="V26" s="27">
        <f t="shared" si="4"/>
        <v>72903.427045757242</v>
      </c>
      <c r="W26" s="27">
        <f t="shared" si="141"/>
        <v>70317.652708158246</v>
      </c>
      <c r="X26" s="27">
        <f t="shared" si="179"/>
        <v>2585.7743375989921</v>
      </c>
      <c r="Y26" s="27">
        <f t="shared" si="142"/>
        <v>886.51599968662276</v>
      </c>
      <c r="Z26" s="27">
        <f t="shared" si="180"/>
        <v>462.96494333230697</v>
      </c>
      <c r="AA26" s="115">
        <f t="shared" si="165"/>
        <v>7.0000000000000007E-2</v>
      </c>
      <c r="AB26" s="115">
        <f t="shared" si="166"/>
        <v>7.0000000000000007E-2</v>
      </c>
      <c r="AC26" s="96">
        <f t="shared" si="6"/>
        <v>74909.737022252317</v>
      </c>
      <c r="AD26" s="27">
        <f t="shared" si="143"/>
        <v>72252.801903045154</v>
      </c>
      <c r="AE26" s="27">
        <f t="shared" si="181"/>
        <v>2656.9351192071554</v>
      </c>
      <c r="AF26" s="150">
        <f t="shared" si="144"/>
        <v>933.08035789454493</v>
      </c>
      <c r="AG26" s="27">
        <f t="shared" si="234"/>
        <v>487.28223198435205</v>
      </c>
      <c r="AH26" s="27">
        <f t="shared" si="167"/>
        <v>51155.225191696874</v>
      </c>
      <c r="AI26" s="27">
        <f t="shared" si="145"/>
        <v>48503.871451098166</v>
      </c>
      <c r="AJ26" s="27">
        <f t="shared" si="182"/>
        <v>2651.3537405987049</v>
      </c>
      <c r="AK26" s="27">
        <f t="shared" si="10"/>
        <v>50255.271170198124</v>
      </c>
      <c r="AL26" s="27">
        <f t="shared" si="168"/>
        <v>47642.021795713241</v>
      </c>
      <c r="AM26" s="27">
        <f t="shared" si="235"/>
        <v>2613.2493744848825</v>
      </c>
      <c r="AN26" s="417">
        <f>INDEX(Inv.Returns!$B$2:$E$32,MATCH(B26,Inv.Returns!$A$2:$A$32,0),MATCH(SCRS!$DT$52,Inv.Returns!$B$1:$E$1,0))</f>
        <v>0.06</v>
      </c>
      <c r="AO26" s="27">
        <f t="shared" si="36"/>
        <v>23754.511830555442</v>
      </c>
      <c r="AP26" s="229">
        <f t="shared" si="11"/>
        <v>24654.465852054193</v>
      </c>
      <c r="AQ26" s="68">
        <f t="shared" si="19"/>
        <v>0.68289153353323018</v>
      </c>
      <c r="AR26" s="151">
        <f t="shared" si="20"/>
        <v>0.67087768784009405</v>
      </c>
      <c r="AS26" s="353"/>
      <c r="AT26" s="289">
        <f t="shared" si="94"/>
        <v>0.10648857626578205</v>
      </c>
      <c r="AU26" s="397">
        <f t="shared" si="169"/>
        <v>9.9400593584701089E-2</v>
      </c>
      <c r="AV26" s="303">
        <f t="shared" si="95"/>
        <v>0.18403079610509671</v>
      </c>
      <c r="AW26" s="303">
        <f t="shared" si="146"/>
        <v>2.9114087994049929E-5</v>
      </c>
      <c r="AX26" s="115">
        <f t="shared" si="61"/>
        <v>0.09</v>
      </c>
      <c r="AY26" s="115">
        <f t="shared" si="147"/>
        <v>0.09</v>
      </c>
      <c r="AZ26" s="115">
        <f t="shared" si="148"/>
        <v>0</v>
      </c>
      <c r="BA26" s="262">
        <f t="shared" si="21"/>
        <v>1.6488576265782054E-2</v>
      </c>
      <c r="BB26" s="115">
        <f t="shared" si="170"/>
        <v>9.4005935847010919E-3</v>
      </c>
      <c r="BC26" s="133">
        <f t="shared" si="77"/>
        <v>0.18560000000000004</v>
      </c>
      <c r="BD26" s="133">
        <f t="shared" si="96"/>
        <v>0.18560000000000004</v>
      </c>
      <c r="BE26" s="410">
        <f t="shared" si="12"/>
        <v>0.169111423734218</v>
      </c>
      <c r="BF26" s="410">
        <f t="shared" si="149"/>
        <v>0.17619940641529896</v>
      </c>
      <c r="BG26" s="410">
        <f t="shared" si="171"/>
        <v>0.13560000000000005</v>
      </c>
      <c r="BH26" s="410">
        <f t="shared" si="23"/>
        <v>0.18560000000000004</v>
      </c>
      <c r="BI26" s="157">
        <f t="shared" si="37"/>
        <v>7.8887507735375477</v>
      </c>
      <c r="BJ26" s="104">
        <f t="shared" si="38"/>
        <v>3.8834951456310662E-2</v>
      </c>
      <c r="BK26" s="27">
        <f t="shared" si="62"/>
        <v>9.1712958466569567</v>
      </c>
      <c r="BL26" s="27">
        <f t="shared" si="14"/>
        <v>20</v>
      </c>
      <c r="BM26" s="111">
        <f t="shared" si="26"/>
        <v>8.680917104319855</v>
      </c>
      <c r="BN26" s="27"/>
      <c r="BO26" s="27"/>
      <c r="BP26" s="96">
        <f t="shared" si="172"/>
        <v>-4360.7343514038757</v>
      </c>
      <c r="BQ26" s="27">
        <f t="shared" si="183"/>
        <v>-136.4580486777968</v>
      </c>
      <c r="BR26" s="27">
        <f t="shared" si="173"/>
        <v>-169.50316844823783</v>
      </c>
      <c r="BS26" s="27">
        <f t="shared" si="184"/>
        <v>-5.3041689190959387</v>
      </c>
      <c r="BT26" s="27">
        <f t="shared" si="150"/>
        <v>-10.585836503489693</v>
      </c>
      <c r="BU26" s="27">
        <f t="shared" si="185"/>
        <v>-5.9545330332129511</v>
      </c>
      <c r="BV26" s="304">
        <f t="shared" si="151"/>
        <v>793.93773776172702</v>
      </c>
      <c r="BW26" s="304">
        <f t="shared" si="186"/>
        <v>446.58997749097136</v>
      </c>
      <c r="BX26" s="304">
        <f t="shared" si="187"/>
        <v>0</v>
      </c>
      <c r="BY26" s="304">
        <f t="shared" si="152"/>
        <v>63.291042206381135</v>
      </c>
      <c r="BZ26" s="304">
        <f t="shared" si="78"/>
        <v>149.72845663630767</v>
      </c>
      <c r="CA26" s="304">
        <f t="shared" si="188"/>
        <v>46.646787526593698</v>
      </c>
      <c r="CB26" s="304">
        <f t="shared" si="236"/>
        <v>3052.1845127664919</v>
      </c>
      <c r="CC26" s="304">
        <f t="shared" si="189"/>
        <v>0</v>
      </c>
      <c r="CD26" s="304">
        <f t="shared" si="190"/>
        <v>-0.67844614360716315</v>
      </c>
      <c r="CE26" s="304"/>
      <c r="CF26" s="304">
        <f t="shared" si="174"/>
        <v>0</v>
      </c>
      <c r="CG26" s="304">
        <f t="shared" si="153"/>
        <v>0</v>
      </c>
      <c r="CH26" s="304">
        <f t="shared" si="175"/>
        <v>0</v>
      </c>
      <c r="CI26" s="27"/>
      <c r="CJ26" s="27">
        <f t="shared" si="39"/>
        <v>0</v>
      </c>
      <c r="CK26" s="27">
        <f t="shared" si="40"/>
        <v>0</v>
      </c>
      <c r="CL26" s="27">
        <f t="shared" si="41"/>
        <v>0</v>
      </c>
      <c r="CM26" s="27">
        <f t="shared" si="42"/>
        <v>4551.7000682448652</v>
      </c>
      <c r="CN26" s="27">
        <f t="shared" si="43"/>
        <v>0</v>
      </c>
      <c r="CO26" s="111">
        <f t="shared" si="3"/>
        <v>4551.7000682448652</v>
      </c>
      <c r="CP26" s="27">
        <f t="shared" si="154"/>
        <v>3051.5060666228846</v>
      </c>
      <c r="CQ26" s="27">
        <f t="shared" si="155"/>
        <v>0</v>
      </c>
      <c r="CR26" s="27">
        <f t="shared" si="176"/>
        <v>3051.5060666228846</v>
      </c>
      <c r="CS26" s="27">
        <f>SUM($CR$14:CR26)</f>
        <v>30799.911820632173</v>
      </c>
      <c r="CT26" s="229">
        <v>2225.9956051649592</v>
      </c>
      <c r="CU26" s="425">
        <v>460.35462152573314</v>
      </c>
      <c r="CV26" s="425">
        <v>2686.3502266906926</v>
      </c>
      <c r="CW26" s="425">
        <v>30828.087868768911</v>
      </c>
      <c r="CX26" s="107">
        <f t="shared" si="44"/>
        <v>121.62036424046062</v>
      </c>
      <c r="CY26" s="115">
        <f t="shared" si="92"/>
        <v>0.19915157166838571</v>
      </c>
      <c r="CZ26" s="96">
        <f t="shared" si="45"/>
        <v>3369.5016750262466</v>
      </c>
      <c r="DA26" s="418">
        <f t="shared" si="46"/>
        <v>2579.9178447344989</v>
      </c>
      <c r="DB26" s="314">
        <f t="shared" si="47"/>
        <v>2185.5688262724202</v>
      </c>
      <c r="DC26" s="314">
        <f t="shared" si="48"/>
        <v>140.64910982433685</v>
      </c>
      <c r="DD26" s="314">
        <f t="shared" si="49"/>
        <v>0</v>
      </c>
      <c r="DE26" s="314">
        <f t="shared" si="50"/>
        <v>34923.909443775592</v>
      </c>
      <c r="DF26" s="314" t="b">
        <f t="shared" si="63"/>
        <v>0</v>
      </c>
      <c r="DG26" s="27">
        <f t="shared" si="51"/>
        <v>121.62036424046062</v>
      </c>
      <c r="DH26" s="100">
        <f t="shared" si="52"/>
        <v>87.107700565059176</v>
      </c>
      <c r="DI26" s="105">
        <f t="shared" si="53"/>
        <v>1.4603324351380207E-2</v>
      </c>
      <c r="DJ26" s="96">
        <f t="shared" si="54"/>
        <v>0</v>
      </c>
      <c r="DK26" s="100">
        <f t="shared" si="55"/>
        <v>0</v>
      </c>
      <c r="DL26" s="105">
        <f t="shared" si="56"/>
        <v>0</v>
      </c>
      <c r="DM26" s="299">
        <v>3140.2188074428705</v>
      </c>
      <c r="DN26" s="100">
        <f t="shared" si="57"/>
        <v>2404.3634100967297</v>
      </c>
      <c r="DO26" s="301">
        <v>0.79004184282941103</v>
      </c>
      <c r="DP26" s="36"/>
      <c r="DQ26" s="396" t="s">
        <v>257</v>
      </c>
      <c r="DT26" s="249">
        <v>7.0000000000000007E-2</v>
      </c>
      <c r="DU26" s="36"/>
      <c r="DV26" s="342"/>
      <c r="DW26" s="343"/>
      <c r="DX26" s="343"/>
      <c r="DY26" s="343"/>
      <c r="DZ26" s="343"/>
      <c r="EA26" s="343"/>
      <c r="EB26" s="343"/>
      <c r="EC26" s="343"/>
      <c r="ED26" s="343"/>
      <c r="EE26" s="343"/>
      <c r="EF26" s="343"/>
      <c r="EG26" s="343"/>
      <c r="EH26" s="344"/>
      <c r="EI26" s="345"/>
      <c r="EJ26" s="339">
        <f t="shared" si="64"/>
        <v>0.169111423734218</v>
      </c>
      <c r="EK26" s="339">
        <f t="shared" si="58"/>
        <v>1.6488576265782054E-2</v>
      </c>
      <c r="EL26" s="339" t="e">
        <f t="shared" si="65"/>
        <v>#DIV/0!</v>
      </c>
      <c r="EM26" s="339">
        <f t="shared" si="59"/>
        <v>0</v>
      </c>
      <c r="EN26" s="339">
        <v>0.18560000000000004</v>
      </c>
      <c r="EO26" s="339">
        <v>0.14692704999100956</v>
      </c>
      <c r="EP26" s="340" t="e">
        <f t="shared" si="66"/>
        <v>#DIV/0!</v>
      </c>
      <c r="EQ26" s="283"/>
      <c r="ER26" s="30">
        <v>17</v>
      </c>
      <c r="ES26" s="29">
        <f t="shared" si="79"/>
        <v>3162.061931867368</v>
      </c>
      <c r="ET26" s="29">
        <f t="shared" si="80"/>
        <v>2710.549286814623</v>
      </c>
      <c r="EU26" s="29">
        <f t="shared" si="67"/>
        <v>-451.51264505274503</v>
      </c>
      <c r="EV26" s="29">
        <f t="shared" si="68"/>
        <v>-361.21011604219603</v>
      </c>
      <c r="EW26" s="29">
        <f t="shared" si="81"/>
        <v>-258.24517549229574</v>
      </c>
      <c r="EX26" s="29">
        <f t="shared" si="93"/>
        <v>-164.14148587030178</v>
      </c>
      <c r="EY26" s="29">
        <f t="shared" si="97"/>
        <v>-78.252877980129682</v>
      </c>
      <c r="EZ26" s="29">
        <f t="shared" si="69"/>
        <v>-861.84965538492327</v>
      </c>
      <c r="FA26" s="29"/>
      <c r="FB26" s="29">
        <f t="shared" si="237"/>
        <v>161.19674498929464</v>
      </c>
      <c r="FC26" s="29">
        <f t="shared" si="238"/>
        <v>138.01794765874774</v>
      </c>
      <c r="FD26" s="29">
        <f t="shared" si="191"/>
        <v>-23.1787973305469</v>
      </c>
      <c r="FE26" s="29">
        <f t="shared" si="192"/>
        <v>-18.543037864437519</v>
      </c>
      <c r="FF26" s="29">
        <f t="shared" si="193"/>
        <v>-11.267436520696414</v>
      </c>
      <c r="FG26" s="29">
        <f t="shared" si="194"/>
        <v>-5.9728841528811873</v>
      </c>
      <c r="FH26" s="29">
        <f t="shared" si="195"/>
        <v>-2.321007575807374</v>
      </c>
      <c r="FI26" s="29">
        <f t="shared" si="196"/>
        <v>-38.104366113822493</v>
      </c>
      <c r="FJ26" s="29"/>
      <c r="FK26" s="36"/>
      <c r="FL26" s="27">
        <f t="shared" si="24"/>
        <v>24746.874785010776</v>
      </c>
      <c r="FM26" s="36"/>
      <c r="FN26" s="308">
        <f t="shared" si="156"/>
        <v>3052.1845127664919</v>
      </c>
      <c r="FO26" s="93">
        <f t="shared" si="197"/>
        <v>-0.67844614360716315</v>
      </c>
      <c r="FP26" s="27">
        <f t="shared" si="82"/>
        <v>20</v>
      </c>
      <c r="FQ26" s="309">
        <f t="shared" si="27"/>
        <v>13.512970250241354</v>
      </c>
      <c r="FR26" s="93">
        <f t="shared" si="60"/>
        <v>1831.3423567678449</v>
      </c>
      <c r="FS26" s="93">
        <f t="shared" si="198"/>
        <v>3051.5060666228846</v>
      </c>
      <c r="FT26" s="29">
        <f t="shared" si="83"/>
        <v>20</v>
      </c>
      <c r="FU26" s="142">
        <f t="shared" si="28"/>
        <v>13.512970250241354</v>
      </c>
      <c r="FV26" s="48">
        <v>2478.416190703022</v>
      </c>
      <c r="FW26" s="29">
        <f t="shared" si="98"/>
        <v>424.6955670410498</v>
      </c>
      <c r="FX26" s="29">
        <f t="shared" si="157"/>
        <v>432.14271965291567</v>
      </c>
      <c r="FY26" s="29">
        <f t="shared" si="255"/>
        <v>409.26081495906641</v>
      </c>
      <c r="FZ26" s="29">
        <f t="shared" si="256"/>
        <v>386.02263415525772</v>
      </c>
      <c r="GA26" s="29">
        <f t="shared" si="257"/>
        <v>363.30828114520784</v>
      </c>
      <c r="GB26" s="29">
        <f t="shared" si="258"/>
        <v>340.739517581543</v>
      </c>
      <c r="GC26" s="29">
        <f t="shared" si="259"/>
        <v>318.35783667714253</v>
      </c>
      <c r="GD26" s="29">
        <f t="shared" si="260"/>
        <v>296.18717220961975</v>
      </c>
      <c r="GE26" s="29">
        <f t="shared" si="261"/>
        <v>288.04541047859527</v>
      </c>
      <c r="GF26" s="29">
        <f t="shared" si="262"/>
        <v>696.52279365064419</v>
      </c>
      <c r="GG26" s="29">
        <f t="shared" si="263"/>
        <v>715.36606656063634</v>
      </c>
      <c r="GH26" s="29">
        <f t="shared" si="264"/>
        <v>627.86638533451048</v>
      </c>
      <c r="GI26" s="29">
        <f t="shared" si="265"/>
        <v>453.02365083503105</v>
      </c>
      <c r="GJ26" s="29">
        <f t="shared" si="266"/>
        <v>17997.391601665768</v>
      </c>
      <c r="GK26" s="29">
        <f t="shared" si="267"/>
        <v>0</v>
      </c>
      <c r="GL26" s="29">
        <f t="shared" si="268"/>
        <v>0</v>
      </c>
      <c r="GM26" s="29">
        <f t="shared" si="269"/>
        <v>0</v>
      </c>
      <c r="GN26" s="29">
        <f t="shared" si="240"/>
        <v>0</v>
      </c>
      <c r="GO26" s="29">
        <f t="shared" si="241"/>
        <v>0</v>
      </c>
      <c r="GP26" s="29">
        <f t="shared" si="242"/>
        <v>0</v>
      </c>
      <c r="GQ26" s="29">
        <f t="shared" si="243"/>
        <v>0</v>
      </c>
      <c r="GR26" s="29">
        <f t="shared" si="244"/>
        <v>0</v>
      </c>
      <c r="GS26" s="29">
        <f t="shared" si="245"/>
        <v>0</v>
      </c>
      <c r="GT26" s="29">
        <f t="shared" si="246"/>
        <v>0</v>
      </c>
      <c r="GU26" s="29">
        <f t="shared" si="247"/>
        <v>0</v>
      </c>
      <c r="GV26" s="29">
        <f t="shared" si="248"/>
        <v>0</v>
      </c>
      <c r="GW26" s="29">
        <f t="shared" si="249"/>
        <v>0</v>
      </c>
      <c r="GX26" s="29">
        <f t="shared" si="250"/>
        <v>0</v>
      </c>
      <c r="GY26" s="29">
        <f t="shared" si="251"/>
        <v>0</v>
      </c>
      <c r="GZ26" s="29">
        <f t="shared" si="252"/>
        <v>0</v>
      </c>
      <c r="HA26" s="29">
        <f t="shared" si="253"/>
        <v>0</v>
      </c>
      <c r="HB26" s="29">
        <f t="shared" si="254"/>
        <v>0</v>
      </c>
      <c r="HC26" s="29"/>
      <c r="HD26" s="29">
        <f t="shared" si="29"/>
        <v>20</v>
      </c>
      <c r="HE26" s="29">
        <f t="shared" si="100"/>
        <v>0</v>
      </c>
      <c r="HF26" s="29">
        <f t="shared" si="101"/>
        <v>31.336534925369911</v>
      </c>
      <c r="HG26" s="29">
        <f t="shared" si="102"/>
        <v>30.721483302341341</v>
      </c>
      <c r="HH26" s="29">
        <f t="shared" si="103"/>
        <v>30.076448008170658</v>
      </c>
      <c r="HI26" s="29">
        <f t="shared" si="104"/>
        <v>29.468090710797661</v>
      </c>
      <c r="HJ26" s="29">
        <f t="shared" si="105"/>
        <v>28.867956021746764</v>
      </c>
      <c r="HK26" s="29">
        <f t="shared" si="106"/>
        <v>28.279655713961013</v>
      </c>
      <c r="HL26" s="29">
        <f t="shared" si="107"/>
        <v>27.705926184606863</v>
      </c>
      <c r="HM26" s="29">
        <f t="shared" si="108"/>
        <v>28.515757064549788</v>
      </c>
      <c r="HN26" s="29">
        <f t="shared" si="109"/>
        <v>73.401058865774829</v>
      </c>
      <c r="HO26" s="29">
        <f t="shared" si="110"/>
        <v>80.80027472482746</v>
      </c>
      <c r="HP26" s="29">
        <f t="shared" si="111"/>
        <v>76.633964319542841</v>
      </c>
      <c r="HQ26" s="29">
        <f t="shared" si="112"/>
        <v>60.347202689284615</v>
      </c>
      <c r="HR26" s="29">
        <f t="shared" si="113"/>
        <v>2648.9322305438836</v>
      </c>
      <c r="HS26" s="29">
        <f t="shared" si="114"/>
        <v>0</v>
      </c>
      <c r="HT26" s="29">
        <f t="shared" si="115"/>
        <v>0</v>
      </c>
      <c r="HU26" s="29">
        <f t="shared" si="116"/>
        <v>0</v>
      </c>
      <c r="HV26" s="29">
        <f t="shared" si="117"/>
        <v>0</v>
      </c>
      <c r="HW26" s="29">
        <f t="shared" si="118"/>
        <v>0</v>
      </c>
      <c r="HX26" s="29">
        <f t="shared" si="119"/>
        <v>0</v>
      </c>
      <c r="HY26" s="29">
        <f t="shared" si="120"/>
        <v>0</v>
      </c>
      <c r="HZ26" s="29">
        <f t="shared" si="121"/>
        <v>0</v>
      </c>
      <c r="IA26" s="29">
        <f t="shared" si="122"/>
        <v>0</v>
      </c>
      <c r="IB26" s="29">
        <f t="shared" si="123"/>
        <v>0</v>
      </c>
      <c r="IC26" s="29">
        <f t="shared" si="124"/>
        <v>0</v>
      </c>
      <c r="ID26" s="29">
        <f t="shared" si="125"/>
        <v>0</v>
      </c>
      <c r="IE26" s="29">
        <f t="shared" si="126"/>
        <v>0</v>
      </c>
      <c r="IF26" s="29">
        <f t="shared" si="127"/>
        <v>0</v>
      </c>
      <c r="IG26" s="29">
        <f t="shared" si="128"/>
        <v>0</v>
      </c>
      <c r="IH26" s="29">
        <f t="shared" si="129"/>
        <v>0</v>
      </c>
      <c r="II26" s="29">
        <f t="shared" si="130"/>
        <v>0</v>
      </c>
      <c r="IJ26" s="29">
        <f t="shared" si="131"/>
        <v>0</v>
      </c>
      <c r="IK26" s="48"/>
      <c r="IL26" s="48"/>
      <c r="IM26" s="48"/>
      <c r="IN26" s="29">
        <f t="shared" si="199"/>
        <v>7.1626629818074354</v>
      </c>
      <c r="IO26" s="29">
        <f t="shared" si="239"/>
        <v>5.0794538642656057</v>
      </c>
      <c r="IP26" s="29">
        <f t="shared" si="287"/>
        <v>2.5677740006032646</v>
      </c>
      <c r="IQ26" s="29">
        <f t="shared" si="288"/>
        <v>1.0105961824751268</v>
      </c>
      <c r="IR26" s="29">
        <f t="shared" si="289"/>
        <v>-0.4644363810511144</v>
      </c>
      <c r="IS26" s="29">
        <f t="shared" si="290"/>
        <v>-1.4724189073409069</v>
      </c>
      <c r="IT26" s="29">
        <f t="shared" si="291"/>
        <v>-2.0334930048831779</v>
      </c>
      <c r="IU26" s="29">
        <f t="shared" si="292"/>
        <v>-2.1726892757102259</v>
      </c>
      <c r="IV26" s="29">
        <f t="shared" si="293"/>
        <v>-1.9589518210822643</v>
      </c>
      <c r="IW26" s="29">
        <f t="shared" si="294"/>
        <v>-1.4952975728335489</v>
      </c>
      <c r="IX26" s="29">
        <f t="shared" si="295"/>
        <v>-0.64182145779974387</v>
      </c>
      <c r="IY26" s="29">
        <f t="shared" si="296"/>
        <v>0</v>
      </c>
      <c r="IZ26" s="29">
        <f t="shared" si="297"/>
        <v>0</v>
      </c>
      <c r="JA26" s="29">
        <f t="shared" si="298"/>
        <v>0</v>
      </c>
      <c r="JB26" s="29">
        <f t="shared" si="299"/>
        <v>0</v>
      </c>
      <c r="JC26" s="29">
        <f t="shared" si="300"/>
        <v>0</v>
      </c>
      <c r="JD26" s="29">
        <f t="shared" si="301"/>
        <v>0</v>
      </c>
      <c r="JE26" s="29">
        <f t="shared" si="270"/>
        <v>0</v>
      </c>
      <c r="JF26" s="29">
        <f t="shared" si="271"/>
        <v>0</v>
      </c>
      <c r="JG26" s="29">
        <f t="shared" si="272"/>
        <v>0</v>
      </c>
      <c r="JH26" s="29">
        <f t="shared" si="273"/>
        <v>0</v>
      </c>
      <c r="JI26" s="29">
        <f t="shared" si="274"/>
        <v>0</v>
      </c>
      <c r="JJ26" s="29">
        <f t="shared" si="275"/>
        <v>0</v>
      </c>
      <c r="JK26" s="29">
        <f t="shared" si="276"/>
        <v>0</v>
      </c>
      <c r="JL26" s="29">
        <f t="shared" si="277"/>
        <v>0</v>
      </c>
      <c r="JM26" s="29">
        <f t="shared" si="278"/>
        <v>0</v>
      </c>
      <c r="JN26" s="29">
        <f t="shared" si="279"/>
        <v>0</v>
      </c>
      <c r="JO26" s="29">
        <f t="shared" si="280"/>
        <v>0</v>
      </c>
      <c r="JP26" s="29">
        <f t="shared" si="281"/>
        <v>0</v>
      </c>
      <c r="JQ26" s="29">
        <f t="shared" si="282"/>
        <v>0</v>
      </c>
      <c r="JR26" s="29">
        <f t="shared" si="283"/>
        <v>0</v>
      </c>
      <c r="JS26" s="29">
        <f t="shared" si="284"/>
        <v>0</v>
      </c>
      <c r="JT26" s="48"/>
      <c r="JU26" s="401">
        <f t="shared" si="201"/>
        <v>20</v>
      </c>
      <c r="JV26" s="29">
        <f t="shared" si="202"/>
        <v>0</v>
      </c>
      <c r="JW26" s="29">
        <f t="shared" si="203"/>
        <v>0.3683331366711603</v>
      </c>
      <c r="JX26" s="29">
        <f t="shared" si="204"/>
        <v>0.19275196451829732</v>
      </c>
      <c r="JY26" s="29">
        <f t="shared" si="205"/>
        <v>7.87392780891807E-2</v>
      </c>
      <c r="JZ26" s="29">
        <f t="shared" si="206"/>
        <v>-3.7670634324844236E-2</v>
      </c>
      <c r="KA26" s="29">
        <f t="shared" si="207"/>
        <v>-0.12474550813594316</v>
      </c>
      <c r="KB26" s="29">
        <f t="shared" si="208"/>
        <v>-0.18063473063854113</v>
      </c>
      <c r="KC26" s="29">
        <f t="shared" si="209"/>
        <v>-0.20323759549016476</v>
      </c>
      <c r="KD26" s="29">
        <f t="shared" si="210"/>
        <v>-0.19393120736874331</v>
      </c>
      <c r="KE26" s="29">
        <f t="shared" si="211"/>
        <v>-0.15757765024479042</v>
      </c>
      <c r="KF26" s="29">
        <f t="shared" si="212"/>
        <v>-7.2493444319828973E-2</v>
      </c>
      <c r="KG26" s="29">
        <f t="shared" si="213"/>
        <v>0</v>
      </c>
      <c r="KH26" s="29">
        <f t="shared" si="214"/>
        <v>0</v>
      </c>
      <c r="KI26" s="29">
        <f t="shared" si="215"/>
        <v>0</v>
      </c>
      <c r="KJ26" s="29">
        <f t="shared" si="216"/>
        <v>0</v>
      </c>
      <c r="KK26" s="29">
        <f t="shared" si="217"/>
        <v>0</v>
      </c>
      <c r="KL26" s="29">
        <f t="shared" si="218"/>
        <v>0</v>
      </c>
      <c r="KM26" s="29">
        <f t="shared" si="219"/>
        <v>0</v>
      </c>
      <c r="KN26" s="29">
        <f t="shared" si="220"/>
        <v>0</v>
      </c>
      <c r="KO26" s="29">
        <f t="shared" si="221"/>
        <v>0</v>
      </c>
      <c r="KP26" s="29">
        <f t="shared" si="222"/>
        <v>0</v>
      </c>
      <c r="KQ26" s="29">
        <f t="shared" si="223"/>
        <v>0</v>
      </c>
      <c r="KR26" s="29">
        <f t="shared" si="224"/>
        <v>0</v>
      </c>
      <c r="KS26" s="29">
        <f t="shared" si="225"/>
        <v>0</v>
      </c>
      <c r="KT26" s="29">
        <f t="shared" si="226"/>
        <v>0</v>
      </c>
      <c r="KU26" s="29">
        <f t="shared" si="227"/>
        <v>0</v>
      </c>
      <c r="KV26" s="29">
        <f t="shared" si="228"/>
        <v>0</v>
      </c>
      <c r="KW26" s="29">
        <f t="shared" si="229"/>
        <v>0</v>
      </c>
      <c r="KX26" s="29">
        <f t="shared" si="230"/>
        <v>0</v>
      </c>
      <c r="KY26" s="29">
        <f t="shared" si="231"/>
        <v>0</v>
      </c>
      <c r="KZ26" s="29">
        <f t="shared" si="232"/>
        <v>0</v>
      </c>
      <c r="LA26" s="29">
        <f t="shared" si="233"/>
        <v>0</v>
      </c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6">
        <f t="shared" si="30"/>
        <v>0.24982307948296065</v>
      </c>
      <c r="LP26" s="47">
        <f t="shared" si="31"/>
        <v>0.6337267043567415</v>
      </c>
      <c r="LR26" s="48"/>
      <c r="LS26" s="28" t="s">
        <v>53</v>
      </c>
      <c r="LT26" s="166">
        <v>2.5783333333333335E-2</v>
      </c>
      <c r="LU26" s="115">
        <f t="shared" si="70"/>
        <v>4.180089123576512E-18</v>
      </c>
      <c r="LV26" s="157">
        <f t="shared" si="15"/>
        <v>2.4680287372110637E-14</v>
      </c>
      <c r="LW26" s="229" t="e">
        <f>LW25*(1+#REF!)</f>
        <v>#REF!</v>
      </c>
      <c r="LX26" s="158"/>
      <c r="LY26" s="129">
        <f t="shared" si="71"/>
        <v>-99.313750712521141</v>
      </c>
      <c r="LZ26" s="130">
        <f t="shared" si="72"/>
        <v>-627.57184074274846</v>
      </c>
      <c r="MB26" s="381">
        <f t="shared" si="285"/>
        <v>2.7499999999999997E-2</v>
      </c>
      <c r="MC26" s="394">
        <f t="shared" si="177"/>
        <v>-160.53888079740798</v>
      </c>
      <c r="MD26" s="157">
        <f t="shared" si="158"/>
        <v>-4521.2732322012835</v>
      </c>
      <c r="ME26" s="215"/>
      <c r="MF26" s="381">
        <f t="shared" si="286"/>
        <v>2.7499999999999997E-2</v>
      </c>
      <c r="MG26" s="394">
        <f t="shared" si="178"/>
        <v>-6.2401987283481635</v>
      </c>
      <c r="MH26" s="157">
        <f t="shared" si="159"/>
        <v>-175.74336717658599</v>
      </c>
      <c r="MJ26" s="28"/>
      <c r="MK26" s="28"/>
      <c r="MR26" s="28">
        <f t="shared" si="84"/>
        <v>79</v>
      </c>
      <c r="MS26" s="28">
        <f t="shared" si="85"/>
        <v>0.30426071775218239</v>
      </c>
      <c r="MT26" s="28">
        <f t="shared" si="86"/>
        <v>0.32206061697361116</v>
      </c>
      <c r="MU26" s="28">
        <f t="shared" si="87"/>
        <v>0.3408372493937416</v>
      </c>
      <c r="MV26" s="28">
        <f t="shared" si="88"/>
        <v>0.36064069063412285</v>
      </c>
      <c r="MW26" s="28">
        <f t="shared" si="89"/>
        <v>0.38152340434333049</v>
      </c>
      <c r="MX26" s="28">
        <f t="shared" si="90"/>
        <v>0.40354034758664825</v>
      </c>
    </row>
    <row r="27" spans="1:374" s="30" customFormat="1" ht="12.75" customHeight="1" x14ac:dyDescent="0.3">
      <c r="A27" s="305">
        <f t="shared" si="91"/>
        <v>2036</v>
      </c>
      <c r="B27" s="355">
        <f t="shared" si="1"/>
        <v>2034</v>
      </c>
      <c r="C27" s="26">
        <v>49126</v>
      </c>
      <c r="D27" s="96">
        <f t="shared" si="132"/>
        <v>8615.2834526947718</v>
      </c>
      <c r="E27" s="27">
        <f t="shared" si="133"/>
        <v>8615.2834526947718</v>
      </c>
      <c r="F27" s="111">
        <f t="shared" si="18"/>
        <v>6757.0850609370764</v>
      </c>
      <c r="G27" s="27">
        <f t="shared" si="134"/>
        <v>16702.530022356594</v>
      </c>
      <c r="H27" s="27">
        <f t="shared" si="135"/>
        <v>10021.518013413955</v>
      </c>
      <c r="I27" s="296">
        <f t="shared" si="136"/>
        <v>8518.2903114018627</v>
      </c>
      <c r="J27" s="69">
        <v>2528.3260599999999</v>
      </c>
      <c r="K27" s="297">
        <f t="shared" si="160"/>
        <v>5989.9642514018633</v>
      </c>
      <c r="L27" s="297">
        <f t="shared" si="137"/>
        <v>6681.0120089426382</v>
      </c>
      <c r="M27" s="297">
        <f t="shared" si="161"/>
        <v>5678.860207601243</v>
      </c>
      <c r="N27" s="27">
        <f t="shared" si="162"/>
        <v>0</v>
      </c>
      <c r="O27" s="297">
        <f t="shared" si="138"/>
        <v>1503.2277020120932</v>
      </c>
      <c r="P27" s="297">
        <f t="shared" si="139"/>
        <v>1002.1518013413956</v>
      </c>
      <c r="Q27" s="297">
        <f t="shared" si="140"/>
        <v>724.33081636191753</v>
      </c>
      <c r="R27" s="260">
        <f t="shared" si="2"/>
        <v>0.6</v>
      </c>
      <c r="S27" s="257">
        <v>0.4</v>
      </c>
      <c r="T27" s="290">
        <f t="shared" si="163"/>
        <v>7.2499999999999995E-2</v>
      </c>
      <c r="U27" s="290">
        <f t="shared" si="164"/>
        <v>7.2499999999999995E-2</v>
      </c>
      <c r="V27" s="27">
        <f t="shared" si="4"/>
        <v>74638.760502336736</v>
      </c>
      <c r="W27" s="27">
        <f t="shared" si="141"/>
        <v>71500.10083965378</v>
      </c>
      <c r="X27" s="27">
        <f t="shared" si="179"/>
        <v>3138.6596626829601</v>
      </c>
      <c r="Y27" s="27">
        <f t="shared" si="142"/>
        <v>854.46802535150982</v>
      </c>
      <c r="Z27" s="27">
        <f t="shared" si="180"/>
        <v>529.83765736919599</v>
      </c>
      <c r="AA27" s="115">
        <f t="shared" si="165"/>
        <v>7.0000000000000007E-2</v>
      </c>
      <c r="AB27" s="115">
        <f t="shared" si="166"/>
        <v>7.0000000000000007E-2</v>
      </c>
      <c r="AC27" s="96">
        <f t="shared" si="6"/>
        <v>76692.827037989133</v>
      </c>
      <c r="AD27" s="27">
        <f t="shared" si="143"/>
        <v>73467.791131427934</v>
      </c>
      <c r="AE27" s="27">
        <f t="shared" si="181"/>
        <v>3225.035906561196</v>
      </c>
      <c r="AF27" s="150">
        <f t="shared" si="144"/>
        <v>899.34905989995377</v>
      </c>
      <c r="AG27" s="27">
        <f t="shared" si="234"/>
        <v>557.66744327098093</v>
      </c>
      <c r="AH27" s="27">
        <f t="shared" si="167"/>
        <v>54102.847793469191</v>
      </c>
      <c r="AI27" s="27">
        <f t="shared" si="145"/>
        <v>50894.244496136649</v>
      </c>
      <c r="AJ27" s="27">
        <f t="shared" si="182"/>
        <v>3208.6032973325441</v>
      </c>
      <c r="AK27" s="27">
        <f t="shared" si="10"/>
        <v>53151.760506429528</v>
      </c>
      <c r="AL27" s="27">
        <f t="shared" si="168"/>
        <v>49990.122910618353</v>
      </c>
      <c r="AM27" s="27">
        <f t="shared" si="235"/>
        <v>3161.637595811173</v>
      </c>
      <c r="AN27" s="417">
        <f>INDEX(Inv.Returns!$B$2:$E$32,MATCH(B27,Inv.Returns!$A$2:$A$32,0),MATCH(SCRS!$DT$52,Inv.Returns!$B$1:$E$1,0))</f>
        <v>0.06</v>
      </c>
      <c r="AO27" s="27">
        <f t="shared" si="36"/>
        <v>22589.979244519942</v>
      </c>
      <c r="AP27" s="229">
        <f t="shared" si="11"/>
        <v>23541.066531559605</v>
      </c>
      <c r="AQ27" s="68">
        <f t="shared" si="19"/>
        <v>0.70544860429606815</v>
      </c>
      <c r="AR27" s="151">
        <f t="shared" si="20"/>
        <v>0.69304734952724145</v>
      </c>
      <c r="AS27" s="353"/>
      <c r="AT27" s="289">
        <f t="shared" si="94"/>
        <v>0.10635188687781459</v>
      </c>
      <c r="AU27" s="397">
        <f t="shared" si="169"/>
        <v>9.9400593584701089E-2</v>
      </c>
      <c r="AV27" s="303">
        <f t="shared" si="95"/>
        <v>0.18590475834392803</v>
      </c>
      <c r="AW27" s="303">
        <f t="shared" si="146"/>
        <v>1.2090717584969016E-4</v>
      </c>
      <c r="AX27" s="115">
        <f t="shared" si="61"/>
        <v>0.09</v>
      </c>
      <c r="AY27" s="115">
        <f t="shared" si="147"/>
        <v>0.09</v>
      </c>
      <c r="AZ27" s="115">
        <f t="shared" si="148"/>
        <v>0</v>
      </c>
      <c r="BA27" s="262">
        <f t="shared" si="21"/>
        <v>1.6351886877814595E-2</v>
      </c>
      <c r="BB27" s="115">
        <f t="shared" si="170"/>
        <v>9.4005935847010919E-3</v>
      </c>
      <c r="BC27" s="133">
        <f t="shared" si="77"/>
        <v>0.18560000000000004</v>
      </c>
      <c r="BD27" s="133">
        <f t="shared" si="96"/>
        <v>0.18560000000000004</v>
      </c>
      <c r="BE27" s="410">
        <f t="shared" si="12"/>
        <v>0.16924811312218546</v>
      </c>
      <c r="BF27" s="410">
        <f t="shared" si="149"/>
        <v>0.17619940641529896</v>
      </c>
      <c r="BG27" s="410">
        <f t="shared" si="171"/>
        <v>0.13560000000000005</v>
      </c>
      <c r="BH27" s="410">
        <f t="shared" si="23"/>
        <v>0.18560000000000004</v>
      </c>
      <c r="BI27" s="157">
        <f t="shared" si="37"/>
        <v>7.2122365682185778</v>
      </c>
      <c r="BJ27" s="104">
        <f t="shared" si="38"/>
        <v>3.8834951456310662E-2</v>
      </c>
      <c r="BK27" s="27">
        <f t="shared" si="62"/>
        <v>8.2463664650353365</v>
      </c>
      <c r="BL27" s="27">
        <f t="shared" si="14"/>
        <v>20</v>
      </c>
      <c r="BM27" s="111">
        <f t="shared" si="26"/>
        <v>7.8260497596984244</v>
      </c>
      <c r="BN27" s="27"/>
      <c r="BO27" s="27"/>
      <c r="BP27" s="96">
        <f t="shared" si="172"/>
        <v>-4461.9518095100066</v>
      </c>
      <c r="BQ27" s="27">
        <f t="shared" si="183"/>
        <v>-170.36580622803726</v>
      </c>
      <c r="BR27" s="27">
        <f t="shared" si="173"/>
        <v>-173.43752410229015</v>
      </c>
      <c r="BS27" s="27">
        <f t="shared" si="184"/>
        <v>-6.6221745292955383</v>
      </c>
      <c r="BT27" s="27">
        <f t="shared" si="150"/>
        <v>-10.221948373682235</v>
      </c>
      <c r="BU27" s="27">
        <f t="shared" si="185"/>
        <v>-6.814632249121491</v>
      </c>
      <c r="BV27" s="304">
        <f t="shared" si="151"/>
        <v>766.64612802616762</v>
      </c>
      <c r="BW27" s="304">
        <f t="shared" si="186"/>
        <v>511.09741868411186</v>
      </c>
      <c r="BX27" s="304">
        <f t="shared" si="187"/>
        <v>0</v>
      </c>
      <c r="BY27" s="304">
        <f t="shared" si="152"/>
        <v>65.189773472572568</v>
      </c>
      <c r="BZ27" s="304">
        <f t="shared" si="78"/>
        <v>142.92488024746854</v>
      </c>
      <c r="CA27" s="304">
        <f t="shared" si="188"/>
        <v>53.384656835990654</v>
      </c>
      <c r="CB27" s="304">
        <f t="shared" si="236"/>
        <v>3175.0865830748571</v>
      </c>
      <c r="CC27" s="304">
        <f t="shared" si="189"/>
        <v>0</v>
      </c>
      <c r="CD27" s="304">
        <f t="shared" si="190"/>
        <v>-0.33046639124421762</v>
      </c>
      <c r="CE27" s="304"/>
      <c r="CF27" s="304">
        <f t="shared" si="174"/>
        <v>0</v>
      </c>
      <c r="CG27" s="304">
        <f t="shared" si="153"/>
        <v>0</v>
      </c>
      <c r="CH27" s="304">
        <f t="shared" si="175"/>
        <v>0</v>
      </c>
      <c r="CI27" s="27"/>
      <c r="CJ27" s="27">
        <f t="shared" si="39"/>
        <v>0</v>
      </c>
      <c r="CK27" s="27">
        <f t="shared" si="40"/>
        <v>0</v>
      </c>
      <c r="CL27" s="27">
        <f t="shared" si="41"/>
        <v>0</v>
      </c>
      <c r="CM27" s="27">
        <f t="shared" si="42"/>
        <v>4713.9989739499242</v>
      </c>
      <c r="CN27" s="27">
        <f t="shared" si="43"/>
        <v>0</v>
      </c>
      <c r="CO27" s="111">
        <f t="shared" si="3"/>
        <v>4713.9989739499242</v>
      </c>
      <c r="CP27" s="27">
        <f t="shared" si="154"/>
        <v>3174.7561166836131</v>
      </c>
      <c r="CQ27" s="27">
        <f t="shared" si="155"/>
        <v>0</v>
      </c>
      <c r="CR27" s="27">
        <f t="shared" si="176"/>
        <v>3174.7561166836131</v>
      </c>
      <c r="CS27" s="27">
        <f>SUM($CR$14:CR27)</f>
        <v>33974.667937315782</v>
      </c>
      <c r="CT27" s="229">
        <v>2298.4351619087001</v>
      </c>
      <c r="CU27" s="425">
        <v>474.16526017150511</v>
      </c>
      <c r="CV27" s="425">
        <v>2772.6004220802051</v>
      </c>
      <c r="CW27" s="425">
        <v>33600.688290849117</v>
      </c>
      <c r="CX27" s="107">
        <f t="shared" si="44"/>
        <v>125.26897516767445</v>
      </c>
      <c r="CY27" s="115">
        <f t="shared" si="92"/>
        <v>0.20062905541580317</v>
      </c>
      <c r="CZ27" s="96">
        <f t="shared" si="45"/>
        <v>3496.3346289347464</v>
      </c>
      <c r="DA27" s="418">
        <f t="shared" si="46"/>
        <v>2618.1219682117176</v>
      </c>
      <c r="DB27" s="314">
        <f t="shared" si="47"/>
        <v>2223.8080690890674</v>
      </c>
      <c r="DC27" s="314">
        <f t="shared" si="48"/>
        <v>137.50811607581568</v>
      </c>
      <c r="DD27" s="314">
        <f t="shared" si="49"/>
        <v>0</v>
      </c>
      <c r="DE27" s="314">
        <f t="shared" si="50"/>
        <v>34411.082674340985</v>
      </c>
      <c r="DF27" s="314" t="b">
        <f t="shared" si="63"/>
        <v>0</v>
      </c>
      <c r="DG27" s="27">
        <f t="shared" si="51"/>
        <v>125.26897516767445</v>
      </c>
      <c r="DH27" s="100">
        <f t="shared" si="52"/>
        <v>87.746632354044976</v>
      </c>
      <c r="DI27" s="105">
        <f t="shared" si="53"/>
        <v>1.3457965578722935E-2</v>
      </c>
      <c r="DJ27" s="96">
        <f t="shared" si="54"/>
        <v>0</v>
      </c>
      <c r="DK27" s="100">
        <f t="shared" si="55"/>
        <v>0</v>
      </c>
      <c r="DL27" s="105">
        <f t="shared" si="56"/>
        <v>0</v>
      </c>
      <c r="DM27" s="299">
        <v>3234.4253716661569</v>
      </c>
      <c r="DN27" s="100">
        <f t="shared" si="57"/>
        <v>2421.9993275302022</v>
      </c>
      <c r="DO27" s="301">
        <v>0.82238140439621144</v>
      </c>
      <c r="DP27" s="29"/>
      <c r="DQ27" s="33" t="s">
        <v>295</v>
      </c>
      <c r="DR27" s="28"/>
      <c r="DS27" s="28"/>
      <c r="DT27" s="248">
        <v>2.2499999999999999E-2</v>
      </c>
      <c r="DU27" s="29"/>
      <c r="DV27" s="327"/>
      <c r="DW27" s="328"/>
      <c r="DX27" s="328"/>
      <c r="DY27" s="328"/>
      <c r="DZ27" s="328"/>
      <c r="EA27" s="328"/>
      <c r="EB27" s="328"/>
      <c r="EC27" s="328"/>
      <c r="ED27" s="328"/>
      <c r="EE27" s="328"/>
      <c r="EF27" s="328"/>
      <c r="EG27" s="328"/>
      <c r="EH27" s="329"/>
      <c r="EI27" s="330"/>
      <c r="EJ27" s="339">
        <f t="shared" si="64"/>
        <v>0.16924811312218546</v>
      </c>
      <c r="EK27" s="339">
        <f t="shared" si="58"/>
        <v>1.6351886877814595E-2</v>
      </c>
      <c r="EL27" s="339" t="e">
        <f t="shared" si="65"/>
        <v>#DIV/0!</v>
      </c>
      <c r="EM27" s="339">
        <f t="shared" si="59"/>
        <v>0</v>
      </c>
      <c r="EN27" s="339">
        <v>0.18560000000000004</v>
      </c>
      <c r="EO27" s="339">
        <v>0.14655477058478084</v>
      </c>
      <c r="EP27" s="340" t="e">
        <f t="shared" si="66"/>
        <v>#DIV/0!</v>
      </c>
      <c r="EQ27" s="283"/>
      <c r="ER27" s="341">
        <v>18</v>
      </c>
      <c r="ES27" s="29">
        <f t="shared" si="79"/>
        <v>3317.5897885991553</v>
      </c>
      <c r="ET27" s="29">
        <f t="shared" si="80"/>
        <v>2843.8650320700253</v>
      </c>
      <c r="EU27" s="29">
        <f t="shared" si="67"/>
        <v>-473.72475652912999</v>
      </c>
      <c r="EV27" s="29">
        <f t="shared" si="68"/>
        <v>-378.97980522330397</v>
      </c>
      <c r="EW27" s="29">
        <f t="shared" si="81"/>
        <v>-270.90758703164704</v>
      </c>
      <c r="EX27" s="29">
        <f t="shared" si="93"/>
        <v>-172.16345032819714</v>
      </c>
      <c r="EY27" s="29">
        <f t="shared" si="97"/>
        <v>-82.070742935150889</v>
      </c>
      <c r="EZ27" s="29">
        <f t="shared" si="69"/>
        <v>-904.12158551829896</v>
      </c>
      <c r="FA27" s="29"/>
      <c r="FB27" s="29">
        <f t="shared" si="237"/>
        <v>196.23967107822591</v>
      </c>
      <c r="FC27" s="29">
        <f t="shared" si="238"/>
        <v>168.03922520388647</v>
      </c>
      <c r="FD27" s="29">
        <f t="shared" si="191"/>
        <v>-28.200445874339437</v>
      </c>
      <c r="FE27" s="29">
        <f t="shared" si="192"/>
        <v>-22.560356699471548</v>
      </c>
      <c r="FF27" s="29">
        <f t="shared" si="193"/>
        <v>-13.907278398328138</v>
      </c>
      <c r="FG27" s="29">
        <f t="shared" si="194"/>
        <v>-7.5116243471309421</v>
      </c>
      <c r="FH27" s="29">
        <f t="shared" si="195"/>
        <v>-2.9864420764405937</v>
      </c>
      <c r="FI27" s="29">
        <f t="shared" si="196"/>
        <v>-46.965701521371223</v>
      </c>
      <c r="FJ27" s="29"/>
      <c r="FK27" s="29"/>
      <c r="FL27" s="27">
        <f t="shared" si="24"/>
        <v>23754.511830555442</v>
      </c>
      <c r="FM27" s="29"/>
      <c r="FN27" s="308">
        <f t="shared" si="156"/>
        <v>3175.0865830748571</v>
      </c>
      <c r="FO27" s="93">
        <f t="shared" si="197"/>
        <v>-0.33046639124421762</v>
      </c>
      <c r="FP27" s="27">
        <f t="shared" si="82"/>
        <v>20</v>
      </c>
      <c r="FQ27" s="309">
        <f t="shared" si="27"/>
        <v>13.512970250241354</v>
      </c>
      <c r="FR27" s="93">
        <f t="shared" si="60"/>
        <v>1757.9045458293053</v>
      </c>
      <c r="FS27" s="93">
        <f t="shared" si="198"/>
        <v>3174.7561166836131</v>
      </c>
      <c r="FT27" s="29">
        <f t="shared" si="83"/>
        <v>20</v>
      </c>
      <c r="FU27" s="142">
        <f t="shared" si="28"/>
        <v>13.512970250241354</v>
      </c>
      <c r="FV27" s="48">
        <v>2517.6058487800979</v>
      </c>
      <c r="FW27" s="29">
        <f t="shared" si="98"/>
        <v>446.52615134742882</v>
      </c>
      <c r="FX27" s="29">
        <f t="shared" si="157"/>
        <v>454.4242567339233</v>
      </c>
      <c r="FY27" s="29">
        <f t="shared" si="255"/>
        <v>429.97794625332824</v>
      </c>
      <c r="FZ27" s="29">
        <f t="shared" si="256"/>
        <v>406.13052257680204</v>
      </c>
      <c r="GA27" s="29">
        <f t="shared" si="257"/>
        <v>381.93289881321556</v>
      </c>
      <c r="GB27" s="29">
        <f t="shared" si="258"/>
        <v>358.25783077405225</v>
      </c>
      <c r="GC27" s="29">
        <f t="shared" si="259"/>
        <v>334.7300379103358</v>
      </c>
      <c r="GD27" s="29">
        <f t="shared" si="260"/>
        <v>311.39018191286431</v>
      </c>
      <c r="GE27" s="29">
        <f t="shared" si="261"/>
        <v>288.26104137244545</v>
      </c>
      <c r="GF27" s="29">
        <f t="shared" si="262"/>
        <v>278.71166074434069</v>
      </c>
      <c r="GG27" s="29">
        <f t="shared" si="263"/>
        <v>669.3527435302467</v>
      </c>
      <c r="GH27" s="29">
        <f t="shared" si="264"/>
        <v>681.8612371453778</v>
      </c>
      <c r="GI27" s="29">
        <f t="shared" si="265"/>
        <v>592.54624322744598</v>
      </c>
      <c r="GJ27" s="29">
        <f t="shared" si="266"/>
        <v>422.31167454230763</v>
      </c>
      <c r="GK27" s="29">
        <f t="shared" si="267"/>
        <v>16517.132208407169</v>
      </c>
      <c r="GL27" s="29">
        <f t="shared" si="268"/>
        <v>0</v>
      </c>
      <c r="GM27" s="29">
        <f t="shared" si="269"/>
        <v>0</v>
      </c>
      <c r="GN27" s="29">
        <f t="shared" si="240"/>
        <v>0</v>
      </c>
      <c r="GO27" s="29">
        <f t="shared" si="241"/>
        <v>0</v>
      </c>
      <c r="GP27" s="29">
        <f t="shared" si="242"/>
        <v>0</v>
      </c>
      <c r="GQ27" s="29">
        <f t="shared" si="243"/>
        <v>0</v>
      </c>
      <c r="GR27" s="29">
        <f t="shared" si="244"/>
        <v>0</v>
      </c>
      <c r="GS27" s="29">
        <f t="shared" si="245"/>
        <v>0</v>
      </c>
      <c r="GT27" s="29">
        <f t="shared" si="246"/>
        <v>0</v>
      </c>
      <c r="GU27" s="29">
        <f t="shared" si="247"/>
        <v>0</v>
      </c>
      <c r="GV27" s="29">
        <f t="shared" si="248"/>
        <v>0</v>
      </c>
      <c r="GW27" s="29">
        <f t="shared" si="249"/>
        <v>0</v>
      </c>
      <c r="GX27" s="29">
        <f t="shared" si="250"/>
        <v>0</v>
      </c>
      <c r="GY27" s="29">
        <f t="shared" si="251"/>
        <v>0</v>
      </c>
      <c r="GZ27" s="29">
        <f t="shared" si="252"/>
        <v>0</v>
      </c>
      <c r="HA27" s="29">
        <f t="shared" si="253"/>
        <v>0</v>
      </c>
      <c r="HB27" s="29">
        <f t="shared" si="254"/>
        <v>0</v>
      </c>
      <c r="HC27" s="29"/>
      <c r="HD27" s="29">
        <f t="shared" si="29"/>
        <v>20</v>
      </c>
      <c r="HE27" s="29">
        <f t="shared" si="100"/>
        <v>0</v>
      </c>
      <c r="HF27" s="29">
        <f t="shared" si="101"/>
        <v>32.95226540786124</v>
      </c>
      <c r="HG27" s="29">
        <f t="shared" si="102"/>
        <v>32.27663097313102</v>
      </c>
      <c r="HH27" s="29">
        <f t="shared" si="103"/>
        <v>31.643127801411577</v>
      </c>
      <c r="HI27" s="29">
        <f t="shared" si="104"/>
        <v>30.978741448415771</v>
      </c>
      <c r="HJ27" s="29">
        <f t="shared" si="105"/>
        <v>30.352133432121594</v>
      </c>
      <c r="HK27" s="29">
        <f t="shared" si="106"/>
        <v>29.733994702399166</v>
      </c>
      <c r="HL27" s="29">
        <f t="shared" si="107"/>
        <v>29.128045385379849</v>
      </c>
      <c r="HM27" s="29">
        <f t="shared" si="108"/>
        <v>28.537103970145079</v>
      </c>
      <c r="HN27" s="29">
        <f t="shared" si="109"/>
        <v>29.371229776486285</v>
      </c>
      <c r="HO27" s="29">
        <f t="shared" si="110"/>
        <v>75.603090631748074</v>
      </c>
      <c r="HP27" s="29">
        <f t="shared" si="111"/>
        <v>83.224282966572289</v>
      </c>
      <c r="HQ27" s="29">
        <f t="shared" si="112"/>
        <v>78.932983249129109</v>
      </c>
      <c r="HR27" s="29">
        <f t="shared" si="113"/>
        <v>62.157618769963165</v>
      </c>
      <c r="HS27" s="29">
        <f t="shared" si="114"/>
        <v>2728.4001974601997</v>
      </c>
      <c r="HT27" s="29">
        <f t="shared" si="115"/>
        <v>0</v>
      </c>
      <c r="HU27" s="29">
        <f t="shared" si="116"/>
        <v>0</v>
      </c>
      <c r="HV27" s="29">
        <f t="shared" si="117"/>
        <v>0</v>
      </c>
      <c r="HW27" s="29">
        <f t="shared" si="118"/>
        <v>0</v>
      </c>
      <c r="HX27" s="29">
        <f t="shared" si="119"/>
        <v>0</v>
      </c>
      <c r="HY27" s="29">
        <f t="shared" si="120"/>
        <v>0</v>
      </c>
      <c r="HZ27" s="29">
        <f t="shared" si="121"/>
        <v>0</v>
      </c>
      <c r="IA27" s="29">
        <f t="shared" si="122"/>
        <v>0</v>
      </c>
      <c r="IB27" s="29">
        <f t="shared" si="123"/>
        <v>0</v>
      </c>
      <c r="IC27" s="29">
        <f t="shared" si="124"/>
        <v>0</v>
      </c>
      <c r="ID27" s="29">
        <f t="shared" si="125"/>
        <v>0</v>
      </c>
      <c r="IE27" s="29">
        <f t="shared" si="126"/>
        <v>0</v>
      </c>
      <c r="IF27" s="29">
        <f t="shared" si="127"/>
        <v>0</v>
      </c>
      <c r="IG27" s="29">
        <f t="shared" si="128"/>
        <v>0</v>
      </c>
      <c r="IH27" s="29">
        <f t="shared" si="129"/>
        <v>0</v>
      </c>
      <c r="II27" s="29">
        <f t="shared" si="130"/>
        <v>0</v>
      </c>
      <c r="IJ27" s="29">
        <f t="shared" si="131"/>
        <v>0</v>
      </c>
      <c r="IK27" s="48"/>
      <c r="IL27" s="49"/>
      <c r="IM27" s="49"/>
      <c r="IN27" s="29">
        <f t="shared" si="199"/>
        <v>10.118697024473587</v>
      </c>
      <c r="IO27" s="29">
        <f t="shared" si="239"/>
        <v>7.6640493905339566</v>
      </c>
      <c r="IP27" s="29">
        <f t="shared" si="287"/>
        <v>5.0540088755854189</v>
      </c>
      <c r="IQ27" s="29">
        <f t="shared" si="288"/>
        <v>2.5481339981899649</v>
      </c>
      <c r="IR27" s="29">
        <f t="shared" si="289"/>
        <v>0.99988937267096634</v>
      </c>
      <c r="IS27" s="29">
        <f t="shared" si="290"/>
        <v>-0.45798012058365689</v>
      </c>
      <c r="IT27" s="29">
        <f t="shared" si="291"/>
        <v>-1.4464504738760424</v>
      </c>
      <c r="IU27" s="29">
        <f t="shared" si="292"/>
        <v>-1.9889874969569832</v>
      </c>
      <c r="IV27" s="29">
        <f t="shared" si="293"/>
        <v>-2.1145469215382602</v>
      </c>
      <c r="IW27" s="29">
        <f t="shared" si="294"/>
        <v>-1.8954744478130143</v>
      </c>
      <c r="IX27" s="29">
        <f t="shared" si="295"/>
        <v>-1.4369688140777033</v>
      </c>
      <c r="IY27" s="29">
        <f t="shared" si="296"/>
        <v>-0.6117611579563067</v>
      </c>
      <c r="IZ27" s="29">
        <f t="shared" si="297"/>
        <v>0</v>
      </c>
      <c r="JA27" s="29">
        <f t="shared" si="298"/>
        <v>0</v>
      </c>
      <c r="JB27" s="29">
        <f t="shared" si="299"/>
        <v>0</v>
      </c>
      <c r="JC27" s="29">
        <f t="shared" si="300"/>
        <v>0</v>
      </c>
      <c r="JD27" s="29">
        <f t="shared" si="301"/>
        <v>0</v>
      </c>
      <c r="JE27" s="29">
        <f t="shared" si="270"/>
        <v>0</v>
      </c>
      <c r="JF27" s="29">
        <f t="shared" si="271"/>
        <v>0</v>
      </c>
      <c r="JG27" s="29">
        <f t="shared" si="272"/>
        <v>0</v>
      </c>
      <c r="JH27" s="29">
        <f t="shared" si="273"/>
        <v>0</v>
      </c>
      <c r="JI27" s="29">
        <f t="shared" si="274"/>
        <v>0</v>
      </c>
      <c r="JJ27" s="29">
        <f t="shared" si="275"/>
        <v>0</v>
      </c>
      <c r="JK27" s="29">
        <f t="shared" si="276"/>
        <v>0</v>
      </c>
      <c r="JL27" s="29">
        <f t="shared" si="277"/>
        <v>0</v>
      </c>
      <c r="JM27" s="29">
        <f t="shared" si="278"/>
        <v>0</v>
      </c>
      <c r="JN27" s="29">
        <f t="shared" si="279"/>
        <v>0</v>
      </c>
      <c r="JO27" s="29">
        <f t="shared" si="280"/>
        <v>0</v>
      </c>
      <c r="JP27" s="29">
        <f t="shared" si="281"/>
        <v>0</v>
      </c>
      <c r="JQ27" s="29">
        <f t="shared" si="282"/>
        <v>0</v>
      </c>
      <c r="JR27" s="29">
        <f t="shared" si="283"/>
        <v>0</v>
      </c>
      <c r="JS27" s="29">
        <f t="shared" si="284"/>
        <v>0</v>
      </c>
      <c r="JT27" s="49"/>
      <c r="JU27" s="401">
        <f t="shared" si="201"/>
        <v>20</v>
      </c>
      <c r="JV27" s="29">
        <f t="shared" si="202"/>
        <v>0</v>
      </c>
      <c r="JW27" s="29">
        <f t="shared" si="203"/>
        <v>0.55575332054447335</v>
      </c>
      <c r="JX27" s="29">
        <f t="shared" si="204"/>
        <v>0.37938313077129532</v>
      </c>
      <c r="JY27" s="29">
        <f t="shared" si="205"/>
        <v>0.1985345234538462</v>
      </c>
      <c r="JZ27" s="29">
        <f t="shared" si="206"/>
        <v>8.1101456431856109E-2</v>
      </c>
      <c r="KA27" s="29">
        <f t="shared" si="207"/>
        <v>-3.8800753354589573E-2</v>
      </c>
      <c r="KB27" s="29">
        <f t="shared" si="208"/>
        <v>-0.12848787338002146</v>
      </c>
      <c r="KC27" s="29">
        <f t="shared" si="209"/>
        <v>-0.18605377255769739</v>
      </c>
      <c r="KD27" s="29">
        <f t="shared" si="210"/>
        <v>-0.20933472335486977</v>
      </c>
      <c r="KE27" s="29">
        <f t="shared" si="211"/>
        <v>-0.19974914358980564</v>
      </c>
      <c r="KF27" s="29">
        <f t="shared" si="212"/>
        <v>-0.16230497975213415</v>
      </c>
      <c r="KG27" s="29">
        <f t="shared" si="213"/>
        <v>-7.4668247649423855E-2</v>
      </c>
      <c r="KH27" s="29">
        <f t="shared" si="214"/>
        <v>0</v>
      </c>
      <c r="KI27" s="29">
        <f t="shared" si="215"/>
        <v>0</v>
      </c>
      <c r="KJ27" s="29">
        <f t="shared" si="216"/>
        <v>0</v>
      </c>
      <c r="KK27" s="29">
        <f t="shared" si="217"/>
        <v>0</v>
      </c>
      <c r="KL27" s="29">
        <f t="shared" si="218"/>
        <v>0</v>
      </c>
      <c r="KM27" s="29">
        <f t="shared" si="219"/>
        <v>0</v>
      </c>
      <c r="KN27" s="29">
        <f t="shared" si="220"/>
        <v>0</v>
      </c>
      <c r="KO27" s="29">
        <f t="shared" si="221"/>
        <v>0</v>
      </c>
      <c r="KP27" s="29">
        <f t="shared" si="222"/>
        <v>0</v>
      </c>
      <c r="KQ27" s="29">
        <f t="shared" si="223"/>
        <v>0</v>
      </c>
      <c r="KR27" s="29">
        <f t="shared" si="224"/>
        <v>0</v>
      </c>
      <c r="KS27" s="29">
        <f t="shared" si="225"/>
        <v>0</v>
      </c>
      <c r="KT27" s="29">
        <f t="shared" si="226"/>
        <v>0</v>
      </c>
      <c r="KU27" s="29">
        <f t="shared" si="227"/>
        <v>0</v>
      </c>
      <c r="KV27" s="29">
        <f t="shared" si="228"/>
        <v>0</v>
      </c>
      <c r="KW27" s="29">
        <f t="shared" si="229"/>
        <v>0</v>
      </c>
      <c r="KX27" s="29">
        <f t="shared" si="230"/>
        <v>0</v>
      </c>
      <c r="KY27" s="29">
        <f t="shared" si="231"/>
        <v>0</v>
      </c>
      <c r="KZ27" s="29">
        <f t="shared" si="232"/>
        <v>0</v>
      </c>
      <c r="LA27" s="29">
        <f t="shared" si="233"/>
        <v>0</v>
      </c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6">
        <f t="shared" si="30"/>
        <v>0.23347951353547722</v>
      </c>
      <c r="LP27" s="47">
        <f t="shared" si="31"/>
        <v>0.6197816179528034</v>
      </c>
      <c r="LQ27" s="28"/>
      <c r="LR27" s="48"/>
      <c r="LS27" s="28"/>
      <c r="LT27" s="166">
        <v>2.9726666666666669E-2</v>
      </c>
      <c r="LU27" s="115">
        <f t="shared" si="70"/>
        <v>4.8193968718882131E-18</v>
      </c>
      <c r="LV27" s="157">
        <f t="shared" si="15"/>
        <v>3.2565074605762721E-14</v>
      </c>
      <c r="LW27" s="229" t="e">
        <f>LW26*(1+#REF!)</f>
        <v>#REF!</v>
      </c>
      <c r="LX27" s="158"/>
      <c r="LY27" s="129">
        <f t="shared" si="71"/>
        <v>-134.94205274639535</v>
      </c>
      <c r="LZ27" s="130">
        <f t="shared" si="72"/>
        <v>-692.12042431125155</v>
      </c>
      <c r="MA27" s="28"/>
      <c r="MB27" s="381">
        <f t="shared" si="285"/>
        <v>2.9999999999999995E-2</v>
      </c>
      <c r="MC27" s="394">
        <f t="shared" si="177"/>
        <v>-200.43036026827912</v>
      </c>
      <c r="MD27" s="157">
        <f t="shared" si="158"/>
        <v>-4662.382169778286</v>
      </c>
      <c r="ME27" s="28"/>
      <c r="MF27" s="381">
        <f t="shared" si="286"/>
        <v>2.9999999999999995E-2</v>
      </c>
      <c r="MG27" s="394">
        <f t="shared" si="178"/>
        <v>-7.790793563877104</v>
      </c>
      <c r="MH27" s="157">
        <f t="shared" si="159"/>
        <v>-181.22831766616727</v>
      </c>
      <c r="MI27" s="28"/>
      <c r="MJ27" s="28"/>
      <c r="MK27" s="28"/>
      <c r="ML27" s="28"/>
      <c r="MM27" s="28"/>
      <c r="MN27" s="28"/>
      <c r="MO27" s="28"/>
      <c r="MP27" s="28"/>
      <c r="MQ27" s="28"/>
      <c r="MR27" s="28">
        <f t="shared" si="84"/>
        <v>80</v>
      </c>
      <c r="MS27" s="28">
        <f t="shared" si="85"/>
        <v>0.28369297692511181</v>
      </c>
      <c r="MT27" s="28">
        <f t="shared" si="86"/>
        <v>0.30129558978132659</v>
      </c>
      <c r="MU27" s="28">
        <f t="shared" si="87"/>
        <v>0.3199262088248761</v>
      </c>
      <c r="MV27" s="28">
        <f t="shared" si="88"/>
        <v>0.33964114645687249</v>
      </c>
      <c r="MW27" s="28">
        <f t="shared" si="89"/>
        <v>0.36049959716692881</v>
      </c>
      <c r="MX27" s="28">
        <f t="shared" si="90"/>
        <v>0.38256377474006958</v>
      </c>
    </row>
    <row r="28" spans="1:374" s="30" customFormat="1" ht="12.75" customHeight="1" thickBot="1" x14ac:dyDescent="0.35">
      <c r="A28" s="305">
        <f t="shared" si="91"/>
        <v>2037</v>
      </c>
      <c r="B28" s="355">
        <f t="shared" si="1"/>
        <v>2035</v>
      </c>
      <c r="C28" s="26">
        <v>49491</v>
      </c>
      <c r="D28" s="96">
        <f t="shared" si="132"/>
        <v>8430.0548584618355</v>
      </c>
      <c r="E28" s="27">
        <f t="shared" si="133"/>
        <v>8430.0548584618355</v>
      </c>
      <c r="F28" s="111">
        <f t="shared" si="18"/>
        <v>7481.7824337225775</v>
      </c>
      <c r="G28" s="27">
        <f t="shared" si="134"/>
        <v>17203.605923027291</v>
      </c>
      <c r="H28" s="27">
        <f t="shared" si="135"/>
        <v>9806.055376125556</v>
      </c>
      <c r="I28" s="296">
        <f t="shared" si="136"/>
        <v>8335.1470697067234</v>
      </c>
      <c r="J28" s="69">
        <v>2376.7213080000001</v>
      </c>
      <c r="K28" s="297">
        <f t="shared" si="160"/>
        <v>5958.4257617067233</v>
      </c>
      <c r="L28" s="297">
        <f t="shared" si="137"/>
        <v>7397.5505469017353</v>
      </c>
      <c r="M28" s="297">
        <f t="shared" si="161"/>
        <v>6287.9179648664749</v>
      </c>
      <c r="N28" s="27">
        <f t="shared" si="162"/>
        <v>0</v>
      </c>
      <c r="O28" s="297">
        <f t="shared" si="138"/>
        <v>1470.9083064188333</v>
      </c>
      <c r="P28" s="297">
        <f t="shared" si="139"/>
        <v>1109.6325820352602</v>
      </c>
      <c r="Q28" s="297">
        <f t="shared" si="140"/>
        <v>746.0607408527751</v>
      </c>
      <c r="R28" s="260">
        <f t="shared" si="2"/>
        <v>0.57000000000000006</v>
      </c>
      <c r="S28" s="257">
        <v>0.43</v>
      </c>
      <c r="T28" s="290">
        <f t="shared" si="163"/>
        <v>7.2499999999999995E-2</v>
      </c>
      <c r="U28" s="290">
        <f t="shared" si="164"/>
        <v>7.2499999999999995E-2</v>
      </c>
      <c r="V28" s="27">
        <f t="shared" si="4"/>
        <v>76387.251307239945</v>
      </c>
      <c r="W28" s="27">
        <f t="shared" si="141"/>
        <v>72633.343657196368</v>
      </c>
      <c r="X28" s="27">
        <f t="shared" si="179"/>
        <v>3753.9076500435781</v>
      </c>
      <c r="Y28" s="27">
        <f t="shared" si="142"/>
        <v>833.80030771140025</v>
      </c>
      <c r="Z28" s="27">
        <f t="shared" si="180"/>
        <v>586.66274612204211</v>
      </c>
      <c r="AA28" s="115">
        <f t="shared" si="165"/>
        <v>7.0000000000000007E-2</v>
      </c>
      <c r="AB28" s="115">
        <f t="shared" si="166"/>
        <v>7.0000000000000007E-2</v>
      </c>
      <c r="AC28" s="96">
        <f t="shared" si="6"/>
        <v>78489.436493658723</v>
      </c>
      <c r="AD28" s="27">
        <f t="shared" si="143"/>
        <v>74632.220910444914</v>
      </c>
      <c r="AE28" s="27">
        <f t="shared" si="181"/>
        <v>3857.2155832138051</v>
      </c>
      <c r="AF28" s="150">
        <f t="shared" si="144"/>
        <v>877.59576793532608</v>
      </c>
      <c r="AG28" s="27">
        <f t="shared" si="234"/>
        <v>617.47727656179347</v>
      </c>
      <c r="AH28" s="27">
        <f t="shared" si="167"/>
        <v>57252.254022816342</v>
      </c>
      <c r="AI28" s="27">
        <f t="shared" si="145"/>
        <v>53426.537698738175</v>
      </c>
      <c r="AJ28" s="27">
        <f t="shared" si="182"/>
        <v>3825.7163240781688</v>
      </c>
      <c r="AK28" s="27">
        <f t="shared" si="10"/>
        <v>56246.569079248169</v>
      </c>
      <c r="AL28" s="27">
        <f t="shared" si="168"/>
        <v>52477.85674251282</v>
      </c>
      <c r="AM28" s="27">
        <f t="shared" si="235"/>
        <v>3768.7123367353506</v>
      </c>
      <c r="AN28" s="417">
        <f>INDEX(Inv.Returns!$B$2:$E$32,MATCH(B28,Inv.Returns!$A$2:$A$32,0),MATCH(SCRS!$DT$52,Inv.Returns!$B$1:$E$1,0))</f>
        <v>0.06</v>
      </c>
      <c r="AO28" s="27">
        <f t="shared" si="36"/>
        <v>21237.182470842381</v>
      </c>
      <c r="AP28" s="229">
        <f t="shared" si="11"/>
        <v>22242.867414410553</v>
      </c>
      <c r="AQ28" s="68">
        <f t="shared" si="19"/>
        <v>0.72942623339437318</v>
      </c>
      <c r="AR28" s="151">
        <f t="shared" si="20"/>
        <v>0.71661323602179783</v>
      </c>
      <c r="AS28" s="353"/>
      <c r="AT28" s="289">
        <f t="shared" si="94"/>
        <v>0.10625113823253474</v>
      </c>
      <c r="AU28" s="397">
        <f t="shared" si="169"/>
        <v>9.9400593584701102E-2</v>
      </c>
      <c r="AV28" s="303">
        <f t="shared" si="95"/>
        <v>0.1878154630656701</v>
      </c>
      <c r="AW28" s="303">
        <f t="shared" si="146"/>
        <v>2.2928434862670046E-4</v>
      </c>
      <c r="AX28" s="115">
        <f t="shared" si="61"/>
        <v>0.09</v>
      </c>
      <c r="AY28" s="115">
        <f t="shared" si="147"/>
        <v>0.09</v>
      </c>
      <c r="AZ28" s="115">
        <f t="shared" si="148"/>
        <v>0</v>
      </c>
      <c r="BA28" s="262">
        <f t="shared" si="21"/>
        <v>1.625113823253474E-2</v>
      </c>
      <c r="BB28" s="115">
        <f t="shared" si="170"/>
        <v>9.4005935847011057E-3</v>
      </c>
      <c r="BC28" s="133">
        <f t="shared" si="77"/>
        <v>0.18560000000000004</v>
      </c>
      <c r="BD28" s="133">
        <f t="shared" si="96"/>
        <v>0.18560000000000004</v>
      </c>
      <c r="BE28" s="410">
        <f t="shared" si="12"/>
        <v>0.1693488617674653</v>
      </c>
      <c r="BF28" s="410">
        <f t="shared" si="149"/>
        <v>0.17619940641529894</v>
      </c>
      <c r="BG28" s="410">
        <f t="shared" si="171"/>
        <v>0.13560000000000005</v>
      </c>
      <c r="BH28" s="410">
        <f t="shared" si="23"/>
        <v>0.18560000000000004</v>
      </c>
      <c r="BI28" s="157">
        <f t="shared" si="37"/>
        <v>6.5174068705753836</v>
      </c>
      <c r="BJ28" s="104">
        <f t="shared" si="38"/>
        <v>3.8834951456310662E-2</v>
      </c>
      <c r="BK28" s="27">
        <f t="shared" si="62"/>
        <v>7.3291541992254707</v>
      </c>
      <c r="BL28" s="27">
        <f t="shared" si="14"/>
        <v>20</v>
      </c>
      <c r="BM28" s="111">
        <f t="shared" si="26"/>
        <v>6.971988168814871</v>
      </c>
      <c r="BN28" s="27"/>
      <c r="BO28" s="27"/>
      <c r="BP28" s="96">
        <f t="shared" si="172"/>
        <v>-4567.4747245227609</v>
      </c>
      <c r="BQ28" s="27">
        <f t="shared" si="183"/>
        <v>-204.35733385816039</v>
      </c>
      <c r="BR28" s="27">
        <f t="shared" si="173"/>
        <v>-177.53923427245854</v>
      </c>
      <c r="BS28" s="27">
        <f t="shared" si="184"/>
        <v>-7.943436309859357</v>
      </c>
      <c r="BT28" s="27">
        <f t="shared" si="150"/>
        <v>-10.002176483648068</v>
      </c>
      <c r="BU28" s="27">
        <f t="shared" si="185"/>
        <v>-7.5455015578397688</v>
      </c>
      <c r="BV28" s="304">
        <f t="shared" si="151"/>
        <v>750.16323627360509</v>
      </c>
      <c r="BW28" s="304">
        <f t="shared" si="186"/>
        <v>565.91261683798268</v>
      </c>
      <c r="BX28" s="304">
        <f t="shared" si="187"/>
        <v>0</v>
      </c>
      <c r="BY28" s="304">
        <f t="shared" si="152"/>
        <v>67.145466676749763</v>
      </c>
      <c r="BZ28" s="304">
        <f t="shared" si="78"/>
        <v>137.43470814536909</v>
      </c>
      <c r="CA28" s="304">
        <f t="shared" si="188"/>
        <v>59.110161281650562</v>
      </c>
      <c r="CB28" s="304">
        <f t="shared" si="236"/>
        <v>3303.2914459749641</v>
      </c>
      <c r="CC28" s="304">
        <f t="shared" si="189"/>
        <v>0</v>
      </c>
      <c r="CD28" s="304">
        <f t="shared" si="190"/>
        <v>0.2153729375629293</v>
      </c>
      <c r="CE28" s="304"/>
      <c r="CF28" s="304">
        <f t="shared" si="174"/>
        <v>0</v>
      </c>
      <c r="CG28" s="304">
        <f t="shared" si="153"/>
        <v>0</v>
      </c>
      <c r="CH28" s="304">
        <f t="shared" si="175"/>
        <v>0</v>
      </c>
      <c r="CI28" s="27"/>
      <c r="CJ28" s="27">
        <f t="shared" si="39"/>
        <v>0</v>
      </c>
      <c r="CK28" s="27">
        <f t="shared" si="40"/>
        <v>0</v>
      </c>
      <c r="CL28" s="27">
        <f t="shared" si="41"/>
        <v>0</v>
      </c>
      <c r="CM28" s="27">
        <f t="shared" si="42"/>
        <v>4883.2730081278842</v>
      </c>
      <c r="CN28" s="27">
        <f t="shared" si="43"/>
        <v>0</v>
      </c>
      <c r="CO28" s="111">
        <f t="shared" si="3"/>
        <v>4883.2730081278842</v>
      </c>
      <c r="CP28" s="27">
        <f t="shared" si="154"/>
        <v>3303.5068189125268</v>
      </c>
      <c r="CQ28" s="27">
        <f t="shared" si="155"/>
        <v>0</v>
      </c>
      <c r="CR28" s="27">
        <f t="shared" si="176"/>
        <v>3303.5068189125268</v>
      </c>
      <c r="CS28" s="27">
        <f>SUM($CR$14:CR28)</f>
        <v>37278.174756228313</v>
      </c>
      <c r="CT28" s="229">
        <v>2372.7600161348455</v>
      </c>
      <c r="CU28" s="425">
        <v>488.39021797665032</v>
      </c>
      <c r="CV28" s="425">
        <v>2861.1502341114956</v>
      </c>
      <c r="CW28" s="425">
        <v>36461.838524960614</v>
      </c>
      <c r="CX28" s="107">
        <f t="shared" si="44"/>
        <v>129.02704442270468</v>
      </c>
      <c r="CY28" s="115">
        <f t="shared" si="92"/>
        <v>0.20218084272645628</v>
      </c>
      <c r="CZ28" s="96">
        <f t="shared" si="45"/>
        <v>3629.0787327622511</v>
      </c>
      <c r="DA28" s="418">
        <f t="shared" si="46"/>
        <v>2657.7244808440241</v>
      </c>
      <c r="DB28" s="314">
        <f t="shared" si="47"/>
        <v>2263.0743590798083</v>
      </c>
      <c r="DC28" s="314">
        <f t="shared" si="48"/>
        <v>134.64348003234886</v>
      </c>
      <c r="DD28" s="314">
        <f t="shared" si="49"/>
        <v>0</v>
      </c>
      <c r="DE28" s="314">
        <f t="shared" si="50"/>
        <v>33903.914610985543</v>
      </c>
      <c r="DF28" s="314" t="b">
        <f t="shared" si="63"/>
        <v>0</v>
      </c>
      <c r="DG28" s="27">
        <f t="shared" si="51"/>
        <v>129.02704442270468</v>
      </c>
      <c r="DH28" s="100">
        <f t="shared" si="52"/>
        <v>88.390250684270228</v>
      </c>
      <c r="DI28" s="105">
        <f t="shared" si="53"/>
        <v>1.2479204445724902E-2</v>
      </c>
      <c r="DJ28" s="96">
        <f t="shared" si="54"/>
        <v>0</v>
      </c>
      <c r="DK28" s="100">
        <f t="shared" si="55"/>
        <v>0</v>
      </c>
      <c r="DL28" s="105">
        <f t="shared" si="56"/>
        <v>0</v>
      </c>
      <c r="DM28" s="299">
        <v>3331.4581328161421</v>
      </c>
      <c r="DN28" s="100">
        <f t="shared" si="57"/>
        <v>2439.7646037712552</v>
      </c>
      <c r="DO28" s="301">
        <v>0.85653499666288024</v>
      </c>
      <c r="DP28" s="29"/>
      <c r="DQ28" s="28"/>
      <c r="DR28" s="28"/>
      <c r="DS28" s="28"/>
      <c r="DT28" s="28"/>
      <c r="DU28" s="29"/>
      <c r="DV28" s="327"/>
      <c r="DW28" s="328"/>
      <c r="DX28" s="328"/>
      <c r="DY28" s="328"/>
      <c r="DZ28" s="328"/>
      <c r="EA28" s="328"/>
      <c r="EB28" s="328"/>
      <c r="EC28" s="328"/>
      <c r="ED28" s="328"/>
      <c r="EE28" s="328"/>
      <c r="EF28" s="328"/>
      <c r="EG28" s="328"/>
      <c r="EH28" s="329"/>
      <c r="EI28" s="330"/>
      <c r="EJ28" s="339">
        <f t="shared" si="64"/>
        <v>0.1693488617674653</v>
      </c>
      <c r="EK28" s="339">
        <f t="shared" si="58"/>
        <v>1.625113823253474E-2</v>
      </c>
      <c r="EL28" s="339" t="e">
        <f t="shared" si="65"/>
        <v>#DIV/0!</v>
      </c>
      <c r="EM28" s="339">
        <f t="shared" si="59"/>
        <v>0</v>
      </c>
      <c r="EN28" s="339">
        <v>0.18560000000000004</v>
      </c>
      <c r="EO28" s="339">
        <v>0.14621120021188189</v>
      </c>
      <c r="EP28" s="340" t="e">
        <f t="shared" si="66"/>
        <v>#DIV/0!</v>
      </c>
      <c r="EQ28" s="283"/>
      <c r="ER28" s="30">
        <v>19</v>
      </c>
      <c r="ES28" s="29">
        <f t="shared" si="79"/>
        <v>3481.9142590059987</v>
      </c>
      <c r="ET28" s="29">
        <f t="shared" si="80"/>
        <v>2984.7151101026479</v>
      </c>
      <c r="EU28" s="29">
        <f t="shared" si="67"/>
        <v>-497.19914890335076</v>
      </c>
      <c r="EV28" s="29">
        <f t="shared" si="68"/>
        <v>-397.75931912268061</v>
      </c>
      <c r="EW28" s="29">
        <f t="shared" si="81"/>
        <v>-284.23485391747795</v>
      </c>
      <c r="EX28" s="29">
        <f t="shared" si="93"/>
        <v>-180.60505802109802</v>
      </c>
      <c r="EY28" s="29">
        <f t="shared" si="97"/>
        <v>-86.081725164098572</v>
      </c>
      <c r="EZ28" s="29">
        <f t="shared" si="69"/>
        <v>-948.68095622535509</v>
      </c>
      <c r="FA28" s="29"/>
      <c r="FB28" s="29">
        <f t="shared" si="237"/>
        <v>235.50334748337892</v>
      </c>
      <c r="FC28" s="29">
        <f t="shared" si="238"/>
        <v>201.68286159284099</v>
      </c>
      <c r="FD28" s="29">
        <f t="shared" si="191"/>
        <v>-33.820485890537924</v>
      </c>
      <c r="FE28" s="29">
        <f t="shared" si="192"/>
        <v>-27.056388712430341</v>
      </c>
      <c r="FF28" s="29">
        <f t="shared" si="193"/>
        <v>-16.920267524603659</v>
      </c>
      <c r="FG28" s="29">
        <f t="shared" si="194"/>
        <v>-9.2715189322187577</v>
      </c>
      <c r="FH28" s="29">
        <f t="shared" si="195"/>
        <v>-3.755812173565471</v>
      </c>
      <c r="FI28" s="29">
        <f t="shared" si="196"/>
        <v>-57.003987342818235</v>
      </c>
      <c r="FJ28" s="29"/>
      <c r="FK28" s="29"/>
      <c r="FL28" s="27">
        <f t="shared" si="24"/>
        <v>22589.979244519942</v>
      </c>
      <c r="FM28" s="29"/>
      <c r="FN28" s="308">
        <f t="shared" si="156"/>
        <v>3303.2914459749641</v>
      </c>
      <c r="FO28" s="93">
        <f t="shared" si="197"/>
        <v>0.2153729375629293</v>
      </c>
      <c r="FP28" s="27">
        <f t="shared" si="82"/>
        <v>20</v>
      </c>
      <c r="FQ28" s="309">
        <f t="shared" si="27"/>
        <v>13.512970250241354</v>
      </c>
      <c r="FR28" s="93">
        <f t="shared" si="60"/>
        <v>1671.7256699441386</v>
      </c>
      <c r="FS28" s="93">
        <f t="shared" si="198"/>
        <v>3303.5068189125268</v>
      </c>
      <c r="FT28" s="29">
        <f t="shared" si="83"/>
        <v>20</v>
      </c>
      <c r="FU28" s="142">
        <f t="shared" si="28"/>
        <v>13.512970250241354</v>
      </c>
      <c r="FV28" s="48">
        <v>2553.8451758410256</v>
      </c>
      <c r="FW28" s="29">
        <f t="shared" si="98"/>
        <v>468.93955295582418</v>
      </c>
      <c r="FX28" s="29">
        <f t="shared" si="157"/>
        <v>477.78298194174886</v>
      </c>
      <c r="FY28" s="29">
        <f t="shared" si="255"/>
        <v>452.14786632314656</v>
      </c>
      <c r="FZ28" s="29">
        <f t="shared" si="256"/>
        <v>426.68919580251094</v>
      </c>
      <c r="GA28" s="29">
        <f t="shared" si="257"/>
        <v>401.82775324489717</v>
      </c>
      <c r="GB28" s="29">
        <f t="shared" si="258"/>
        <v>376.6235424052432</v>
      </c>
      <c r="GC28" s="29">
        <f t="shared" si="259"/>
        <v>351.93938797537618</v>
      </c>
      <c r="GD28" s="29">
        <f t="shared" si="260"/>
        <v>327.40405728508665</v>
      </c>
      <c r="GE28" s="29">
        <f t="shared" si="261"/>
        <v>303.05721021513625</v>
      </c>
      <c r="GF28" s="29">
        <f t="shared" si="262"/>
        <v>278.92030438991344</v>
      </c>
      <c r="GG28" s="29">
        <f t="shared" si="263"/>
        <v>267.83964067465558</v>
      </c>
      <c r="GH28" s="29">
        <f t="shared" si="264"/>
        <v>638.00299053114315</v>
      </c>
      <c r="GI28" s="29">
        <f t="shared" si="265"/>
        <v>643.50365604881608</v>
      </c>
      <c r="GJ28" s="29">
        <f t="shared" si="266"/>
        <v>552.37556750047247</v>
      </c>
      <c r="GK28" s="29">
        <f t="shared" si="267"/>
        <v>387.57715095355826</v>
      </c>
      <c r="GL28" s="29">
        <f t="shared" si="268"/>
        <v>14851.052353459212</v>
      </c>
      <c r="GM28" s="29">
        <f t="shared" si="269"/>
        <v>0</v>
      </c>
      <c r="GN28" s="29">
        <f t="shared" si="240"/>
        <v>0</v>
      </c>
      <c r="GO28" s="29">
        <f t="shared" si="241"/>
        <v>0</v>
      </c>
      <c r="GP28" s="29">
        <f t="shared" si="242"/>
        <v>0</v>
      </c>
      <c r="GQ28" s="29">
        <f t="shared" si="243"/>
        <v>0</v>
      </c>
      <c r="GR28" s="29">
        <f t="shared" si="244"/>
        <v>0</v>
      </c>
      <c r="GS28" s="29">
        <f t="shared" si="245"/>
        <v>0</v>
      </c>
      <c r="GT28" s="29">
        <f t="shared" si="246"/>
        <v>0</v>
      </c>
      <c r="GU28" s="29">
        <f t="shared" si="247"/>
        <v>0</v>
      </c>
      <c r="GV28" s="29">
        <f t="shared" si="248"/>
        <v>0</v>
      </c>
      <c r="GW28" s="29">
        <f t="shared" si="249"/>
        <v>0</v>
      </c>
      <c r="GX28" s="29">
        <f t="shared" si="250"/>
        <v>0</v>
      </c>
      <c r="GY28" s="29">
        <f t="shared" si="251"/>
        <v>0</v>
      </c>
      <c r="GZ28" s="29">
        <f t="shared" si="252"/>
        <v>0</v>
      </c>
      <c r="HA28" s="29">
        <f t="shared" si="253"/>
        <v>0</v>
      </c>
      <c r="HB28" s="29">
        <f t="shared" si="254"/>
        <v>0</v>
      </c>
      <c r="HC28" s="29"/>
      <c r="HD28" s="29">
        <f t="shared" si="29"/>
        <v>20</v>
      </c>
      <c r="HE28" s="29">
        <f t="shared" si="100"/>
        <v>0</v>
      </c>
      <c r="HF28" s="29">
        <f t="shared" si="101"/>
        <v>34.646107453551721</v>
      </c>
      <c r="HG28" s="29">
        <f t="shared" si="102"/>
        <v>33.940833370097089</v>
      </c>
      <c r="HH28" s="29">
        <f t="shared" si="103"/>
        <v>33.244929902324948</v>
      </c>
      <c r="HI28" s="29">
        <f t="shared" si="104"/>
        <v>32.592421635453924</v>
      </c>
      <c r="HJ28" s="29">
        <f t="shared" si="105"/>
        <v>31.908103691868249</v>
      </c>
      <c r="HK28" s="29">
        <f t="shared" si="106"/>
        <v>31.26269743508524</v>
      </c>
      <c r="HL28" s="29">
        <f t="shared" si="107"/>
        <v>30.626014543471147</v>
      </c>
      <c r="HM28" s="29">
        <f t="shared" si="108"/>
        <v>30.001886746941256</v>
      </c>
      <c r="HN28" s="29">
        <f t="shared" si="109"/>
        <v>29.393217089249429</v>
      </c>
      <c r="HO28" s="29">
        <f t="shared" si="110"/>
        <v>30.252366669780876</v>
      </c>
      <c r="HP28" s="29">
        <f t="shared" si="111"/>
        <v>77.87118335070052</v>
      </c>
      <c r="HQ28" s="29">
        <f t="shared" si="112"/>
        <v>85.721011455569453</v>
      </c>
      <c r="HR28" s="29">
        <f t="shared" si="113"/>
        <v>81.300972746602994</v>
      </c>
      <c r="HS28" s="29">
        <f t="shared" si="114"/>
        <v>64.022347333062058</v>
      </c>
      <c r="HT28" s="29">
        <f t="shared" si="115"/>
        <v>2810.252203384006</v>
      </c>
      <c r="HU28" s="29">
        <f t="shared" si="116"/>
        <v>0</v>
      </c>
      <c r="HV28" s="29">
        <f t="shared" si="117"/>
        <v>0</v>
      </c>
      <c r="HW28" s="29">
        <f t="shared" si="118"/>
        <v>0</v>
      </c>
      <c r="HX28" s="29">
        <f t="shared" si="119"/>
        <v>0</v>
      </c>
      <c r="HY28" s="29">
        <f t="shared" si="120"/>
        <v>0</v>
      </c>
      <c r="HZ28" s="29">
        <f t="shared" si="121"/>
        <v>0</v>
      </c>
      <c r="IA28" s="29">
        <f t="shared" si="122"/>
        <v>0</v>
      </c>
      <c r="IB28" s="29">
        <f t="shared" si="123"/>
        <v>0</v>
      </c>
      <c r="IC28" s="29">
        <f t="shared" si="124"/>
        <v>0</v>
      </c>
      <c r="ID28" s="29">
        <f t="shared" si="125"/>
        <v>0</v>
      </c>
      <c r="IE28" s="29">
        <f t="shared" si="126"/>
        <v>0</v>
      </c>
      <c r="IF28" s="29">
        <f t="shared" si="127"/>
        <v>0</v>
      </c>
      <c r="IG28" s="29">
        <f t="shared" si="128"/>
        <v>0</v>
      </c>
      <c r="IH28" s="29">
        <f t="shared" si="129"/>
        <v>0</v>
      </c>
      <c r="II28" s="29">
        <f t="shared" si="130"/>
        <v>0</v>
      </c>
      <c r="IJ28" s="29">
        <f t="shared" si="131"/>
        <v>0</v>
      </c>
      <c r="IK28" s="48"/>
      <c r="IL28" s="103"/>
      <c r="IM28" s="103"/>
      <c r="IN28" s="29">
        <f t="shared" si="199"/>
        <v>14.139150759898413</v>
      </c>
      <c r="IO28" s="29">
        <f t="shared" si="239"/>
        <v>10.827005816186739</v>
      </c>
      <c r="IP28" s="29">
        <f t="shared" si="287"/>
        <v>7.625657143021197</v>
      </c>
      <c r="IQ28" s="29">
        <f t="shared" si="288"/>
        <v>5.0153525349222559</v>
      </c>
      <c r="IR28" s="29">
        <f t="shared" si="289"/>
        <v>2.5211376701340686</v>
      </c>
      <c r="IS28" s="29">
        <f t="shared" si="290"/>
        <v>0.98598962990319206</v>
      </c>
      <c r="IT28" s="29">
        <f t="shared" si="291"/>
        <v>-0.44990291766924623</v>
      </c>
      <c r="IU28" s="29">
        <f t="shared" si="292"/>
        <v>-1.4147931173592756</v>
      </c>
      <c r="IV28" s="29">
        <f t="shared" si="293"/>
        <v>-1.935761102927914</v>
      </c>
      <c r="IW28" s="29">
        <f t="shared" si="294"/>
        <v>-2.046027684470106</v>
      </c>
      <c r="IX28" s="29">
        <f t="shared" si="295"/>
        <v>-1.8215355383925667</v>
      </c>
      <c r="IY28" s="29">
        <f t="shared" si="296"/>
        <v>-1.3696670545433225</v>
      </c>
      <c r="IZ28" s="29">
        <f t="shared" si="297"/>
        <v>-0.57734700306714637</v>
      </c>
      <c r="JA28" s="29">
        <f t="shared" si="298"/>
        <v>0</v>
      </c>
      <c r="JB28" s="29">
        <f t="shared" si="299"/>
        <v>0</v>
      </c>
      <c r="JC28" s="29">
        <f t="shared" si="300"/>
        <v>0</v>
      </c>
      <c r="JD28" s="29">
        <f t="shared" si="301"/>
        <v>0</v>
      </c>
      <c r="JE28" s="29">
        <f t="shared" si="270"/>
        <v>0</v>
      </c>
      <c r="JF28" s="29">
        <f t="shared" si="271"/>
        <v>0</v>
      </c>
      <c r="JG28" s="29">
        <f t="shared" si="272"/>
        <v>0</v>
      </c>
      <c r="JH28" s="29">
        <f t="shared" si="273"/>
        <v>0</v>
      </c>
      <c r="JI28" s="29">
        <f t="shared" si="274"/>
        <v>0</v>
      </c>
      <c r="JJ28" s="29">
        <f t="shared" si="275"/>
        <v>0</v>
      </c>
      <c r="JK28" s="29">
        <f t="shared" si="276"/>
        <v>0</v>
      </c>
      <c r="JL28" s="29">
        <f t="shared" si="277"/>
        <v>0</v>
      </c>
      <c r="JM28" s="29">
        <f t="shared" si="278"/>
        <v>0</v>
      </c>
      <c r="JN28" s="29">
        <f t="shared" si="279"/>
        <v>0</v>
      </c>
      <c r="JO28" s="29">
        <f t="shared" si="280"/>
        <v>0</v>
      </c>
      <c r="JP28" s="29">
        <f t="shared" si="281"/>
        <v>0</v>
      </c>
      <c r="JQ28" s="29">
        <f t="shared" si="282"/>
        <v>0</v>
      </c>
      <c r="JR28" s="29">
        <f t="shared" si="283"/>
        <v>0</v>
      </c>
      <c r="JS28" s="29">
        <f t="shared" si="284"/>
        <v>0</v>
      </c>
      <c r="JT28" s="103"/>
      <c r="JU28" s="401">
        <f t="shared" si="201"/>
        <v>20</v>
      </c>
      <c r="JV28" s="29">
        <f t="shared" si="202"/>
        <v>0</v>
      </c>
      <c r="JW28" s="29">
        <f t="shared" si="203"/>
        <v>0.78511295103760936</v>
      </c>
      <c r="JX28" s="29">
        <f t="shared" si="204"/>
        <v>0.57242592016080773</v>
      </c>
      <c r="JY28" s="29">
        <f t="shared" si="205"/>
        <v>0.39076462469443418</v>
      </c>
      <c r="JZ28" s="29">
        <f t="shared" si="206"/>
        <v>0.20449055915746156</v>
      </c>
      <c r="KA28" s="29">
        <f t="shared" si="207"/>
        <v>8.3534500124811797E-2</v>
      </c>
      <c r="KB28" s="29">
        <f t="shared" si="208"/>
        <v>-3.9964775955227252E-2</v>
      </c>
      <c r="KC28" s="29">
        <f t="shared" si="209"/>
        <v>-0.13234250958142213</v>
      </c>
      <c r="KD28" s="29">
        <f t="shared" si="210"/>
        <v>-0.19163538573442834</v>
      </c>
      <c r="KE28" s="29">
        <f t="shared" si="211"/>
        <v>-0.21561476505551586</v>
      </c>
      <c r="KF28" s="29">
        <f t="shared" si="212"/>
        <v>-0.20574161789749984</v>
      </c>
      <c r="KG28" s="29">
        <f t="shared" si="213"/>
        <v>-0.1671741291446982</v>
      </c>
      <c r="KH28" s="29">
        <f t="shared" si="214"/>
        <v>-7.6908295078906563E-2</v>
      </c>
      <c r="KI28" s="29">
        <f t="shared" si="215"/>
        <v>0</v>
      </c>
      <c r="KJ28" s="29">
        <f t="shared" si="216"/>
        <v>0</v>
      </c>
      <c r="KK28" s="29">
        <f t="shared" si="217"/>
        <v>0</v>
      </c>
      <c r="KL28" s="29">
        <f t="shared" si="218"/>
        <v>0</v>
      </c>
      <c r="KM28" s="29">
        <f t="shared" si="219"/>
        <v>0</v>
      </c>
      <c r="KN28" s="29">
        <f t="shared" si="220"/>
        <v>0</v>
      </c>
      <c r="KO28" s="29">
        <f t="shared" si="221"/>
        <v>0</v>
      </c>
      <c r="KP28" s="29">
        <f t="shared" si="222"/>
        <v>0</v>
      </c>
      <c r="KQ28" s="29">
        <f t="shared" si="223"/>
        <v>0</v>
      </c>
      <c r="KR28" s="29">
        <f t="shared" si="224"/>
        <v>0</v>
      </c>
      <c r="KS28" s="29">
        <f t="shared" si="225"/>
        <v>0</v>
      </c>
      <c r="KT28" s="29">
        <f t="shared" si="226"/>
        <v>0</v>
      </c>
      <c r="KU28" s="29">
        <f t="shared" si="227"/>
        <v>0</v>
      </c>
      <c r="KV28" s="29">
        <f t="shared" si="228"/>
        <v>0</v>
      </c>
      <c r="KW28" s="29">
        <f t="shared" si="229"/>
        <v>0</v>
      </c>
      <c r="KX28" s="29">
        <f t="shared" si="230"/>
        <v>0</v>
      </c>
      <c r="KY28" s="29">
        <f t="shared" si="231"/>
        <v>0</v>
      </c>
      <c r="KZ28" s="29">
        <f t="shared" si="232"/>
        <v>0</v>
      </c>
      <c r="LA28" s="29">
        <f t="shared" si="233"/>
        <v>0</v>
      </c>
      <c r="LB28" s="103"/>
      <c r="LC28" s="103"/>
      <c r="LD28" s="103"/>
      <c r="LE28" s="103"/>
      <c r="LF28" s="103"/>
      <c r="LG28" s="103"/>
      <c r="LH28" s="103"/>
      <c r="LI28" s="103"/>
      <c r="LJ28" s="103"/>
      <c r="LK28" s="103"/>
      <c r="LL28" s="103"/>
      <c r="LM28" s="103"/>
      <c r="LN28" s="103"/>
      <c r="LO28" s="46">
        <f t="shared" si="30"/>
        <v>0.21820515283689459</v>
      </c>
      <c r="LP28" s="47">
        <f t="shared" si="31"/>
        <v>0.60614339164088349</v>
      </c>
      <c r="LQ28" s="28"/>
      <c r="LR28" s="48"/>
      <c r="LS28" s="28"/>
      <c r="LT28" s="166">
        <v>3.3670000000000005E-2</v>
      </c>
      <c r="LU28" s="115">
        <f t="shared" si="70"/>
        <v>5.4587046201999158E-18</v>
      </c>
      <c r="LV28" s="157">
        <f t="shared" si="15"/>
        <v>4.0840840338292005E-14</v>
      </c>
      <c r="LW28" s="229" t="e">
        <f>LW27*(1+#REF!)</f>
        <v>#REF!</v>
      </c>
      <c r="LX28" s="158"/>
      <c r="LY28" s="129">
        <f t="shared" si="71"/>
        <v>-170.75742261146661</v>
      </c>
      <c r="LZ28" s="130">
        <f t="shared" si="72"/>
        <v>-758.48460351224639</v>
      </c>
      <c r="MA28" s="28"/>
      <c r="MB28" s="381">
        <f t="shared" si="285"/>
        <v>3.2499999999999994E-2</v>
      </c>
      <c r="MC28" s="394">
        <f t="shared" si="177"/>
        <v>-240.42039277430635</v>
      </c>
      <c r="MD28" s="157">
        <f t="shared" si="158"/>
        <v>-4807.8951172970674</v>
      </c>
      <c r="ME28" s="28"/>
      <c r="MF28" s="381">
        <f t="shared" si="286"/>
        <v>3.2499999999999994E-2</v>
      </c>
      <c r="MG28" s="394">
        <f t="shared" si="178"/>
        <v>-9.3452191880698336</v>
      </c>
      <c r="MH28" s="157">
        <f t="shared" si="159"/>
        <v>-186.88445346052839</v>
      </c>
      <c r="MI28" s="28"/>
      <c r="MJ28" s="28"/>
      <c r="MK28" s="28"/>
      <c r="ML28" s="28"/>
      <c r="MM28" s="28"/>
      <c r="MN28" s="28"/>
      <c r="MO28" s="28"/>
      <c r="MP28" s="28"/>
      <c r="MQ28" s="28"/>
      <c r="MR28" s="28">
        <f t="shared" si="84"/>
        <v>81</v>
      </c>
      <c r="MS28" s="28">
        <f t="shared" si="85"/>
        <v>0.26451559620057047</v>
      </c>
      <c r="MT28" s="28">
        <f t="shared" si="86"/>
        <v>0.28186939860801308</v>
      </c>
      <c r="MU28" s="28">
        <f t="shared" si="87"/>
        <v>0.30029810202704216</v>
      </c>
      <c r="MV28" s="28">
        <f t="shared" si="88"/>
        <v>0.31986437294057252</v>
      </c>
      <c r="MW28" s="28">
        <f t="shared" si="89"/>
        <v>0.3406343046796883</v>
      </c>
      <c r="MX28" s="28">
        <f t="shared" si="90"/>
        <v>0.36267759250999138</v>
      </c>
    </row>
    <row r="29" spans="1:374" s="30" customFormat="1" ht="12.75" customHeight="1" thickBot="1" x14ac:dyDescent="0.35">
      <c r="A29" s="305">
        <f t="shared" si="91"/>
        <v>2038</v>
      </c>
      <c r="B29" s="355">
        <f t="shared" si="1"/>
        <v>2036</v>
      </c>
      <c r="C29" s="26">
        <v>49857</v>
      </c>
      <c r="D29" s="96">
        <f t="shared" si="132"/>
        <v>8073.626223218097</v>
      </c>
      <c r="E29" s="27">
        <f t="shared" si="133"/>
        <v>8073.626223218097</v>
      </c>
      <c r="F29" s="111">
        <f t="shared" si="18"/>
        <v>8423.0950608490675</v>
      </c>
      <c r="G29" s="27">
        <f t="shared" si="134"/>
        <v>17719.714100718109</v>
      </c>
      <c r="H29" s="27">
        <f t="shared" si="135"/>
        <v>9391.4484733805984</v>
      </c>
      <c r="I29" s="296">
        <f t="shared" si="136"/>
        <v>7982.7312023735085</v>
      </c>
      <c r="J29" s="69">
        <v>2232.3354890000001</v>
      </c>
      <c r="K29" s="297">
        <f t="shared" si="160"/>
        <v>5750.3957133735084</v>
      </c>
      <c r="L29" s="297">
        <f t="shared" si="137"/>
        <v>8328.2656273375105</v>
      </c>
      <c r="M29" s="297">
        <f t="shared" si="161"/>
        <v>7079.0257832368843</v>
      </c>
      <c r="N29" s="27">
        <f t="shared" si="162"/>
        <v>0</v>
      </c>
      <c r="O29" s="297">
        <f t="shared" si="138"/>
        <v>1408.7172710070897</v>
      </c>
      <c r="P29" s="297">
        <f t="shared" si="139"/>
        <v>1249.2398441006264</v>
      </c>
      <c r="Q29" s="297">
        <f t="shared" si="140"/>
        <v>768.44256307835838</v>
      </c>
      <c r="R29" s="260">
        <f t="shared" si="2"/>
        <v>0.53</v>
      </c>
      <c r="S29" s="257">
        <v>0.47</v>
      </c>
      <c r="T29" s="290">
        <f t="shared" si="163"/>
        <v>7.2499999999999995E-2</v>
      </c>
      <c r="U29" s="290">
        <f t="shared" si="164"/>
        <v>7.2499999999999995E-2</v>
      </c>
      <c r="V29" s="27">
        <f t="shared" si="4"/>
        <v>78148.166416443244</v>
      </c>
      <c r="W29" s="27">
        <f t="shared" si="141"/>
        <v>73704.668126096352</v>
      </c>
      <c r="X29" s="27">
        <f t="shared" si="179"/>
        <v>4443.4982903468945</v>
      </c>
      <c r="Y29" s="27">
        <f t="shared" si="142"/>
        <v>797.50994381905207</v>
      </c>
      <c r="Z29" s="27">
        <f t="shared" si="180"/>
        <v>660.47310557600122</v>
      </c>
      <c r="AA29" s="115">
        <f t="shared" si="165"/>
        <v>7.0000000000000007E-2</v>
      </c>
      <c r="AB29" s="115">
        <f t="shared" si="166"/>
        <v>7.0000000000000007E-2</v>
      </c>
      <c r="AC29" s="96">
        <f t="shared" si="6"/>
        <v>80298.812171788872</v>
      </c>
      <c r="AD29" s="27">
        <f t="shared" si="143"/>
        <v>75733.028341355282</v>
      </c>
      <c r="AE29" s="27">
        <f t="shared" si="181"/>
        <v>4565.7838304335946</v>
      </c>
      <c r="AF29" s="150">
        <f t="shared" si="144"/>
        <v>839.39924836798002</v>
      </c>
      <c r="AG29" s="27">
        <f t="shared" si="234"/>
        <v>695.16453391526557</v>
      </c>
      <c r="AH29" s="27">
        <f t="shared" si="167"/>
        <v>60620.026414699161</v>
      </c>
      <c r="AI29" s="27">
        <f t="shared" si="145"/>
        <v>56105.178575908147</v>
      </c>
      <c r="AJ29" s="27">
        <f t="shared" si="182"/>
        <v>4514.8478387910154</v>
      </c>
      <c r="AK29" s="27">
        <f t="shared" si="10"/>
        <v>59556.009809929194</v>
      </c>
      <c r="AL29" s="27">
        <f t="shared" si="168"/>
        <v>55109.42838926446</v>
      </c>
      <c r="AM29" s="27">
        <f t="shared" si="235"/>
        <v>4446.5814206647347</v>
      </c>
      <c r="AN29" s="417">
        <f>INDEX(Inv.Returns!$B$2:$E$32,MATCH(B29,Inv.Returns!$A$2:$A$32,0),MATCH(SCRS!$DT$52,Inv.Returns!$B$1:$E$1,0))</f>
        <v>0.06</v>
      </c>
      <c r="AO29" s="27">
        <f t="shared" si="36"/>
        <v>19678.78575708971</v>
      </c>
      <c r="AP29" s="229">
        <f t="shared" si="11"/>
        <v>20742.802361859678</v>
      </c>
      <c r="AQ29" s="68">
        <f t="shared" si="19"/>
        <v>0.75493054971984508</v>
      </c>
      <c r="AR29" s="218">
        <f t="shared" si="20"/>
        <v>0.74167983559354345</v>
      </c>
      <c r="AS29" s="353"/>
      <c r="AT29" s="289">
        <f t="shared" si="94"/>
        <v>0.10619143798971015</v>
      </c>
      <c r="AU29" s="397">
        <f t="shared" si="169"/>
        <v>9.9400593584701089E-2</v>
      </c>
      <c r="AV29" s="303">
        <f t="shared" si="95"/>
        <v>0.18976595957270775</v>
      </c>
      <c r="AW29" s="303">
        <f t="shared" si="146"/>
        <v>3.4973914668238033E-4</v>
      </c>
      <c r="AX29" s="115">
        <f t="shared" si="61"/>
        <v>0.09</v>
      </c>
      <c r="AY29" s="115">
        <f t="shared" si="147"/>
        <v>0.09</v>
      </c>
      <c r="AZ29" s="115">
        <f t="shared" si="148"/>
        <v>0</v>
      </c>
      <c r="BA29" s="262">
        <f t="shared" si="21"/>
        <v>1.619143798971015E-2</v>
      </c>
      <c r="BB29" s="115">
        <f t="shared" si="170"/>
        <v>9.4005935847010919E-3</v>
      </c>
      <c r="BC29" s="133">
        <f t="shared" si="77"/>
        <v>0.18560000000000004</v>
      </c>
      <c r="BD29" s="133">
        <f t="shared" si="96"/>
        <v>0.18560000000000004</v>
      </c>
      <c r="BE29" s="410">
        <f t="shared" si="12"/>
        <v>0.16940856201028989</v>
      </c>
      <c r="BF29" s="410">
        <f t="shared" si="149"/>
        <v>0.17619940641529896</v>
      </c>
      <c r="BG29" s="410">
        <f t="shared" si="171"/>
        <v>0.13560000000000005</v>
      </c>
      <c r="BH29" s="410">
        <f t="shared" si="23"/>
        <v>0.18560000000000004</v>
      </c>
      <c r="BI29" s="157">
        <f t="shared" si="37"/>
        <v>5.8040249841078477</v>
      </c>
      <c r="BJ29" s="104">
        <f t="shared" si="38"/>
        <v>3.8834951456310662E-2</v>
      </c>
      <c r="BK29" s="27">
        <f t="shared" si="62"/>
        <v>6.419657635552209</v>
      </c>
      <c r="BL29" s="27">
        <f t="shared" si="14"/>
        <v>20</v>
      </c>
      <c r="BM29" s="111">
        <f t="shared" si="26"/>
        <v>6.1196595161417733</v>
      </c>
      <c r="BN29" s="27"/>
      <c r="BO29" s="27"/>
      <c r="BP29" s="96">
        <f t="shared" si="172"/>
        <v>-4666.460226951097</v>
      </c>
      <c r="BQ29" s="27">
        <f t="shared" si="183"/>
        <v>-247.76590241329092</v>
      </c>
      <c r="BR29" s="27">
        <f t="shared" si="173"/>
        <v>-181.38683308036167</v>
      </c>
      <c r="BS29" s="27">
        <f t="shared" si="184"/>
        <v>-9.6307415467693751</v>
      </c>
      <c r="BT29" s="27">
        <f t="shared" si="150"/>
        <v>-9.579277442848209</v>
      </c>
      <c r="BU29" s="27">
        <f t="shared" si="185"/>
        <v>-8.4948309398842596</v>
      </c>
      <c r="BV29" s="304">
        <f t="shared" si="151"/>
        <v>718.44580821361569</v>
      </c>
      <c r="BW29" s="304">
        <f t="shared" si="186"/>
        <v>637.11232049131957</v>
      </c>
      <c r="BX29" s="304">
        <f t="shared" si="187"/>
        <v>0</v>
      </c>
      <c r="BY29" s="304">
        <f t="shared" si="152"/>
        <v>69.159830677052256</v>
      </c>
      <c r="BZ29" s="304">
        <f t="shared" si="78"/>
        <v>130.53271759721258</v>
      </c>
      <c r="CA29" s="304">
        <f t="shared" si="188"/>
        <v>66.54704436383031</v>
      </c>
      <c r="CB29" s="304">
        <f t="shared" si="236"/>
        <v>3437.0362968077652</v>
      </c>
      <c r="CC29" s="304">
        <f t="shared" si="189"/>
        <v>0</v>
      </c>
      <c r="CD29" s="304">
        <f t="shared" si="190"/>
        <v>1.0069470767274264</v>
      </c>
      <c r="CE29" s="304"/>
      <c r="CF29" s="304">
        <f t="shared" si="174"/>
        <v>0</v>
      </c>
      <c r="CG29" s="304">
        <f t="shared" si="153"/>
        <v>0</v>
      </c>
      <c r="CH29" s="304">
        <f t="shared" si="175"/>
        <v>0</v>
      </c>
      <c r="CI29" s="27"/>
      <c r="CJ29" s="27">
        <f t="shared" si="39"/>
        <v>0</v>
      </c>
      <c r="CK29" s="27">
        <f t="shared" si="40"/>
        <v>0</v>
      </c>
      <c r="CL29" s="27">
        <f t="shared" si="41"/>
        <v>0</v>
      </c>
      <c r="CM29" s="27">
        <f t="shared" si="42"/>
        <v>5059.8409652275232</v>
      </c>
      <c r="CN29" s="27">
        <f t="shared" si="43"/>
        <v>0</v>
      </c>
      <c r="CO29" s="111">
        <f t="shared" si="3"/>
        <v>5059.8409652275232</v>
      </c>
      <c r="CP29" s="27">
        <f t="shared" si="154"/>
        <v>3438.0432438844928</v>
      </c>
      <c r="CQ29" s="27">
        <f t="shared" si="155"/>
        <v>0</v>
      </c>
      <c r="CR29" s="27">
        <f t="shared" si="176"/>
        <v>3438.0432438844928</v>
      </c>
      <c r="CS29" s="27">
        <f>SUM($CR$14:CR29)</f>
        <v>40716.218000112807</v>
      </c>
      <c r="CT29" s="229">
        <v>2449.0367126722831</v>
      </c>
      <c r="CU29" s="425">
        <v>503.04192451594975</v>
      </c>
      <c r="CV29" s="425">
        <v>2952.0786371882327</v>
      </c>
      <c r="CW29" s="425">
        <v>39413.917162148849</v>
      </c>
      <c r="CX29" s="107">
        <f t="shared" si="44"/>
        <v>132.89785575538582</v>
      </c>
      <c r="CY29" s="115">
        <f t="shared" si="92"/>
        <v>0.20380727674054522</v>
      </c>
      <c r="CZ29" s="96">
        <f t="shared" si="45"/>
        <v>3768.0208616009218</v>
      </c>
      <c r="DA29" s="418">
        <f t="shared" si="46"/>
        <v>2698.7555495746169</v>
      </c>
      <c r="DB29" s="314">
        <f t="shared" si="47"/>
        <v>2303.4120514472661</v>
      </c>
      <c r="DC29" s="314">
        <f t="shared" si="48"/>
        <v>132.03903109855011</v>
      </c>
      <c r="DD29" s="314">
        <f t="shared" si="49"/>
        <v>0</v>
      </c>
      <c r="DE29" s="314">
        <f t="shared" si="50"/>
        <v>33403.074511434112</v>
      </c>
      <c r="DF29" s="314" t="b">
        <f t="shared" si="63"/>
        <v>0</v>
      </c>
      <c r="DG29" s="27">
        <f t="shared" si="51"/>
        <v>132.89785575538582</v>
      </c>
      <c r="DH29" s="100">
        <f t="shared" si="52"/>
        <v>89.038589931343139</v>
      </c>
      <c r="DI29" s="105">
        <f t="shared" si="53"/>
        <v>1.1633156686692707E-2</v>
      </c>
      <c r="DJ29" s="96">
        <f t="shared" si="54"/>
        <v>0</v>
      </c>
      <c r="DK29" s="100">
        <f t="shared" si="55"/>
        <v>0</v>
      </c>
      <c r="DL29" s="105">
        <f t="shared" si="56"/>
        <v>0</v>
      </c>
      <c r="DM29" s="299">
        <v>3431.4018768006254</v>
      </c>
      <c r="DN29" s="100">
        <f t="shared" si="57"/>
        <v>2457.6601876619975</v>
      </c>
      <c r="DO29" s="301">
        <v>0.89262829385980502</v>
      </c>
      <c r="DP29" s="29"/>
      <c r="DQ29" s="79" t="s">
        <v>69</v>
      </c>
      <c r="DR29" s="66"/>
      <c r="DS29" s="66"/>
      <c r="DT29" s="271"/>
      <c r="DU29" s="29"/>
      <c r="DV29" s="327"/>
      <c r="DW29" s="328"/>
      <c r="DX29" s="328"/>
      <c r="DY29" s="328"/>
      <c r="DZ29" s="328"/>
      <c r="EA29" s="328"/>
      <c r="EB29" s="328"/>
      <c r="EC29" s="328"/>
      <c r="ED29" s="328"/>
      <c r="EE29" s="328"/>
      <c r="EF29" s="328"/>
      <c r="EG29" s="328"/>
      <c r="EH29" s="329"/>
      <c r="EI29" s="330"/>
      <c r="EJ29" s="339">
        <f t="shared" si="64"/>
        <v>0.16940856201028989</v>
      </c>
      <c r="EK29" s="339">
        <f t="shared" si="58"/>
        <v>1.619143798971015E-2</v>
      </c>
      <c r="EL29" s="339" t="e">
        <f t="shared" si="65"/>
        <v>#DIV/0!</v>
      </c>
      <c r="EM29" s="339">
        <f t="shared" si="59"/>
        <v>0</v>
      </c>
      <c r="EN29" s="339">
        <v>0.17560000000000003</v>
      </c>
      <c r="EO29" s="339">
        <v>0.14584694197056447</v>
      </c>
      <c r="EP29" s="340" t="e">
        <f>SUM(EJ29:EL29)</f>
        <v>#DIV/0!</v>
      </c>
      <c r="EQ29" s="283"/>
      <c r="ER29" s="341">
        <v>20</v>
      </c>
      <c r="ES29" s="29">
        <f t="shared" si="79"/>
        <v>3655.8711630296448</v>
      </c>
      <c r="ET29" s="29">
        <f t="shared" si="80"/>
        <v>3133.8233309303</v>
      </c>
      <c r="EU29" s="29">
        <f t="shared" si="67"/>
        <v>-522.04783209934476</v>
      </c>
      <c r="EV29" s="29">
        <f t="shared" si="68"/>
        <v>-417.63826567947581</v>
      </c>
      <c r="EW29" s="29">
        <f t="shared" si="81"/>
        <v>-298.31948934201046</v>
      </c>
      <c r="EX29" s="29">
        <f t="shared" si="93"/>
        <v>-189.48990261165196</v>
      </c>
      <c r="EY29" s="29">
        <f t="shared" si="97"/>
        <v>-90.302529010549009</v>
      </c>
      <c r="EZ29" s="29">
        <f t="shared" si="69"/>
        <v>-995.75018664368724</v>
      </c>
      <c r="FA29" s="29"/>
      <c r="FB29" s="29">
        <f t="shared" si="237"/>
        <v>279.16698286759225</v>
      </c>
      <c r="FC29" s="29">
        <f t="shared" si="238"/>
        <v>239.09424689745128</v>
      </c>
      <c r="FD29" s="29">
        <f t="shared" si="191"/>
        <v>-40.072735970140968</v>
      </c>
      <c r="FE29" s="29">
        <f t="shared" si="192"/>
        <v>-32.058188776112772</v>
      </c>
      <c r="FF29" s="29">
        <f t="shared" si="193"/>
        <v>-20.292291534322757</v>
      </c>
      <c r="FG29" s="29">
        <f t="shared" si="194"/>
        <v>-11.280178349735772</v>
      </c>
      <c r="FH29" s="29">
        <f t="shared" si="195"/>
        <v>-4.6357594661093788</v>
      </c>
      <c r="FI29" s="29">
        <f t="shared" si="196"/>
        <v>-68.266418126280684</v>
      </c>
      <c r="FJ29" s="29"/>
      <c r="FK29" s="29"/>
      <c r="FL29" s="27">
        <f t="shared" si="24"/>
        <v>21237.182470842381</v>
      </c>
      <c r="FM29" s="29"/>
      <c r="FN29" s="308">
        <f t="shared" si="156"/>
        <v>3437.0362968077648</v>
      </c>
      <c r="FO29" s="93">
        <f t="shared" si="197"/>
        <v>1.0069470767274264</v>
      </c>
      <c r="FP29" s="27">
        <f t="shared" si="82"/>
        <v>20</v>
      </c>
      <c r="FQ29" s="309">
        <f t="shared" si="27"/>
        <v>13.512970250241354</v>
      </c>
      <c r="FR29" s="93">
        <f t="shared" si="60"/>
        <v>1571.614684081989</v>
      </c>
      <c r="FS29" s="93">
        <f t="shared" si="198"/>
        <v>3438.0432438844923</v>
      </c>
      <c r="FT29" s="29">
        <f t="shared" si="83"/>
        <v>20</v>
      </c>
      <c r="FU29" s="142">
        <f t="shared" si="28"/>
        <v>13.512970250241354</v>
      </c>
      <c r="FV29" s="48">
        <v>2586.6375475779701</v>
      </c>
      <c r="FW29" s="29">
        <f t="shared" si="98"/>
        <v>493.06671938025829</v>
      </c>
      <c r="FX29" s="29">
        <f t="shared" si="157"/>
        <v>501.76532166273188</v>
      </c>
      <c r="FY29" s="29">
        <f t="shared" si="255"/>
        <v>475.38957845941371</v>
      </c>
      <c r="FZ29" s="29">
        <f t="shared" si="256"/>
        <v>448.68954593215091</v>
      </c>
      <c r="GA29" s="29">
        <f t="shared" si="257"/>
        <v>422.16861661947991</v>
      </c>
      <c r="GB29" s="29">
        <f t="shared" si="258"/>
        <v>396.24183288239055</v>
      </c>
      <c r="GC29" s="29">
        <f t="shared" si="259"/>
        <v>369.98119126896586</v>
      </c>
      <c r="GD29" s="29">
        <f t="shared" si="260"/>
        <v>344.23675945220697</v>
      </c>
      <c r="GE29" s="29">
        <f t="shared" si="261"/>
        <v>318.64254551770085</v>
      </c>
      <c r="GF29" s="29">
        <f t="shared" si="262"/>
        <v>293.23702196561834</v>
      </c>
      <c r="GG29" s="29">
        <f t="shared" si="263"/>
        <v>268.04014552224612</v>
      </c>
      <c r="GH29" s="29">
        <f t="shared" si="264"/>
        <v>255.29512411043882</v>
      </c>
      <c r="GI29" s="29">
        <f t="shared" si="265"/>
        <v>602.11262147071579</v>
      </c>
      <c r="GJ29" s="29">
        <f t="shared" si="266"/>
        <v>599.87840824459283</v>
      </c>
      <c r="GK29" s="29">
        <f t="shared" si="267"/>
        <v>506.94347709002409</v>
      </c>
      <c r="GL29" s="29">
        <f t="shared" si="268"/>
        <v>348.48232048939508</v>
      </c>
      <c r="GM29" s="29">
        <f t="shared" si="269"/>
        <v>12983.678535378804</v>
      </c>
      <c r="GN29" s="29">
        <f t="shared" si="240"/>
        <v>0</v>
      </c>
      <c r="GO29" s="29">
        <f t="shared" si="241"/>
        <v>0</v>
      </c>
      <c r="GP29" s="29">
        <f t="shared" si="242"/>
        <v>0</v>
      </c>
      <c r="GQ29" s="29">
        <f t="shared" si="243"/>
        <v>0</v>
      </c>
      <c r="GR29" s="29">
        <f t="shared" si="244"/>
        <v>0</v>
      </c>
      <c r="GS29" s="29">
        <f t="shared" si="245"/>
        <v>0</v>
      </c>
      <c r="GT29" s="29">
        <f t="shared" si="246"/>
        <v>0</v>
      </c>
      <c r="GU29" s="29">
        <f t="shared" si="247"/>
        <v>0</v>
      </c>
      <c r="GV29" s="29">
        <f t="shared" si="248"/>
        <v>0</v>
      </c>
      <c r="GW29" s="29">
        <f t="shared" si="249"/>
        <v>0</v>
      </c>
      <c r="GX29" s="29">
        <f t="shared" si="250"/>
        <v>0</v>
      </c>
      <c r="GY29" s="29">
        <f t="shared" si="251"/>
        <v>0</v>
      </c>
      <c r="GZ29" s="29">
        <f t="shared" si="252"/>
        <v>0</v>
      </c>
      <c r="HA29" s="29">
        <f t="shared" si="253"/>
        <v>0</v>
      </c>
      <c r="HB29" s="29">
        <f t="shared" si="254"/>
        <v>0</v>
      </c>
      <c r="HC29" s="29"/>
      <c r="HD29" s="29">
        <f t="shared" si="29"/>
        <v>20</v>
      </c>
      <c r="HE29" s="29">
        <f t="shared" si="100"/>
        <v>0</v>
      </c>
      <c r="HF29" s="29">
        <f t="shared" si="101"/>
        <v>36.385170480836486</v>
      </c>
      <c r="HG29" s="29">
        <f t="shared" si="102"/>
        <v>35.685490677158285</v>
      </c>
      <c r="HH29" s="29">
        <f t="shared" si="103"/>
        <v>34.959058371200001</v>
      </c>
      <c r="HI29" s="29">
        <f t="shared" si="104"/>
        <v>34.242277799394692</v>
      </c>
      <c r="HJ29" s="29">
        <f t="shared" si="105"/>
        <v>33.570194284517548</v>
      </c>
      <c r="HK29" s="29">
        <f t="shared" si="106"/>
        <v>32.865346802624295</v>
      </c>
      <c r="HL29" s="29">
        <f t="shared" si="107"/>
        <v>32.200578358137797</v>
      </c>
      <c r="HM29" s="29">
        <f t="shared" si="108"/>
        <v>31.54479497977529</v>
      </c>
      <c r="HN29" s="29">
        <f t="shared" si="109"/>
        <v>30.901943349349498</v>
      </c>
      <c r="HO29" s="29">
        <f t="shared" si="110"/>
        <v>30.275013601926911</v>
      </c>
      <c r="HP29" s="29">
        <f t="shared" si="111"/>
        <v>31.159937669874303</v>
      </c>
      <c r="HQ29" s="29">
        <f t="shared" si="112"/>
        <v>80.20731885122153</v>
      </c>
      <c r="HR29" s="29">
        <f t="shared" si="113"/>
        <v>88.292641799236549</v>
      </c>
      <c r="HS29" s="29">
        <f t="shared" si="114"/>
        <v>83.740001929001068</v>
      </c>
      <c r="HT29" s="29">
        <f t="shared" si="115"/>
        <v>65.943017753053908</v>
      </c>
      <c r="HU29" s="29">
        <f t="shared" si="116"/>
        <v>2894.5597694855269</v>
      </c>
      <c r="HV29" s="29">
        <f t="shared" si="117"/>
        <v>0</v>
      </c>
      <c r="HW29" s="29">
        <f t="shared" si="118"/>
        <v>0</v>
      </c>
      <c r="HX29" s="29">
        <f t="shared" si="119"/>
        <v>0</v>
      </c>
      <c r="HY29" s="29">
        <f t="shared" si="120"/>
        <v>0</v>
      </c>
      <c r="HZ29" s="29">
        <f t="shared" si="121"/>
        <v>0</v>
      </c>
      <c r="IA29" s="29">
        <f t="shared" si="122"/>
        <v>0</v>
      </c>
      <c r="IB29" s="29">
        <f t="shared" si="123"/>
        <v>0</v>
      </c>
      <c r="IC29" s="29">
        <f t="shared" si="124"/>
        <v>0</v>
      </c>
      <c r="ID29" s="29">
        <f t="shared" si="125"/>
        <v>0</v>
      </c>
      <c r="IE29" s="29">
        <f t="shared" si="126"/>
        <v>0</v>
      </c>
      <c r="IF29" s="29">
        <f t="shared" si="127"/>
        <v>0</v>
      </c>
      <c r="IG29" s="29">
        <f t="shared" si="128"/>
        <v>0</v>
      </c>
      <c r="IH29" s="29">
        <f t="shared" si="129"/>
        <v>0</v>
      </c>
      <c r="II29" s="29">
        <f t="shared" si="130"/>
        <v>0</v>
      </c>
      <c r="IJ29" s="29">
        <f t="shared" si="131"/>
        <v>0</v>
      </c>
      <c r="IK29" s="48"/>
      <c r="IL29" s="48"/>
      <c r="IM29" s="48"/>
      <c r="IN29" s="29">
        <f t="shared" si="199"/>
        <v>18.273378522771374</v>
      </c>
      <c r="IO29" s="29">
        <f t="shared" si="239"/>
        <v>15.128891313091303</v>
      </c>
      <c r="IP29" s="29">
        <f t="shared" si="287"/>
        <v>10.772769071884106</v>
      </c>
      <c r="IQ29" s="29">
        <f t="shared" si="288"/>
        <v>7.5673311670370396</v>
      </c>
      <c r="IR29" s="29">
        <f t="shared" si="289"/>
        <v>4.9622171415540457</v>
      </c>
      <c r="IS29" s="29">
        <f t="shared" si="290"/>
        <v>2.4860906278763837</v>
      </c>
      <c r="IT29" s="29">
        <f t="shared" si="291"/>
        <v>0.96860014517603144</v>
      </c>
      <c r="IU29" s="29">
        <f t="shared" si="292"/>
        <v>-0.44005623621016882</v>
      </c>
      <c r="IV29" s="29">
        <f t="shared" si="293"/>
        <v>-1.3769324791956925</v>
      </c>
      <c r="IW29" s="29">
        <f t="shared" si="294"/>
        <v>-1.8730351957523284</v>
      </c>
      <c r="IX29" s="29">
        <f t="shared" si="295"/>
        <v>-1.966215975159906</v>
      </c>
      <c r="IY29" s="29">
        <f t="shared" si="296"/>
        <v>-1.7362222416896667</v>
      </c>
      <c r="IZ29" s="29">
        <f t="shared" si="297"/>
        <v>-1.2926174845459404</v>
      </c>
      <c r="JA29" s="29">
        <f t="shared" si="298"/>
        <v>-0.53820673425736176</v>
      </c>
      <c r="JB29" s="29">
        <f t="shared" si="299"/>
        <v>0</v>
      </c>
      <c r="JC29" s="29">
        <f t="shared" si="300"/>
        <v>0</v>
      </c>
      <c r="JD29" s="29">
        <f t="shared" si="301"/>
        <v>0</v>
      </c>
      <c r="JE29" s="29">
        <f t="shared" si="270"/>
        <v>0</v>
      </c>
      <c r="JF29" s="29">
        <f t="shared" si="271"/>
        <v>0</v>
      </c>
      <c r="JG29" s="29">
        <f t="shared" si="272"/>
        <v>0</v>
      </c>
      <c r="JH29" s="29">
        <f t="shared" si="273"/>
        <v>0</v>
      </c>
      <c r="JI29" s="29">
        <f t="shared" si="274"/>
        <v>0</v>
      </c>
      <c r="JJ29" s="29">
        <f t="shared" si="275"/>
        <v>0</v>
      </c>
      <c r="JK29" s="29">
        <f t="shared" si="276"/>
        <v>0</v>
      </c>
      <c r="JL29" s="29">
        <f t="shared" si="277"/>
        <v>0</v>
      </c>
      <c r="JM29" s="29">
        <f t="shared" si="278"/>
        <v>0</v>
      </c>
      <c r="JN29" s="29">
        <f t="shared" si="279"/>
        <v>0</v>
      </c>
      <c r="JO29" s="29">
        <f t="shared" si="280"/>
        <v>0</v>
      </c>
      <c r="JP29" s="29">
        <f t="shared" si="281"/>
        <v>0</v>
      </c>
      <c r="JQ29" s="29">
        <f t="shared" si="282"/>
        <v>0</v>
      </c>
      <c r="JR29" s="29">
        <f t="shared" si="283"/>
        <v>0</v>
      </c>
      <c r="JS29" s="29">
        <f t="shared" si="284"/>
        <v>0</v>
      </c>
      <c r="JT29" s="48"/>
      <c r="JU29" s="401">
        <f t="shared" si="201"/>
        <v>20</v>
      </c>
      <c r="JV29" s="29">
        <f t="shared" si="202"/>
        <v>0</v>
      </c>
      <c r="JW29" s="29">
        <f t="shared" si="203"/>
        <v>1.097061247255499</v>
      </c>
      <c r="JX29" s="29">
        <f t="shared" si="204"/>
        <v>0.80866633956873779</v>
      </c>
      <c r="JY29" s="29">
        <f t="shared" si="205"/>
        <v>0.58959869776563201</v>
      </c>
      <c r="JZ29" s="29">
        <f t="shared" si="206"/>
        <v>0.40248756343526709</v>
      </c>
      <c r="KA29" s="29">
        <f t="shared" si="207"/>
        <v>0.21062527593218541</v>
      </c>
      <c r="KB29" s="29">
        <f t="shared" si="208"/>
        <v>8.6040535128556153E-2</v>
      </c>
      <c r="KC29" s="29">
        <f t="shared" si="209"/>
        <v>-4.1163719233884073E-2</v>
      </c>
      <c r="KD29" s="29">
        <f t="shared" si="210"/>
        <v>-0.13631278486886483</v>
      </c>
      <c r="KE29" s="29">
        <f t="shared" si="211"/>
        <v>-0.19738444730646121</v>
      </c>
      <c r="KF29" s="29">
        <f t="shared" si="212"/>
        <v>-0.22208320800718134</v>
      </c>
      <c r="KG29" s="29">
        <f t="shared" si="213"/>
        <v>-0.21191386643442486</v>
      </c>
      <c r="KH29" s="29">
        <f t="shared" si="214"/>
        <v>-0.17218935301903915</v>
      </c>
      <c r="KI29" s="29">
        <f t="shared" si="215"/>
        <v>-7.9215543931273794E-2</v>
      </c>
      <c r="KJ29" s="29">
        <f t="shared" si="216"/>
        <v>0</v>
      </c>
      <c r="KK29" s="29">
        <f t="shared" si="217"/>
        <v>0</v>
      </c>
      <c r="KL29" s="29">
        <f t="shared" si="218"/>
        <v>0</v>
      </c>
      <c r="KM29" s="29">
        <f t="shared" si="219"/>
        <v>0</v>
      </c>
      <c r="KN29" s="29">
        <f t="shared" si="220"/>
        <v>0</v>
      </c>
      <c r="KO29" s="29">
        <f t="shared" si="221"/>
        <v>0</v>
      </c>
      <c r="KP29" s="29">
        <f t="shared" si="222"/>
        <v>0</v>
      </c>
      <c r="KQ29" s="29">
        <f t="shared" si="223"/>
        <v>0</v>
      </c>
      <c r="KR29" s="29">
        <f t="shared" si="224"/>
        <v>0</v>
      </c>
      <c r="KS29" s="29">
        <f t="shared" si="225"/>
        <v>0</v>
      </c>
      <c r="KT29" s="29">
        <f t="shared" si="226"/>
        <v>0</v>
      </c>
      <c r="KU29" s="29">
        <f t="shared" si="227"/>
        <v>0</v>
      </c>
      <c r="KV29" s="29">
        <f t="shared" si="228"/>
        <v>0</v>
      </c>
      <c r="KW29" s="29">
        <f t="shared" si="229"/>
        <v>0</v>
      </c>
      <c r="KX29" s="29">
        <f t="shared" si="230"/>
        <v>0</v>
      </c>
      <c r="KY29" s="29">
        <f t="shared" si="231"/>
        <v>0</v>
      </c>
      <c r="KZ29" s="29">
        <f t="shared" si="232"/>
        <v>0</v>
      </c>
      <c r="LA29" s="29">
        <f t="shared" si="233"/>
        <v>0</v>
      </c>
      <c r="LB29" s="48"/>
      <c r="LC29" s="48"/>
      <c r="LD29" s="48"/>
      <c r="LE29" s="48"/>
      <c r="LF29" s="48"/>
      <c r="LG29" s="48"/>
      <c r="LH29" s="48"/>
      <c r="LI29" s="48"/>
      <c r="LJ29" s="48"/>
      <c r="LK29" s="48"/>
      <c r="LL29" s="48"/>
      <c r="LM29" s="48"/>
      <c r="LN29" s="48"/>
      <c r="LO29" s="46">
        <f t="shared" si="30"/>
        <v>0.20393004938027531</v>
      </c>
      <c r="LP29" s="47">
        <f t="shared" si="31"/>
        <v>0.59280527299841912</v>
      </c>
      <c r="LQ29" s="28"/>
      <c r="LR29" s="48"/>
      <c r="LS29" s="28" t="s">
        <v>283</v>
      </c>
      <c r="LT29" s="166">
        <v>3.7613333333333339E-2</v>
      </c>
      <c r="LU29" s="115">
        <f t="shared" si="70"/>
        <v>6.0980123685116177E-18</v>
      </c>
      <c r="LV29" s="157">
        <f t="shared" si="15"/>
        <v>5.1364137862206732E-14</v>
      </c>
      <c r="LW29" s="229" t="e">
        <f>LW28*(1+#REF!)</f>
        <v>#REF!</v>
      </c>
      <c r="LX29" s="158"/>
      <c r="LY29" s="129">
        <f t="shared" si="71"/>
        <v>-216.74846746088588</v>
      </c>
      <c r="LZ29" s="130">
        <f t="shared" si="72"/>
        <v>-837.19842389157566</v>
      </c>
      <c r="MA29" s="28"/>
      <c r="MB29" s="381">
        <f t="shared" si="285"/>
        <v>3.4999999999999996E-2</v>
      </c>
      <c r="MC29" s="394">
        <f t="shared" si="177"/>
        <v>-291.48929695681284</v>
      </c>
      <c r="MD29" s="157">
        <f t="shared" si="158"/>
        <v>-4957.9495239079097</v>
      </c>
      <c r="ME29" s="28"/>
      <c r="MF29" s="381">
        <f t="shared" si="286"/>
        <v>3.4999999999999996E-2</v>
      </c>
      <c r="MG29" s="394">
        <f t="shared" si="178"/>
        <v>-11.330284172669852</v>
      </c>
      <c r="MH29" s="157">
        <f t="shared" si="159"/>
        <v>-192.71711725303152</v>
      </c>
      <c r="MI29" s="28"/>
      <c r="MJ29" s="28"/>
      <c r="MK29" s="30" t="s">
        <v>290</v>
      </c>
      <c r="MO29" s="28"/>
      <c r="MP29" s="28"/>
      <c r="MQ29" s="28"/>
      <c r="MR29" s="28">
        <f t="shared" si="84"/>
        <v>82</v>
      </c>
      <c r="MS29" s="28">
        <f t="shared" si="85"/>
        <v>0.24663458853200043</v>
      </c>
      <c r="MT29" s="28">
        <f t="shared" si="86"/>
        <v>0.2636957212991608</v>
      </c>
      <c r="MU29" s="28">
        <f t="shared" si="87"/>
        <v>0.28187421847144362</v>
      </c>
      <c r="MV29" s="28">
        <f t="shared" si="88"/>
        <v>0.30123917005932427</v>
      </c>
      <c r="MW29" s="28">
        <f t="shared" si="89"/>
        <v>0.32186368705118523</v>
      </c>
      <c r="MX29" s="28">
        <f t="shared" si="90"/>
        <v>0.34382512091798018</v>
      </c>
    </row>
    <row r="30" spans="1:374" s="30" customFormat="1" ht="12.75" customHeight="1" x14ac:dyDescent="0.3">
      <c r="A30" s="305">
        <f t="shared" si="91"/>
        <v>2039</v>
      </c>
      <c r="B30" s="355">
        <f t="shared" si="1"/>
        <v>2037</v>
      </c>
      <c r="C30" s="26">
        <v>50222</v>
      </c>
      <c r="D30" s="96">
        <f t="shared" si="132"/>
        <v>7688.2248204871175</v>
      </c>
      <c r="E30" s="27">
        <f t="shared" si="133"/>
        <v>7688.2248204871175</v>
      </c>
      <c r="F30" s="111">
        <f t="shared" si="18"/>
        <v>9414.1528414127988</v>
      </c>
      <c r="G30" s="27">
        <f t="shared" si="134"/>
        <v>18251.305523739651</v>
      </c>
      <c r="H30" s="27">
        <f t="shared" si="135"/>
        <v>8943.139706632428</v>
      </c>
      <c r="I30" s="296">
        <f t="shared" si="136"/>
        <v>7601.6687506375638</v>
      </c>
      <c r="J30" s="69">
        <v>2094.9631439999998</v>
      </c>
      <c r="K30" s="297">
        <f t="shared" si="160"/>
        <v>5506.7056066375644</v>
      </c>
      <c r="L30" s="297">
        <f t="shared" si="137"/>
        <v>9308.1658171072231</v>
      </c>
      <c r="M30" s="297">
        <f t="shared" si="161"/>
        <v>7911.9409445411402</v>
      </c>
      <c r="N30" s="27">
        <f t="shared" si="162"/>
        <v>0</v>
      </c>
      <c r="O30" s="297">
        <f t="shared" si="138"/>
        <v>1341.4709559948642</v>
      </c>
      <c r="P30" s="297">
        <f t="shared" si="139"/>
        <v>1396.2248725660834</v>
      </c>
      <c r="Q30" s="297">
        <f t="shared" si="140"/>
        <v>791.4958399707092</v>
      </c>
      <c r="R30" s="260">
        <f t="shared" si="2"/>
        <v>0.49</v>
      </c>
      <c r="S30" s="257">
        <v>0.51</v>
      </c>
      <c r="T30" s="290">
        <f t="shared" si="163"/>
        <v>7.2499999999999995E-2</v>
      </c>
      <c r="U30" s="290">
        <f t="shared" si="164"/>
        <v>7.2499999999999995E-2</v>
      </c>
      <c r="V30" s="27">
        <f t="shared" si="4"/>
        <v>79919.859899198505</v>
      </c>
      <c r="W30" s="27">
        <f t="shared" si="141"/>
        <v>74708.941295428274</v>
      </c>
      <c r="X30" s="27">
        <f t="shared" si="179"/>
        <v>5210.9186037702257</v>
      </c>
      <c r="Y30" s="27">
        <f t="shared" si="142"/>
        <v>758.71249099142199</v>
      </c>
      <c r="Z30" s="27">
        <f t="shared" si="180"/>
        <v>738.18409012568839</v>
      </c>
      <c r="AA30" s="115">
        <f t="shared" si="165"/>
        <v>7.0000000000000007E-2</v>
      </c>
      <c r="AB30" s="115">
        <f t="shared" si="166"/>
        <v>7.0000000000000007E-2</v>
      </c>
      <c r="AC30" s="298">
        <f t="shared" si="6"/>
        <v>82119.26284544426</v>
      </c>
      <c r="AD30" s="27">
        <f t="shared" si="143"/>
        <v>76764.939213884514</v>
      </c>
      <c r="AE30" s="27">
        <f t="shared" si="181"/>
        <v>5354.3236315597442</v>
      </c>
      <c r="AF30" s="150">
        <f t="shared" si="144"/>
        <v>798.56395472116628</v>
      </c>
      <c r="AG30" s="27">
        <f t="shared" si="234"/>
        <v>776.95729716104063</v>
      </c>
      <c r="AH30" s="27">
        <f t="shared" si="167"/>
        <v>64223.209308773628</v>
      </c>
      <c r="AI30" s="27">
        <f t="shared" si="145"/>
        <v>58944.219316042196</v>
      </c>
      <c r="AJ30" s="27">
        <f t="shared" si="182"/>
        <v>5278.9899927314318</v>
      </c>
      <c r="AK30" s="27">
        <f t="shared" si="10"/>
        <v>63096.833453690902</v>
      </c>
      <c r="AL30" s="27">
        <f t="shared" si="168"/>
        <v>57898.676089083398</v>
      </c>
      <c r="AM30" s="27">
        <f t="shared" si="235"/>
        <v>5198.1573646075076</v>
      </c>
      <c r="AN30" s="417">
        <f>INDEX(Inv.Returns!$B$2:$E$32,MATCH(B30,Inv.Returns!$A$2:$A$32,0),MATCH(SCRS!$DT$52,Inv.Returns!$B$1:$E$1,0))</f>
        <v>0.06</v>
      </c>
      <c r="AO30" s="27">
        <f t="shared" si="36"/>
        <v>17896.053536670632</v>
      </c>
      <c r="AP30" s="229">
        <f t="shared" si="11"/>
        <v>19022.429391753358</v>
      </c>
      <c r="AQ30" s="68">
        <f t="shared" si="19"/>
        <v>0.78207240400644373</v>
      </c>
      <c r="AR30" s="151">
        <f t="shared" si="20"/>
        <v>0.76835606248006316</v>
      </c>
      <c r="AS30" s="353"/>
      <c r="AT30" s="289">
        <f t="shared" si="94"/>
        <v>0.1061801715078521</v>
      </c>
      <c r="AU30" s="397">
        <f t="shared" si="169"/>
        <v>9.9400593584701075E-2</v>
      </c>
      <c r="AV30" s="303">
        <f t="shared" si="95"/>
        <v>0.19175738170218529</v>
      </c>
      <c r="AW30" s="303">
        <f t="shared" si="146"/>
        <v>4.8251040307857926E-4</v>
      </c>
      <c r="AX30" s="115">
        <f t="shared" si="61"/>
        <v>0.09</v>
      </c>
      <c r="AY30" s="115">
        <f t="shared" si="147"/>
        <v>0.09</v>
      </c>
      <c r="AZ30" s="115">
        <f t="shared" si="148"/>
        <v>0</v>
      </c>
      <c r="BA30" s="262">
        <f t="shared" si="21"/>
        <v>1.6180171507852101E-2</v>
      </c>
      <c r="BB30" s="115">
        <f t="shared" si="170"/>
        <v>9.400593584701078E-3</v>
      </c>
      <c r="BC30" s="133">
        <f t="shared" si="77"/>
        <v>0.18560000000000004</v>
      </c>
      <c r="BD30" s="133">
        <f t="shared" si="96"/>
        <v>0.18560000000000004</v>
      </c>
      <c r="BE30" s="410">
        <f t="shared" si="12"/>
        <v>0.16941982849214793</v>
      </c>
      <c r="BF30" s="410">
        <f t="shared" si="149"/>
        <v>0.17619940641529896</v>
      </c>
      <c r="BG30" s="410">
        <f t="shared" si="171"/>
        <v>0.13560000000000005</v>
      </c>
      <c r="BH30" s="410">
        <f t="shared" si="23"/>
        <v>0.18560000000000004</v>
      </c>
      <c r="BI30" s="157">
        <f t="shared" si="37"/>
        <v>5.0718689904211303</v>
      </c>
      <c r="BJ30" s="104">
        <f t="shared" si="38"/>
        <v>3.8834951456310662E-2</v>
      </c>
      <c r="BK30" s="27">
        <f t="shared" si="62"/>
        <v>5.5178833859410146</v>
      </c>
      <c r="BL30" s="27">
        <f t="shared" si="14"/>
        <v>20</v>
      </c>
      <c r="BM30" s="111">
        <f t="shared" si="26"/>
        <v>5.2698873588147803</v>
      </c>
      <c r="BN30" s="27"/>
      <c r="BO30" s="27"/>
      <c r="BP30" s="96">
        <f t="shared" si="172"/>
        <v>-4763.6309104075563</v>
      </c>
      <c r="BQ30" s="27">
        <f t="shared" si="183"/>
        <v>-296.69778542029275</v>
      </c>
      <c r="BR30" s="27">
        <f t="shared" si="173"/>
        <v>-185.1638892821108</v>
      </c>
      <c r="BS30" s="27">
        <f t="shared" si="184"/>
        <v>-11.532739820329681</v>
      </c>
      <c r="BT30" s="27">
        <f t="shared" si="150"/>
        <v>-9.1220025007650758</v>
      </c>
      <c r="BU30" s="27">
        <f t="shared" si="185"/>
        <v>-9.4943291334493676</v>
      </c>
      <c r="BV30" s="304">
        <f t="shared" si="151"/>
        <v>684.15018755738072</v>
      </c>
      <c r="BW30" s="304">
        <f t="shared" si="186"/>
        <v>712.07468500870255</v>
      </c>
      <c r="BX30" s="304">
        <f t="shared" si="187"/>
        <v>0</v>
      </c>
      <c r="BY30" s="304">
        <f t="shared" si="152"/>
        <v>71.234625597363831</v>
      </c>
      <c r="BZ30" s="304">
        <f t="shared" si="78"/>
        <v>123.53576966455068</v>
      </c>
      <c r="CA30" s="304">
        <f t="shared" si="188"/>
        <v>74.376941285787552</v>
      </c>
      <c r="CB30" s="304">
        <f t="shared" si="236"/>
        <v>3576.5325561928357</v>
      </c>
      <c r="CC30" s="304">
        <f t="shared" si="189"/>
        <v>0</v>
      </c>
      <c r="CD30" s="304">
        <f t="shared" si="190"/>
        <v>2.1342167362847486</v>
      </c>
      <c r="CE30" s="304"/>
      <c r="CF30" s="304">
        <f t="shared" si="174"/>
        <v>0</v>
      </c>
      <c r="CG30" s="304">
        <f t="shared" si="153"/>
        <v>0</v>
      </c>
      <c r="CH30" s="304">
        <f t="shared" si="175"/>
        <v>0</v>
      </c>
      <c r="CI30" s="27"/>
      <c r="CJ30" s="27">
        <f t="shared" si="39"/>
        <v>0</v>
      </c>
      <c r="CK30" s="27">
        <f t="shared" si="40"/>
        <v>0</v>
      </c>
      <c r="CL30" s="27">
        <f t="shared" si="41"/>
        <v>0</v>
      </c>
      <c r="CM30" s="27">
        <f t="shared" si="42"/>
        <v>5244.0389820429054</v>
      </c>
      <c r="CN30" s="27">
        <f t="shared" si="43"/>
        <v>0</v>
      </c>
      <c r="CO30" s="111">
        <f t="shared" si="3"/>
        <v>5244.0389820429054</v>
      </c>
      <c r="CP30" s="27">
        <f t="shared" si="154"/>
        <v>3578.6667729291203</v>
      </c>
      <c r="CQ30" s="27">
        <f t="shared" si="155"/>
        <v>0</v>
      </c>
      <c r="CR30" s="27">
        <f t="shared" si="176"/>
        <v>3578.6667729291203</v>
      </c>
      <c r="CS30" s="27">
        <f>SUM($CR$14:CR30)</f>
        <v>44294.884773041929</v>
      </c>
      <c r="CT30" s="229">
        <v>2527.3337738122459</v>
      </c>
      <c r="CU30" s="425">
        <v>518.13318225142825</v>
      </c>
      <c r="CV30" s="425">
        <v>3045.4669560636739</v>
      </c>
      <c r="CW30" s="425">
        <v>42459.384118212525</v>
      </c>
      <c r="CX30" s="107">
        <f t="shared" si="44"/>
        <v>136.88479142804738</v>
      </c>
      <c r="CY30" s="115">
        <f t="shared" si="92"/>
        <v>0.20550885348021053</v>
      </c>
      <c r="CZ30" s="96">
        <f t="shared" si="45"/>
        <v>3913.4642753075059</v>
      </c>
      <c r="DA30" s="418">
        <f t="shared" si="46"/>
        <v>2741.2478671311833</v>
      </c>
      <c r="DB30" s="314">
        <f t="shared" si="47"/>
        <v>2344.8671585623852</v>
      </c>
      <c r="DC30" s="314">
        <f t="shared" si="48"/>
        <v>129.67930394638336</v>
      </c>
      <c r="DD30" s="314">
        <f t="shared" si="49"/>
        <v>0</v>
      </c>
      <c r="DE30" s="314">
        <f t="shared" si="50"/>
        <v>32907.204249400107</v>
      </c>
      <c r="DF30" s="314" t="b">
        <f t="shared" si="63"/>
        <v>0</v>
      </c>
      <c r="DG30" s="27">
        <f t="shared" si="51"/>
        <v>136.88479142804738</v>
      </c>
      <c r="DH30" s="100">
        <f t="shared" si="52"/>
        <v>89.69168472301557</v>
      </c>
      <c r="DI30" s="105">
        <f t="shared" si="53"/>
        <v>1.0894543563728088E-2</v>
      </c>
      <c r="DJ30" s="96">
        <f t="shared" si="54"/>
        <v>0</v>
      </c>
      <c r="DK30" s="100">
        <f t="shared" si="55"/>
        <v>0</v>
      </c>
      <c r="DL30" s="105">
        <f t="shared" si="56"/>
        <v>0</v>
      </c>
      <c r="DM30" s="299">
        <v>3534.3439331046434</v>
      </c>
      <c r="DN30" s="100">
        <f t="shared" si="57"/>
        <v>2475.6870350042618</v>
      </c>
      <c r="DO30" s="301">
        <v>0.93079459547675103</v>
      </c>
      <c r="DP30" s="29"/>
      <c r="DQ30" s="50" t="s">
        <v>39</v>
      </c>
      <c r="DR30" s="34"/>
      <c r="DS30" s="34"/>
      <c r="DT30" s="286" t="s">
        <v>208</v>
      </c>
      <c r="DU30" s="29"/>
      <c r="DV30" s="327"/>
      <c r="DW30" s="328"/>
      <c r="DX30" s="328"/>
      <c r="DY30" s="328"/>
      <c r="DZ30" s="328"/>
      <c r="EA30" s="328"/>
      <c r="EB30" s="328"/>
      <c r="EC30" s="328"/>
      <c r="ED30" s="328"/>
      <c r="EE30" s="328"/>
      <c r="EF30" s="328"/>
      <c r="EG30" s="328"/>
      <c r="EH30" s="329"/>
      <c r="EI30" s="330"/>
      <c r="EJ30" s="339">
        <f t="shared" si="64"/>
        <v>0.16941982849214793</v>
      </c>
      <c r="EK30" s="339">
        <f t="shared" si="58"/>
        <v>1.6180171507852101E-2</v>
      </c>
      <c r="EL30" s="339" t="e">
        <f t="shared" si="65"/>
        <v>#DIV/0!</v>
      </c>
      <c r="EM30" s="339">
        <f t="shared" si="59"/>
        <v>0</v>
      </c>
      <c r="EN30" s="339">
        <v>0.16560000000000002</v>
      </c>
      <c r="EO30" s="339">
        <v>0.14558454355797928</v>
      </c>
      <c r="EP30" s="340" t="e">
        <f t="shared" si="66"/>
        <v>#DIV/0!</v>
      </c>
      <c r="EQ30" s="283"/>
      <c r="ER30" s="30">
        <v>21</v>
      </c>
      <c r="ES30" s="29">
        <f t="shared" si="79"/>
        <v>3840.0737590372719</v>
      </c>
      <c r="ET30" s="29">
        <f t="shared" si="80"/>
        <v>3291.71136299724</v>
      </c>
      <c r="EU30" s="29">
        <f t="shared" si="67"/>
        <v>-548.36239604003185</v>
      </c>
      <c r="EV30" s="29">
        <f t="shared" si="68"/>
        <v>-438.68991683202546</v>
      </c>
      <c r="EW30" s="29">
        <f t="shared" si="81"/>
        <v>-313.22869925960686</v>
      </c>
      <c r="EX30" s="29">
        <f t="shared" si="93"/>
        <v>-198.8796595613403</v>
      </c>
      <c r="EY30" s="29">
        <f t="shared" si="97"/>
        <v>-94.744951305825978</v>
      </c>
      <c r="EZ30" s="29">
        <f t="shared" si="69"/>
        <v>-1045.5432269587986</v>
      </c>
      <c r="FA30" s="29"/>
      <c r="FB30" s="29">
        <f t="shared" si="237"/>
        <v>327.74083404951608</v>
      </c>
      <c r="FC30" s="29">
        <f t="shared" si="238"/>
        <v>280.71495528606988</v>
      </c>
      <c r="FD30" s="29">
        <f t="shared" si="191"/>
        <v>-47.025878763446201</v>
      </c>
      <c r="FE30" s="29">
        <f t="shared" si="192"/>
        <v>-37.620703010756962</v>
      </c>
      <c r="FF30" s="29">
        <f t="shared" si="193"/>
        <v>-24.043641582084579</v>
      </c>
      <c r="FG30" s="29">
        <f t="shared" si="194"/>
        <v>-13.52819435621517</v>
      </c>
      <c r="FH30" s="29">
        <f t="shared" si="195"/>
        <v>-5.6400891748678861</v>
      </c>
      <c r="FI30" s="29">
        <f t="shared" si="196"/>
        <v>-80.832628123924593</v>
      </c>
      <c r="FJ30" s="29"/>
      <c r="FK30" s="29"/>
      <c r="FL30" s="27">
        <f t="shared" si="24"/>
        <v>19678.78575708971</v>
      </c>
      <c r="FM30" s="29"/>
      <c r="FN30" s="308">
        <f t="shared" si="156"/>
        <v>3576.5325561928353</v>
      </c>
      <c r="FO30" s="93">
        <f t="shared" si="197"/>
        <v>2.1342167362847486</v>
      </c>
      <c r="FP30" s="27">
        <f t="shared" si="82"/>
        <v>20</v>
      </c>
      <c r="FQ30" s="309">
        <f t="shared" si="27"/>
        <v>13.512970250241354</v>
      </c>
      <c r="FR30" s="93">
        <f t="shared" si="60"/>
        <v>1456.2886909884398</v>
      </c>
      <c r="FS30" s="93">
        <f t="shared" si="198"/>
        <v>3578.6667729291198</v>
      </c>
      <c r="FT30" s="29">
        <f t="shared" si="83"/>
        <v>20</v>
      </c>
      <c r="FU30" s="142">
        <f t="shared" si="28"/>
        <v>13.512970250241354</v>
      </c>
      <c r="FV30" s="48">
        <v>2615.4280959227713</v>
      </c>
      <c r="FW30" s="29">
        <f t="shared" si="98"/>
        <v>518.51469198845371</v>
      </c>
      <c r="FX30" s="29">
        <f t="shared" si="157"/>
        <v>527.58138973687642</v>
      </c>
      <c r="FY30" s="29">
        <f t="shared" si="255"/>
        <v>499.25178117767331</v>
      </c>
      <c r="FZ30" s="29">
        <f t="shared" si="256"/>
        <v>471.75349036676744</v>
      </c>
      <c r="GA30" s="29">
        <f t="shared" si="257"/>
        <v>443.93588298277706</v>
      </c>
      <c r="GB30" s="29">
        <f t="shared" si="258"/>
        <v>416.29993220696053</v>
      </c>
      <c r="GC30" s="29">
        <f t="shared" si="259"/>
        <v>389.25348220181894</v>
      </c>
      <c r="GD30" s="29">
        <f t="shared" si="260"/>
        <v>361.88369558000977</v>
      </c>
      <c r="GE30" s="29">
        <f t="shared" si="261"/>
        <v>335.02479536197256</v>
      </c>
      <c r="GF30" s="29">
        <f t="shared" si="262"/>
        <v>308.31733405327776</v>
      </c>
      <c r="GG30" s="29">
        <f t="shared" si="263"/>
        <v>281.7983947496968</v>
      </c>
      <c r="GH30" s="29">
        <f t="shared" si="264"/>
        <v>255.4862381285933</v>
      </c>
      <c r="GI30" s="29">
        <f t="shared" si="265"/>
        <v>240.93369264438365</v>
      </c>
      <c r="GJ30" s="29">
        <f t="shared" si="266"/>
        <v>561.29340922413019</v>
      </c>
      <c r="GK30" s="29">
        <f t="shared" si="267"/>
        <v>550.53927798224481</v>
      </c>
      <c r="GL30" s="29">
        <f t="shared" si="268"/>
        <v>455.80818894677986</v>
      </c>
      <c r="GM30" s="29">
        <f t="shared" si="269"/>
        <v>304.66409496181313</v>
      </c>
      <c r="GN30" s="29">
        <f t="shared" si="240"/>
        <v>10898.38012554809</v>
      </c>
      <c r="GO30" s="29">
        <f t="shared" si="241"/>
        <v>0</v>
      </c>
      <c r="GP30" s="29">
        <f t="shared" si="242"/>
        <v>0</v>
      </c>
      <c r="GQ30" s="29">
        <f t="shared" si="243"/>
        <v>0</v>
      </c>
      <c r="GR30" s="29">
        <f t="shared" si="244"/>
        <v>0</v>
      </c>
      <c r="GS30" s="29">
        <f t="shared" si="245"/>
        <v>0</v>
      </c>
      <c r="GT30" s="29">
        <f t="shared" si="246"/>
        <v>0</v>
      </c>
      <c r="GU30" s="29">
        <f t="shared" si="247"/>
        <v>0</v>
      </c>
      <c r="GV30" s="29">
        <f t="shared" si="248"/>
        <v>0</v>
      </c>
      <c r="GW30" s="29">
        <f t="shared" si="249"/>
        <v>0</v>
      </c>
      <c r="GX30" s="29">
        <f t="shared" si="250"/>
        <v>0</v>
      </c>
      <c r="GY30" s="29">
        <f t="shared" si="251"/>
        <v>0</v>
      </c>
      <c r="GZ30" s="29">
        <f t="shared" si="252"/>
        <v>0</v>
      </c>
      <c r="HA30" s="29">
        <f t="shared" si="253"/>
        <v>0</v>
      </c>
      <c r="HB30" s="29">
        <f t="shared" si="254"/>
        <v>0</v>
      </c>
      <c r="HC30" s="29"/>
      <c r="HD30" s="29">
        <f t="shared" si="29"/>
        <v>20</v>
      </c>
      <c r="HE30" s="29">
        <f t="shared" si="100"/>
        <v>0</v>
      </c>
      <c r="HF30" s="29">
        <f t="shared" si="101"/>
        <v>38.257205070452876</v>
      </c>
      <c r="HG30" s="29">
        <f t="shared" si="102"/>
        <v>37.476725595261591</v>
      </c>
      <c r="HH30" s="29">
        <f t="shared" si="103"/>
        <v>36.756055397473034</v>
      </c>
      <c r="HI30" s="29">
        <f t="shared" si="104"/>
        <v>36.007830122335996</v>
      </c>
      <c r="HJ30" s="29">
        <f t="shared" si="105"/>
        <v>35.269546133376537</v>
      </c>
      <c r="HK30" s="29">
        <f t="shared" si="106"/>
        <v>34.57730011305307</v>
      </c>
      <c r="HL30" s="29">
        <f t="shared" si="107"/>
        <v>33.851307206703027</v>
      </c>
      <c r="HM30" s="29">
        <f t="shared" si="108"/>
        <v>33.166595708881943</v>
      </c>
      <c r="HN30" s="29">
        <f t="shared" si="109"/>
        <v>32.491138829168555</v>
      </c>
      <c r="HO30" s="29">
        <f t="shared" si="110"/>
        <v>31.82900164982998</v>
      </c>
      <c r="HP30" s="29">
        <f t="shared" si="111"/>
        <v>31.183264009984729</v>
      </c>
      <c r="HQ30" s="29">
        <f t="shared" si="112"/>
        <v>32.094735799970536</v>
      </c>
      <c r="HR30" s="29">
        <f t="shared" si="113"/>
        <v>82.613538416758189</v>
      </c>
      <c r="HS30" s="29">
        <f t="shared" si="114"/>
        <v>90.941421053213631</v>
      </c>
      <c r="HT30" s="29">
        <f t="shared" si="115"/>
        <v>86.2522019868711</v>
      </c>
      <c r="HU30" s="29">
        <f t="shared" si="116"/>
        <v>67.921308285645537</v>
      </c>
      <c r="HV30" s="29">
        <f t="shared" si="117"/>
        <v>2981.3965625700935</v>
      </c>
      <c r="HW30" s="29">
        <f t="shared" si="118"/>
        <v>0</v>
      </c>
      <c r="HX30" s="29">
        <f t="shared" si="119"/>
        <v>0</v>
      </c>
      <c r="HY30" s="29">
        <f t="shared" si="120"/>
        <v>0</v>
      </c>
      <c r="HZ30" s="29">
        <f t="shared" si="121"/>
        <v>0</v>
      </c>
      <c r="IA30" s="29">
        <f t="shared" si="122"/>
        <v>0</v>
      </c>
      <c r="IB30" s="29">
        <f t="shared" si="123"/>
        <v>0</v>
      </c>
      <c r="IC30" s="29">
        <f t="shared" si="124"/>
        <v>0</v>
      </c>
      <c r="ID30" s="29">
        <f t="shared" si="125"/>
        <v>0</v>
      </c>
      <c r="IE30" s="29">
        <f t="shared" si="126"/>
        <v>0</v>
      </c>
      <c r="IF30" s="29">
        <f t="shared" si="127"/>
        <v>0</v>
      </c>
      <c r="IG30" s="29">
        <f t="shared" si="128"/>
        <v>0</v>
      </c>
      <c r="IH30" s="29">
        <f t="shared" si="129"/>
        <v>0</v>
      </c>
      <c r="II30" s="29">
        <f t="shared" si="130"/>
        <v>0</v>
      </c>
      <c r="IJ30" s="29">
        <f t="shared" si="131"/>
        <v>0</v>
      </c>
      <c r="IK30" s="48"/>
      <c r="IL30" s="48"/>
      <c r="IM30" s="48"/>
      <c r="IN30" s="29">
        <f t="shared" si="199"/>
        <v>23.03977872886589</v>
      </c>
      <c r="IO30" s="29">
        <f t="shared" si="239"/>
        <v>19.552515019365373</v>
      </c>
      <c r="IP30" s="29">
        <f t="shared" si="287"/>
        <v>15.053104726877068</v>
      </c>
      <c r="IQ30" s="29">
        <f t="shared" si="288"/>
        <v>10.690371940937219</v>
      </c>
      <c r="IR30" s="29">
        <f t="shared" si="289"/>
        <v>7.4871587134541207</v>
      </c>
      <c r="IS30" s="29">
        <f t="shared" si="290"/>
        <v>4.8932359685256781</v>
      </c>
      <c r="IT30" s="29">
        <f t="shared" si="291"/>
        <v>2.4422444922856488</v>
      </c>
      <c r="IU30" s="29">
        <f t="shared" si="292"/>
        <v>0.94740113375335799</v>
      </c>
      <c r="IV30" s="29">
        <f t="shared" si="293"/>
        <v>-0.4282800904780783</v>
      </c>
      <c r="IW30" s="29">
        <f t="shared" si="294"/>
        <v>-1.3323147116692964</v>
      </c>
      <c r="IX30" s="29">
        <f t="shared" si="295"/>
        <v>-1.7999715995430359</v>
      </c>
      <c r="IY30" s="29">
        <f t="shared" si="296"/>
        <v>-1.8741264367812989</v>
      </c>
      <c r="IZ30" s="29">
        <f t="shared" si="297"/>
        <v>-1.6385523906858523</v>
      </c>
      <c r="JA30" s="29">
        <f t="shared" si="298"/>
        <v>-1.2049866567342791</v>
      </c>
      <c r="JB30" s="29">
        <f t="shared" si="299"/>
        <v>-0.49394000986015762</v>
      </c>
      <c r="JC30" s="29">
        <f t="shared" si="300"/>
        <v>0</v>
      </c>
      <c r="JD30" s="29">
        <f t="shared" si="301"/>
        <v>0</v>
      </c>
      <c r="JE30" s="29">
        <f t="shared" si="270"/>
        <v>0</v>
      </c>
      <c r="JF30" s="29">
        <f t="shared" si="271"/>
        <v>0</v>
      </c>
      <c r="JG30" s="29">
        <f t="shared" si="272"/>
        <v>0</v>
      </c>
      <c r="JH30" s="29">
        <f t="shared" si="273"/>
        <v>0</v>
      </c>
      <c r="JI30" s="29">
        <f t="shared" si="274"/>
        <v>0</v>
      </c>
      <c r="JJ30" s="29">
        <f t="shared" si="275"/>
        <v>0</v>
      </c>
      <c r="JK30" s="29">
        <f t="shared" si="276"/>
        <v>0</v>
      </c>
      <c r="JL30" s="29">
        <f t="shared" si="277"/>
        <v>0</v>
      </c>
      <c r="JM30" s="29">
        <f t="shared" si="278"/>
        <v>0</v>
      </c>
      <c r="JN30" s="29">
        <f t="shared" si="279"/>
        <v>0</v>
      </c>
      <c r="JO30" s="29">
        <f t="shared" si="280"/>
        <v>0</v>
      </c>
      <c r="JP30" s="29">
        <f t="shared" si="281"/>
        <v>0</v>
      </c>
      <c r="JQ30" s="29">
        <f t="shared" si="282"/>
        <v>0</v>
      </c>
      <c r="JR30" s="29">
        <f t="shared" si="283"/>
        <v>0</v>
      </c>
      <c r="JS30" s="29">
        <f t="shared" si="284"/>
        <v>0</v>
      </c>
      <c r="JT30" s="48"/>
      <c r="JU30" s="401">
        <f t="shared" si="201"/>
        <v>20</v>
      </c>
      <c r="JV30" s="29">
        <f t="shared" si="202"/>
        <v>0</v>
      </c>
      <c r="JW30" s="29">
        <f t="shared" si="203"/>
        <v>1.4178373067936256</v>
      </c>
      <c r="JX30" s="29">
        <f t="shared" si="204"/>
        <v>1.1299730846731642</v>
      </c>
      <c r="JY30" s="29">
        <f t="shared" si="205"/>
        <v>0.83292632975579994</v>
      </c>
      <c r="JZ30" s="29">
        <f t="shared" si="206"/>
        <v>0.60728665869860077</v>
      </c>
      <c r="KA30" s="29">
        <f t="shared" si="207"/>
        <v>0.41456219033832509</v>
      </c>
      <c r="KB30" s="29">
        <f t="shared" si="208"/>
        <v>0.21694403421015096</v>
      </c>
      <c r="KC30" s="29">
        <f t="shared" si="209"/>
        <v>8.8621751182412861E-2</v>
      </c>
      <c r="KD30" s="29">
        <f t="shared" si="210"/>
        <v>-4.239863081090061E-2</v>
      </c>
      <c r="KE30" s="29">
        <f t="shared" si="211"/>
        <v>-0.14040216841493081</v>
      </c>
      <c r="KF30" s="29">
        <f t="shared" si="212"/>
        <v>-0.20330598072565509</v>
      </c>
      <c r="KG30" s="29">
        <f t="shared" si="213"/>
        <v>-0.22874570424739679</v>
      </c>
      <c r="KH30" s="29">
        <f t="shared" si="214"/>
        <v>-0.21827128242745761</v>
      </c>
      <c r="KI30" s="29">
        <f t="shared" si="215"/>
        <v>-0.17735503360961033</v>
      </c>
      <c r="KJ30" s="29">
        <f t="shared" si="216"/>
        <v>-8.1592010249211991E-2</v>
      </c>
      <c r="KK30" s="29">
        <f t="shared" si="217"/>
        <v>0</v>
      </c>
      <c r="KL30" s="29">
        <f t="shared" si="218"/>
        <v>0</v>
      </c>
      <c r="KM30" s="29">
        <f t="shared" si="219"/>
        <v>0</v>
      </c>
      <c r="KN30" s="29">
        <f t="shared" si="220"/>
        <v>0</v>
      </c>
      <c r="KO30" s="29">
        <f t="shared" si="221"/>
        <v>0</v>
      </c>
      <c r="KP30" s="29">
        <f t="shared" si="222"/>
        <v>0</v>
      </c>
      <c r="KQ30" s="29">
        <f t="shared" si="223"/>
        <v>0</v>
      </c>
      <c r="KR30" s="29">
        <f t="shared" si="224"/>
        <v>0</v>
      </c>
      <c r="KS30" s="29">
        <f t="shared" si="225"/>
        <v>0</v>
      </c>
      <c r="KT30" s="29">
        <f t="shared" si="226"/>
        <v>0</v>
      </c>
      <c r="KU30" s="29">
        <f t="shared" si="227"/>
        <v>0</v>
      </c>
      <c r="KV30" s="29">
        <f t="shared" si="228"/>
        <v>0</v>
      </c>
      <c r="KW30" s="29">
        <f t="shared" si="229"/>
        <v>0</v>
      </c>
      <c r="KX30" s="29">
        <f t="shared" si="230"/>
        <v>0</v>
      </c>
      <c r="KY30" s="29">
        <f t="shared" si="231"/>
        <v>0</v>
      </c>
      <c r="KZ30" s="29">
        <f t="shared" si="232"/>
        <v>0</v>
      </c>
      <c r="LA30" s="29">
        <f t="shared" si="233"/>
        <v>0</v>
      </c>
      <c r="LB30" s="48"/>
      <c r="LC30" s="48"/>
      <c r="LD30" s="48"/>
      <c r="LE30" s="48"/>
      <c r="LF30" s="48"/>
      <c r="LG30" s="48"/>
      <c r="LH30" s="48"/>
      <c r="LI30" s="48"/>
      <c r="LJ30" s="48"/>
      <c r="LK30" s="48"/>
      <c r="LL30" s="48"/>
      <c r="LM30" s="48"/>
      <c r="LN30" s="48"/>
      <c r="LO30" s="46">
        <f t="shared" si="30"/>
        <v>0.19058883119651898</v>
      </c>
      <c r="LP30" s="47">
        <f t="shared" si="31"/>
        <v>0.579760658189163</v>
      </c>
      <c r="LQ30" s="28"/>
      <c r="LR30" s="48"/>
      <c r="LS30" s="28" t="s">
        <v>284</v>
      </c>
      <c r="LT30" s="166">
        <v>4.1556666666666679E-2</v>
      </c>
      <c r="LU30" s="115">
        <f t="shared" si="70"/>
        <v>6.7373201168233203E-18</v>
      </c>
      <c r="LV30" s="157">
        <f t="shared" si="15"/>
        <v>6.342616132129987E-14</v>
      </c>
      <c r="LW30" s="229" t="e">
        <f>LW29*(1+#REF!)</f>
        <v>#REF!</v>
      </c>
      <c r="LX30" s="158"/>
      <c r="LY30" s="129">
        <f t="shared" si="71"/>
        <v>-268.75815235247137</v>
      </c>
      <c r="LZ30" s="130">
        <f t="shared" si="72"/>
        <v>-924.06412713322061</v>
      </c>
      <c r="MA30" s="28"/>
      <c r="MB30" s="381">
        <f t="shared" si="285"/>
        <v>3.7499999999999999E-2</v>
      </c>
      <c r="MC30" s="394">
        <f t="shared" si="177"/>
        <v>-349.05621814152084</v>
      </c>
      <c r="MD30" s="157">
        <f t="shared" si="158"/>
        <v>-5112.687128549077</v>
      </c>
      <c r="ME30" s="28"/>
      <c r="MF30" s="381">
        <f t="shared" si="286"/>
        <v>3.7499999999999999E-2</v>
      </c>
      <c r="MG30" s="394">
        <f t="shared" si="178"/>
        <v>-13.567929200387857</v>
      </c>
      <c r="MH30" s="157">
        <f t="shared" si="159"/>
        <v>-198.73181848249865</v>
      </c>
      <c r="MI30" s="28"/>
      <c r="MJ30" s="28"/>
      <c r="ML30" s="339">
        <v>6.25E-2</v>
      </c>
      <c r="MM30" s="339">
        <v>7.2499999999999995E-2</v>
      </c>
      <c r="MN30" s="339">
        <v>8.2500000000000004E-2</v>
      </c>
      <c r="MO30" s="28"/>
      <c r="MP30" s="28"/>
      <c r="MQ30" s="28"/>
      <c r="MR30" s="28">
        <f t="shared" si="84"/>
        <v>83</v>
      </c>
      <c r="MS30" s="28">
        <f t="shared" si="85"/>
        <v>0.22996232030955752</v>
      </c>
      <c r="MT30" s="28">
        <f t="shared" si="86"/>
        <v>0.24669380136644567</v>
      </c>
      <c r="MU30" s="28">
        <f t="shared" si="87"/>
        <v>0.26458067667617924</v>
      </c>
      <c r="MV30" s="28">
        <f t="shared" si="88"/>
        <v>0.28369848365353889</v>
      </c>
      <c r="MW30" s="28">
        <f t="shared" si="89"/>
        <v>0.30412742233815487</v>
      </c>
      <c r="MX30" s="28">
        <f t="shared" si="90"/>
        <v>0.32595262628751176</v>
      </c>
    </row>
    <row r="31" spans="1:374" s="28" customFormat="1" ht="11.25" customHeight="1" x14ac:dyDescent="0.3">
      <c r="A31" s="305">
        <f t="shared" si="91"/>
        <v>2040</v>
      </c>
      <c r="B31" s="355">
        <f t="shared" si="1"/>
        <v>2038</v>
      </c>
      <c r="C31" s="26">
        <v>50587</v>
      </c>
      <c r="D31" s="96">
        <f t="shared" si="132"/>
        <v>7272.4330699913862</v>
      </c>
      <c r="E31" s="27">
        <f t="shared" si="133"/>
        <v>7272.4330699913862</v>
      </c>
      <c r="F31" s="111">
        <f t="shared" si="18"/>
        <v>10457.093303255591</v>
      </c>
      <c r="G31" s="27">
        <f t="shared" si="134"/>
        <v>18798.844689451842</v>
      </c>
      <c r="H31" s="27">
        <f t="shared" si="135"/>
        <v>8459.4801102533274</v>
      </c>
      <c r="I31" s="296">
        <f t="shared" si="136"/>
        <v>7190.5580937153281</v>
      </c>
      <c r="J31" s="69">
        <v>1964.3945659999999</v>
      </c>
      <c r="K31" s="297">
        <f t="shared" si="160"/>
        <v>5226.1635277153282</v>
      </c>
      <c r="L31" s="297">
        <f t="shared" si="137"/>
        <v>10339.364579198515</v>
      </c>
      <c r="M31" s="297">
        <f t="shared" si="161"/>
        <v>8788.4598923187368</v>
      </c>
      <c r="N31" s="27">
        <f t="shared" si="162"/>
        <v>0</v>
      </c>
      <c r="O31" s="297">
        <f t="shared" si="138"/>
        <v>1268.9220165379991</v>
      </c>
      <c r="P31" s="297">
        <f t="shared" si="139"/>
        <v>1550.904686879777</v>
      </c>
      <c r="Q31" s="297">
        <f t="shared" si="140"/>
        <v>815.24071516983054</v>
      </c>
      <c r="R31" s="260">
        <f t="shared" si="2"/>
        <v>0.44999999999999996</v>
      </c>
      <c r="S31" s="257">
        <v>0.55000000000000004</v>
      </c>
      <c r="T31" s="290">
        <f t="shared" si="163"/>
        <v>7.2499999999999995E-2</v>
      </c>
      <c r="U31" s="290">
        <f t="shared" si="164"/>
        <v>7.2499999999999995E-2</v>
      </c>
      <c r="V31" s="27">
        <f t="shared" si="4"/>
        <v>81700.515436914473</v>
      </c>
      <c r="W31" s="27">
        <f t="shared" si="141"/>
        <v>75640.848094055269</v>
      </c>
      <c r="X31" s="27">
        <f t="shared" si="179"/>
        <v>6059.6673428591994</v>
      </c>
      <c r="Y31" s="27">
        <f t="shared" si="142"/>
        <v>717.27222535398073</v>
      </c>
      <c r="Z31" s="27">
        <f t="shared" si="180"/>
        <v>819.96330795333813</v>
      </c>
      <c r="AA31" s="115">
        <f t="shared" si="165"/>
        <v>7.0000000000000007E-2</v>
      </c>
      <c r="AB31" s="115">
        <f t="shared" si="166"/>
        <v>7.0000000000000007E-2</v>
      </c>
      <c r="AC31" s="96">
        <f t="shared" si="6"/>
        <v>83948.922210755016</v>
      </c>
      <c r="AD31" s="27">
        <f t="shared" si="143"/>
        <v>77722.492185579264</v>
      </c>
      <c r="AE31" s="27">
        <f t="shared" si="181"/>
        <v>6226.430025175755</v>
      </c>
      <c r="AF31" s="150">
        <f t="shared" si="144"/>
        <v>754.94703420772123</v>
      </c>
      <c r="AG31" s="27">
        <f t="shared" si="234"/>
        <v>863.03197812103815</v>
      </c>
      <c r="AH31" s="27">
        <f t="shared" si="167"/>
        <v>68080.161186325306</v>
      </c>
      <c r="AI31" s="27">
        <f t="shared" si="145"/>
        <v>61959.069837755727</v>
      </c>
      <c r="AJ31" s="27">
        <f t="shared" si="182"/>
        <v>6121.091348569571</v>
      </c>
      <c r="AK31" s="27">
        <f t="shared" si="10"/>
        <v>66887.082645430768</v>
      </c>
      <c r="AL31" s="27">
        <f t="shared" si="168"/>
        <v>60860.766355209045</v>
      </c>
      <c r="AM31" s="27">
        <f t="shared" si="235"/>
        <v>6026.3162902217246</v>
      </c>
      <c r="AN31" s="417">
        <f>INDEX(Inv.Returns!$B$2:$E$32,MATCH(B31,Inv.Returns!$A$2:$A$32,0),MATCH(SCRS!$DT$52,Inv.Returns!$B$1:$E$1,0))</f>
        <v>0.06</v>
      </c>
      <c r="AO31" s="27">
        <f t="shared" si="36"/>
        <v>15868.76102442971</v>
      </c>
      <c r="AP31" s="229">
        <f t="shared" si="11"/>
        <v>17061.839565324248</v>
      </c>
      <c r="AQ31" s="68">
        <f t="shared" si="19"/>
        <v>0.81097123576415964</v>
      </c>
      <c r="AR31" s="151">
        <f t="shared" si="20"/>
        <v>0.79675927795129697</v>
      </c>
      <c r="AS31" s="353"/>
      <c r="AT31" s="289">
        <f t="shared" si="94"/>
        <v>0.1062282209437156</v>
      </c>
      <c r="AU31" s="397">
        <f t="shared" si="169"/>
        <v>9.9400593584701075E-2</v>
      </c>
      <c r="AV31" s="303">
        <f t="shared" si="95"/>
        <v>0.19379107814599719</v>
      </c>
      <c r="AW31" s="303">
        <f t="shared" si="146"/>
        <v>6.2770045925419416E-4</v>
      </c>
      <c r="AX31" s="115">
        <f t="shared" si="61"/>
        <v>0.09</v>
      </c>
      <c r="AY31" s="115">
        <f t="shared" si="147"/>
        <v>0.09</v>
      </c>
      <c r="AZ31" s="115">
        <f t="shared" si="148"/>
        <v>0</v>
      </c>
      <c r="BA31" s="262">
        <f t="shared" si="21"/>
        <v>1.6228220943715607E-2</v>
      </c>
      <c r="BB31" s="115">
        <f t="shared" si="170"/>
        <v>9.400593584701078E-3</v>
      </c>
      <c r="BC31" s="133">
        <f t="shared" si="77"/>
        <v>0.18560000000000004</v>
      </c>
      <c r="BD31" s="133">
        <f t="shared" si="96"/>
        <v>0.18560000000000004</v>
      </c>
      <c r="BE31" s="410">
        <f t="shared" si="12"/>
        <v>0.16937177905628442</v>
      </c>
      <c r="BF31" s="410">
        <f t="shared" si="149"/>
        <v>0.17619940641529896</v>
      </c>
      <c r="BG31" s="410">
        <f t="shared" si="171"/>
        <v>0.13560000000000005</v>
      </c>
      <c r="BH31" s="410">
        <f t="shared" si="23"/>
        <v>0.18560000000000004</v>
      </c>
      <c r="BI31" s="157">
        <f t="shared" si="37"/>
        <v>4.3207308609848045</v>
      </c>
      <c r="BJ31" s="104">
        <f t="shared" si="38"/>
        <v>3.8834951456310662E-2</v>
      </c>
      <c r="BK31" s="27">
        <f t="shared" si="62"/>
        <v>4.6238430556892096</v>
      </c>
      <c r="BL31" s="27">
        <f t="shared" si="14"/>
        <v>20</v>
      </c>
      <c r="BM31" s="111">
        <f t="shared" si="26"/>
        <v>4.4233998907777021</v>
      </c>
      <c r="BN31" s="27"/>
      <c r="BO31" s="27"/>
      <c r="BP31" s="96">
        <f t="shared" si="172"/>
        <v>-4858.6795106631535</v>
      </c>
      <c r="BQ31" s="27">
        <f t="shared" si="183"/>
        <v>-351.53839569274948</v>
      </c>
      <c r="BR31" s="27">
        <f t="shared" si="173"/>
        <v>-188.85845941677331</v>
      </c>
      <c r="BS31" s="27">
        <f t="shared" si="184"/>
        <v>-13.664412252479506</v>
      </c>
      <c r="BT31" s="27">
        <f t="shared" si="150"/>
        <v>-8.6286697124583931</v>
      </c>
      <c r="BU31" s="27">
        <f t="shared" si="185"/>
        <v>-10.546151870782483</v>
      </c>
      <c r="BV31" s="304">
        <f t="shared" si="151"/>
        <v>647.15022843437953</v>
      </c>
      <c r="BW31" s="304">
        <f t="shared" si="186"/>
        <v>790.9613903086863</v>
      </c>
      <c r="BX31" s="304">
        <f t="shared" si="187"/>
        <v>0</v>
      </c>
      <c r="BY31" s="304">
        <f t="shared" si="152"/>
        <v>73.371664365284744</v>
      </c>
      <c r="BZ31" s="304">
        <f t="shared" si="78"/>
        <v>116.42547548580012</v>
      </c>
      <c r="CA31" s="304">
        <f t="shared" si="188"/>
        <v>82.616739683134369</v>
      </c>
      <c r="CB31" s="304">
        <f t="shared" si="236"/>
        <v>3722.0857379490735</v>
      </c>
      <c r="CC31" s="304">
        <f t="shared" si="189"/>
        <v>0</v>
      </c>
      <c r="CD31" s="304">
        <f t="shared" si="190"/>
        <v>3.6160805451669167</v>
      </c>
      <c r="CE31" s="304"/>
      <c r="CF31" s="304">
        <f t="shared" si="174"/>
        <v>0</v>
      </c>
      <c r="CG31" s="304">
        <f t="shared" si="153"/>
        <v>0</v>
      </c>
      <c r="CH31" s="304">
        <f t="shared" si="175"/>
        <v>0</v>
      </c>
      <c r="CI31" s="27"/>
      <c r="CJ31" s="27">
        <f t="shared" si="39"/>
        <v>0</v>
      </c>
      <c r="CK31" s="27">
        <f t="shared" si="40"/>
        <v>0</v>
      </c>
      <c r="CL31" s="27">
        <f t="shared" si="41"/>
        <v>0</v>
      </c>
      <c r="CM31" s="27">
        <f t="shared" si="42"/>
        <v>5436.2273167715257</v>
      </c>
      <c r="CN31" s="27">
        <f t="shared" si="43"/>
        <v>0</v>
      </c>
      <c r="CO31" s="111">
        <f t="shared" si="3"/>
        <v>5436.2273167715257</v>
      </c>
      <c r="CP31" s="27">
        <f t="shared" si="154"/>
        <v>3725.7018184942403</v>
      </c>
      <c r="CQ31" s="27">
        <f t="shared" si="155"/>
        <v>0</v>
      </c>
      <c r="CR31" s="27">
        <f t="shared" si="176"/>
        <v>3725.7018184942403</v>
      </c>
      <c r="CS31" s="27">
        <f>SUM($CR$14:CR31)</f>
        <v>48020.586591536172</v>
      </c>
      <c r="CT31" s="229">
        <v>2607.721732269918</v>
      </c>
      <c r="CU31" s="425">
        <v>533.67717771897117</v>
      </c>
      <c r="CV31" s="425">
        <v>3141.398909988889</v>
      </c>
      <c r="CW31" s="425">
        <v>45600.783028201411</v>
      </c>
      <c r="CX31" s="107">
        <f t="shared" si="44"/>
        <v>140.99133517088882</v>
      </c>
      <c r="CY31" s="115">
        <f t="shared" si="92"/>
        <v>0.20728651298092404</v>
      </c>
      <c r="CZ31" s="96">
        <f t="shared" si="45"/>
        <v>4065.7353688340636</v>
      </c>
      <c r="DA31" s="418">
        <f t="shared" si="46"/>
        <v>2785.2406452852824</v>
      </c>
      <c r="DB31" s="314">
        <f t="shared" si="47"/>
        <v>2387.4910938426319</v>
      </c>
      <c r="DC31" s="314">
        <f t="shared" si="48"/>
        <v>127.54953003904076</v>
      </c>
      <c r="DD31" s="314">
        <f t="shared" si="49"/>
        <v>0</v>
      </c>
      <c r="DE31" s="314">
        <f t="shared" si="50"/>
        <v>32416.982852650672</v>
      </c>
      <c r="DF31" s="314" t="b">
        <f t="shared" si="63"/>
        <v>0</v>
      </c>
      <c r="DG31" s="27">
        <f t="shared" si="51"/>
        <v>140.99133517088882</v>
      </c>
      <c r="DH31" s="100">
        <f t="shared" si="52"/>
        <v>90.349569941032811</v>
      </c>
      <c r="DI31" s="105">
        <f t="shared" si="53"/>
        <v>1.0244123052460741E-2</v>
      </c>
      <c r="DJ31" s="96">
        <f t="shared" si="54"/>
        <v>0</v>
      </c>
      <c r="DK31" s="100">
        <f t="shared" si="55"/>
        <v>0</v>
      </c>
      <c r="DL31" s="105">
        <f t="shared" si="56"/>
        <v>0</v>
      </c>
      <c r="DM31" s="299">
        <v>3444.233397051566</v>
      </c>
      <c r="DN31" s="100">
        <f t="shared" si="57"/>
        <v>2359.4794001725763</v>
      </c>
      <c r="DO31" s="301">
        <v>0.96762603333434072</v>
      </c>
      <c r="DP31" s="29"/>
      <c r="DQ31" s="282" t="s">
        <v>250</v>
      </c>
      <c r="DR31" s="283"/>
      <c r="DS31" s="283"/>
      <c r="DT31" s="302">
        <v>0.15</v>
      </c>
      <c r="DU31" s="29"/>
      <c r="DV31" s="327"/>
      <c r="DW31" s="328"/>
      <c r="DX31" s="328"/>
      <c r="DY31" s="328"/>
      <c r="DZ31" s="328"/>
      <c r="EA31" s="328"/>
      <c r="EB31" s="328"/>
      <c r="EC31" s="328"/>
      <c r="ED31" s="328"/>
      <c r="EE31" s="328"/>
      <c r="EF31" s="328"/>
      <c r="EG31" s="328"/>
      <c r="EH31" s="329"/>
      <c r="EI31" s="330"/>
      <c r="EJ31" s="339">
        <f t="shared" si="64"/>
        <v>0.16937177905628442</v>
      </c>
      <c r="EK31" s="339">
        <f t="shared" si="58"/>
        <v>1.6228220943715607E-2</v>
      </c>
      <c r="EL31" s="339" t="e">
        <f t="shared" si="65"/>
        <v>#DIV/0!</v>
      </c>
      <c r="EM31" s="339">
        <f t="shared" si="59"/>
        <v>0</v>
      </c>
      <c r="EN31" s="339">
        <v>0.15560000000000002</v>
      </c>
      <c r="EO31" s="339">
        <v>0.14516797470638748</v>
      </c>
      <c r="EP31" s="340" t="e">
        <f t="shared" si="66"/>
        <v>#DIV/0!</v>
      </c>
      <c r="EQ31" s="283"/>
      <c r="ER31" s="341">
        <v>22</v>
      </c>
      <c r="ES31" s="29">
        <f t="shared" si="79"/>
        <v>4035.5076525613135</v>
      </c>
      <c r="ET31" s="29">
        <f t="shared" si="80"/>
        <v>3459.2237996834947</v>
      </c>
      <c r="EU31" s="29">
        <f t="shared" si="67"/>
        <v>-576.28385287781884</v>
      </c>
      <c r="EV31" s="29">
        <f t="shared" si="68"/>
        <v>-461.02708230225505</v>
      </c>
      <c r="EW31" s="29">
        <f t="shared" si="81"/>
        <v>-329.01743762401907</v>
      </c>
      <c r="EX31" s="29">
        <f t="shared" si="93"/>
        <v>-208.8191328397379</v>
      </c>
      <c r="EY31" s="29">
        <f t="shared" si="97"/>
        <v>-99.439829780670152</v>
      </c>
      <c r="EZ31" s="29">
        <f t="shared" si="69"/>
        <v>-1098.3034825466821</v>
      </c>
      <c r="FA31" s="29"/>
      <c r="FB31" s="29">
        <f t="shared" si="237"/>
        <v>381.42159929775971</v>
      </c>
      <c r="FC31" s="29">
        <f t="shared" si="238"/>
        <v>326.71367489324081</v>
      </c>
      <c r="FD31" s="29">
        <f t="shared" si="191"/>
        <v>-54.707924404518906</v>
      </c>
      <c r="FE31" s="29">
        <f t="shared" si="192"/>
        <v>-43.766339523615123</v>
      </c>
      <c r="FF31" s="29">
        <f t="shared" si="193"/>
        <v>-28.215527258067723</v>
      </c>
      <c r="FG31" s="29">
        <f t="shared" si="194"/>
        <v>-16.029094388056386</v>
      </c>
      <c r="FH31" s="29">
        <f t="shared" si="195"/>
        <v>-6.7640971781075852</v>
      </c>
      <c r="FI31" s="29">
        <f t="shared" si="196"/>
        <v>-94.775058347846823</v>
      </c>
      <c r="FJ31" s="29"/>
      <c r="FK31" s="29"/>
      <c r="FL31" s="27">
        <f t="shared" si="24"/>
        <v>17896.053536670632</v>
      </c>
      <c r="FM31" s="29"/>
      <c r="FN31" s="308">
        <f t="shared" si="156"/>
        <v>3722.0857379490735</v>
      </c>
      <c r="FO31" s="93">
        <f t="shared" si="197"/>
        <v>3.6160805451669171</v>
      </c>
      <c r="FP31" s="27">
        <f t="shared" si="82"/>
        <v>20</v>
      </c>
      <c r="FQ31" s="309">
        <f t="shared" si="27"/>
        <v>13.512970250241354</v>
      </c>
      <c r="FR31" s="93">
        <f t="shared" si="60"/>
        <v>1324.3612029968756</v>
      </c>
      <c r="FS31" s="93">
        <f t="shared" si="198"/>
        <v>3725.7018184942403</v>
      </c>
      <c r="FT31" s="29">
        <f t="shared" si="83"/>
        <v>20</v>
      </c>
      <c r="FU31" s="142">
        <f t="shared" si="28"/>
        <v>13.512970250241354</v>
      </c>
      <c r="FV31" s="48">
        <v>2639.597314275497</v>
      </c>
      <c r="FW31" s="29">
        <f t="shared" si="98"/>
        <v>545.4074822403054</v>
      </c>
      <c r="FX31" s="29">
        <f t="shared" si="157"/>
        <v>554.81072042764549</v>
      </c>
      <c r="FY31" s="29">
        <f t="shared" si="255"/>
        <v>524.93852638021258</v>
      </c>
      <c r="FZ31" s="29">
        <f t="shared" si="256"/>
        <v>495.43317946861714</v>
      </c>
      <c r="GA31" s="29">
        <f t="shared" si="257"/>
        <v>466.75547535009173</v>
      </c>
      <c r="GB31" s="29">
        <f t="shared" si="258"/>
        <v>437.76460569200833</v>
      </c>
      <c r="GC31" s="29">
        <f t="shared" si="259"/>
        <v>408.95782525828832</v>
      </c>
      <c r="GD31" s="29">
        <f t="shared" si="260"/>
        <v>380.73418860413716</v>
      </c>
      <c r="GE31" s="29">
        <f t="shared" si="261"/>
        <v>352.19948982049323</v>
      </c>
      <c r="GF31" s="29">
        <f t="shared" si="262"/>
        <v>324.16873766786506</v>
      </c>
      <c r="GG31" s="29">
        <f t="shared" si="263"/>
        <v>296.29045209682522</v>
      </c>
      <c r="GH31" s="29">
        <f t="shared" si="264"/>
        <v>268.60010706605539</v>
      </c>
      <c r="GI31" s="29">
        <f t="shared" si="265"/>
        <v>241.11405568997844</v>
      </c>
      <c r="GJ31" s="29">
        <f t="shared" si="266"/>
        <v>224.59999827109101</v>
      </c>
      <c r="GK31" s="29">
        <f t="shared" si="267"/>
        <v>515.12783924779751</v>
      </c>
      <c r="GL31" s="29">
        <f t="shared" si="268"/>
        <v>495.00649003634834</v>
      </c>
      <c r="GM31" s="29">
        <f t="shared" si="269"/>
        <v>398.49479068732217</v>
      </c>
      <c r="GN31" s="29">
        <f t="shared" si="240"/>
        <v>255.73223400844523</v>
      </c>
      <c r="GO31" s="29">
        <f t="shared" si="241"/>
        <v>8577.2861498100065</v>
      </c>
      <c r="GP31" s="29">
        <f t="shared" si="242"/>
        <v>0</v>
      </c>
      <c r="GQ31" s="29">
        <f t="shared" si="243"/>
        <v>0</v>
      </c>
      <c r="GR31" s="29">
        <f t="shared" si="244"/>
        <v>0</v>
      </c>
      <c r="GS31" s="29">
        <f t="shared" si="245"/>
        <v>0</v>
      </c>
      <c r="GT31" s="29">
        <f t="shared" si="246"/>
        <v>0</v>
      </c>
      <c r="GU31" s="29">
        <f t="shared" si="247"/>
        <v>0</v>
      </c>
      <c r="GV31" s="29">
        <f t="shared" si="248"/>
        <v>0</v>
      </c>
      <c r="GW31" s="29">
        <f t="shared" si="249"/>
        <v>0</v>
      </c>
      <c r="GX31" s="29">
        <f t="shared" si="250"/>
        <v>0</v>
      </c>
      <c r="GY31" s="29">
        <f t="shared" si="251"/>
        <v>0</v>
      </c>
      <c r="GZ31" s="29">
        <f t="shared" si="252"/>
        <v>0</v>
      </c>
      <c r="HA31" s="29">
        <f t="shared" si="253"/>
        <v>0</v>
      </c>
      <c r="HB31" s="29">
        <f t="shared" si="254"/>
        <v>0</v>
      </c>
      <c r="HC31" s="29"/>
      <c r="HD31" s="29">
        <f t="shared" si="29"/>
        <v>20</v>
      </c>
      <c r="HE31" s="29">
        <f t="shared" si="100"/>
        <v>0</v>
      </c>
      <c r="HF31" s="29">
        <f t="shared" si="101"/>
        <v>40.231721435951428</v>
      </c>
      <c r="HG31" s="29">
        <f t="shared" si="102"/>
        <v>39.404921222566479</v>
      </c>
      <c r="HH31" s="29">
        <f t="shared" si="103"/>
        <v>38.601027363119435</v>
      </c>
      <c r="HI31" s="29">
        <f t="shared" si="104"/>
        <v>37.858737059397221</v>
      </c>
      <c r="HJ31" s="29">
        <f t="shared" si="105"/>
        <v>37.088065026006078</v>
      </c>
      <c r="HK31" s="29">
        <f t="shared" si="106"/>
        <v>36.327632517377829</v>
      </c>
      <c r="HL31" s="29">
        <f t="shared" si="107"/>
        <v>35.614619116444665</v>
      </c>
      <c r="HM31" s="29">
        <f t="shared" si="108"/>
        <v>34.866846422904125</v>
      </c>
      <c r="HN31" s="29">
        <f t="shared" si="109"/>
        <v>34.161593580148406</v>
      </c>
      <c r="HO31" s="29">
        <f t="shared" si="110"/>
        <v>33.465872994043615</v>
      </c>
      <c r="HP31" s="29">
        <f t="shared" si="111"/>
        <v>32.783871699324891</v>
      </c>
      <c r="HQ31" s="29">
        <f t="shared" si="112"/>
        <v>32.118761930284265</v>
      </c>
      <c r="HR31" s="29">
        <f t="shared" si="113"/>
        <v>33.057577873969649</v>
      </c>
      <c r="HS31" s="29">
        <f t="shared" si="114"/>
        <v>85.091944569260903</v>
      </c>
      <c r="HT31" s="29">
        <f t="shared" si="115"/>
        <v>93.669663684810033</v>
      </c>
      <c r="HU31" s="29">
        <f t="shared" si="116"/>
        <v>88.839768046477261</v>
      </c>
      <c r="HV31" s="29">
        <f t="shared" si="117"/>
        <v>69.958947534214914</v>
      </c>
      <c r="HW31" s="29">
        <f t="shared" si="118"/>
        <v>3070.8384594471977</v>
      </c>
      <c r="HX31" s="29">
        <f t="shared" si="119"/>
        <v>0</v>
      </c>
      <c r="HY31" s="29">
        <f t="shared" si="120"/>
        <v>0</v>
      </c>
      <c r="HZ31" s="29">
        <f t="shared" si="121"/>
        <v>0</v>
      </c>
      <c r="IA31" s="29">
        <f t="shared" si="122"/>
        <v>0</v>
      </c>
      <c r="IB31" s="29">
        <f t="shared" si="123"/>
        <v>0</v>
      </c>
      <c r="IC31" s="29">
        <f t="shared" si="124"/>
        <v>0</v>
      </c>
      <c r="ID31" s="29">
        <f t="shared" si="125"/>
        <v>0</v>
      </c>
      <c r="IE31" s="29">
        <f t="shared" si="126"/>
        <v>0</v>
      </c>
      <c r="IF31" s="29">
        <f t="shared" si="127"/>
        <v>0</v>
      </c>
      <c r="IG31" s="29">
        <f t="shared" si="128"/>
        <v>0</v>
      </c>
      <c r="IH31" s="29">
        <f t="shared" si="129"/>
        <v>0</v>
      </c>
      <c r="II31" s="29">
        <f t="shared" si="130"/>
        <v>0</v>
      </c>
      <c r="IJ31" s="29">
        <f t="shared" si="131"/>
        <v>0</v>
      </c>
      <c r="IK31" s="48"/>
      <c r="IL31" s="48"/>
      <c r="IM31" s="48"/>
      <c r="IN31" s="29">
        <f t="shared" si="199"/>
        <v>28.472185860954625</v>
      </c>
      <c r="IO31" s="29">
        <f t="shared" si="239"/>
        <v>24.652563239886504</v>
      </c>
      <c r="IP31" s="29">
        <f t="shared" si="287"/>
        <v>19.454568756512788</v>
      </c>
      <c r="IQ31" s="29">
        <f t="shared" si="288"/>
        <v>14.937968810283918</v>
      </c>
      <c r="IR31" s="29">
        <f t="shared" si="289"/>
        <v>10.577112281844686</v>
      </c>
      <c r="IS31" s="29">
        <f t="shared" si="290"/>
        <v>7.3830776190621323</v>
      </c>
      <c r="IT31" s="29">
        <f t="shared" si="291"/>
        <v>4.8069360221972106</v>
      </c>
      <c r="IU31" s="29">
        <f t="shared" si="292"/>
        <v>2.3887929528173002</v>
      </c>
      <c r="IV31" s="29">
        <f t="shared" si="293"/>
        <v>0.92204816088354735</v>
      </c>
      <c r="IW31" s="29">
        <f t="shared" si="294"/>
        <v>-0.41440221207673733</v>
      </c>
      <c r="IX31" s="29">
        <f t="shared" si="295"/>
        <v>-1.2803436091839495</v>
      </c>
      <c r="IY31" s="29">
        <f t="shared" si="296"/>
        <v>-1.715668269801734</v>
      </c>
      <c r="IZ31" s="29">
        <f t="shared" si="297"/>
        <v>-1.7686988910169956</v>
      </c>
      <c r="JA31" s="29">
        <f t="shared" si="298"/>
        <v>-1.5274694878741082</v>
      </c>
      <c r="JB31" s="29">
        <f t="shared" si="299"/>
        <v>-1.1058782494239052</v>
      </c>
      <c r="JC31" s="29">
        <f t="shared" si="300"/>
        <v>-0.44411637888129263</v>
      </c>
      <c r="JD31" s="29">
        <f t="shared" si="301"/>
        <v>0</v>
      </c>
      <c r="JE31" s="29">
        <f t="shared" si="270"/>
        <v>0</v>
      </c>
      <c r="JF31" s="29">
        <f t="shared" si="271"/>
        <v>0</v>
      </c>
      <c r="JG31" s="29">
        <f t="shared" si="272"/>
        <v>0</v>
      </c>
      <c r="JH31" s="29">
        <f t="shared" si="273"/>
        <v>0</v>
      </c>
      <c r="JI31" s="29">
        <f t="shared" si="274"/>
        <v>0</v>
      </c>
      <c r="JJ31" s="29">
        <f t="shared" si="275"/>
        <v>0</v>
      </c>
      <c r="JK31" s="29">
        <f t="shared" si="276"/>
        <v>0</v>
      </c>
      <c r="JL31" s="29">
        <f t="shared" si="277"/>
        <v>0</v>
      </c>
      <c r="JM31" s="29">
        <f t="shared" si="278"/>
        <v>0</v>
      </c>
      <c r="JN31" s="29">
        <f t="shared" si="279"/>
        <v>0</v>
      </c>
      <c r="JO31" s="29">
        <f t="shared" si="280"/>
        <v>0</v>
      </c>
      <c r="JP31" s="29">
        <f t="shared" si="281"/>
        <v>0</v>
      </c>
      <c r="JQ31" s="29">
        <f t="shared" si="282"/>
        <v>0</v>
      </c>
      <c r="JR31" s="29">
        <f t="shared" si="283"/>
        <v>0</v>
      </c>
      <c r="JS31" s="29">
        <f t="shared" si="284"/>
        <v>0</v>
      </c>
      <c r="JT31" s="48"/>
      <c r="JU31" s="401">
        <f t="shared" si="201"/>
        <v>20</v>
      </c>
      <c r="JV31" s="29">
        <f t="shared" si="202"/>
        <v>0</v>
      </c>
      <c r="JW31" s="29">
        <f t="shared" si="203"/>
        <v>1.7876638291790823</v>
      </c>
      <c r="JX31" s="29">
        <f t="shared" si="204"/>
        <v>1.4603724259974351</v>
      </c>
      <c r="JY31" s="29">
        <f t="shared" si="205"/>
        <v>1.163872277213359</v>
      </c>
      <c r="JZ31" s="29">
        <f t="shared" si="206"/>
        <v>0.85791411964847386</v>
      </c>
      <c r="KA31" s="29">
        <f t="shared" si="207"/>
        <v>0.62550525845955884</v>
      </c>
      <c r="KB31" s="29">
        <f t="shared" si="208"/>
        <v>0.42699905604847482</v>
      </c>
      <c r="KC31" s="29">
        <f t="shared" si="209"/>
        <v>0.22345235523645554</v>
      </c>
      <c r="KD31" s="29">
        <f t="shared" si="210"/>
        <v>9.1280403717885261E-2</v>
      </c>
      <c r="KE31" s="29">
        <f t="shared" si="211"/>
        <v>-4.3670589735227638E-2</v>
      </c>
      <c r="KF31" s="29">
        <f t="shared" si="212"/>
        <v>-0.14461423346737873</v>
      </c>
      <c r="KG31" s="29">
        <f t="shared" si="213"/>
        <v>-0.20940516014742477</v>
      </c>
      <c r="KH31" s="29">
        <f t="shared" si="214"/>
        <v>-0.2356080753748187</v>
      </c>
      <c r="KI31" s="29">
        <f t="shared" si="215"/>
        <v>-0.22481942090028137</v>
      </c>
      <c r="KJ31" s="29">
        <f t="shared" si="216"/>
        <v>-0.1826756846178986</v>
      </c>
      <c r="KK31" s="29">
        <f t="shared" si="217"/>
        <v>-8.4039770556688334E-2</v>
      </c>
      <c r="KL31" s="29">
        <f t="shared" si="218"/>
        <v>0</v>
      </c>
      <c r="KM31" s="29">
        <f t="shared" si="219"/>
        <v>0</v>
      </c>
      <c r="KN31" s="29">
        <f t="shared" si="220"/>
        <v>0</v>
      </c>
      <c r="KO31" s="29">
        <f t="shared" si="221"/>
        <v>0</v>
      </c>
      <c r="KP31" s="29">
        <f t="shared" si="222"/>
        <v>0</v>
      </c>
      <c r="KQ31" s="29">
        <f t="shared" si="223"/>
        <v>0</v>
      </c>
      <c r="KR31" s="29">
        <f t="shared" si="224"/>
        <v>0</v>
      </c>
      <c r="KS31" s="29">
        <f t="shared" si="225"/>
        <v>0</v>
      </c>
      <c r="KT31" s="29">
        <f t="shared" si="226"/>
        <v>0</v>
      </c>
      <c r="KU31" s="29">
        <f t="shared" si="227"/>
        <v>0</v>
      </c>
      <c r="KV31" s="29">
        <f t="shared" si="228"/>
        <v>0</v>
      </c>
      <c r="KW31" s="29">
        <f t="shared" si="229"/>
        <v>0</v>
      </c>
      <c r="KX31" s="29">
        <f t="shared" si="230"/>
        <v>0</v>
      </c>
      <c r="KY31" s="29">
        <f t="shared" si="231"/>
        <v>0</v>
      </c>
      <c r="KZ31" s="29">
        <f t="shared" si="232"/>
        <v>0</v>
      </c>
      <c r="LA31" s="29">
        <f t="shared" si="233"/>
        <v>0</v>
      </c>
      <c r="LB31" s="48"/>
      <c r="LC31" s="48"/>
      <c r="LD31" s="48"/>
      <c r="LE31" s="48"/>
      <c r="LF31" s="48"/>
      <c r="LG31" s="48"/>
      <c r="LH31" s="48"/>
      <c r="LI31" s="48"/>
      <c r="LJ31" s="48"/>
      <c r="LK31" s="48"/>
      <c r="LL31" s="48"/>
      <c r="LM31" s="48"/>
      <c r="LN31" s="48"/>
      <c r="LO31" s="46">
        <f t="shared" si="30"/>
        <v>0.17812040298740089</v>
      </c>
      <c r="LP31" s="47">
        <f t="shared" si="31"/>
        <v>0.56700308869355798</v>
      </c>
      <c r="LR31" s="48"/>
      <c r="LS31" s="28" t="s">
        <v>232</v>
      </c>
      <c r="LT31" s="166">
        <v>4.5500000000000006E-2</v>
      </c>
      <c r="LU31" s="115">
        <f t="shared" si="70"/>
        <v>7.3766278651350207E-18</v>
      </c>
      <c r="LV31" s="157">
        <f t="shared" si="15"/>
        <v>7.7138085849112016E-14</v>
      </c>
      <c r="LW31" s="229" t="e">
        <f>LW30*(1+#REF!)</f>
        <v>#REF!</v>
      </c>
      <c r="LX31" s="158"/>
      <c r="LY31" s="129">
        <f t="shared" si="71"/>
        <v>-327.20701416795782</v>
      </c>
      <c r="LZ31" s="130">
        <f t="shared" si="72"/>
        <v>-1019.6669712197327</v>
      </c>
      <c r="MB31" s="381">
        <f t="shared" si="285"/>
        <v>0.04</v>
      </c>
      <c r="MC31" s="394">
        <f t="shared" si="177"/>
        <v>-413.5745831679406</v>
      </c>
      <c r="MD31" s="157">
        <f t="shared" si="158"/>
        <v>-5272.254093831094</v>
      </c>
      <c r="MF31" s="381">
        <f t="shared" si="286"/>
        <v>0.04</v>
      </c>
      <c r="MG31" s="394">
        <f t="shared" si="178"/>
        <v>-16.075779120564128</v>
      </c>
      <c r="MH31" s="157">
        <f t="shared" si="159"/>
        <v>-204.93423853733745</v>
      </c>
      <c r="MK31" s="30" t="s">
        <v>116</v>
      </c>
      <c r="ML31" s="350">
        <v>31668285</v>
      </c>
      <c r="MM31" s="350">
        <v>25551770</v>
      </c>
      <c r="MN31" s="350">
        <v>20444405</v>
      </c>
      <c r="MR31" s="28">
        <f t="shared" si="84"/>
        <v>84</v>
      </c>
      <c r="MS31" s="28">
        <f t="shared" si="85"/>
        <v>0.21441708187371331</v>
      </c>
      <c r="MT31" s="28">
        <f t="shared" si="86"/>
        <v>0.2307880891384832</v>
      </c>
      <c r="MU31" s="28">
        <f t="shared" si="87"/>
        <v>0.24834812793464764</v>
      </c>
      <c r="MV31" s="28">
        <f t="shared" si="88"/>
        <v>0.26717916402261715</v>
      </c>
      <c r="MW31" s="28">
        <f t="shared" si="89"/>
        <v>0.28736851263168878</v>
      </c>
      <c r="MX31" s="28">
        <f t="shared" si="90"/>
        <v>0.30900916809121454</v>
      </c>
    </row>
    <row r="32" spans="1:374" s="30" customFormat="1" ht="12.75" customHeight="1" x14ac:dyDescent="0.3">
      <c r="A32" s="305">
        <f t="shared" si="91"/>
        <v>2041</v>
      </c>
      <c r="B32" s="355">
        <f t="shared" si="1"/>
        <v>2039</v>
      </c>
      <c r="C32" s="26">
        <v>50952</v>
      </c>
      <c r="D32" s="96">
        <f t="shared" si="132"/>
        <v>6824.7744121274736</v>
      </c>
      <c r="E32" s="27">
        <f t="shared" si="133"/>
        <v>6824.7744121274736</v>
      </c>
      <c r="F32" s="111">
        <f t="shared" si="18"/>
        <v>11554.137455251675</v>
      </c>
      <c r="G32" s="27">
        <f t="shared" si="134"/>
        <v>19362.810030135399</v>
      </c>
      <c r="H32" s="27">
        <f t="shared" si="135"/>
        <v>7938.7521123555143</v>
      </c>
      <c r="I32" s="296">
        <f t="shared" si="136"/>
        <v>6747.9392955021867</v>
      </c>
      <c r="J32" s="69">
        <v>1840.416714</v>
      </c>
      <c r="K32" s="297">
        <f t="shared" si="160"/>
        <v>4907.5225815021868</v>
      </c>
      <c r="L32" s="297">
        <f t="shared" si="137"/>
        <v>11424.057917779885</v>
      </c>
      <c r="M32" s="297">
        <f t="shared" si="161"/>
        <v>9710.4492301129012</v>
      </c>
      <c r="N32" s="27">
        <f t="shared" si="162"/>
        <v>0</v>
      </c>
      <c r="O32" s="297">
        <f t="shared" si="138"/>
        <v>1190.8128168533271</v>
      </c>
      <c r="P32" s="297">
        <f t="shared" si="139"/>
        <v>1713.6086876669826</v>
      </c>
      <c r="Q32" s="297">
        <f t="shared" si="140"/>
        <v>839.69793662492543</v>
      </c>
      <c r="R32" s="260">
        <f t="shared" si="2"/>
        <v>0.41000000000000003</v>
      </c>
      <c r="S32" s="257">
        <v>0.59</v>
      </c>
      <c r="T32" s="290">
        <f t="shared" si="163"/>
        <v>7.2499999999999995E-2</v>
      </c>
      <c r="U32" s="290">
        <f t="shared" si="164"/>
        <v>7.2499999999999995E-2</v>
      </c>
      <c r="V32" s="27">
        <f t="shared" si="4"/>
        <v>83488.134101968535</v>
      </c>
      <c r="W32" s="27">
        <f t="shared" si="141"/>
        <v>76494.894015214057</v>
      </c>
      <c r="X32" s="27">
        <f t="shared" si="179"/>
        <v>6993.2400867544793</v>
      </c>
      <c r="Y32" s="27">
        <f t="shared" si="142"/>
        <v>673.04790347358426</v>
      </c>
      <c r="Z32" s="27">
        <f t="shared" si="180"/>
        <v>905.98491316953357</v>
      </c>
      <c r="AA32" s="115">
        <f t="shared" si="165"/>
        <v>7.0000000000000007E-2</v>
      </c>
      <c r="AB32" s="115">
        <f t="shared" si="166"/>
        <v>7.0000000000000007E-2</v>
      </c>
      <c r="AC32" s="96">
        <f t="shared" si="6"/>
        <v>85785.736329400257</v>
      </c>
      <c r="AD32" s="27">
        <f t="shared" si="143"/>
        <v>78600.041540272534</v>
      </c>
      <c r="AE32" s="27">
        <f t="shared" si="181"/>
        <v>7185.694789127725</v>
      </c>
      <c r="AF32" s="150">
        <f t="shared" si="144"/>
        <v>708.39982456639416</v>
      </c>
      <c r="AG32" s="27">
        <f t="shared" si="234"/>
        <v>953.57187837119045</v>
      </c>
      <c r="AH32" s="27">
        <f t="shared" si="167"/>
        <v>72210.654684771362</v>
      </c>
      <c r="AI32" s="27">
        <f t="shared" si="145"/>
        <v>65166.565278105561</v>
      </c>
      <c r="AJ32" s="27">
        <f t="shared" si="182"/>
        <v>7044.0894066658066</v>
      </c>
      <c r="AK32" s="27">
        <f t="shared" si="10"/>
        <v>70946.18969590406</v>
      </c>
      <c r="AL32" s="27">
        <f t="shared" si="168"/>
        <v>64012.267270576456</v>
      </c>
      <c r="AM32" s="27">
        <f t="shared" si="235"/>
        <v>6933.9224253276025</v>
      </c>
      <c r="AN32" s="417">
        <f>INDEX(Inv.Returns!$B$2:$E$32,MATCH(B32,Inv.Returns!$A$2:$A$32,0),MATCH(SCRS!$DT$52,Inv.Returns!$B$1:$E$1,0))</f>
        <v>0.06</v>
      </c>
      <c r="AO32" s="27">
        <f t="shared" si="36"/>
        <v>13575.081644628895</v>
      </c>
      <c r="AP32" s="229">
        <f t="shared" si="11"/>
        <v>14839.546633496197</v>
      </c>
      <c r="AQ32" s="68">
        <f t="shared" si="19"/>
        <v>0.84175595821077687</v>
      </c>
      <c r="AR32" s="151">
        <f t="shared" si="20"/>
        <v>0.8270161536352002</v>
      </c>
      <c r="AS32" s="353"/>
      <c r="AT32" s="289">
        <f t="shared" si="94"/>
        <v>0.10635207087078617</v>
      </c>
      <c r="AU32" s="397">
        <f t="shared" si="169"/>
        <v>9.9400593584701102E-2</v>
      </c>
      <c r="AV32" s="303">
        <f t="shared" si="95"/>
        <v>0.19586865363950681</v>
      </c>
      <c r="AW32" s="303">
        <f t="shared" si="146"/>
        <v>7.8525600633842535E-4</v>
      </c>
      <c r="AX32" s="115">
        <f t="shared" si="61"/>
        <v>0.09</v>
      </c>
      <c r="AY32" s="115">
        <f t="shared" si="147"/>
        <v>0.09</v>
      </c>
      <c r="AZ32" s="115">
        <f t="shared" si="148"/>
        <v>0</v>
      </c>
      <c r="BA32" s="262">
        <f t="shared" si="21"/>
        <v>1.6352070870786176E-2</v>
      </c>
      <c r="BB32" s="115">
        <f t="shared" si="170"/>
        <v>9.4005935847011057E-3</v>
      </c>
      <c r="BC32" s="133">
        <f t="shared" si="77"/>
        <v>0.18560000000000004</v>
      </c>
      <c r="BD32" s="133">
        <f t="shared" si="96"/>
        <v>0.18560000000000004</v>
      </c>
      <c r="BE32" s="410">
        <f t="shared" si="12"/>
        <v>0.16924792912921388</v>
      </c>
      <c r="BF32" s="410">
        <f t="shared" si="149"/>
        <v>0.17619940641529894</v>
      </c>
      <c r="BG32" s="410">
        <f t="shared" si="171"/>
        <v>0.13560000000000005</v>
      </c>
      <c r="BH32" s="410">
        <f t="shared" si="23"/>
        <v>0.18560000000000004</v>
      </c>
      <c r="BI32" s="157">
        <f t="shared" si="37"/>
        <v>3.5504279660569917</v>
      </c>
      <c r="BJ32" s="104">
        <f t="shared" si="38"/>
        <v>3.8834951456310662E-2</v>
      </c>
      <c r="BK32" s="27">
        <f t="shared" si="62"/>
        <v>3.7375647341086737</v>
      </c>
      <c r="BL32" s="27">
        <f t="shared" si="14"/>
        <v>20</v>
      </c>
      <c r="BM32" s="111">
        <f t="shared" si="26"/>
        <v>3.580850442803063</v>
      </c>
      <c r="BN32" s="27"/>
      <c r="BO32" s="27"/>
      <c r="BP32" s="96">
        <f t="shared" si="172"/>
        <v>-4951.2786825939183</v>
      </c>
      <c r="BQ32" s="27">
        <f t="shared" si="183"/>
        <v>-412.69409227979833</v>
      </c>
      <c r="BR32" s="27">
        <f t="shared" si="173"/>
        <v>-192.45781947247008</v>
      </c>
      <c r="BS32" s="27">
        <f t="shared" si="184"/>
        <v>-16.04155415217506</v>
      </c>
      <c r="BT32" s="27">
        <f t="shared" si="150"/>
        <v>-8.0975271546026235</v>
      </c>
      <c r="BU32" s="27">
        <f t="shared" si="185"/>
        <v>-11.652539076135481</v>
      </c>
      <c r="BV32" s="304">
        <f t="shared" si="151"/>
        <v>607.31453659519673</v>
      </c>
      <c r="BW32" s="304">
        <f t="shared" si="186"/>
        <v>873.94043071016108</v>
      </c>
      <c r="BX32" s="304">
        <f t="shared" si="187"/>
        <v>0</v>
      </c>
      <c r="BY32" s="304">
        <f t="shared" si="152"/>
        <v>75.57281429624328</v>
      </c>
      <c r="BZ32" s="304">
        <f t="shared" si="78"/>
        <v>109.18281512580006</v>
      </c>
      <c r="CA32" s="304">
        <f t="shared" si="188"/>
        <v>91.28398673716481</v>
      </c>
      <c r="CB32" s="304">
        <f t="shared" si="236"/>
        <v>3873.9800315234988</v>
      </c>
      <c r="CC32" s="304">
        <f t="shared" si="189"/>
        <v>0</v>
      </c>
      <c r="CD32" s="304">
        <f t="shared" si="190"/>
        <v>5.512226790701007</v>
      </c>
      <c r="CE32" s="304"/>
      <c r="CF32" s="304">
        <f t="shared" si="174"/>
        <v>0</v>
      </c>
      <c r="CG32" s="304">
        <f t="shared" si="153"/>
        <v>0</v>
      </c>
      <c r="CH32" s="304">
        <f t="shared" si="175"/>
        <v>0</v>
      </c>
      <c r="CI32" s="27"/>
      <c r="CJ32" s="27">
        <f t="shared" si="39"/>
        <v>0</v>
      </c>
      <c r="CK32" s="27">
        <f t="shared" si="40"/>
        <v>0</v>
      </c>
      <c r="CL32" s="27">
        <f t="shared" si="41"/>
        <v>0</v>
      </c>
      <c r="CM32" s="27">
        <f t="shared" si="42"/>
        <v>5636.7868417787649</v>
      </c>
      <c r="CN32" s="27">
        <f t="shared" si="43"/>
        <v>0</v>
      </c>
      <c r="CO32" s="111">
        <f t="shared" si="3"/>
        <v>5636.7868417787649</v>
      </c>
      <c r="CP32" s="27">
        <f t="shared" si="154"/>
        <v>3879.4922583141997</v>
      </c>
      <c r="CQ32" s="27">
        <f t="shared" si="155"/>
        <v>0</v>
      </c>
      <c r="CR32" s="27">
        <f t="shared" si="176"/>
        <v>3879.4922583141997</v>
      </c>
      <c r="CS32" s="27">
        <f>SUM($CR$14:CR32)</f>
        <v>51900.078849850368</v>
      </c>
      <c r="CT32" s="229">
        <v>2690.2731669014361</v>
      </c>
      <c r="CU32" s="425">
        <v>549.68749305054041</v>
      </c>
      <c r="CV32" s="425">
        <v>3239.9606599519766</v>
      </c>
      <c r="CW32" s="425">
        <v>48840.743688153387</v>
      </c>
      <c r="CX32" s="107">
        <f t="shared" si="44"/>
        <v>145.2210752260155</v>
      </c>
      <c r="CY32" s="115">
        <f t="shared" si="92"/>
        <v>0.20914136711912065</v>
      </c>
      <c r="CZ32" s="96">
        <f t="shared" si="45"/>
        <v>4225.1801354031804</v>
      </c>
      <c r="DA32" s="418">
        <f t="shared" si="46"/>
        <v>2830.7761575526747</v>
      </c>
      <c r="DB32" s="314">
        <f t="shared" si="47"/>
        <v>2431.337448279206</v>
      </c>
      <c r="DC32" s="314">
        <f t="shared" si="48"/>
        <v>125.63562704929608</v>
      </c>
      <c r="DD32" s="314">
        <f t="shared" si="49"/>
        <v>0</v>
      </c>
      <c r="DE32" s="314">
        <f t="shared" si="50"/>
        <v>31932.401823777258</v>
      </c>
      <c r="DF32" s="314" t="b">
        <f t="shared" si="63"/>
        <v>0</v>
      </c>
      <c r="DG32" s="27">
        <f t="shared" si="51"/>
        <v>145.2210752260155</v>
      </c>
      <c r="DH32" s="100">
        <f t="shared" si="52"/>
        <v>91.01228072299638</v>
      </c>
      <c r="DI32" s="105">
        <f t="shared" si="53"/>
        <v>9.8050892073552835E-3</v>
      </c>
      <c r="DJ32" s="96">
        <f t="shared" si="54"/>
        <v>0</v>
      </c>
      <c r="DK32" s="100">
        <f t="shared" si="55"/>
        <v>0</v>
      </c>
      <c r="DL32" s="105">
        <f t="shared" si="56"/>
        <v>0</v>
      </c>
      <c r="DM32" s="299">
        <v>3345.5353192955099</v>
      </c>
      <c r="DN32" s="100">
        <f t="shared" si="57"/>
        <v>2241.4338117227753</v>
      </c>
      <c r="DO32" s="301">
        <v>1.0030467195087411</v>
      </c>
      <c r="DP32" s="29"/>
      <c r="DQ32" s="282" t="s">
        <v>249</v>
      </c>
      <c r="DR32" s="283"/>
      <c r="DS32" s="283"/>
      <c r="DT32" s="391">
        <v>0.15</v>
      </c>
      <c r="DU32" s="29"/>
      <c r="DV32" s="327"/>
      <c r="DW32" s="328"/>
      <c r="DX32" s="328"/>
      <c r="DY32" s="328"/>
      <c r="DZ32" s="328"/>
      <c r="EA32" s="328"/>
      <c r="EB32" s="328"/>
      <c r="EC32" s="328"/>
      <c r="ED32" s="328"/>
      <c r="EE32" s="328"/>
      <c r="EF32" s="328"/>
      <c r="EG32" s="328"/>
      <c r="EH32" s="329"/>
      <c r="EI32" s="330"/>
      <c r="EJ32" s="339">
        <f t="shared" si="64"/>
        <v>0.16924792912921388</v>
      </c>
      <c r="EK32" s="339">
        <f t="shared" si="58"/>
        <v>1.6352070870786176E-2</v>
      </c>
      <c r="EL32" s="339" t="e">
        <f t="shared" si="65"/>
        <v>#DIV/0!</v>
      </c>
      <c r="EM32" s="339">
        <f t="shared" si="59"/>
        <v>0</v>
      </c>
      <c r="EN32" s="339">
        <v>0.14560000000000001</v>
      </c>
      <c r="EO32" s="339">
        <v>0.14492199990237131</v>
      </c>
      <c r="EP32" s="340" t="e">
        <f t="shared" si="66"/>
        <v>#DIV/0!</v>
      </c>
      <c r="EQ32" s="283"/>
      <c r="ER32" s="30">
        <v>23</v>
      </c>
      <c r="ES32" s="29">
        <f t="shared" si="79"/>
        <v>4243.2512107558241</v>
      </c>
      <c r="ET32" s="29">
        <f t="shared" si="80"/>
        <v>3637.2847470476627</v>
      </c>
      <c r="EU32" s="29">
        <f t="shared" si="67"/>
        <v>-605.96646370816143</v>
      </c>
      <c r="EV32" s="29">
        <f t="shared" si="68"/>
        <v>-484.77317096652916</v>
      </c>
      <c r="EW32" s="29">
        <f t="shared" si="81"/>
        <v>-345.77031172669126</v>
      </c>
      <c r="EX32" s="29">
        <f t="shared" si="93"/>
        <v>-219.3449584160127</v>
      </c>
      <c r="EY32" s="29">
        <f t="shared" si="97"/>
        <v>-104.40956641986895</v>
      </c>
      <c r="EZ32" s="29">
        <f t="shared" si="69"/>
        <v>-1154.2980075291021</v>
      </c>
      <c r="FA32" s="29"/>
      <c r="FB32" s="29">
        <f t="shared" si="237"/>
        <v>440.40433637106787</v>
      </c>
      <c r="FC32" s="29">
        <f t="shared" si="238"/>
        <v>377.25767637595993</v>
      </c>
      <c r="FD32" s="29">
        <f t="shared" si="191"/>
        <v>-63.146659995107939</v>
      </c>
      <c r="FE32" s="29">
        <f t="shared" si="192"/>
        <v>-50.517327996086351</v>
      </c>
      <c r="FF32" s="29">
        <f t="shared" si="193"/>
        <v>-32.824754642711341</v>
      </c>
      <c r="FG32" s="29">
        <f t="shared" si="194"/>
        <v>-18.810351505378481</v>
      </c>
      <c r="FH32" s="29">
        <f t="shared" si="195"/>
        <v>-8.0145471940281929</v>
      </c>
      <c r="FI32" s="29">
        <f t="shared" si="196"/>
        <v>-110.16698133820437</v>
      </c>
      <c r="FJ32" s="29"/>
      <c r="FK32" s="29"/>
      <c r="FL32" s="27">
        <f t="shared" si="24"/>
        <v>15868.76102442971</v>
      </c>
      <c r="FM32" s="29"/>
      <c r="FN32" s="308">
        <f t="shared" si="156"/>
        <v>3873.9800315234988</v>
      </c>
      <c r="FO32" s="93">
        <f t="shared" si="197"/>
        <v>5.512226790701007</v>
      </c>
      <c r="FP32" s="27">
        <f t="shared" si="82"/>
        <v>20</v>
      </c>
      <c r="FQ32" s="309">
        <f t="shared" si="27"/>
        <v>13.512970250241354</v>
      </c>
      <c r="FR32" s="93">
        <f t="shared" si="60"/>
        <v>1174.3355258364666</v>
      </c>
      <c r="FS32" s="93">
        <f t="shared" si="198"/>
        <v>3879.4922583141997</v>
      </c>
      <c r="FT32" s="29">
        <f t="shared" si="83"/>
        <v>20</v>
      </c>
      <c r="FU32" s="142">
        <f t="shared" si="28"/>
        <v>13.512970250241354</v>
      </c>
      <c r="FV32" s="48">
        <v>2658.4542500878783</v>
      </c>
      <c r="FW32" s="29">
        <f t="shared" si="98"/>
        <v>573.89045410538893</v>
      </c>
      <c r="FX32" s="29">
        <f t="shared" si="157"/>
        <v>583.58600599712679</v>
      </c>
      <c r="FY32" s="29">
        <f t="shared" si="255"/>
        <v>552.03145460927806</v>
      </c>
      <c r="FZ32" s="29">
        <f t="shared" si="256"/>
        <v>520.9234557694349</v>
      </c>
      <c r="GA32" s="29">
        <f t="shared" si="257"/>
        <v>490.18428884818223</v>
      </c>
      <c r="GB32" s="29">
        <f t="shared" si="258"/>
        <v>460.26697650197821</v>
      </c>
      <c r="GC32" s="29">
        <f t="shared" si="259"/>
        <v>430.0439353178989</v>
      </c>
      <c r="GD32" s="29">
        <f t="shared" si="260"/>
        <v>400.00727775711425</v>
      </c>
      <c r="GE32" s="29">
        <f t="shared" si="261"/>
        <v>370.54553333406341</v>
      </c>
      <c r="GF32" s="29">
        <f t="shared" si="262"/>
        <v>340.78690772430701</v>
      </c>
      <c r="GG32" s="29">
        <f t="shared" si="263"/>
        <v>311.52352213408665</v>
      </c>
      <c r="GH32" s="29">
        <f t="shared" si="264"/>
        <v>282.41341554321554</v>
      </c>
      <c r="GI32" s="29">
        <f t="shared" si="265"/>
        <v>253.49021398507546</v>
      </c>
      <c r="GJ32" s="29">
        <f t="shared" si="266"/>
        <v>224.76813390743206</v>
      </c>
      <c r="GK32" s="29">
        <f t="shared" si="267"/>
        <v>206.12697370591593</v>
      </c>
      <c r="GL32" s="29">
        <f t="shared" si="268"/>
        <v>463.16699611446097</v>
      </c>
      <c r="GM32" s="29">
        <f t="shared" si="269"/>
        <v>432.76429081209955</v>
      </c>
      <c r="GN32" s="29">
        <f t="shared" si="240"/>
        <v>334.4928554051304</v>
      </c>
      <c r="GO32" s="29">
        <f t="shared" si="241"/>
        <v>201.26739236032074</v>
      </c>
      <c r="GP32" s="29">
        <f t="shared" si="242"/>
        <v>6001.1961782344624</v>
      </c>
      <c r="GQ32" s="29">
        <f t="shared" si="243"/>
        <v>0</v>
      </c>
      <c r="GR32" s="29">
        <f t="shared" si="244"/>
        <v>0</v>
      </c>
      <c r="GS32" s="29">
        <f t="shared" si="245"/>
        <v>0</v>
      </c>
      <c r="GT32" s="29">
        <f t="shared" si="246"/>
        <v>0</v>
      </c>
      <c r="GU32" s="29">
        <f t="shared" si="247"/>
        <v>0</v>
      </c>
      <c r="GV32" s="29">
        <f t="shared" si="248"/>
        <v>0</v>
      </c>
      <c r="GW32" s="29">
        <f t="shared" si="249"/>
        <v>0</v>
      </c>
      <c r="GX32" s="29">
        <f t="shared" si="250"/>
        <v>0</v>
      </c>
      <c r="GY32" s="29">
        <f t="shared" si="251"/>
        <v>0</v>
      </c>
      <c r="GZ32" s="29">
        <f t="shared" si="252"/>
        <v>0</v>
      </c>
      <c r="HA32" s="29">
        <f t="shared" si="253"/>
        <v>0</v>
      </c>
      <c r="HB32" s="29">
        <f t="shared" si="254"/>
        <v>0</v>
      </c>
      <c r="HC32" s="29"/>
      <c r="HD32" s="29">
        <f t="shared" si="29"/>
        <v>20</v>
      </c>
      <c r="HE32" s="29">
        <f t="shared" si="100"/>
        <v>0</v>
      </c>
      <c r="HF32" s="29">
        <f t="shared" si="101"/>
        <v>42.318341666322951</v>
      </c>
      <c r="HG32" s="29">
        <f t="shared" si="102"/>
        <v>41.438673079029982</v>
      </c>
      <c r="HH32" s="29">
        <f t="shared" si="103"/>
        <v>40.587068859243473</v>
      </c>
      <c r="HI32" s="29">
        <f t="shared" si="104"/>
        <v>39.759058184013014</v>
      </c>
      <c r="HJ32" s="29">
        <f t="shared" si="105"/>
        <v>38.994499171179136</v>
      </c>
      <c r="HK32" s="29">
        <f t="shared" si="106"/>
        <v>38.200706976786265</v>
      </c>
      <c r="HL32" s="29">
        <f t="shared" si="107"/>
        <v>37.417461492899172</v>
      </c>
      <c r="HM32" s="29">
        <f t="shared" si="108"/>
        <v>36.683057689938018</v>
      </c>
      <c r="HN32" s="29">
        <f t="shared" si="109"/>
        <v>35.91285181559126</v>
      </c>
      <c r="HO32" s="29">
        <f t="shared" si="110"/>
        <v>35.186441387552861</v>
      </c>
      <c r="HP32" s="29">
        <f t="shared" si="111"/>
        <v>34.469849183864937</v>
      </c>
      <c r="HQ32" s="29">
        <f t="shared" si="112"/>
        <v>33.767387850304637</v>
      </c>
      <c r="HR32" s="29">
        <f t="shared" si="113"/>
        <v>33.0823247881928</v>
      </c>
      <c r="HS32" s="29">
        <f t="shared" si="114"/>
        <v>34.049305210188741</v>
      </c>
      <c r="HT32" s="29">
        <f t="shared" si="115"/>
        <v>87.644702906338722</v>
      </c>
      <c r="HU32" s="29">
        <f t="shared" si="116"/>
        <v>96.479753595354367</v>
      </c>
      <c r="HV32" s="29">
        <f t="shared" si="117"/>
        <v>91.504961087871592</v>
      </c>
      <c r="HW32" s="29">
        <f t="shared" si="118"/>
        <v>72.057715960241396</v>
      </c>
      <c r="HX32" s="29">
        <f t="shared" si="119"/>
        <v>3162.963613230615</v>
      </c>
      <c r="HY32" s="29">
        <f t="shared" si="120"/>
        <v>0</v>
      </c>
      <c r="HZ32" s="29">
        <f t="shared" si="121"/>
        <v>0</v>
      </c>
      <c r="IA32" s="29">
        <f t="shared" si="122"/>
        <v>0</v>
      </c>
      <c r="IB32" s="29">
        <f t="shared" si="123"/>
        <v>0</v>
      </c>
      <c r="IC32" s="29">
        <f t="shared" si="124"/>
        <v>0</v>
      </c>
      <c r="ID32" s="29">
        <f t="shared" si="125"/>
        <v>0</v>
      </c>
      <c r="IE32" s="29">
        <f t="shared" si="126"/>
        <v>0</v>
      </c>
      <c r="IF32" s="29">
        <f t="shared" si="127"/>
        <v>0</v>
      </c>
      <c r="IG32" s="29">
        <f t="shared" si="128"/>
        <v>0</v>
      </c>
      <c r="IH32" s="29">
        <f t="shared" si="129"/>
        <v>0</v>
      </c>
      <c r="II32" s="29">
        <f t="shared" si="130"/>
        <v>0</v>
      </c>
      <c r="IJ32" s="29">
        <f t="shared" si="131"/>
        <v>0</v>
      </c>
      <c r="IK32" s="48"/>
      <c r="IL32" s="48"/>
      <c r="IM32" s="48"/>
      <c r="IN32" s="29">
        <f t="shared" si="199"/>
        <v>34.594890221979881</v>
      </c>
      <c r="IO32" s="29">
        <f t="shared" si="239"/>
        <v>30.465238871221452</v>
      </c>
      <c r="IP32" s="29">
        <f t="shared" si="287"/>
        <v>24.529068823097031</v>
      </c>
      <c r="IQ32" s="29">
        <f t="shared" si="288"/>
        <v>19.305767585834278</v>
      </c>
      <c r="IR32" s="29">
        <f t="shared" si="289"/>
        <v>14.779707782105012</v>
      </c>
      <c r="IS32" s="29">
        <f t="shared" si="290"/>
        <v>10.430076875766931</v>
      </c>
      <c r="IT32" s="29">
        <f t="shared" si="291"/>
        <v>7.2528653819326925</v>
      </c>
      <c r="IU32" s="29">
        <f t="shared" si="292"/>
        <v>4.7017302857019923</v>
      </c>
      <c r="IV32" s="29">
        <f t="shared" si="293"/>
        <v>2.3248675459683166</v>
      </c>
      <c r="IW32" s="29">
        <f t="shared" si="294"/>
        <v>0.89217034834587361</v>
      </c>
      <c r="IX32" s="29">
        <f t="shared" si="295"/>
        <v>-0.39823715764525824</v>
      </c>
      <c r="IY32" s="29">
        <f t="shared" si="296"/>
        <v>-1.2203775355555626</v>
      </c>
      <c r="IZ32" s="29">
        <f t="shared" si="297"/>
        <v>-1.6191546667272616</v>
      </c>
      <c r="JA32" s="29">
        <f t="shared" si="298"/>
        <v>-1.648792925159021</v>
      </c>
      <c r="JB32" s="29">
        <f t="shared" si="299"/>
        <v>-1.4018373347607493</v>
      </c>
      <c r="JC32" s="29">
        <f t="shared" si="300"/>
        <v>-0.99432852940335203</v>
      </c>
      <c r="JD32" s="29">
        <f t="shared" si="301"/>
        <v>-0.38827311078383481</v>
      </c>
      <c r="JE32" s="29">
        <f t="shared" si="270"/>
        <v>0</v>
      </c>
      <c r="JF32" s="29">
        <f t="shared" si="271"/>
        <v>0</v>
      </c>
      <c r="JG32" s="29">
        <f t="shared" si="272"/>
        <v>0</v>
      </c>
      <c r="JH32" s="29">
        <f t="shared" si="273"/>
        <v>0</v>
      </c>
      <c r="JI32" s="29">
        <f t="shared" si="274"/>
        <v>0</v>
      </c>
      <c r="JJ32" s="29">
        <f t="shared" si="275"/>
        <v>0</v>
      </c>
      <c r="JK32" s="29">
        <f t="shared" si="276"/>
        <v>0</v>
      </c>
      <c r="JL32" s="29">
        <f t="shared" si="277"/>
        <v>0</v>
      </c>
      <c r="JM32" s="29">
        <f t="shared" si="278"/>
        <v>0</v>
      </c>
      <c r="JN32" s="29">
        <f t="shared" si="279"/>
        <v>0</v>
      </c>
      <c r="JO32" s="29">
        <f t="shared" si="280"/>
        <v>0</v>
      </c>
      <c r="JP32" s="29">
        <f t="shared" si="281"/>
        <v>0</v>
      </c>
      <c r="JQ32" s="29">
        <f t="shared" si="282"/>
        <v>0</v>
      </c>
      <c r="JR32" s="29">
        <f t="shared" si="283"/>
        <v>0</v>
      </c>
      <c r="JS32" s="29">
        <f t="shared" si="284"/>
        <v>0</v>
      </c>
      <c r="JT32" s="48"/>
      <c r="JU32" s="401">
        <f t="shared" si="201"/>
        <v>20</v>
      </c>
      <c r="JV32" s="29">
        <f t="shared" si="202"/>
        <v>0</v>
      </c>
      <c r="JW32" s="29">
        <f t="shared" si="203"/>
        <v>2.2091660427937669</v>
      </c>
      <c r="JX32" s="29">
        <f t="shared" si="204"/>
        <v>1.8412937440544552</v>
      </c>
      <c r="JY32" s="29">
        <f t="shared" si="205"/>
        <v>1.504183598777358</v>
      </c>
      <c r="JZ32" s="29">
        <f t="shared" si="206"/>
        <v>1.1987884455297597</v>
      </c>
      <c r="KA32" s="29">
        <f t="shared" si="207"/>
        <v>0.88365154323792816</v>
      </c>
      <c r="KB32" s="29">
        <f t="shared" si="208"/>
        <v>0.64427041621334558</v>
      </c>
      <c r="KC32" s="29">
        <f t="shared" si="209"/>
        <v>0.43980902772992908</v>
      </c>
      <c r="KD32" s="29">
        <f t="shared" si="210"/>
        <v>0.23015592589354925</v>
      </c>
      <c r="KE32" s="29">
        <f t="shared" si="211"/>
        <v>9.4018815829421828E-2</v>
      </c>
      <c r="KF32" s="29">
        <f t="shared" si="212"/>
        <v>-4.4980707427284466E-2</v>
      </c>
      <c r="KG32" s="29">
        <f t="shared" si="213"/>
        <v>-0.1489526604714001</v>
      </c>
      <c r="KH32" s="29">
        <f t="shared" si="214"/>
        <v>-0.21568731495184751</v>
      </c>
      <c r="KI32" s="29">
        <f t="shared" si="215"/>
        <v>-0.24267631763606332</v>
      </c>
      <c r="KJ32" s="29">
        <f t="shared" si="216"/>
        <v>-0.23156400352728976</v>
      </c>
      <c r="KK32" s="29">
        <f t="shared" si="217"/>
        <v>-0.18815595515643557</v>
      </c>
      <c r="KL32" s="29">
        <f t="shared" si="218"/>
        <v>-8.6560963673389016E-2</v>
      </c>
      <c r="KM32" s="29">
        <f t="shared" si="219"/>
        <v>0</v>
      </c>
      <c r="KN32" s="29">
        <f t="shared" si="220"/>
        <v>0</v>
      </c>
      <c r="KO32" s="29">
        <f t="shared" si="221"/>
        <v>0</v>
      </c>
      <c r="KP32" s="29">
        <f t="shared" si="222"/>
        <v>0</v>
      </c>
      <c r="KQ32" s="29">
        <f t="shared" si="223"/>
        <v>0</v>
      </c>
      <c r="KR32" s="29">
        <f t="shared" si="224"/>
        <v>0</v>
      </c>
      <c r="KS32" s="29">
        <f t="shared" si="225"/>
        <v>0</v>
      </c>
      <c r="KT32" s="29">
        <f t="shared" si="226"/>
        <v>0</v>
      </c>
      <c r="KU32" s="29">
        <f t="shared" si="227"/>
        <v>0</v>
      </c>
      <c r="KV32" s="29">
        <f t="shared" si="228"/>
        <v>0</v>
      </c>
      <c r="KW32" s="29">
        <f t="shared" si="229"/>
        <v>0</v>
      </c>
      <c r="KX32" s="29">
        <f t="shared" si="230"/>
        <v>0</v>
      </c>
      <c r="KY32" s="29">
        <f t="shared" si="231"/>
        <v>0</v>
      </c>
      <c r="KZ32" s="29">
        <f t="shared" si="232"/>
        <v>0</v>
      </c>
      <c r="LA32" s="29">
        <f t="shared" si="233"/>
        <v>0</v>
      </c>
      <c r="LB32" s="48"/>
      <c r="LC32" s="48"/>
      <c r="LD32" s="48"/>
      <c r="LE32" s="48"/>
      <c r="LF32" s="48"/>
      <c r="LG32" s="48"/>
      <c r="LH32" s="48"/>
      <c r="LI32" s="48"/>
      <c r="LJ32" s="48"/>
      <c r="LK32" s="48"/>
      <c r="LL32" s="48"/>
      <c r="LM32" s="48"/>
      <c r="LN32" s="48"/>
      <c r="LO32" s="46">
        <f t="shared" si="30"/>
        <v>0.16646766634336532</v>
      </c>
      <c r="LP32" s="47">
        <f t="shared" si="31"/>
        <v>0.55452624811105922</v>
      </c>
      <c r="LQ32" s="28"/>
      <c r="LR32" s="48"/>
      <c r="LS32" s="28" t="s">
        <v>285</v>
      </c>
      <c r="LT32" s="166">
        <v>4.9443333333333346E-2</v>
      </c>
      <c r="LU32" s="115">
        <f t="shared" si="70"/>
        <v>8.0159356134467241E-18</v>
      </c>
      <c r="LV32" s="157">
        <f t="shared" si="15"/>
        <v>9.2617221910210611E-14</v>
      </c>
      <c r="LW32" s="229" t="e">
        <f>LW31*(1+#REF!)</f>
        <v>#REF!</v>
      </c>
      <c r="LX32" s="158"/>
      <c r="LY32" s="129">
        <f t="shared" si="71"/>
        <v>-392.53853007232829</v>
      </c>
      <c r="LZ32" s="130">
        <f t="shared" si="72"/>
        <v>-1124.6278246273287</v>
      </c>
      <c r="MA32" s="28"/>
      <c r="MB32" s="381">
        <f t="shared" si="285"/>
        <v>4.2500000000000003E-2</v>
      </c>
      <c r="MC32" s="394">
        <f t="shared" si="177"/>
        <v>-485.52246150564514</v>
      </c>
      <c r="MD32" s="157">
        <f t="shared" si="158"/>
        <v>-5436.8011440995633</v>
      </c>
      <c r="ME32" s="28"/>
      <c r="MF32" s="381">
        <f t="shared" si="286"/>
        <v>4.2500000000000003E-2</v>
      </c>
      <c r="MG32" s="394">
        <f t="shared" si="178"/>
        <v>-18.872416649617719</v>
      </c>
      <c r="MH32" s="157">
        <f t="shared" si="159"/>
        <v>-211.3302361220878</v>
      </c>
      <c r="MI32" s="28"/>
      <c r="MJ32" s="28"/>
      <c r="MK32" s="30" t="s">
        <v>261</v>
      </c>
      <c r="ML32" s="350">
        <f>MM32</f>
        <v>26292418</v>
      </c>
      <c r="MM32" s="350">
        <v>26292418</v>
      </c>
      <c r="MN32" s="350">
        <f>MM32</f>
        <v>26292418</v>
      </c>
      <c r="MO32" s="28"/>
      <c r="MP32" s="28"/>
      <c r="MQ32" s="28"/>
      <c r="MR32" s="28">
        <f t="shared" si="84"/>
        <v>85</v>
      </c>
      <c r="MS32" s="28">
        <f t="shared" si="85"/>
        <v>0.19992268706173735</v>
      </c>
      <c r="MT32" s="28">
        <f t="shared" si="86"/>
        <v>0.21590790604857538</v>
      </c>
      <c r="MU32" s="28">
        <f t="shared" si="87"/>
        <v>0.23311147822080167</v>
      </c>
      <c r="MV32" s="28">
        <f t="shared" si="88"/>
        <v>0.2516217385744004</v>
      </c>
      <c r="MW32" s="28">
        <f t="shared" si="89"/>
        <v>0.27153310088666988</v>
      </c>
      <c r="MX32" s="28">
        <f t="shared" si="90"/>
        <v>0.29294645375920036</v>
      </c>
    </row>
    <row r="33" spans="1:360" s="30" customFormat="1" ht="12.75" customHeight="1" x14ac:dyDescent="0.3">
      <c r="A33" s="305">
        <f t="shared" si="91"/>
        <v>2042</v>
      </c>
      <c r="B33" s="355">
        <f t="shared" si="1"/>
        <v>2040</v>
      </c>
      <c r="C33" s="26">
        <v>51318</v>
      </c>
      <c r="D33" s="96">
        <f t="shared" si="132"/>
        <v>6343.711045028731</v>
      </c>
      <c r="E33" s="27">
        <f t="shared" si="133"/>
        <v>6343.711045028731</v>
      </c>
      <c r="F33" s="111">
        <f t="shared" si="18"/>
        <v>12707.592872394598</v>
      </c>
      <c r="G33" s="27">
        <f t="shared" si="134"/>
        <v>19943.69433103946</v>
      </c>
      <c r="H33" s="27">
        <f t="shared" si="135"/>
        <v>7379.1669024845996</v>
      </c>
      <c r="I33" s="296">
        <f t="shared" si="136"/>
        <v>6272.2918671119096</v>
      </c>
      <c r="J33" s="69">
        <v>1722.8140860000001</v>
      </c>
      <c r="K33" s="297">
        <f t="shared" si="160"/>
        <v>4549.4777811119093</v>
      </c>
      <c r="L33" s="297">
        <f t="shared" si="137"/>
        <v>12564.52742855486</v>
      </c>
      <c r="M33" s="297">
        <f t="shared" si="161"/>
        <v>10679.848314271632</v>
      </c>
      <c r="N33" s="27">
        <f t="shared" si="162"/>
        <v>0</v>
      </c>
      <c r="O33" s="297">
        <f t="shared" si="138"/>
        <v>1106.8750353726898</v>
      </c>
      <c r="P33" s="297">
        <f t="shared" si="139"/>
        <v>1884.679114283229</v>
      </c>
      <c r="Q33" s="297">
        <f t="shared" si="140"/>
        <v>864.88887472367321</v>
      </c>
      <c r="R33" s="260">
        <f t="shared" si="2"/>
        <v>0.37</v>
      </c>
      <c r="S33" s="257">
        <v>0.63</v>
      </c>
      <c r="T33" s="290">
        <f t="shared" si="163"/>
        <v>7.2499999999999995E-2</v>
      </c>
      <c r="U33" s="290">
        <f t="shared" si="164"/>
        <v>7.2499999999999995E-2</v>
      </c>
      <c r="V33" s="27">
        <f t="shared" si="4"/>
        <v>85280.521341653483</v>
      </c>
      <c r="W33" s="27">
        <f t="shared" si="141"/>
        <v>77265.408905446253</v>
      </c>
      <c r="X33" s="27">
        <f t="shared" si="179"/>
        <v>8015.1124362072314</v>
      </c>
      <c r="Y33" s="27">
        <f t="shared" si="142"/>
        <v>625.89257422106596</v>
      </c>
      <c r="Z33" s="27">
        <f t="shared" si="180"/>
        <v>996.42984772154318</v>
      </c>
      <c r="AA33" s="115">
        <f t="shared" si="165"/>
        <v>7.0000000000000007E-2</v>
      </c>
      <c r="AB33" s="115">
        <f t="shared" si="166"/>
        <v>7.0000000000000007E-2</v>
      </c>
      <c r="AC33" s="96">
        <f t="shared" si="6"/>
        <v>87627.450254351541</v>
      </c>
      <c r="AD33" s="27">
        <f t="shared" si="143"/>
        <v>79391.761081286662</v>
      </c>
      <c r="AE33" s="27">
        <f t="shared" si="181"/>
        <v>8235.6891730648749</v>
      </c>
      <c r="AF33" s="150">
        <f t="shared" si="144"/>
        <v>658.76765604250011</v>
      </c>
      <c r="AG33" s="27">
        <f t="shared" si="234"/>
        <v>1048.7674438560434</v>
      </c>
      <c r="AH33" s="27">
        <f t="shared" si="167"/>
        <v>76635.984487742477</v>
      </c>
      <c r="AI33" s="27">
        <f t="shared" si="145"/>
        <v>68585.096566394917</v>
      </c>
      <c r="AJ33" s="27">
        <f t="shared" si="182"/>
        <v>8050.8879213475657</v>
      </c>
      <c r="AK33" s="27">
        <f t="shared" si="10"/>
        <v>75295.083540859181</v>
      </c>
      <c r="AL33" s="27">
        <f t="shared" si="168"/>
        <v>67371.267715125388</v>
      </c>
      <c r="AM33" s="27">
        <f t="shared" si="235"/>
        <v>7923.8158257337955</v>
      </c>
      <c r="AN33" s="417">
        <f>INDEX(Inv.Returns!$B$2:$E$32,MATCH(B33,Inv.Returns!$A$2:$A$32,0),MATCH(SCRS!$DT$52,Inv.Returns!$B$1:$E$1,0))</f>
        <v>0.06</v>
      </c>
      <c r="AO33" s="27">
        <f t="shared" si="36"/>
        <v>10991.465766609064</v>
      </c>
      <c r="AP33" s="229">
        <f t="shared" si="11"/>
        <v>12332.36671349236</v>
      </c>
      <c r="AQ33" s="68">
        <f t="shared" si="19"/>
        <v>0.87456595239614165</v>
      </c>
      <c r="AR33" s="151">
        <f t="shared" si="20"/>
        <v>0.85926365907377367</v>
      </c>
      <c r="AS33" s="353"/>
      <c r="AT33" s="289">
        <f t="shared" si="94"/>
        <v>0.10633842100069089</v>
      </c>
      <c r="AU33" s="397">
        <f t="shared" si="169"/>
        <v>9.9400593584701089E-2</v>
      </c>
      <c r="AV33" s="303">
        <f t="shared" si="95"/>
        <v>4.5989109826225893E-2</v>
      </c>
      <c r="AW33" s="303">
        <f t="shared" si="146"/>
        <v>9.6870535278865337E-4</v>
      </c>
      <c r="AX33" s="115">
        <f t="shared" si="61"/>
        <v>0.09</v>
      </c>
      <c r="AY33" s="115">
        <f t="shared" si="147"/>
        <v>0.09</v>
      </c>
      <c r="AZ33" s="115">
        <f t="shared" si="148"/>
        <v>0</v>
      </c>
      <c r="BA33" s="262">
        <f t="shared" si="21"/>
        <v>1.6338421000690898E-2</v>
      </c>
      <c r="BB33" s="115">
        <f t="shared" si="170"/>
        <v>9.4005935847010919E-3</v>
      </c>
      <c r="BC33" s="133">
        <f t="shared" si="77"/>
        <v>0.18560000000000004</v>
      </c>
      <c r="BD33" s="133">
        <f t="shared" si="96"/>
        <v>0.18560000000000004</v>
      </c>
      <c r="BE33" s="410">
        <f t="shared" si="12"/>
        <v>0.16926157899930916</v>
      </c>
      <c r="BF33" s="410">
        <f t="shared" si="149"/>
        <v>0.17619940641529896</v>
      </c>
      <c r="BG33" s="410">
        <f t="shared" si="171"/>
        <v>0.13560000000000005</v>
      </c>
      <c r="BH33" s="410">
        <f t="shared" si="23"/>
        <v>0.18560000000000004</v>
      </c>
      <c r="BI33" s="157">
        <f t="shared" si="37"/>
        <v>2.7608026931583201</v>
      </c>
      <c r="BJ33" s="104">
        <f t="shared" si="38"/>
        <v>3.8834951456310662E-2</v>
      </c>
      <c r="BK33" s="27">
        <f t="shared" si="62"/>
        <v>2.859089138466048</v>
      </c>
      <c r="BL33" s="27">
        <f t="shared" si="14"/>
        <v>20</v>
      </c>
      <c r="BM33" s="111">
        <f t="shared" si="26"/>
        <v>2.7428234656702903</v>
      </c>
      <c r="BN33" s="27"/>
      <c r="BO33" s="27"/>
      <c r="BP33" s="96">
        <f t="shared" si="172"/>
        <v>-5041.0799735219425</v>
      </c>
      <c r="BQ33" s="27">
        <f t="shared" si="183"/>
        <v>-480.59317414222352</v>
      </c>
      <c r="BR33" s="27">
        <f t="shared" si="173"/>
        <v>-195.94842497980665</v>
      </c>
      <c r="BS33" s="27">
        <f t="shared" si="184"/>
        <v>-18.680813639903807</v>
      </c>
      <c r="BT33" s="27">
        <f t="shared" si="150"/>
        <v>-7.526750240534291</v>
      </c>
      <c r="BU33" s="27">
        <f t="shared" si="185"/>
        <v>-12.815817977125958</v>
      </c>
      <c r="BV33" s="304">
        <f t="shared" si="151"/>
        <v>564.50626804007186</v>
      </c>
      <c r="BW33" s="304">
        <f t="shared" si="186"/>
        <v>961.18634828444692</v>
      </c>
      <c r="BX33" s="304">
        <f t="shared" si="187"/>
        <v>0</v>
      </c>
      <c r="BY33" s="304">
        <f t="shared" si="152"/>
        <v>77.839998725130584</v>
      </c>
      <c r="BZ33" s="304">
        <f t="shared" si="78"/>
        <v>101.78813824296253</v>
      </c>
      <c r="CA33" s="304">
        <f t="shared" si="188"/>
        <v>100.39691354872252</v>
      </c>
      <c r="CB33" s="304">
        <f t="shared" si="236"/>
        <v>4032.5177741355283</v>
      </c>
      <c r="CC33" s="304">
        <f t="shared" si="189"/>
        <v>0</v>
      </c>
      <c r="CD33" s="304">
        <f t="shared" si="190"/>
        <v>7.8867596372158051</v>
      </c>
      <c r="CE33" s="304"/>
      <c r="CF33" s="304">
        <f t="shared" si="174"/>
        <v>0</v>
      </c>
      <c r="CG33" s="304">
        <f t="shared" si="153"/>
        <v>0</v>
      </c>
      <c r="CH33" s="304">
        <f t="shared" si="175"/>
        <v>0</v>
      </c>
      <c r="CI33" s="27"/>
      <c r="CJ33" s="27">
        <f t="shared" si="39"/>
        <v>0</v>
      </c>
      <c r="CK33" s="27">
        <f t="shared" si="40"/>
        <v>0</v>
      </c>
      <c r="CL33" s="27">
        <f t="shared" si="41"/>
        <v>0</v>
      </c>
      <c r="CM33" s="27">
        <f t="shared" si="42"/>
        <v>5846.1222006140788</v>
      </c>
      <c r="CN33" s="27">
        <f t="shared" si="43"/>
        <v>0</v>
      </c>
      <c r="CO33" s="111">
        <f t="shared" si="3"/>
        <v>5846.1222006140788</v>
      </c>
      <c r="CP33" s="27">
        <f t="shared" si="154"/>
        <v>4040.4045337727439</v>
      </c>
      <c r="CQ33" s="27">
        <f t="shared" si="155"/>
        <v>0</v>
      </c>
      <c r="CR33" s="27">
        <f t="shared" si="176"/>
        <v>4040.4045337727439</v>
      </c>
      <c r="CS33" s="27">
        <f>SUM($CR$14:CR33)</f>
        <v>55940.483383623112</v>
      </c>
      <c r="CT33" s="229">
        <v>2775.0627411082819</v>
      </c>
      <c r="CU33" s="425">
        <v>566.17811784205651</v>
      </c>
      <c r="CV33" s="425">
        <v>3341.2408589503384</v>
      </c>
      <c r="CW33" s="425">
        <v>52181.984547103726</v>
      </c>
      <c r="CX33" s="107">
        <f t="shared" si="44"/>
        <v>149.57770748279594</v>
      </c>
      <c r="CY33" s="115">
        <f t="shared" si="92"/>
        <v>0.21107478820714581</v>
      </c>
      <c r="CZ33" s="96">
        <f t="shared" si="45"/>
        <v>4392.167293047225</v>
      </c>
      <c r="DA33" s="418">
        <f t="shared" si="46"/>
        <v>2877.9010435633745</v>
      </c>
      <c r="DB33" s="314">
        <f t="shared" si="47"/>
        <v>2476.4632229354111</v>
      </c>
      <c r="DC33" s="314">
        <f t="shared" si="48"/>
        <v>123.92418650264834</v>
      </c>
      <c r="DD33" s="314">
        <f t="shared" si="49"/>
        <v>0</v>
      </c>
      <c r="DE33" s="314">
        <f t="shared" si="50"/>
        <v>31454.063228646886</v>
      </c>
      <c r="DF33" s="314" t="b">
        <f t="shared" si="63"/>
        <v>0</v>
      </c>
      <c r="DG33" s="27">
        <f t="shared" si="51"/>
        <v>149.57770748279594</v>
      </c>
      <c r="DH33" s="100">
        <f t="shared" si="52"/>
        <v>91.679852464240852</v>
      </c>
      <c r="DI33" s="105">
        <f t="shared" si="53"/>
        <v>9.2750843853360767E-3</v>
      </c>
      <c r="DJ33" s="96">
        <f t="shared" si="54"/>
        <v>0</v>
      </c>
      <c r="DK33" s="100">
        <f t="shared" si="55"/>
        <v>0</v>
      </c>
      <c r="DL33" s="105">
        <f t="shared" si="56"/>
        <v>0</v>
      </c>
      <c r="DM33" s="299">
        <v>3237.8155468167442</v>
      </c>
      <c r="DN33" s="100">
        <f t="shared" si="57"/>
        <v>2121.5295591768886</v>
      </c>
      <c r="DO33" s="301">
        <v>1.0369726566062747</v>
      </c>
      <c r="DP33" s="29"/>
      <c r="DQ33" s="50" t="s">
        <v>88</v>
      </c>
      <c r="DR33" s="34"/>
      <c r="DS33" s="34"/>
      <c r="DT33" s="270">
        <v>2.1399999999999999E-2</v>
      </c>
      <c r="DU33" s="29"/>
      <c r="DV33" s="327"/>
      <c r="DW33" s="328"/>
      <c r="DX33" s="328"/>
      <c r="DY33" s="328"/>
      <c r="DZ33" s="328"/>
      <c r="EA33" s="328"/>
      <c r="EB33" s="328"/>
      <c r="EC33" s="328"/>
      <c r="ED33" s="328"/>
      <c r="EE33" s="328"/>
      <c r="EF33" s="328"/>
      <c r="EG33" s="328"/>
      <c r="EH33" s="329"/>
      <c r="EI33" s="330"/>
      <c r="EJ33" s="339">
        <f t="shared" si="64"/>
        <v>0.16926157899930916</v>
      </c>
      <c r="EK33" s="339">
        <f t="shared" si="58"/>
        <v>1.6338421000690898E-2</v>
      </c>
      <c r="EL33" s="339" t="e">
        <f t="shared" si="65"/>
        <v>#DIV/0!</v>
      </c>
      <c r="EM33" s="339">
        <f t="shared" si="59"/>
        <v>0</v>
      </c>
      <c r="EN33" s="339">
        <v>0.1356</v>
      </c>
      <c r="EO33" s="339">
        <v>0.14460009562723541</v>
      </c>
      <c r="EP33" s="340" t="e">
        <f t="shared" si="66"/>
        <v>#DIV/0!</v>
      </c>
      <c r="EQ33" s="283"/>
      <c r="ER33" s="341">
        <v>24</v>
      </c>
      <c r="ES33" s="29">
        <f t="shared" si="79"/>
        <v>4464.482105004402</v>
      </c>
      <c r="ET33" s="29">
        <f t="shared" si="80"/>
        <v>3826.9034141475231</v>
      </c>
      <c r="EU33" s="29">
        <f t="shared" si="67"/>
        <v>-637.57869085687889</v>
      </c>
      <c r="EV33" s="29">
        <f t="shared" si="68"/>
        <v>-510.06295268550309</v>
      </c>
      <c r="EW33" s="29">
        <f t="shared" si="81"/>
        <v>-363.5798782248969</v>
      </c>
      <c r="EX33" s="29">
        <f t="shared" si="93"/>
        <v>-230.5135411511275</v>
      </c>
      <c r="EY33" s="29">
        <f t="shared" si="97"/>
        <v>-109.67247920800635</v>
      </c>
      <c r="EZ33" s="29">
        <f t="shared" si="69"/>
        <v>-1213.8288512695337</v>
      </c>
      <c r="FA33" s="29"/>
      <c r="FB33" s="29">
        <f t="shared" si="237"/>
        <v>504.88287732282186</v>
      </c>
      <c r="FC33" s="29">
        <f t="shared" si="238"/>
        <v>432.513184695061</v>
      </c>
      <c r="FD33" s="29">
        <f t="shared" si="191"/>
        <v>-72.369692627760855</v>
      </c>
      <c r="FE33" s="29">
        <f t="shared" si="192"/>
        <v>-57.895754102208684</v>
      </c>
      <c r="FF33" s="29">
        <f t="shared" si="193"/>
        <v>-37.887995997064763</v>
      </c>
      <c r="FG33" s="29">
        <f t="shared" si="194"/>
        <v>-21.883169761807558</v>
      </c>
      <c r="FH33" s="29">
        <f t="shared" si="195"/>
        <v>-9.4051757526892406</v>
      </c>
      <c r="FI33" s="29">
        <f t="shared" si="196"/>
        <v>-127.07209561377024</v>
      </c>
      <c r="FJ33" s="29"/>
      <c r="FK33" s="29"/>
      <c r="FL33" s="27">
        <f t="shared" si="24"/>
        <v>13575.081644628895</v>
      </c>
      <c r="FM33" s="29"/>
      <c r="FN33" s="308">
        <f t="shared" si="156"/>
        <v>4032.5177741355283</v>
      </c>
      <c r="FO33" s="93">
        <f t="shared" si="197"/>
        <v>7.8867596372158051</v>
      </c>
      <c r="FP33" s="27">
        <f t="shared" si="82"/>
        <v>20</v>
      </c>
      <c r="FQ33" s="309">
        <f t="shared" si="27"/>
        <v>13.512970250241354</v>
      </c>
      <c r="FR33" s="93">
        <f t="shared" si="60"/>
        <v>1004.5964279678949</v>
      </c>
      <c r="FS33" s="93">
        <f t="shared" si="198"/>
        <v>4040.4045337727439</v>
      </c>
      <c r="FT33" s="29">
        <f t="shared" si="83"/>
        <v>20</v>
      </c>
      <c r="FU33" s="142">
        <f t="shared" si="28"/>
        <v>13.512970250241354</v>
      </c>
      <c r="FV33" s="48">
        <v>2694.2638631209948</v>
      </c>
      <c r="FW33" s="29">
        <f t="shared" si="98"/>
        <v>604.11373460383766</v>
      </c>
      <c r="FX33" s="29">
        <f t="shared" si="157"/>
        <v>614.06278589276621</v>
      </c>
      <c r="FY33" s="29">
        <f t="shared" si="255"/>
        <v>580.66259341905834</v>
      </c>
      <c r="FZ33" s="29">
        <f t="shared" si="256"/>
        <v>547.80915969617581</v>
      </c>
      <c r="GA33" s="29">
        <f t="shared" si="257"/>
        <v>515.40450719218097</v>
      </c>
      <c r="GB33" s="29">
        <f t="shared" si="258"/>
        <v>483.37009948881979</v>
      </c>
      <c r="GC33" s="29">
        <f t="shared" si="259"/>
        <v>452.14944127081816</v>
      </c>
      <c r="GD33" s="29">
        <f t="shared" si="260"/>
        <v>420.63189223442527</v>
      </c>
      <c r="GE33" s="29">
        <f t="shared" si="261"/>
        <v>389.30286407278032</v>
      </c>
      <c r="GF33" s="29">
        <f t="shared" si="262"/>
        <v>358.53847074091357</v>
      </c>
      <c r="GG33" s="29">
        <f t="shared" si="263"/>
        <v>327.49344848987914</v>
      </c>
      <c r="GH33" s="29">
        <f t="shared" si="264"/>
        <v>296.93303069782786</v>
      </c>
      <c r="GI33" s="29">
        <f t="shared" si="265"/>
        <v>266.52646538484146</v>
      </c>
      <c r="GJ33" s="29">
        <f t="shared" si="266"/>
        <v>236.30527137115877</v>
      </c>
      <c r="GK33" s="29">
        <f t="shared" si="267"/>
        <v>206.28128042968208</v>
      </c>
      <c r="GL33" s="29">
        <f t="shared" si="268"/>
        <v>185.33498668785404</v>
      </c>
      <c r="GM33" s="29">
        <f t="shared" si="269"/>
        <v>404.92830020537042</v>
      </c>
      <c r="GN33" s="29">
        <f t="shared" si="240"/>
        <v>363.25835803634948</v>
      </c>
      <c r="GO33" s="29">
        <f t="shared" si="241"/>
        <v>263.25388753427609</v>
      </c>
      <c r="GP33" s="29">
        <f t="shared" si="242"/>
        <v>140.819028855966</v>
      </c>
      <c r="GQ33" s="29">
        <f t="shared" si="243"/>
        <v>3149.4849085867613</v>
      </c>
      <c r="GR33" s="29">
        <f t="shared" si="244"/>
        <v>0</v>
      </c>
      <c r="GS33" s="29">
        <f t="shared" si="245"/>
        <v>0</v>
      </c>
      <c r="GT33" s="29">
        <f t="shared" si="246"/>
        <v>0</v>
      </c>
      <c r="GU33" s="29">
        <f t="shared" si="247"/>
        <v>0</v>
      </c>
      <c r="GV33" s="29">
        <f t="shared" si="248"/>
        <v>0</v>
      </c>
      <c r="GW33" s="29">
        <f t="shared" si="249"/>
        <v>0</v>
      </c>
      <c r="GX33" s="29">
        <f t="shared" si="250"/>
        <v>0</v>
      </c>
      <c r="GY33" s="29">
        <f t="shared" si="251"/>
        <v>0</v>
      </c>
      <c r="GZ33" s="29">
        <f t="shared" si="252"/>
        <v>0</v>
      </c>
      <c r="HA33" s="29">
        <f t="shared" si="253"/>
        <v>0</v>
      </c>
      <c r="HB33" s="29">
        <f t="shared" si="254"/>
        <v>0</v>
      </c>
      <c r="HC33" s="29"/>
      <c r="HD33" s="29">
        <f t="shared" si="29"/>
        <v>20</v>
      </c>
      <c r="HE33" s="29">
        <f t="shared" si="100"/>
        <v>0</v>
      </c>
      <c r="HF33" s="29">
        <f t="shared" si="101"/>
        <v>44.528344598640246</v>
      </c>
      <c r="HG33" s="29">
        <f t="shared" si="102"/>
        <v>43.58789191631265</v>
      </c>
      <c r="HH33" s="29">
        <f t="shared" si="103"/>
        <v>42.681833271400883</v>
      </c>
      <c r="HI33" s="29">
        <f t="shared" si="104"/>
        <v>41.804680925020769</v>
      </c>
      <c r="HJ33" s="29">
        <f t="shared" si="105"/>
        <v>40.951829929533403</v>
      </c>
      <c r="HK33" s="29">
        <f t="shared" si="106"/>
        <v>40.164334146314509</v>
      </c>
      <c r="HL33" s="29">
        <f t="shared" si="107"/>
        <v>39.346728186089855</v>
      </c>
      <c r="HM33" s="29">
        <f t="shared" si="108"/>
        <v>38.539985337686154</v>
      </c>
      <c r="HN33" s="29">
        <f t="shared" si="109"/>
        <v>37.783549420636163</v>
      </c>
      <c r="HO33" s="29">
        <f t="shared" si="110"/>
        <v>36.990237370058999</v>
      </c>
      <c r="HP33" s="29">
        <f t="shared" si="111"/>
        <v>36.24203462917945</v>
      </c>
      <c r="HQ33" s="29">
        <f t="shared" si="112"/>
        <v>35.503944659380878</v>
      </c>
      <c r="HR33" s="29">
        <f t="shared" si="113"/>
        <v>34.780409485813777</v>
      </c>
      <c r="HS33" s="29">
        <f t="shared" si="114"/>
        <v>34.074794531838577</v>
      </c>
      <c r="HT33" s="29">
        <f t="shared" si="115"/>
        <v>35.070784366494401</v>
      </c>
      <c r="HU33" s="29">
        <f t="shared" si="116"/>
        <v>90.27404399352892</v>
      </c>
      <c r="HV33" s="29">
        <f t="shared" si="117"/>
        <v>99.374146203215005</v>
      </c>
      <c r="HW33" s="29">
        <f t="shared" si="118"/>
        <v>94.250109920507796</v>
      </c>
      <c r="HX33" s="29">
        <f t="shared" si="119"/>
        <v>74.219447439048679</v>
      </c>
      <c r="HY33" s="29">
        <f t="shared" si="120"/>
        <v>3257.8525216275311</v>
      </c>
      <c r="HZ33" s="29">
        <f t="shared" si="121"/>
        <v>0</v>
      </c>
      <c r="IA33" s="29">
        <f t="shared" si="122"/>
        <v>0</v>
      </c>
      <c r="IB33" s="29">
        <f t="shared" si="123"/>
        <v>0</v>
      </c>
      <c r="IC33" s="29">
        <f t="shared" si="124"/>
        <v>0</v>
      </c>
      <c r="ID33" s="29">
        <f t="shared" si="125"/>
        <v>0</v>
      </c>
      <c r="IE33" s="29">
        <f t="shared" si="126"/>
        <v>0</v>
      </c>
      <c r="IF33" s="29">
        <f t="shared" si="127"/>
        <v>0</v>
      </c>
      <c r="IG33" s="29">
        <f t="shared" si="128"/>
        <v>0</v>
      </c>
      <c r="IH33" s="29">
        <f t="shared" si="129"/>
        <v>0</v>
      </c>
      <c r="II33" s="29">
        <f t="shared" si="130"/>
        <v>0</v>
      </c>
      <c r="IJ33" s="29">
        <f t="shared" si="131"/>
        <v>0</v>
      </c>
      <c r="IK33" s="48"/>
      <c r="IL33" s="48"/>
      <c r="IM33" s="48"/>
      <c r="IN33" s="29">
        <f t="shared" si="199"/>
        <v>41.441620087199624</v>
      </c>
      <c r="IO33" s="29">
        <f t="shared" si="239"/>
        <v>37.016532537518472</v>
      </c>
      <c r="IP33" s="29">
        <f t="shared" si="287"/>
        <v>30.312626468602549</v>
      </c>
      <c r="IQ33" s="29">
        <f t="shared" si="288"/>
        <v>24.341454581824848</v>
      </c>
      <c r="IR33" s="29">
        <f t="shared" si="289"/>
        <v>19.101231703699238</v>
      </c>
      <c r="IS33" s="29">
        <f t="shared" si="290"/>
        <v>14.574250916606619</v>
      </c>
      <c r="IT33" s="29">
        <f t="shared" si="291"/>
        <v>10.246125993289526</v>
      </c>
      <c r="IU33" s="29">
        <f t="shared" si="292"/>
        <v>7.0941274580902771</v>
      </c>
      <c r="IV33" s="29">
        <f t="shared" si="293"/>
        <v>4.575909409910639</v>
      </c>
      <c r="IW33" s="29">
        <f t="shared" si="294"/>
        <v>2.2495331332335184</v>
      </c>
      <c r="IX33" s="29">
        <f t="shared" si="295"/>
        <v>0.85736845341657708</v>
      </c>
      <c r="IY33" s="29">
        <f t="shared" si="296"/>
        <v>-0.37958535312527014</v>
      </c>
      <c r="IZ33" s="29">
        <f t="shared" si="297"/>
        <v>-1.1517261329850506</v>
      </c>
      <c r="JA33" s="29">
        <f t="shared" si="298"/>
        <v>-1.5093867999787582</v>
      </c>
      <c r="JB33" s="29">
        <f t="shared" si="299"/>
        <v>-1.5131820950441133</v>
      </c>
      <c r="JC33" s="29">
        <f t="shared" si="300"/>
        <v>-1.2604342804115192</v>
      </c>
      <c r="JD33" s="29">
        <f t="shared" si="301"/>
        <v>-0.86930149305695326</v>
      </c>
      <c r="JE33" s="29">
        <f t="shared" si="270"/>
        <v>-0.32591287148098047</v>
      </c>
      <c r="JF33" s="29">
        <f t="shared" si="271"/>
        <v>0</v>
      </c>
      <c r="JG33" s="29">
        <f t="shared" si="272"/>
        <v>0</v>
      </c>
      <c r="JH33" s="29">
        <f t="shared" si="273"/>
        <v>0</v>
      </c>
      <c r="JI33" s="29">
        <f t="shared" si="274"/>
        <v>0</v>
      </c>
      <c r="JJ33" s="29">
        <f t="shared" si="275"/>
        <v>0</v>
      </c>
      <c r="JK33" s="29">
        <f t="shared" si="276"/>
        <v>0</v>
      </c>
      <c r="JL33" s="29">
        <f t="shared" si="277"/>
        <v>0</v>
      </c>
      <c r="JM33" s="29">
        <f t="shared" si="278"/>
        <v>0</v>
      </c>
      <c r="JN33" s="29">
        <f t="shared" si="279"/>
        <v>0</v>
      </c>
      <c r="JO33" s="29">
        <f t="shared" si="280"/>
        <v>0</v>
      </c>
      <c r="JP33" s="29">
        <f t="shared" si="281"/>
        <v>0</v>
      </c>
      <c r="JQ33" s="29">
        <f t="shared" si="282"/>
        <v>0</v>
      </c>
      <c r="JR33" s="29">
        <f t="shared" si="283"/>
        <v>0</v>
      </c>
      <c r="JS33" s="29">
        <f t="shared" si="284"/>
        <v>0</v>
      </c>
      <c r="JT33" s="48"/>
      <c r="JU33" s="401">
        <f t="shared" si="201"/>
        <v>20</v>
      </c>
      <c r="JV33" s="29">
        <f t="shared" si="202"/>
        <v>0</v>
      </c>
      <c r="JW33" s="29">
        <f t="shared" si="203"/>
        <v>2.6842286400420976</v>
      </c>
      <c r="JX33" s="29">
        <f t="shared" si="204"/>
        <v>2.2754410240775806</v>
      </c>
      <c r="JY33" s="29">
        <f t="shared" si="205"/>
        <v>1.8965325563760884</v>
      </c>
      <c r="JZ33" s="29">
        <f t="shared" si="206"/>
        <v>1.5493091067406786</v>
      </c>
      <c r="KA33" s="29">
        <f t="shared" si="207"/>
        <v>1.2347520988956526</v>
      </c>
      <c r="KB33" s="29">
        <f t="shared" si="208"/>
        <v>0.91016108953506591</v>
      </c>
      <c r="KC33" s="29">
        <f t="shared" si="209"/>
        <v>0.66359852869974589</v>
      </c>
      <c r="KD33" s="29">
        <f t="shared" si="210"/>
        <v>0.45300329856182714</v>
      </c>
      <c r="KE33" s="29">
        <f t="shared" si="211"/>
        <v>0.23706060367035578</v>
      </c>
      <c r="KF33" s="29">
        <f t="shared" si="212"/>
        <v>9.6839380304304487E-2</v>
      </c>
      <c r="KG33" s="29">
        <f t="shared" si="213"/>
        <v>-4.6330128650103011E-2</v>
      </c>
      <c r="KH33" s="29">
        <f t="shared" si="214"/>
        <v>-0.15342124028554208</v>
      </c>
      <c r="KI33" s="29">
        <f t="shared" si="215"/>
        <v>-0.22215793440040296</v>
      </c>
      <c r="KJ33" s="29">
        <f t="shared" si="216"/>
        <v>-0.24995660716514517</v>
      </c>
      <c r="KK33" s="29">
        <f t="shared" si="217"/>
        <v>-0.23851092363310844</v>
      </c>
      <c r="KL33" s="29">
        <f t="shared" si="218"/>
        <v>-0.19380063381112866</v>
      </c>
      <c r="KM33" s="29">
        <f t="shared" si="219"/>
        <v>-8.9157792583590703E-2</v>
      </c>
      <c r="KN33" s="29">
        <f t="shared" si="220"/>
        <v>0</v>
      </c>
      <c r="KO33" s="29">
        <f t="shared" si="221"/>
        <v>0</v>
      </c>
      <c r="KP33" s="29">
        <f t="shared" si="222"/>
        <v>0</v>
      </c>
      <c r="KQ33" s="29">
        <f t="shared" si="223"/>
        <v>0</v>
      </c>
      <c r="KR33" s="29">
        <f t="shared" si="224"/>
        <v>0</v>
      </c>
      <c r="KS33" s="29">
        <f t="shared" si="225"/>
        <v>0</v>
      </c>
      <c r="KT33" s="29">
        <f t="shared" si="226"/>
        <v>0</v>
      </c>
      <c r="KU33" s="29">
        <f t="shared" si="227"/>
        <v>0</v>
      </c>
      <c r="KV33" s="29">
        <f t="shared" si="228"/>
        <v>0</v>
      </c>
      <c r="KW33" s="29">
        <f t="shared" si="229"/>
        <v>0</v>
      </c>
      <c r="KX33" s="29">
        <f t="shared" si="230"/>
        <v>0</v>
      </c>
      <c r="KY33" s="29">
        <f t="shared" si="231"/>
        <v>0</v>
      </c>
      <c r="KZ33" s="29">
        <f t="shared" si="232"/>
        <v>0</v>
      </c>
      <c r="LA33" s="29">
        <f t="shared" si="233"/>
        <v>0</v>
      </c>
      <c r="LB33" s="48"/>
      <c r="LC33" s="48"/>
      <c r="LD33" s="48"/>
      <c r="LE33" s="48"/>
      <c r="LF33" s="48"/>
      <c r="LG33" s="48"/>
      <c r="LH33" s="48"/>
      <c r="LI33" s="48"/>
      <c r="LJ33" s="48"/>
      <c r="LK33" s="48"/>
      <c r="LL33" s="48"/>
      <c r="LM33" s="48"/>
      <c r="LN33" s="48"/>
      <c r="LO33" s="46">
        <f t="shared" si="30"/>
        <v>0.15557725826482741</v>
      </c>
      <c r="LP33" s="47">
        <f t="shared" si="31"/>
        <v>0.54232395903282082</v>
      </c>
      <c r="LQ33" s="28"/>
      <c r="LR33" s="48"/>
      <c r="LS33" s="28"/>
      <c r="LT33" s="166">
        <v>5.3386666666666673E-2</v>
      </c>
      <c r="LU33" s="115">
        <f t="shared" si="70"/>
        <v>8.6552433617584245E-18</v>
      </c>
      <c r="LV33" s="157">
        <f t="shared" si="15"/>
        <v>1.0998730885272201E-13</v>
      </c>
      <c r="LW33" s="229" t="e">
        <f>LW32*(1+#REF!)</f>
        <v>#REF!</v>
      </c>
      <c r="LX33" s="158"/>
      <c r="LY33" s="129">
        <f t="shared" si="71"/>
        <v>-465.22021703721839</v>
      </c>
      <c r="LZ33" s="130">
        <f t="shared" si="72"/>
        <v>-1239.6052307859063</v>
      </c>
      <c r="MA33" s="28"/>
      <c r="MB33" s="381">
        <f t="shared" si="285"/>
        <v>4.5000000000000005E-2</v>
      </c>
      <c r="MC33" s="394">
        <f t="shared" si="177"/>
        <v>-565.40373428496878</v>
      </c>
      <c r="MD33" s="157">
        <f t="shared" si="158"/>
        <v>-5606.4837078069113</v>
      </c>
      <c r="ME33" s="28"/>
      <c r="MF33" s="381">
        <f t="shared" si="286"/>
        <v>4.5000000000000005E-2</v>
      </c>
      <c r="MG33" s="394">
        <f t="shared" si="178"/>
        <v>-21.977427811651534</v>
      </c>
      <c r="MH33" s="157">
        <f t="shared" si="159"/>
        <v>-217.92585279145817</v>
      </c>
      <c r="MI33" s="28"/>
      <c r="MJ33" s="28"/>
      <c r="MK33" s="30" t="s">
        <v>117</v>
      </c>
      <c r="ML33" s="350">
        <f>SUM(ML31:ML32)</f>
        <v>57960703</v>
      </c>
      <c r="MM33" s="350">
        <f>SUM(MM31:MM32)</f>
        <v>51844188</v>
      </c>
      <c r="MN33" s="350">
        <f>SUM(MN31:MN32)</f>
        <v>46736823</v>
      </c>
      <c r="MO33" s="28"/>
      <c r="MP33" s="28"/>
      <c r="MQ33" s="28"/>
      <c r="MR33" s="28"/>
      <c r="MS33" s="28"/>
      <c r="MT33" s="28"/>
      <c r="MU33" s="28"/>
      <c r="MV33" s="28"/>
    </row>
    <row r="34" spans="1:360" s="30" customFormat="1" ht="12.75" customHeight="1" x14ac:dyDescent="0.3">
      <c r="A34" s="305">
        <f t="shared" si="91"/>
        <v>2043</v>
      </c>
      <c r="B34" s="355">
        <f t="shared" si="1"/>
        <v>2041</v>
      </c>
      <c r="C34" s="26">
        <v>51683</v>
      </c>
      <c r="D34" s="96">
        <f t="shared" si="132"/>
        <v>5827.6415789331513</v>
      </c>
      <c r="E34" s="27">
        <f t="shared" si="133"/>
        <v>5827.6415789331513</v>
      </c>
      <c r="F34" s="111">
        <f t="shared" si="18"/>
        <v>13919.856890856367</v>
      </c>
      <c r="G34" s="27">
        <f t="shared" si="134"/>
        <v>20542.005160970642</v>
      </c>
      <c r="H34" s="27">
        <f t="shared" si="135"/>
        <v>6778.8617031203121</v>
      </c>
      <c r="I34" s="296">
        <f t="shared" si="136"/>
        <v>5762.0324476522655</v>
      </c>
      <c r="J34" s="69">
        <v>1611.3695499999999</v>
      </c>
      <c r="K34" s="297">
        <f t="shared" si="160"/>
        <v>4150.6628976522661</v>
      </c>
      <c r="L34" s="297">
        <f t="shared" si="137"/>
        <v>13763.14345785033</v>
      </c>
      <c r="M34" s="297">
        <f t="shared" si="161"/>
        <v>11698.671939172782</v>
      </c>
      <c r="N34" s="27">
        <f t="shared" si="162"/>
        <v>0</v>
      </c>
      <c r="O34" s="297">
        <f t="shared" si="138"/>
        <v>1016.8292554680468</v>
      </c>
      <c r="P34" s="297">
        <f t="shared" si="139"/>
        <v>2064.4715186775493</v>
      </c>
      <c r="Q34" s="297">
        <f t="shared" si="140"/>
        <v>890.83554096538342</v>
      </c>
      <c r="R34" s="260">
        <f t="shared" si="2"/>
        <v>0.32999999999999996</v>
      </c>
      <c r="S34" s="257">
        <v>0.67</v>
      </c>
      <c r="T34" s="290">
        <f t="shared" si="163"/>
        <v>7.2499999999999995E-2</v>
      </c>
      <c r="U34" s="290">
        <f t="shared" si="164"/>
        <v>7.2499999999999995E-2</v>
      </c>
      <c r="V34" s="27">
        <f t="shared" si="4"/>
        <v>87120.964379298704</v>
      </c>
      <c r="W34" s="27">
        <f t="shared" si="141"/>
        <v>77992.243245243895</v>
      </c>
      <c r="X34" s="27">
        <f t="shared" si="179"/>
        <v>9128.7211340548147</v>
      </c>
      <c r="Y34" s="27">
        <f t="shared" si="142"/>
        <v>575.65338201334873</v>
      </c>
      <c r="Z34" s="27">
        <f t="shared" si="180"/>
        <v>1091.4860919248206</v>
      </c>
      <c r="AA34" s="115">
        <f t="shared" si="165"/>
        <v>7.0000000000000007E-2</v>
      </c>
      <c r="AB34" s="115">
        <f t="shared" si="166"/>
        <v>7.0000000000000007E-2</v>
      </c>
      <c r="AC34" s="96">
        <f t="shared" si="6"/>
        <v>89518.542477874958</v>
      </c>
      <c r="AD34" s="27">
        <f t="shared" si="143"/>
        <v>80138.597978526217</v>
      </c>
      <c r="AE34" s="27">
        <f t="shared" si="181"/>
        <v>9379.944499348745</v>
      </c>
      <c r="AF34" s="150">
        <f t="shared" si="144"/>
        <v>605.88964429530051</v>
      </c>
      <c r="AG34" s="27">
        <f t="shared" si="234"/>
        <v>1148.8165285794535</v>
      </c>
      <c r="AH34" s="27">
        <f t="shared" si="167"/>
        <v>81424.700584966151</v>
      </c>
      <c r="AI34" s="27">
        <f t="shared" si="145"/>
        <v>72280.357168699469</v>
      </c>
      <c r="AJ34" s="27">
        <f t="shared" si="182"/>
        <v>9144.3434162666781</v>
      </c>
      <c r="AK34" s="27">
        <f t="shared" si="10"/>
        <v>80001.729065755426</v>
      </c>
      <c r="AL34" s="27">
        <f t="shared" si="168"/>
        <v>71002.931169044095</v>
      </c>
      <c r="AM34" s="27">
        <f t="shared" si="235"/>
        <v>8998.7978967113286</v>
      </c>
      <c r="AN34" s="417">
        <f>INDEX(Inv.Returns!$B$2:$E$32,MATCH(B34,Inv.Returns!$A$2:$A$32,0),MATCH(SCRS!$DT$52,Inv.Returns!$B$1:$E$1,0))</f>
        <v>0.06</v>
      </c>
      <c r="AO34" s="27">
        <f t="shared" si="36"/>
        <v>8093.8418929088075</v>
      </c>
      <c r="AP34" s="229">
        <f t="shared" si="11"/>
        <v>9516.8134121195326</v>
      </c>
      <c r="AQ34" s="68">
        <f t="shared" si="19"/>
        <v>0.9095847444688987</v>
      </c>
      <c r="AR34" s="151">
        <f t="shared" si="20"/>
        <v>0.89368891462378675</v>
      </c>
      <c r="AS34" s="353"/>
      <c r="AT34" s="289">
        <f t="shared" si="94"/>
        <v>0.10665762453358937</v>
      </c>
      <c r="AU34" s="397">
        <f t="shared" si="169"/>
        <v>9.9400593584701089E-2</v>
      </c>
      <c r="AV34" s="303">
        <f t="shared" si="95"/>
        <v>4.4701860858142865E-2</v>
      </c>
      <c r="AW34" s="303">
        <f t="shared" si="146"/>
        <v>1.152302348941337E-3</v>
      </c>
      <c r="AX34" s="115">
        <f t="shared" si="61"/>
        <v>8.4999999999999992E-2</v>
      </c>
      <c r="AY34" s="115">
        <f t="shared" si="147"/>
        <v>8.4999999999999992E-2</v>
      </c>
      <c r="AZ34" s="115">
        <f t="shared" si="148"/>
        <v>0</v>
      </c>
      <c r="BA34" s="262">
        <f t="shared" si="21"/>
        <v>2.1657624533589381E-2</v>
      </c>
      <c r="BB34" s="115">
        <f t="shared" si="170"/>
        <v>1.4400593584701096E-2</v>
      </c>
      <c r="BC34" s="133">
        <f t="shared" si="77"/>
        <v>0.17560000000000003</v>
      </c>
      <c r="BD34" s="133">
        <f t="shared" si="96"/>
        <v>0.17560000000000003</v>
      </c>
      <c r="BE34" s="410">
        <f t="shared" si="12"/>
        <v>0.15394237546641065</v>
      </c>
      <c r="BF34" s="410">
        <f t="shared" si="149"/>
        <v>0.16119940641529895</v>
      </c>
      <c r="BG34" s="410">
        <f t="shared" si="171"/>
        <v>0.12560000000000004</v>
      </c>
      <c r="BH34" s="410">
        <f t="shared" si="23"/>
        <v>0.17560000000000003</v>
      </c>
      <c r="BI34" s="157">
        <f t="shared" si="37"/>
        <v>1.952046277599879</v>
      </c>
      <c r="BJ34" s="104">
        <f t="shared" si="38"/>
        <v>3.8834951456310662E-2</v>
      </c>
      <c r="BK34" s="27">
        <f t="shared" si="62"/>
        <v>1.9888094641358067</v>
      </c>
      <c r="BL34" s="27">
        <f t="shared" si="14"/>
        <v>20</v>
      </c>
      <c r="BM34" s="111">
        <f t="shared" si="26"/>
        <v>1.910169943846947</v>
      </c>
      <c r="BN34" s="27"/>
      <c r="BO34" s="27"/>
      <c r="BP34" s="96">
        <f t="shared" si="172"/>
        <v>-5085.243635993038</v>
      </c>
      <c r="BQ34" s="27">
        <f t="shared" si="183"/>
        <v>-555.68691711070721</v>
      </c>
      <c r="BR34" s="27">
        <f t="shared" si="173"/>
        <v>-197.66508096384271</v>
      </c>
      <c r="BS34" s="27">
        <f t="shared" si="184"/>
        <v>-21.599731954590361</v>
      </c>
      <c r="BT34" s="27">
        <f t="shared" si="150"/>
        <v>-6.9144389371827177</v>
      </c>
      <c r="BU34" s="27">
        <f t="shared" si="185"/>
        <v>-14.038406327007337</v>
      </c>
      <c r="BV34" s="304">
        <f t="shared" si="151"/>
        <v>518.58292028870392</v>
      </c>
      <c r="BW34" s="304">
        <f t="shared" si="186"/>
        <v>1052.8804745255504</v>
      </c>
      <c r="BX34" s="304">
        <f t="shared" si="187"/>
        <v>0</v>
      </c>
      <c r="BY34" s="304">
        <f t="shared" si="152"/>
        <v>80.175198686884499</v>
      </c>
      <c r="BZ34" s="304">
        <f t="shared" si="78"/>
        <v>94.221162943779291</v>
      </c>
      <c r="CA34" s="304">
        <f t="shared" si="188"/>
        <v>109.97446038091039</v>
      </c>
      <c r="CB34" s="304">
        <f t="shared" si="236"/>
        <v>4198.0216519582318</v>
      </c>
      <c r="CC34" s="304">
        <f t="shared" si="189"/>
        <v>0</v>
      </c>
      <c r="CD34" s="304">
        <f t="shared" si="190"/>
        <v>10.807591066374377</v>
      </c>
      <c r="CE34" s="304"/>
      <c r="CF34" s="304">
        <f t="shared" si="174"/>
        <v>0</v>
      </c>
      <c r="CG34" s="304">
        <f t="shared" si="153"/>
        <v>0</v>
      </c>
      <c r="CH34" s="304">
        <f t="shared" si="175"/>
        <v>0</v>
      </c>
      <c r="CI34" s="27"/>
      <c r="CJ34" s="27">
        <f t="shared" si="39"/>
        <v>0</v>
      </c>
      <c r="CK34" s="27">
        <f t="shared" si="40"/>
        <v>0</v>
      </c>
      <c r="CL34" s="27">
        <f t="shared" si="41"/>
        <v>0</v>
      </c>
      <c r="CM34" s="27">
        <f t="shared" si="42"/>
        <v>6064.6634598504352</v>
      </c>
      <c r="CN34" s="27">
        <f t="shared" si="43"/>
        <v>0</v>
      </c>
      <c r="CO34" s="111">
        <f t="shared" si="3"/>
        <v>6064.6634598504352</v>
      </c>
      <c r="CP34" s="27">
        <f t="shared" si="154"/>
        <v>4208.8292430246065</v>
      </c>
      <c r="CQ34" s="27">
        <f t="shared" si="155"/>
        <v>0</v>
      </c>
      <c r="CR34" s="27">
        <f t="shared" si="176"/>
        <v>4208.8292430246065</v>
      </c>
      <c r="CS34" s="27">
        <f>SUM($CR$14:CR34)</f>
        <v>60149.312626647719</v>
      </c>
      <c r="CT34" s="229">
        <v>2862.1672440042485</v>
      </c>
      <c r="CU34" s="425">
        <v>583.16346137731819</v>
      </c>
      <c r="CV34" s="425">
        <v>3445.3307053815665</v>
      </c>
      <c r="CW34" s="425">
        <v>55627.315252485292</v>
      </c>
      <c r="CX34" s="107">
        <f t="shared" si="44"/>
        <v>154.0650387072798</v>
      </c>
      <c r="CY34" s="115">
        <f t="shared" si="92"/>
        <v>0.21308840804495088</v>
      </c>
      <c r="CZ34" s="96">
        <f t="shared" si="45"/>
        <v>4567.0899050565758</v>
      </c>
      <c r="DA34" s="418">
        <f t="shared" si="46"/>
        <v>2926.6664387833439</v>
      </c>
      <c r="DB34" s="314">
        <f t="shared" si="47"/>
        <v>2522.9289642133413</v>
      </c>
      <c r="DC34" s="314">
        <f t="shared" si="48"/>
        <v>122.4024598539516</v>
      </c>
      <c r="DD34" s="314">
        <f t="shared" si="49"/>
        <v>0</v>
      </c>
      <c r="DE34" s="314">
        <f t="shared" si="50"/>
        <v>30980.714618807782</v>
      </c>
      <c r="DF34" s="314" t="b">
        <f t="shared" si="63"/>
        <v>0</v>
      </c>
      <c r="DG34" s="27">
        <f t="shared" si="51"/>
        <v>154.0650387072798</v>
      </c>
      <c r="DH34" s="100">
        <f t="shared" si="52"/>
        <v>92.352320819724284</v>
      </c>
      <c r="DI34" s="105">
        <f t="shared" si="53"/>
        <v>8.9137174612320715E-3</v>
      </c>
      <c r="DJ34" s="96">
        <f t="shared" si="54"/>
        <v>0</v>
      </c>
      <c r="DK34" s="100">
        <f t="shared" si="55"/>
        <v>0</v>
      </c>
      <c r="DL34" s="105">
        <f t="shared" si="56"/>
        <v>0</v>
      </c>
      <c r="DM34" s="299">
        <v>3120.6216062018852</v>
      </c>
      <c r="DN34" s="100">
        <f t="shared" si="57"/>
        <v>1999.7457271207566</v>
      </c>
      <c r="DO34" s="301">
        <v>1.0692749331691298</v>
      </c>
      <c r="DP34" s="29"/>
      <c r="DQ34" s="53" t="s">
        <v>89</v>
      </c>
      <c r="DR34" s="34"/>
      <c r="DS34" s="203" t="s">
        <v>142</v>
      </c>
      <c r="DT34" s="269" t="s">
        <v>139</v>
      </c>
      <c r="DU34" s="29"/>
      <c r="DV34" s="327"/>
      <c r="DW34" s="328"/>
      <c r="DX34" s="328"/>
      <c r="DY34" s="328"/>
      <c r="DZ34" s="328"/>
      <c r="EA34" s="328"/>
      <c r="EB34" s="328"/>
      <c r="EC34" s="328"/>
      <c r="ED34" s="328"/>
      <c r="EE34" s="328"/>
      <c r="EF34" s="328"/>
      <c r="EG34" s="328"/>
      <c r="EH34" s="329"/>
      <c r="EI34" s="330"/>
      <c r="EJ34" s="339">
        <f t="shared" si="64"/>
        <v>0.15394237546641065</v>
      </c>
      <c r="EK34" s="339">
        <f t="shared" si="58"/>
        <v>2.1657624533589381E-2</v>
      </c>
      <c r="EL34" s="339" t="e">
        <f t="shared" si="65"/>
        <v>#DIV/0!</v>
      </c>
      <c r="EM34" s="339">
        <f t="shared" si="59"/>
        <v>0</v>
      </c>
      <c r="EN34" s="339">
        <v>0.12559999999999999</v>
      </c>
      <c r="EO34" s="339">
        <v>0.14421816042371446</v>
      </c>
      <c r="EP34" s="340" t="e">
        <f t="shared" si="66"/>
        <v>#DIV/0!</v>
      </c>
      <c r="EQ34" s="283"/>
      <c r="ER34" s="30">
        <v>25</v>
      </c>
      <c r="ES34" s="29">
        <f t="shared" si="79"/>
        <v>4702.0299622882012</v>
      </c>
      <c r="ET34" s="29">
        <f t="shared" si="80"/>
        <v>4030.4856759351715</v>
      </c>
      <c r="EU34" s="29">
        <f t="shared" si="67"/>
        <v>-671.54428635302975</v>
      </c>
      <c r="EV34" s="29">
        <f t="shared" si="68"/>
        <v>-537.23542908242382</v>
      </c>
      <c r="EW34" s="29">
        <f t="shared" si="81"/>
        <v>-382.54721451412729</v>
      </c>
      <c r="EX34" s="29">
        <f t="shared" si="93"/>
        <v>-242.38658548326458</v>
      </c>
      <c r="EY34" s="29">
        <f t="shared" si="97"/>
        <v>-115.25677057556375</v>
      </c>
      <c r="EZ34" s="29">
        <f t="shared" si="69"/>
        <v>-1277.4259996553794</v>
      </c>
      <c r="FA34" s="29"/>
      <c r="FB34" s="29">
        <f t="shared" si="237"/>
        <v>575.04891927168433</v>
      </c>
      <c r="FC34" s="29">
        <f t="shared" si="238"/>
        <v>492.64460039700282</v>
      </c>
      <c r="FD34" s="29">
        <f t="shared" si="191"/>
        <v>-82.404318874681508</v>
      </c>
      <c r="FE34" s="29">
        <f t="shared" si="192"/>
        <v>-65.923455099745212</v>
      </c>
      <c r="FF34" s="29">
        <f t="shared" si="193"/>
        <v>-43.421815576656513</v>
      </c>
      <c r="FG34" s="29">
        <f t="shared" si="194"/>
        <v>-25.258663998043176</v>
      </c>
      <c r="FH34" s="29">
        <f t="shared" si="195"/>
        <v>-10.941584880903779</v>
      </c>
      <c r="FI34" s="29">
        <f t="shared" si="196"/>
        <v>-145.54551955534868</v>
      </c>
      <c r="FJ34" s="29"/>
      <c r="FK34" s="29"/>
      <c r="FL34" s="27">
        <f t="shared" si="24"/>
        <v>10991.465766609064</v>
      </c>
      <c r="FM34" s="29"/>
      <c r="FN34" s="308">
        <f t="shared" si="156"/>
        <v>4198.0216519582318</v>
      </c>
      <c r="FO34" s="93">
        <f t="shared" si="197"/>
        <v>10.807591066374377</v>
      </c>
      <c r="FP34" s="27">
        <f t="shared" si="82"/>
        <v>20</v>
      </c>
      <c r="FQ34" s="309">
        <f t="shared" si="27"/>
        <v>13.512970250241354</v>
      </c>
      <c r="FR34" s="93">
        <f t="shared" si="60"/>
        <v>813.40116666154483</v>
      </c>
      <c r="FS34" s="93">
        <f t="shared" si="198"/>
        <v>4208.8292430246065</v>
      </c>
      <c r="FT34" s="29">
        <f t="shared" si="83"/>
        <v>20</v>
      </c>
      <c r="FU34" s="142">
        <f t="shared" si="28"/>
        <v>13.512970250241354</v>
      </c>
      <c r="FV34" s="48">
        <v>2748.2379153561178</v>
      </c>
      <c r="FW34" s="29">
        <f t="shared" si="98"/>
        <v>637.57714153698544</v>
      </c>
      <c r="FX34" s="29">
        <f t="shared" si="157"/>
        <v>646.40169602610638</v>
      </c>
      <c r="FY34" s="29">
        <f t="shared" si="255"/>
        <v>610.98670309853367</v>
      </c>
      <c r="FZ34" s="29">
        <f t="shared" si="256"/>
        <v>576.22130897058901</v>
      </c>
      <c r="GA34" s="29">
        <f t="shared" si="257"/>
        <v>542.00536923708376</v>
      </c>
      <c r="GB34" s="29">
        <f t="shared" si="258"/>
        <v>508.23972450008586</v>
      </c>
      <c r="GC34" s="29">
        <f t="shared" si="259"/>
        <v>474.84510418693986</v>
      </c>
      <c r="GD34" s="29">
        <f t="shared" si="260"/>
        <v>442.25359186588798</v>
      </c>
      <c r="GE34" s="29">
        <f t="shared" si="261"/>
        <v>409.37555257843667</v>
      </c>
      <c r="GF34" s="29">
        <f t="shared" si="262"/>
        <v>376.68799373672312</v>
      </c>
      <c r="GG34" s="29">
        <f t="shared" si="263"/>
        <v>344.55255626844718</v>
      </c>
      <c r="GH34" s="29">
        <f t="shared" si="264"/>
        <v>312.15499082578742</v>
      </c>
      <c r="GI34" s="29">
        <f t="shared" si="265"/>
        <v>280.22929072146167</v>
      </c>
      <c r="GJ34" s="29">
        <f t="shared" si="266"/>
        <v>248.45775203798928</v>
      </c>
      <c r="GK34" s="29">
        <f t="shared" si="267"/>
        <v>216.86950504648175</v>
      </c>
      <c r="GL34" s="29">
        <f t="shared" si="268"/>
        <v>185.47372852295149</v>
      </c>
      <c r="GM34" s="29">
        <f t="shared" si="269"/>
        <v>162.03093432320352</v>
      </c>
      <c r="GN34" s="29">
        <f t="shared" si="240"/>
        <v>339.89308401353037</v>
      </c>
      <c r="GO34" s="29">
        <f t="shared" si="241"/>
        <v>285.89302697231898</v>
      </c>
      <c r="GP34" s="29">
        <f t="shared" si="242"/>
        <v>184.1885878799855</v>
      </c>
      <c r="GQ34" s="29">
        <f t="shared" si="243"/>
        <v>73.903167477219085</v>
      </c>
      <c r="GR34" s="29">
        <f t="shared" si="244"/>
        <v>0</v>
      </c>
      <c r="GS34" s="29">
        <f t="shared" si="245"/>
        <v>0</v>
      </c>
      <c r="GT34" s="29">
        <f t="shared" si="246"/>
        <v>0</v>
      </c>
      <c r="GU34" s="29">
        <f t="shared" si="247"/>
        <v>0</v>
      </c>
      <c r="GV34" s="29">
        <f t="shared" si="248"/>
        <v>0</v>
      </c>
      <c r="GW34" s="29">
        <f t="shared" si="249"/>
        <v>0</v>
      </c>
      <c r="GX34" s="29">
        <f t="shared" si="250"/>
        <v>0</v>
      </c>
      <c r="GY34" s="29">
        <f t="shared" si="251"/>
        <v>0</v>
      </c>
      <c r="GZ34" s="29">
        <f t="shared" si="252"/>
        <v>0</v>
      </c>
      <c r="HA34" s="29">
        <f t="shared" si="253"/>
        <v>0</v>
      </c>
      <c r="HB34" s="29">
        <f t="shared" si="254"/>
        <v>0</v>
      </c>
      <c r="HC34" s="29"/>
      <c r="HD34" s="29">
        <f t="shared" si="29"/>
        <v>20</v>
      </c>
      <c r="HE34" s="29">
        <f t="shared" si="100"/>
        <v>0</v>
      </c>
      <c r="HF34" s="29">
        <f t="shared" si="101"/>
        <v>46.873378636598211</v>
      </c>
      <c r="HG34" s="29">
        <f t="shared" si="102"/>
        <v>45.864194936599475</v>
      </c>
      <c r="HH34" s="29">
        <f t="shared" si="103"/>
        <v>44.895528673802026</v>
      </c>
      <c r="HI34" s="29">
        <f t="shared" si="104"/>
        <v>43.962288269542896</v>
      </c>
      <c r="HJ34" s="29">
        <f t="shared" si="105"/>
        <v>43.058821352771396</v>
      </c>
      <c r="HK34" s="29">
        <f t="shared" si="106"/>
        <v>42.180384827419402</v>
      </c>
      <c r="HL34" s="29">
        <f t="shared" si="107"/>
        <v>41.36926417070395</v>
      </c>
      <c r="HM34" s="29">
        <f t="shared" si="108"/>
        <v>40.527130031672563</v>
      </c>
      <c r="HN34" s="29">
        <f t="shared" si="109"/>
        <v>39.69618489781675</v>
      </c>
      <c r="HO34" s="29">
        <f t="shared" si="110"/>
        <v>38.917055903255253</v>
      </c>
      <c r="HP34" s="29">
        <f t="shared" si="111"/>
        <v>38.099944491160784</v>
      </c>
      <c r="HQ34" s="29">
        <f t="shared" si="112"/>
        <v>37.329295668054833</v>
      </c>
      <c r="HR34" s="29">
        <f t="shared" si="113"/>
        <v>36.569062999162306</v>
      </c>
      <c r="HS34" s="29">
        <f t="shared" si="114"/>
        <v>35.823821770388186</v>
      </c>
      <c r="HT34" s="29">
        <f t="shared" si="115"/>
        <v>35.097038367793729</v>
      </c>
      <c r="HU34" s="29">
        <f t="shared" si="116"/>
        <v>36.122907897489242</v>
      </c>
      <c r="HV34" s="29">
        <f t="shared" si="117"/>
        <v>92.982265313334793</v>
      </c>
      <c r="HW34" s="29">
        <f t="shared" si="118"/>
        <v>102.35537058931152</v>
      </c>
      <c r="HX34" s="29">
        <f t="shared" si="119"/>
        <v>97.077613218123091</v>
      </c>
      <c r="HY34" s="29">
        <f t="shared" si="120"/>
        <v>76.446030862220084</v>
      </c>
      <c r="HZ34" s="29">
        <f t="shared" si="121"/>
        <v>0</v>
      </c>
      <c r="IA34" s="29">
        <f t="shared" si="122"/>
        <v>0</v>
      </c>
      <c r="IB34" s="29">
        <f t="shared" si="123"/>
        <v>0</v>
      </c>
      <c r="IC34" s="29">
        <f t="shared" si="124"/>
        <v>0</v>
      </c>
      <c r="ID34" s="29">
        <f t="shared" si="125"/>
        <v>0</v>
      </c>
      <c r="IE34" s="29">
        <f t="shared" si="126"/>
        <v>0</v>
      </c>
      <c r="IF34" s="29">
        <f t="shared" si="127"/>
        <v>0</v>
      </c>
      <c r="IG34" s="29">
        <f t="shared" si="128"/>
        <v>0</v>
      </c>
      <c r="IH34" s="29">
        <f t="shared" si="129"/>
        <v>0</v>
      </c>
      <c r="II34" s="29">
        <f t="shared" si="130"/>
        <v>0</v>
      </c>
      <c r="IJ34" s="29">
        <f t="shared" si="131"/>
        <v>0</v>
      </c>
      <c r="IK34" s="48"/>
      <c r="IL34" s="48"/>
      <c r="IM34" s="48"/>
      <c r="IN34" s="29">
        <f t="shared" si="199"/>
        <v>49.043202872072385</v>
      </c>
      <c r="IO34" s="29">
        <f t="shared" si="239"/>
        <v>44.342533493303598</v>
      </c>
      <c r="IP34" s="29">
        <f t="shared" si="287"/>
        <v>36.831102119885742</v>
      </c>
      <c r="IQ34" s="29">
        <f t="shared" si="288"/>
        <v>30.080775824092193</v>
      </c>
      <c r="IR34" s="29">
        <f t="shared" si="289"/>
        <v>24.083567871896946</v>
      </c>
      <c r="IS34" s="29">
        <f t="shared" si="290"/>
        <v>18.835700121420441</v>
      </c>
      <c r="IT34" s="29">
        <f t="shared" si="291"/>
        <v>14.317210978215966</v>
      </c>
      <c r="IU34" s="29">
        <f t="shared" si="292"/>
        <v>10.021876861125271</v>
      </c>
      <c r="IV34" s="29">
        <f t="shared" si="293"/>
        <v>6.9042847245615624</v>
      </c>
      <c r="IW34" s="29">
        <f t="shared" si="294"/>
        <v>4.4276328129401756</v>
      </c>
      <c r="IX34" s="29">
        <f t="shared" si="295"/>
        <v>2.1617830573787065</v>
      </c>
      <c r="IY34" s="29">
        <f t="shared" si="296"/>
        <v>0.81721281126282463</v>
      </c>
      <c r="IZ34" s="29">
        <f t="shared" si="297"/>
        <v>-0.35823207012222819</v>
      </c>
      <c r="JA34" s="29">
        <f t="shared" si="298"/>
        <v>-1.0736467973328208</v>
      </c>
      <c r="JB34" s="29">
        <f t="shared" si="299"/>
        <v>-1.3852419217552772</v>
      </c>
      <c r="JC34" s="29">
        <f t="shared" si="300"/>
        <v>-1.3605477167748807</v>
      </c>
      <c r="JD34" s="29">
        <f t="shared" si="301"/>
        <v>-1.1019470622243683</v>
      </c>
      <c r="JE34" s="29">
        <f t="shared" si="270"/>
        <v>-0.72968366316416755</v>
      </c>
      <c r="JF34" s="29">
        <f t="shared" si="271"/>
        <v>-0.25650123471519459</v>
      </c>
      <c r="JG34" s="29">
        <f t="shared" si="272"/>
        <v>0</v>
      </c>
      <c r="JH34" s="29">
        <f t="shared" si="273"/>
        <v>0</v>
      </c>
      <c r="JI34" s="29">
        <f t="shared" si="274"/>
        <v>0</v>
      </c>
      <c r="JJ34" s="29">
        <f t="shared" si="275"/>
        <v>0</v>
      </c>
      <c r="JK34" s="29">
        <f t="shared" si="276"/>
        <v>0</v>
      </c>
      <c r="JL34" s="29">
        <f t="shared" si="277"/>
        <v>0</v>
      </c>
      <c r="JM34" s="29">
        <f t="shared" si="278"/>
        <v>0</v>
      </c>
      <c r="JN34" s="29">
        <f t="shared" si="279"/>
        <v>0</v>
      </c>
      <c r="JO34" s="29">
        <f t="shared" si="280"/>
        <v>0</v>
      </c>
      <c r="JP34" s="29">
        <f t="shared" si="281"/>
        <v>0</v>
      </c>
      <c r="JQ34" s="29">
        <f t="shared" si="282"/>
        <v>0</v>
      </c>
      <c r="JR34" s="29">
        <f t="shared" si="283"/>
        <v>0</v>
      </c>
      <c r="JS34" s="29">
        <f t="shared" si="284"/>
        <v>0</v>
      </c>
      <c r="JT34" s="48"/>
      <c r="JU34" s="401">
        <f t="shared" si="201"/>
        <v>20</v>
      </c>
      <c r="JV34" s="29">
        <f t="shared" si="202"/>
        <v>0</v>
      </c>
      <c r="JW34" s="29">
        <f t="shared" si="203"/>
        <v>3.2154686086308062</v>
      </c>
      <c r="JX34" s="29">
        <f t="shared" si="204"/>
        <v>2.7647554992433614</v>
      </c>
      <c r="JY34" s="29">
        <f t="shared" si="205"/>
        <v>2.3437042547999076</v>
      </c>
      <c r="JZ34" s="29">
        <f t="shared" si="206"/>
        <v>1.9534285330673711</v>
      </c>
      <c r="KA34" s="29">
        <f t="shared" si="207"/>
        <v>1.5957883799428989</v>
      </c>
      <c r="KB34" s="29">
        <f t="shared" si="208"/>
        <v>1.271794661862522</v>
      </c>
      <c r="KC34" s="29">
        <f t="shared" si="209"/>
        <v>0.93746592222111813</v>
      </c>
      <c r="KD34" s="29">
        <f t="shared" si="210"/>
        <v>0.68350648456073848</v>
      </c>
      <c r="KE34" s="29">
        <f t="shared" si="211"/>
        <v>0.46659339751868212</v>
      </c>
      <c r="KF34" s="29">
        <f t="shared" si="212"/>
        <v>0.24417242178046644</v>
      </c>
      <c r="KG34" s="29">
        <f t="shared" si="213"/>
        <v>9.9744561713433655E-2</v>
      </c>
      <c r="KH34" s="29">
        <f t="shared" si="214"/>
        <v>-4.7720032509606096E-2</v>
      </c>
      <c r="KI34" s="29">
        <f t="shared" si="215"/>
        <v>-0.15802387749410834</v>
      </c>
      <c r="KJ34" s="29">
        <f t="shared" si="216"/>
        <v>-0.228822672432415</v>
      </c>
      <c r="KK34" s="29">
        <f t="shared" si="217"/>
        <v>-0.25745530538009953</v>
      </c>
      <c r="KL34" s="29">
        <f t="shared" si="218"/>
        <v>-0.24566625134210179</v>
      </c>
      <c r="KM34" s="29">
        <f t="shared" si="219"/>
        <v>-0.19961465282546256</v>
      </c>
      <c r="KN34" s="29">
        <f t="shared" si="220"/>
        <v>-9.1832526361098468E-2</v>
      </c>
      <c r="KO34" s="29">
        <f t="shared" si="221"/>
        <v>0</v>
      </c>
      <c r="KP34" s="29">
        <f t="shared" si="222"/>
        <v>0</v>
      </c>
      <c r="KQ34" s="29">
        <f t="shared" si="223"/>
        <v>0</v>
      </c>
      <c r="KR34" s="29">
        <f t="shared" si="224"/>
        <v>0</v>
      </c>
      <c r="KS34" s="29">
        <f t="shared" si="225"/>
        <v>0</v>
      </c>
      <c r="KT34" s="29">
        <f t="shared" si="226"/>
        <v>0</v>
      </c>
      <c r="KU34" s="29">
        <f t="shared" si="227"/>
        <v>0</v>
      </c>
      <c r="KV34" s="29">
        <f t="shared" si="228"/>
        <v>0</v>
      </c>
      <c r="KW34" s="29">
        <f t="shared" si="229"/>
        <v>0</v>
      </c>
      <c r="KX34" s="29">
        <f t="shared" si="230"/>
        <v>0</v>
      </c>
      <c r="KY34" s="29">
        <f t="shared" si="231"/>
        <v>0</v>
      </c>
      <c r="KZ34" s="29">
        <f t="shared" si="232"/>
        <v>0</v>
      </c>
      <c r="LA34" s="29">
        <f t="shared" si="233"/>
        <v>0</v>
      </c>
      <c r="LB34" s="48"/>
      <c r="LC34" s="48"/>
      <c r="LD34" s="48"/>
      <c r="LE34" s="48"/>
      <c r="LF34" s="48"/>
      <c r="LG34" s="48"/>
      <c r="LH34" s="48"/>
      <c r="LI34" s="48"/>
      <c r="LJ34" s="48"/>
      <c r="LK34" s="48"/>
      <c r="LL34" s="48"/>
      <c r="LM34" s="48"/>
      <c r="LN34" s="48"/>
      <c r="LO34" s="46">
        <f t="shared" si="30"/>
        <v>0.14539930678955831</v>
      </c>
      <c r="LP34" s="47">
        <f t="shared" si="31"/>
        <v>0.53039017998319882</v>
      </c>
      <c r="LQ34" s="28"/>
      <c r="LR34" s="48"/>
      <c r="LS34" s="28"/>
      <c r="LT34" s="166">
        <v>5.7330000000000013E-2</v>
      </c>
      <c r="LU34" s="115">
        <f t="shared" si="70"/>
        <v>9.2945511100701279E-18</v>
      </c>
      <c r="LV34" s="157">
        <f t="shared" si="15"/>
        <v>1.2937882131692635E-13</v>
      </c>
      <c r="LW34" s="229" t="e">
        <f>LW33*(1+#REF!)</f>
        <v>#REF!</v>
      </c>
      <c r="LX34" s="158"/>
      <c r="LY34" s="129">
        <f t="shared" si="71"/>
        <v>-544.43406706902897</v>
      </c>
      <c r="LZ34" s="130">
        <f t="shared" si="72"/>
        <v>-1365.5113656330213</v>
      </c>
      <c r="MA34" s="28"/>
      <c r="MB34" s="381">
        <f t="shared" si="285"/>
        <v>4.7500000000000007E-2</v>
      </c>
      <c r="MC34" s="394">
        <f t="shared" si="177"/>
        <v>-653.74931424789077</v>
      </c>
      <c r="MD34" s="157">
        <f t="shared" si="158"/>
        <v>-5738.9929502409286</v>
      </c>
      <c r="ME34" s="28"/>
      <c r="MF34" s="381">
        <f t="shared" si="286"/>
        <v>4.7500000000000007E-2</v>
      </c>
      <c r="MG34" s="394">
        <f t="shared" si="178"/>
        <v>-25.411449358341599</v>
      </c>
      <c r="MH34" s="157">
        <f t="shared" si="159"/>
        <v>-223.07653032218431</v>
      </c>
      <c r="MI34" s="28"/>
      <c r="MJ34" s="28"/>
      <c r="MO34" s="28"/>
      <c r="MP34" s="28"/>
      <c r="MQ34" s="28"/>
      <c r="MR34" s="28"/>
      <c r="MS34" s="28"/>
      <c r="MT34" s="28"/>
      <c r="MU34" s="28"/>
      <c r="MV34" s="28"/>
    </row>
    <row r="35" spans="1:360" s="30" customFormat="1" ht="12.75" customHeight="1" x14ac:dyDescent="0.3">
      <c r="A35" s="305">
        <f t="shared" si="91"/>
        <v>2044</v>
      </c>
      <c r="B35" s="355">
        <f t="shared" si="1"/>
        <v>2042</v>
      </c>
      <c r="C35" s="26">
        <v>52048</v>
      </c>
      <c r="D35" s="96">
        <f t="shared" si="132"/>
        <v>5456.7916602737705</v>
      </c>
      <c r="E35" s="27">
        <f t="shared" si="133"/>
        <v>5456.7916602737705</v>
      </c>
      <c r="F35" s="111">
        <f t="shared" si="18"/>
        <v>14979.42808702603</v>
      </c>
      <c r="G35" s="27">
        <f t="shared" si="134"/>
        <v>21158.265315799763</v>
      </c>
      <c r="H35" s="27">
        <f t="shared" si="135"/>
        <v>6347.4795947399307</v>
      </c>
      <c r="I35" s="296">
        <f t="shared" si="136"/>
        <v>5395.357655528941</v>
      </c>
      <c r="J35" s="69">
        <v>1505.8651279999999</v>
      </c>
      <c r="K35" s="297">
        <f t="shared" si="160"/>
        <v>3889.4925275289411</v>
      </c>
      <c r="L35" s="297">
        <f t="shared" si="137"/>
        <v>14810.785721059832</v>
      </c>
      <c r="M35" s="297">
        <f t="shared" si="161"/>
        <v>12589.167862900857</v>
      </c>
      <c r="N35" s="27">
        <f t="shared" si="162"/>
        <v>0</v>
      </c>
      <c r="O35" s="297">
        <f t="shared" si="138"/>
        <v>952.12193921098958</v>
      </c>
      <c r="P35" s="297">
        <f t="shared" si="139"/>
        <v>2221.6178581589747</v>
      </c>
      <c r="Q35" s="297">
        <f t="shared" si="140"/>
        <v>917.56060719434493</v>
      </c>
      <c r="R35" s="260">
        <f t="shared" si="2"/>
        <v>0.30000000000000004</v>
      </c>
      <c r="S35" s="257">
        <v>0.7</v>
      </c>
      <c r="T35" s="290">
        <f t="shared" si="163"/>
        <v>7.2499999999999995E-2</v>
      </c>
      <c r="U35" s="290">
        <f t="shared" si="164"/>
        <v>7.2499999999999995E-2</v>
      </c>
      <c r="V35" s="27">
        <f t="shared" si="4"/>
        <v>89057.717376757457</v>
      </c>
      <c r="W35" s="27">
        <f t="shared" si="141"/>
        <v>78727.977124331082</v>
      </c>
      <c r="X35" s="27">
        <f t="shared" si="179"/>
        <v>10329.740252426376</v>
      </c>
      <c r="Y35" s="27">
        <f t="shared" si="142"/>
        <v>538.95092335584786</v>
      </c>
      <c r="Z35" s="27">
        <f t="shared" si="180"/>
        <v>1174.5693616086498</v>
      </c>
      <c r="AA35" s="115">
        <f t="shared" si="165"/>
        <v>7.0000000000000007E-2</v>
      </c>
      <c r="AB35" s="115">
        <f t="shared" si="166"/>
        <v>7.0000000000000007E-2</v>
      </c>
      <c r="AC35" s="96">
        <f t="shared" si="6"/>
        <v>91508.595121430859</v>
      </c>
      <c r="AD35" s="27">
        <f t="shared" si="143"/>
        <v>80894.579331312154</v>
      </c>
      <c r="AE35" s="27">
        <f t="shared" si="181"/>
        <v>10614.015790118701</v>
      </c>
      <c r="AF35" s="150">
        <f t="shared" si="144"/>
        <v>567.25938463630234</v>
      </c>
      <c r="AG35" s="27">
        <f t="shared" si="234"/>
        <v>1236.2637568743069</v>
      </c>
      <c r="AH35" s="27">
        <f t="shared" si="167"/>
        <v>83182.65051506662</v>
      </c>
      <c r="AI35" s="27">
        <f t="shared" si="145"/>
        <v>72863.994008284993</v>
      </c>
      <c r="AJ35" s="27">
        <f t="shared" si="182"/>
        <v>10318.656506781623</v>
      </c>
      <c r="AK35" s="27">
        <f t="shared" si="10"/>
        <v>81685.630542390078</v>
      </c>
      <c r="AL35" s="27">
        <f t="shared" si="168"/>
        <v>71532.579555233417</v>
      </c>
      <c r="AM35" s="27">
        <f t="shared" si="235"/>
        <v>10153.050987156654</v>
      </c>
      <c r="AN35" s="417">
        <f>INDEX(Inv.Returns!$B$2:$E$32,MATCH(B35,Inv.Returns!$A$2:$A$32,0),MATCH(SCRS!$DT$52,Inv.Returns!$B$1:$E$1,0))</f>
        <v>0.06</v>
      </c>
      <c r="AO35" s="27">
        <f t="shared" si="36"/>
        <v>8325.944606364239</v>
      </c>
      <c r="AP35" s="229">
        <f t="shared" si="11"/>
        <v>9822.9645790407812</v>
      </c>
      <c r="AQ35" s="68">
        <f t="shared" si="19"/>
        <v>0.90901461665632821</v>
      </c>
      <c r="AR35" s="151">
        <f t="shared" si="20"/>
        <v>0.89265527936467803</v>
      </c>
      <c r="AS35" s="353"/>
      <c r="AT35" s="289">
        <f t="shared" si="94"/>
        <v>0.10683122350087301</v>
      </c>
      <c r="AU35" s="397">
        <f t="shared" si="169"/>
        <v>9.9400593584701102E-2</v>
      </c>
      <c r="AV35" s="303">
        <f t="shared" si="95"/>
        <v>4.2532191307428573E-2</v>
      </c>
      <c r="AW35" s="303">
        <f t="shared" si="146"/>
        <v>1.3682577412223377E-3</v>
      </c>
      <c r="AX35" s="115">
        <f t="shared" si="61"/>
        <v>7.9999999999999988E-2</v>
      </c>
      <c r="AY35" s="115">
        <f t="shared" si="147"/>
        <v>7.9999999999999988E-2</v>
      </c>
      <c r="AZ35" s="115">
        <f t="shared" si="148"/>
        <v>0</v>
      </c>
      <c r="BA35" s="262">
        <f t="shared" si="21"/>
        <v>2.6831223500873025E-2</v>
      </c>
      <c r="BB35" s="115">
        <f t="shared" si="170"/>
        <v>1.9400593584701115E-2</v>
      </c>
      <c r="BC35" s="133">
        <f t="shared" si="77"/>
        <v>0.16560000000000002</v>
      </c>
      <c r="BD35" s="133">
        <f t="shared" si="96"/>
        <v>0.16560000000000002</v>
      </c>
      <c r="BE35" s="410">
        <f t="shared" si="12"/>
        <v>0.138768776499127</v>
      </c>
      <c r="BF35" s="410">
        <f t="shared" si="149"/>
        <v>0.14619940641529891</v>
      </c>
      <c r="BG35" s="410">
        <f t="shared" si="171"/>
        <v>0.11560000000000002</v>
      </c>
      <c r="BH35" s="410">
        <f t="shared" si="23"/>
        <v>0.16560000000000002</v>
      </c>
      <c r="BI35" s="157">
        <f t="shared" si="37"/>
        <v>7.7437647425294642</v>
      </c>
      <c r="BJ35" s="104">
        <f t="shared" si="38"/>
        <v>3.8834951456310662E-2</v>
      </c>
      <c r="BK35" s="27">
        <f t="shared" si="62"/>
        <v>8.9703085540737124</v>
      </c>
      <c r="BL35" s="27">
        <f t="shared" si="14"/>
        <v>20</v>
      </c>
      <c r="BM35" s="111">
        <f t="shared" si="26"/>
        <v>7.4644376562775951</v>
      </c>
      <c r="BN35" s="27"/>
      <c r="BO35" s="27"/>
      <c r="BP35" s="96">
        <f t="shared" si="172"/>
        <v>-5090.6218909688077</v>
      </c>
      <c r="BQ35" s="27">
        <f t="shared" si="183"/>
        <v>-629.45839314504292</v>
      </c>
      <c r="BR35" s="27">
        <f t="shared" si="173"/>
        <v>-197.87413549128073</v>
      </c>
      <c r="BS35" s="27">
        <f t="shared" si="184"/>
        <v>-24.467253321696223</v>
      </c>
      <c r="BT35" s="27">
        <f t="shared" si="150"/>
        <v>-6.4744291866347288</v>
      </c>
      <c r="BU35" s="27">
        <f t="shared" si="185"/>
        <v>-15.107001435481026</v>
      </c>
      <c r="BV35" s="304">
        <f t="shared" si="151"/>
        <v>485.58218899760465</v>
      </c>
      <c r="BW35" s="304">
        <f t="shared" si="186"/>
        <v>1133.0251076610771</v>
      </c>
      <c r="BX35" s="304">
        <f t="shared" si="187"/>
        <v>0</v>
      </c>
      <c r="BY35" s="304">
        <f t="shared" si="152"/>
        <v>82.580454647491038</v>
      </c>
      <c r="BZ35" s="304">
        <f t="shared" si="78"/>
        <v>88.151624825332476</v>
      </c>
      <c r="CA35" s="304">
        <f t="shared" si="188"/>
        <v>118.34565064871094</v>
      </c>
      <c r="CB35" s="304">
        <f t="shared" si="236"/>
        <v>1015.2475828772206</v>
      </c>
      <c r="CC35" s="304">
        <f t="shared" si="189"/>
        <v>0</v>
      </c>
      <c r="CD35" s="304">
        <f t="shared" si="190"/>
        <v>14.347287406996415</v>
      </c>
      <c r="CE35" s="304"/>
      <c r="CF35" s="304">
        <f t="shared" si="174"/>
        <v>0</v>
      </c>
      <c r="CG35" s="304">
        <f t="shared" si="153"/>
        <v>0</v>
      </c>
      <c r="CH35" s="304">
        <f t="shared" si="175"/>
        <v>0</v>
      </c>
      <c r="CI35" s="27"/>
      <c r="CJ35" s="27">
        <f t="shared" si="39"/>
        <v>0</v>
      </c>
      <c r="CK35" s="27">
        <f t="shared" si="40"/>
        <v>0</v>
      </c>
      <c r="CL35" s="27">
        <f t="shared" si="41"/>
        <v>0</v>
      </c>
      <c r="CM35" s="27">
        <f t="shared" si="42"/>
        <v>2937.279897064433</v>
      </c>
      <c r="CN35" s="27">
        <f t="shared" si="43"/>
        <v>0</v>
      </c>
      <c r="CO35" s="111">
        <f t="shared" si="3"/>
        <v>2937.279897064433</v>
      </c>
      <c r="CP35" s="27">
        <f t="shared" si="154"/>
        <v>1029.594870284217</v>
      </c>
      <c r="CQ35" s="27">
        <f t="shared" si="155"/>
        <v>0</v>
      </c>
      <c r="CR35" s="27">
        <f t="shared" si="176"/>
        <v>1029.594870284217</v>
      </c>
      <c r="CS35" s="27">
        <f>SUM($CR$14:CR35)</f>
        <v>61178.907496931934</v>
      </c>
      <c r="CT35" s="229">
        <v>2951.6656345161919</v>
      </c>
      <c r="CU35" s="425">
        <v>600.65836521863775</v>
      </c>
      <c r="CV35" s="425">
        <v>3552.3239997348296</v>
      </c>
      <c r="CW35" s="425">
        <v>59179.63925222012</v>
      </c>
      <c r="CX35" s="107">
        <f t="shared" si="44"/>
        <v>158.68698986849824</v>
      </c>
      <c r="CY35" s="115">
        <f t="shared" si="92"/>
        <v>6.3181288912681682E-2</v>
      </c>
      <c r="CZ35" s="96">
        <f t="shared" si="45"/>
        <v>1394.7791356267585</v>
      </c>
      <c r="DA35" s="418">
        <f t="shared" si="46"/>
        <v>874.12953003325424</v>
      </c>
      <c r="DB35" s="314">
        <f t="shared" si="47"/>
        <v>603.59657922663007</v>
      </c>
      <c r="DC35" s="314">
        <f t="shared" si="48"/>
        <v>121.05834313388223</v>
      </c>
      <c r="DD35" s="314">
        <f t="shared" si="49"/>
        <v>0</v>
      </c>
      <c r="DE35" s="314">
        <f t="shared" si="50"/>
        <v>30512.967442150657</v>
      </c>
      <c r="DF35" s="314" t="b">
        <f t="shared" si="63"/>
        <v>0</v>
      </c>
      <c r="DG35" s="27">
        <f t="shared" si="51"/>
        <v>158.68698986849824</v>
      </c>
      <c r="DH35" s="100">
        <f t="shared" si="52"/>
        <v>93.029721705932559</v>
      </c>
      <c r="DI35" s="105">
        <f t="shared" si="53"/>
        <v>8.6880537280363251E-3</v>
      </c>
      <c r="DJ35" s="96">
        <f t="shared" si="54"/>
        <v>0</v>
      </c>
      <c r="DK35" s="100">
        <f t="shared" si="55"/>
        <v>0</v>
      </c>
      <c r="DL35" s="105">
        <f t="shared" si="56"/>
        <v>0</v>
      </c>
      <c r="DM35" s="299">
        <v>2993.4819951580012</v>
      </c>
      <c r="DN35" s="100">
        <f t="shared" si="57"/>
        <v>1876.0611933118964</v>
      </c>
      <c r="DO35" s="301">
        <v>1.0997493659807147</v>
      </c>
      <c r="DP35" s="29"/>
      <c r="DQ35" s="53" t="s">
        <v>98</v>
      </c>
      <c r="DR35" s="42"/>
      <c r="DS35" s="42"/>
      <c r="DT35" s="307">
        <v>0.11691702481432163</v>
      </c>
      <c r="DU35" s="29"/>
      <c r="DV35" s="327"/>
      <c r="DW35" s="328"/>
      <c r="DX35" s="328"/>
      <c r="DY35" s="328"/>
      <c r="DZ35" s="328"/>
      <c r="EA35" s="328"/>
      <c r="EB35" s="328"/>
      <c r="EC35" s="328"/>
      <c r="ED35" s="328"/>
      <c r="EE35" s="328"/>
      <c r="EF35" s="328"/>
      <c r="EG35" s="328"/>
      <c r="EH35" s="329"/>
      <c r="EI35" s="330"/>
      <c r="EJ35" s="339" t="e">
        <f>IF(AND(#REF!="Fresh Start",A35&gt;2019),AV35,IF(BD35-(AT35-AX35)&lt;0,0,BD35-(AT35-AX35)))</f>
        <v>#REF!</v>
      </c>
      <c r="EK35" s="339">
        <f t="shared" si="58"/>
        <v>2.6831223500873025E-2</v>
      </c>
      <c r="EL35" s="339" t="e">
        <f t="shared" si="65"/>
        <v>#DIV/0!</v>
      </c>
      <c r="EM35" s="339">
        <f t="shared" si="59"/>
        <v>0</v>
      </c>
      <c r="EN35" s="339">
        <v>0.11560000000000001</v>
      </c>
      <c r="EO35" s="339">
        <v>0.1439788008272706</v>
      </c>
      <c r="EP35" s="340" t="e">
        <f>SUM(EJ35:EL35)</f>
        <v>#REF!</v>
      </c>
      <c r="EQ35" s="283"/>
      <c r="ER35" s="341">
        <v>26</v>
      </c>
      <c r="ES35" s="29">
        <f t="shared" si="79"/>
        <v>4843.3858806826202</v>
      </c>
      <c r="ET35" s="29">
        <f t="shared" si="80"/>
        <v>4153.0569904883951</v>
      </c>
      <c r="EU35" s="29">
        <f t="shared" si="67"/>
        <v>-690.3288901942251</v>
      </c>
      <c r="EV35" s="29">
        <f t="shared" si="68"/>
        <v>-552.2631121553801</v>
      </c>
      <c r="EW35" s="29">
        <f t="shared" si="81"/>
        <v>-402.92657181181789</v>
      </c>
      <c r="EX35" s="29">
        <f t="shared" si="93"/>
        <v>-255.03147634275152</v>
      </c>
      <c r="EY35" s="29">
        <f t="shared" si="97"/>
        <v>-121.19329274163229</v>
      </c>
      <c r="EZ35" s="29">
        <f t="shared" si="69"/>
        <v>-1331.4144530515819</v>
      </c>
      <c r="FA35" s="29"/>
      <c r="FB35" s="29">
        <f t="shared" si="237"/>
        <v>650.79984169330282</v>
      </c>
      <c r="FC35" s="29">
        <f t="shared" si="238"/>
        <v>557.56769263076092</v>
      </c>
      <c r="FD35" s="29">
        <f t="shared" si="191"/>
        <v>-93.232149062541907</v>
      </c>
      <c r="FE35" s="29">
        <f t="shared" si="192"/>
        <v>-74.58571925003352</v>
      </c>
      <c r="FF35" s="29">
        <f t="shared" si="193"/>
        <v>-49.442591324808909</v>
      </c>
      <c r="FG35" s="29">
        <f t="shared" si="194"/>
        <v>-28.947877051104342</v>
      </c>
      <c r="FH35" s="29">
        <f t="shared" si="195"/>
        <v>-12.629331999021588</v>
      </c>
      <c r="FI35" s="29">
        <f t="shared" si="196"/>
        <v>-165.60551962496837</v>
      </c>
      <c r="FJ35" s="29"/>
      <c r="FK35" s="29"/>
      <c r="FL35" s="27">
        <f t="shared" si="24"/>
        <v>8093.8418929088075</v>
      </c>
      <c r="FM35" s="29"/>
      <c r="FN35" s="308">
        <f t="shared" si="156"/>
        <v>1015.2475828772206</v>
      </c>
      <c r="FO35" s="93">
        <f t="shared" si="197"/>
        <v>14.347287406996415</v>
      </c>
      <c r="FP35" s="27">
        <f t="shared" si="82"/>
        <v>20</v>
      </c>
      <c r="FQ35" s="309">
        <f t="shared" si="27"/>
        <v>13.512970250241354</v>
      </c>
      <c r="FR35" s="93">
        <f t="shared" si="60"/>
        <v>598.96837949186215</v>
      </c>
      <c r="FS35" s="93">
        <f t="shared" si="198"/>
        <v>1029.594870284217</v>
      </c>
      <c r="FT35" s="29">
        <f t="shared" si="83"/>
        <v>20</v>
      </c>
      <c r="FU35" s="142">
        <f t="shared" si="28"/>
        <v>13.512970250241354</v>
      </c>
      <c r="FV35" s="48">
        <v>-729.8625270850489</v>
      </c>
      <c r="FW35" s="29">
        <f t="shared" si="98"/>
        <v>672.44792216015776</v>
      </c>
      <c r="FX35" s="29">
        <f t="shared" si="157"/>
        <v>682.20754144457442</v>
      </c>
      <c r="FY35" s="29">
        <f t="shared" si="255"/>
        <v>643.16361487058123</v>
      </c>
      <c r="FZ35" s="29">
        <f t="shared" si="256"/>
        <v>606.31348017450296</v>
      </c>
      <c r="GA35" s="29">
        <f t="shared" si="257"/>
        <v>570.11650463109277</v>
      </c>
      <c r="GB35" s="29">
        <f t="shared" si="258"/>
        <v>534.47080049672059</v>
      </c>
      <c r="GC35" s="29">
        <f t="shared" si="259"/>
        <v>499.2761140736776</v>
      </c>
      <c r="GD35" s="29">
        <f t="shared" si="260"/>
        <v>464.4525321459455</v>
      </c>
      <c r="GE35" s="29">
        <f t="shared" si="261"/>
        <v>430.41864369379601</v>
      </c>
      <c r="GF35" s="29">
        <f t="shared" si="262"/>
        <v>396.1102519831569</v>
      </c>
      <c r="GG35" s="29">
        <f t="shared" si="263"/>
        <v>361.9941003525073</v>
      </c>
      <c r="GH35" s="29">
        <f t="shared" si="264"/>
        <v>328.41511956017825</v>
      </c>
      <c r="GI35" s="29">
        <f t="shared" si="265"/>
        <v>294.59495115345777</v>
      </c>
      <c r="GJ35" s="29">
        <f t="shared" si="266"/>
        <v>261.23161738299336</v>
      </c>
      <c r="GK35" s="29">
        <f t="shared" si="267"/>
        <v>228.0224617791437</v>
      </c>
      <c r="GL35" s="29">
        <f t="shared" si="268"/>
        <v>194.99392101945762</v>
      </c>
      <c r="GM35" s="29">
        <f t="shared" si="269"/>
        <v>162.15223073664552</v>
      </c>
      <c r="GN35" s="29">
        <f t="shared" si="240"/>
        <v>136.00727325004345</v>
      </c>
      <c r="GO35" s="29">
        <f t="shared" si="241"/>
        <v>267.50399677207503</v>
      </c>
      <c r="GP35" s="29">
        <f t="shared" si="242"/>
        <v>200.02832025000902</v>
      </c>
      <c r="GQ35" s="29">
        <f t="shared" si="243"/>
        <v>96.663925096443791</v>
      </c>
      <c r="GR35" s="29">
        <f t="shared" si="244"/>
        <v>0</v>
      </c>
      <c r="GS35" s="29">
        <f t="shared" si="245"/>
        <v>0</v>
      </c>
      <c r="GT35" s="29">
        <f t="shared" si="246"/>
        <v>0</v>
      </c>
      <c r="GU35" s="29">
        <f t="shared" si="247"/>
        <v>0</v>
      </c>
      <c r="GV35" s="29">
        <f t="shared" si="248"/>
        <v>0</v>
      </c>
      <c r="GW35" s="29">
        <f t="shared" si="249"/>
        <v>0</v>
      </c>
      <c r="GX35" s="29">
        <f t="shared" si="250"/>
        <v>0</v>
      </c>
      <c r="GY35" s="29">
        <f t="shared" si="251"/>
        <v>0</v>
      </c>
      <c r="GZ35" s="29">
        <f t="shared" si="252"/>
        <v>0</v>
      </c>
      <c r="HA35" s="29">
        <f t="shared" si="253"/>
        <v>0</v>
      </c>
      <c r="HB35" s="29">
        <f t="shared" si="254"/>
        <v>0</v>
      </c>
      <c r="HC35" s="29"/>
      <c r="HD35" s="29">
        <f t="shared" si="29"/>
        <v>20</v>
      </c>
      <c r="HE35" s="29">
        <f t="shared" si="100"/>
        <v>0</v>
      </c>
      <c r="HF35" s="29">
        <f t="shared" si="101"/>
        <v>49.469815124963446</v>
      </c>
      <c r="HG35" s="29">
        <f t="shared" si="102"/>
        <v>48.279579995696174</v>
      </c>
      <c r="HH35" s="29">
        <f t="shared" si="103"/>
        <v>47.240120784697446</v>
      </c>
      <c r="HI35" s="29">
        <f t="shared" si="104"/>
        <v>46.242394534016078</v>
      </c>
      <c r="HJ35" s="29">
        <f t="shared" si="105"/>
        <v>45.28115691762919</v>
      </c>
      <c r="HK35" s="29">
        <f t="shared" si="106"/>
        <v>44.350585993354535</v>
      </c>
      <c r="HL35" s="29">
        <f t="shared" si="107"/>
        <v>43.445796372241993</v>
      </c>
      <c r="HM35" s="29">
        <f t="shared" si="108"/>
        <v>42.610342095825075</v>
      </c>
      <c r="HN35" s="29">
        <f t="shared" si="109"/>
        <v>41.742943932622737</v>
      </c>
      <c r="HO35" s="29">
        <f t="shared" si="110"/>
        <v>40.887070444751252</v>
      </c>
      <c r="HP35" s="29">
        <f t="shared" si="111"/>
        <v>40.084567580352925</v>
      </c>
      <c r="HQ35" s="29">
        <f t="shared" si="112"/>
        <v>39.242942825895604</v>
      </c>
      <c r="HR35" s="29">
        <f t="shared" si="113"/>
        <v>38.449174538096486</v>
      </c>
      <c r="HS35" s="29">
        <f t="shared" si="114"/>
        <v>37.666134889137169</v>
      </c>
      <c r="HT35" s="29">
        <f t="shared" si="115"/>
        <v>36.898536423499827</v>
      </c>
      <c r="HU35" s="29">
        <f t="shared" si="116"/>
        <v>36.149949518827555</v>
      </c>
      <c r="HV35" s="29">
        <f t="shared" si="117"/>
        <v>37.206595134413924</v>
      </c>
      <c r="HW35" s="29">
        <f t="shared" si="118"/>
        <v>95.771733272734878</v>
      </c>
      <c r="HX35" s="29">
        <f t="shared" si="119"/>
        <v>105.42603170699091</v>
      </c>
      <c r="HY35" s="29">
        <f t="shared" si="120"/>
        <v>99.989941614666719</v>
      </c>
      <c r="HZ35" s="29">
        <f t="shared" si="121"/>
        <v>0</v>
      </c>
      <c r="IA35" s="29">
        <f t="shared" si="122"/>
        <v>0</v>
      </c>
      <c r="IB35" s="29">
        <f t="shared" si="123"/>
        <v>0</v>
      </c>
      <c r="IC35" s="29">
        <f t="shared" si="124"/>
        <v>0</v>
      </c>
      <c r="ID35" s="29">
        <f t="shared" si="125"/>
        <v>0</v>
      </c>
      <c r="IE35" s="29">
        <f t="shared" si="126"/>
        <v>0</v>
      </c>
      <c r="IF35" s="29">
        <f t="shared" si="127"/>
        <v>0</v>
      </c>
      <c r="IG35" s="29">
        <f t="shared" si="128"/>
        <v>0</v>
      </c>
      <c r="IH35" s="29">
        <f t="shared" si="129"/>
        <v>0</v>
      </c>
      <c r="II35" s="29">
        <f t="shared" si="130"/>
        <v>0</v>
      </c>
      <c r="IJ35" s="29">
        <f t="shared" si="131"/>
        <v>0</v>
      </c>
      <c r="IK35" s="48"/>
      <c r="IL35" s="48"/>
      <c r="IM35" s="48"/>
      <c r="IN35" s="29">
        <f t="shared" si="199"/>
        <v>58.10707393229751</v>
      </c>
      <c r="IO35" s="29">
        <f t="shared" si="239"/>
        <v>52.476227073117457</v>
      </c>
      <c r="IP35" s="29">
        <f t="shared" si="287"/>
        <v>44.120404246156461</v>
      </c>
      <c r="IQ35" s="29">
        <f t="shared" si="288"/>
        <v>36.549393942160947</v>
      </c>
      <c r="IR35" s="29">
        <f t="shared" si="289"/>
        <v>29.762083599546738</v>
      </c>
      <c r="IS35" s="29">
        <f t="shared" si="290"/>
        <v>23.748775436354421</v>
      </c>
      <c r="IT35" s="29">
        <f t="shared" si="291"/>
        <v>18.503502794335997</v>
      </c>
      <c r="IU35" s="29">
        <f t="shared" si="292"/>
        <v>14.003861119061375</v>
      </c>
      <c r="IV35" s="29">
        <f t="shared" si="293"/>
        <v>9.7536859511586815</v>
      </c>
      <c r="IW35" s="29">
        <f t="shared" si="294"/>
        <v>6.6805600500179869</v>
      </c>
      <c r="IX35" s="29">
        <f t="shared" si="295"/>
        <v>4.2549191465118534</v>
      </c>
      <c r="IY35" s="29">
        <f t="shared" si="296"/>
        <v>2.0605339543586232</v>
      </c>
      <c r="IZ35" s="29">
        <f t="shared" si="297"/>
        <v>0.77124113114152204</v>
      </c>
      <c r="JA35" s="29">
        <f t="shared" si="298"/>
        <v>-0.33394632957731896</v>
      </c>
      <c r="JB35" s="29">
        <f t="shared" si="299"/>
        <v>-0.98534090323609946</v>
      </c>
      <c r="JC35" s="29">
        <f t="shared" si="300"/>
        <v>-1.2455128434294926</v>
      </c>
      <c r="JD35" s="29">
        <f t="shared" si="301"/>
        <v>-1.1894722182791324</v>
      </c>
      <c r="JE35" s="29">
        <f t="shared" si="270"/>
        <v>-0.92496421022963804</v>
      </c>
      <c r="JF35" s="29">
        <f t="shared" si="271"/>
        <v>-0.57427851714668365</v>
      </c>
      <c r="JG35" s="29">
        <f t="shared" si="272"/>
        <v>-0.17946401724272004</v>
      </c>
      <c r="JH35" s="29">
        <f t="shared" si="273"/>
        <v>0</v>
      </c>
      <c r="JI35" s="29">
        <f t="shared" si="274"/>
        <v>0</v>
      </c>
      <c r="JJ35" s="29">
        <f t="shared" si="275"/>
        <v>0</v>
      </c>
      <c r="JK35" s="29">
        <f t="shared" si="276"/>
        <v>0</v>
      </c>
      <c r="JL35" s="29">
        <f t="shared" si="277"/>
        <v>0</v>
      </c>
      <c r="JM35" s="29">
        <f t="shared" si="278"/>
        <v>0</v>
      </c>
      <c r="JN35" s="29">
        <f t="shared" si="279"/>
        <v>0</v>
      </c>
      <c r="JO35" s="29">
        <f t="shared" si="280"/>
        <v>0</v>
      </c>
      <c r="JP35" s="29">
        <f t="shared" si="281"/>
        <v>0</v>
      </c>
      <c r="JQ35" s="29">
        <f t="shared" si="282"/>
        <v>0</v>
      </c>
      <c r="JR35" s="29">
        <f t="shared" si="283"/>
        <v>0</v>
      </c>
      <c r="JS35" s="29">
        <f t="shared" si="284"/>
        <v>0</v>
      </c>
      <c r="JT35" s="48"/>
      <c r="JU35" s="401">
        <f t="shared" si="201"/>
        <v>20</v>
      </c>
      <c r="JV35" s="29">
        <f t="shared" si="202"/>
        <v>0</v>
      </c>
      <c r="JW35" s="29">
        <f t="shared" si="203"/>
        <v>3.8052778576233788</v>
      </c>
      <c r="JX35" s="29">
        <f t="shared" si="204"/>
        <v>3.3119326668897315</v>
      </c>
      <c r="JY35" s="29">
        <f t="shared" si="205"/>
        <v>2.8476981642206614</v>
      </c>
      <c r="JZ35" s="29">
        <f t="shared" si="206"/>
        <v>2.414015382443905</v>
      </c>
      <c r="KA35" s="29">
        <f t="shared" si="207"/>
        <v>2.0120313890593922</v>
      </c>
      <c r="KB35" s="29">
        <f t="shared" si="208"/>
        <v>1.6436620313411858</v>
      </c>
      <c r="KC35" s="29">
        <f t="shared" si="209"/>
        <v>1.3099485017183981</v>
      </c>
      <c r="KD35" s="29">
        <f t="shared" si="210"/>
        <v>0.96558989988775179</v>
      </c>
      <c r="KE35" s="29">
        <f t="shared" si="211"/>
        <v>0.70401167909756079</v>
      </c>
      <c r="KF35" s="29">
        <f t="shared" si="212"/>
        <v>0.48059119944424267</v>
      </c>
      <c r="KG35" s="29">
        <f t="shared" si="213"/>
        <v>0.25149759443388048</v>
      </c>
      <c r="KH35" s="29">
        <f t="shared" si="214"/>
        <v>0.10273689856483666</v>
      </c>
      <c r="KI35" s="29">
        <f t="shared" si="215"/>
        <v>-4.9151633484894292E-2</v>
      </c>
      <c r="KJ35" s="29">
        <f t="shared" si="216"/>
        <v>-0.1627645938189316</v>
      </c>
      <c r="KK35" s="29">
        <f t="shared" si="217"/>
        <v>-0.23568735260538742</v>
      </c>
      <c r="KL35" s="29">
        <f t="shared" si="218"/>
        <v>-0.26517896454150258</v>
      </c>
      <c r="KM35" s="29">
        <f t="shared" si="219"/>
        <v>-0.25303623888236487</v>
      </c>
      <c r="KN35" s="29">
        <f t="shared" si="220"/>
        <v>-0.20560309241022656</v>
      </c>
      <c r="KO35" s="29">
        <f t="shared" si="221"/>
        <v>-9.4587502151931485E-2</v>
      </c>
      <c r="KP35" s="29">
        <f t="shared" si="222"/>
        <v>0</v>
      </c>
      <c r="KQ35" s="29">
        <f t="shared" si="223"/>
        <v>0</v>
      </c>
      <c r="KR35" s="29">
        <f t="shared" si="224"/>
        <v>0</v>
      </c>
      <c r="KS35" s="29">
        <f t="shared" si="225"/>
        <v>0</v>
      </c>
      <c r="KT35" s="29">
        <f t="shared" si="226"/>
        <v>0</v>
      </c>
      <c r="KU35" s="29">
        <f t="shared" si="227"/>
        <v>0</v>
      </c>
      <c r="KV35" s="29">
        <f t="shared" si="228"/>
        <v>0</v>
      </c>
      <c r="KW35" s="29">
        <f t="shared" si="229"/>
        <v>0</v>
      </c>
      <c r="KX35" s="29">
        <f t="shared" si="230"/>
        <v>0</v>
      </c>
      <c r="KY35" s="29">
        <f t="shared" si="231"/>
        <v>0</v>
      </c>
      <c r="KZ35" s="29">
        <f t="shared" si="232"/>
        <v>0</v>
      </c>
      <c r="LA35" s="29">
        <f t="shared" si="233"/>
        <v>0</v>
      </c>
      <c r="LB35" s="48"/>
      <c r="LC35" s="48"/>
      <c r="LD35" s="48"/>
      <c r="LE35" s="48"/>
      <c r="LF35" s="48"/>
      <c r="LG35" s="48"/>
      <c r="LH35" s="48"/>
      <c r="LI35" s="48"/>
      <c r="LJ35" s="48"/>
      <c r="LK35" s="48"/>
      <c r="LL35" s="48"/>
      <c r="LM35" s="48"/>
      <c r="LN35" s="48"/>
      <c r="LO35" s="46">
        <f t="shared" si="30"/>
        <v>0.13588720260706383</v>
      </c>
      <c r="LP35" s="47">
        <f t="shared" si="31"/>
        <v>0.51871900242855629</v>
      </c>
      <c r="LQ35" s="28"/>
      <c r="LR35" s="48"/>
      <c r="LS35" s="28"/>
      <c r="LT35" s="166">
        <v>6.1273333333333346E-2</v>
      </c>
      <c r="LU35" s="115">
        <f t="shared" si="70"/>
        <v>9.9338588583818298E-18</v>
      </c>
      <c r="LV35" s="157">
        <f t="shared" si="15"/>
        <v>1.4880352439579712E-13</v>
      </c>
      <c r="LW35" s="229" t="e">
        <f>LW34*(1+#REF!)</f>
        <v>#REF!</v>
      </c>
      <c r="LX35" s="158"/>
      <c r="LY35" s="129">
        <f t="shared" si="71"/>
        <v>-620.86468208945007</v>
      </c>
      <c r="LZ35" s="130">
        <f t="shared" si="72"/>
        <v>-1477.4054806080676</v>
      </c>
      <c r="MA35" s="28"/>
      <c r="MB35" s="381">
        <f t="shared" si="285"/>
        <v>5.000000000000001E-2</v>
      </c>
      <c r="MC35" s="394">
        <f t="shared" si="177"/>
        <v>-740.53928605299177</v>
      </c>
      <c r="MD35" s="157">
        <f t="shared" si="158"/>
        <v>-5831.1611770217996</v>
      </c>
      <c r="ME35" s="28"/>
      <c r="MF35" s="381">
        <f t="shared" si="286"/>
        <v>5.000000000000001E-2</v>
      </c>
      <c r="MG35" s="394">
        <f t="shared" si="178"/>
        <v>-28.785003907877915</v>
      </c>
      <c r="MH35" s="157">
        <f t="shared" si="159"/>
        <v>-226.65913939915865</v>
      </c>
      <c r="MI35" s="28"/>
      <c r="MJ35" s="28"/>
      <c r="MK35" s="38"/>
      <c r="ML35" s="38" t="s">
        <v>231</v>
      </c>
      <c r="MM35" s="351">
        <f>((ML33/MN33)^0.5-1)*100</f>
        <v>11.362052951411172</v>
      </c>
      <c r="MN35" s="38"/>
      <c r="MO35" s="28"/>
      <c r="MP35" s="28"/>
      <c r="MQ35" s="28"/>
      <c r="MR35" s="28"/>
      <c r="MS35" s="28"/>
      <c r="MT35" s="28"/>
      <c r="MU35" s="28"/>
      <c r="MV35" s="28"/>
    </row>
    <row r="36" spans="1:360" s="30" customFormat="1" ht="12.75" customHeight="1" x14ac:dyDescent="0.3">
      <c r="A36" s="305">
        <f t="shared" si="91"/>
        <v>2045</v>
      </c>
      <c r="B36" s="355">
        <f t="shared" si="1"/>
        <v>2043</v>
      </c>
      <c r="C36" s="26">
        <v>52413</v>
      </c>
      <c r="D36" s="96">
        <f t="shared" si="132"/>
        <v>4871.0960220710504</v>
      </c>
      <c r="E36" s="27">
        <f t="shared" si="133"/>
        <v>4871.0960220710504</v>
      </c>
      <c r="F36" s="111">
        <f t="shared" si="18"/>
        <v>16310.457268473203</v>
      </c>
      <c r="G36" s="27">
        <f t="shared" si="134"/>
        <v>21793.013275273755</v>
      </c>
      <c r="H36" s="27">
        <f t="shared" si="135"/>
        <v>5666.1834515711762</v>
      </c>
      <c r="I36" s="296">
        <f t="shared" si="136"/>
        <v>4816.2559338354995</v>
      </c>
      <c r="J36" s="69">
        <v>1406.0827400000001</v>
      </c>
      <c r="K36" s="297">
        <f t="shared" si="160"/>
        <v>3410.1731938354997</v>
      </c>
      <c r="L36" s="297">
        <f t="shared" si="137"/>
        <v>16126.829823702579</v>
      </c>
      <c r="M36" s="297">
        <f t="shared" si="161"/>
        <v>13707.805350147191</v>
      </c>
      <c r="N36" s="27">
        <f t="shared" si="162"/>
        <v>0</v>
      </c>
      <c r="O36" s="297">
        <f t="shared" si="138"/>
        <v>849.92751773567636</v>
      </c>
      <c r="P36" s="297">
        <f t="shared" si="139"/>
        <v>2419.024473555387</v>
      </c>
      <c r="Q36" s="297">
        <f t="shared" si="140"/>
        <v>945.08742541017534</v>
      </c>
      <c r="R36" s="260">
        <f t="shared" si="2"/>
        <v>0.26</v>
      </c>
      <c r="S36" s="257">
        <v>0.74</v>
      </c>
      <c r="T36" s="290">
        <f t="shared" si="163"/>
        <v>7.2499999999999995E-2</v>
      </c>
      <c r="U36" s="290">
        <f t="shared" si="164"/>
        <v>7.2499999999999995E-2</v>
      </c>
      <c r="V36" s="27">
        <f t="shared" si="4"/>
        <v>91148.470323206639</v>
      </c>
      <c r="W36" s="27">
        <f t="shared" si="141"/>
        <v>79519.596022460712</v>
      </c>
      <c r="X36" s="27">
        <f t="shared" si="179"/>
        <v>11628.874300745927</v>
      </c>
      <c r="Y36" s="27">
        <f t="shared" si="142"/>
        <v>482.56416958842146</v>
      </c>
      <c r="Z36" s="27">
        <f t="shared" si="180"/>
        <v>1278.9382391687329</v>
      </c>
      <c r="AA36" s="115">
        <f t="shared" si="165"/>
        <v>7.0000000000000007E-2</v>
      </c>
      <c r="AB36" s="115">
        <f t="shared" si="166"/>
        <v>7.0000000000000007E-2</v>
      </c>
      <c r="AC36" s="96">
        <f t="shared" si="6"/>
        <v>93656.885808763123</v>
      </c>
      <c r="AD36" s="27">
        <f t="shared" si="143"/>
        <v>81707.983664739673</v>
      </c>
      <c r="AE36" s="27">
        <f t="shared" si="181"/>
        <v>11948.902144023448</v>
      </c>
      <c r="AF36" s="150">
        <f t="shared" si="144"/>
        <v>507.91090992809592</v>
      </c>
      <c r="AG36" s="27">
        <f t="shared" si="234"/>
        <v>1346.1146221279955</v>
      </c>
      <c r="AH36" s="27">
        <f t="shared" si="167"/>
        <v>85044.043836585042</v>
      </c>
      <c r="AI36" s="27">
        <f t="shared" si="145"/>
        <v>73459.219751979326</v>
      </c>
      <c r="AJ36" s="27">
        <f t="shared" si="182"/>
        <v>11584.82408460572</v>
      </c>
      <c r="AK36" s="27">
        <f t="shared" si="10"/>
        <v>83489.936218233808</v>
      </c>
      <c r="AL36" s="27">
        <f t="shared" si="168"/>
        <v>72092.395473455355</v>
      </c>
      <c r="AM36" s="27">
        <f t="shared" si="235"/>
        <v>11397.540744778446</v>
      </c>
      <c r="AN36" s="417">
        <f>INDEX(Inv.Returns!$B$2:$E$32,MATCH(B36,Inv.Returns!$A$2:$A$32,0),MATCH(SCRS!$DT$52,Inv.Returns!$B$1:$E$1,0))</f>
        <v>0.06</v>
      </c>
      <c r="AO36" s="27">
        <f t="shared" si="36"/>
        <v>8612.8419721780811</v>
      </c>
      <c r="AP36" s="229">
        <f t="shared" si="11"/>
        <v>10166.949590529315</v>
      </c>
      <c r="AQ36" s="68">
        <f t="shared" si="19"/>
        <v>0.90803834765801905</v>
      </c>
      <c r="AR36" s="151">
        <f t="shared" si="20"/>
        <v>0.89144471863724906</v>
      </c>
      <c r="AS36" s="353"/>
      <c r="AT36" s="289">
        <f t="shared" si="94"/>
        <v>0.10676586195215219</v>
      </c>
      <c r="AU36" s="397">
        <f t="shared" si="169"/>
        <v>9.9400593584701089E-2</v>
      </c>
      <c r="AV36" s="303">
        <f t="shared" si="95"/>
        <v>4.0171132520512749E-2</v>
      </c>
      <c r="AW36" s="303">
        <f t="shared" si="146"/>
        <v>1.6248611169760207E-3</v>
      </c>
      <c r="AX36" s="115">
        <f t="shared" si="61"/>
        <v>7.4999999999999983E-2</v>
      </c>
      <c r="AY36" s="115">
        <f t="shared" si="147"/>
        <v>7.4999999999999983E-2</v>
      </c>
      <c r="AZ36" s="115">
        <f t="shared" si="148"/>
        <v>0</v>
      </c>
      <c r="BA36" s="262">
        <f t="shared" si="21"/>
        <v>3.1765861952152211E-2</v>
      </c>
      <c r="BB36" s="115">
        <f t="shared" si="170"/>
        <v>2.4400593584701105E-2</v>
      </c>
      <c r="BC36" s="133">
        <f t="shared" si="77"/>
        <v>0.15560000000000002</v>
      </c>
      <c r="BD36" s="133">
        <f t="shared" si="96"/>
        <v>0.15560000000000002</v>
      </c>
      <c r="BE36" s="410">
        <f t="shared" si="12"/>
        <v>0.12383413804784781</v>
      </c>
      <c r="BF36" s="410">
        <f t="shared" si="149"/>
        <v>0.13119940641529892</v>
      </c>
      <c r="BG36" s="410">
        <f t="shared" si="171"/>
        <v>0.10560000000000001</v>
      </c>
      <c r="BH36" s="410">
        <f t="shared" si="23"/>
        <v>0.15560000000000002</v>
      </c>
      <c r="BI36" s="157">
        <f t="shared" si="37"/>
        <v>7.9877943171644077</v>
      </c>
      <c r="BJ36" s="104">
        <f t="shared" si="38"/>
        <v>3.8834951456310662E-2</v>
      </c>
      <c r="BK36" s="27">
        <f t="shared" si="62"/>
        <v>9.3094854189423106</v>
      </c>
      <c r="BL36" s="27">
        <f t="shared" si="14"/>
        <v>20</v>
      </c>
      <c r="BM36" s="111">
        <f t="shared" si="26"/>
        <v>7.1409907553059604</v>
      </c>
      <c r="BN36" s="27"/>
      <c r="BO36" s="27"/>
      <c r="BP36" s="96">
        <f t="shared" si="172"/>
        <v>-5033.980013864445</v>
      </c>
      <c r="BQ36" s="27">
        <f t="shared" si="183"/>
        <v>-719.65978088272766</v>
      </c>
      <c r="BR36" s="27">
        <f t="shared" si="173"/>
        <v>-195.67244722908373</v>
      </c>
      <c r="BS36" s="27">
        <f t="shared" si="184"/>
        <v>-27.973410722695299</v>
      </c>
      <c r="BT36" s="27">
        <f t="shared" si="150"/>
        <v>-5.7795071206025987</v>
      </c>
      <c r="BU36" s="27">
        <f t="shared" si="185"/>
        <v>-16.449366420176627</v>
      </c>
      <c r="BV36" s="304">
        <f t="shared" si="151"/>
        <v>409.3817543760174</v>
      </c>
      <c r="BW36" s="304">
        <f t="shared" si="186"/>
        <v>1165.1634547625113</v>
      </c>
      <c r="BX36" s="304">
        <f t="shared" si="187"/>
        <v>0</v>
      </c>
      <c r="BY36" s="304">
        <f t="shared" si="152"/>
        <v>80.332431159864896</v>
      </c>
      <c r="BZ36" s="304">
        <f t="shared" si="78"/>
        <v>104.30866267268118</v>
      </c>
      <c r="CA36" s="304">
        <f t="shared" si="188"/>
        <v>197.40053378566085</v>
      </c>
      <c r="CB36" s="304">
        <f t="shared" si="236"/>
        <v>1016.435413700414</v>
      </c>
      <c r="CC36" s="304">
        <f t="shared" si="189"/>
        <v>0</v>
      </c>
      <c r="CD36" s="304">
        <f t="shared" si="190"/>
        <v>18.582983886829691</v>
      </c>
      <c r="CE36" s="304"/>
      <c r="CF36" s="304">
        <f t="shared" si="174"/>
        <v>0</v>
      </c>
      <c r="CG36" s="304">
        <f t="shared" si="153"/>
        <v>0</v>
      </c>
      <c r="CH36" s="304">
        <f t="shared" si="175"/>
        <v>0</v>
      </c>
      <c r="CI36" s="27"/>
      <c r="CJ36" s="27">
        <f t="shared" si="39"/>
        <v>0</v>
      </c>
      <c r="CK36" s="27">
        <f t="shared" si="40"/>
        <v>0</v>
      </c>
      <c r="CL36" s="27">
        <f t="shared" si="41"/>
        <v>0</v>
      </c>
      <c r="CM36" s="27">
        <f t="shared" si="42"/>
        <v>2991.6052343439796</v>
      </c>
      <c r="CN36" s="27">
        <f t="shared" si="43"/>
        <v>0</v>
      </c>
      <c r="CO36" s="111">
        <f t="shared" si="3"/>
        <v>2991.6052343439796</v>
      </c>
      <c r="CP36" s="27">
        <f t="shared" si="154"/>
        <v>1035.0183975872437</v>
      </c>
      <c r="CQ36" s="27">
        <f t="shared" si="155"/>
        <v>0</v>
      </c>
      <c r="CR36" s="27">
        <f t="shared" si="176"/>
        <v>1035.0183975872437</v>
      </c>
      <c r="CS36" s="27">
        <f>SUM($CR$14:CR36)</f>
        <v>62213.925894519176</v>
      </c>
      <c r="CT36" s="229">
        <v>3043.6390883079562</v>
      </c>
      <c r="CU36" s="425">
        <v>618.67811617519692</v>
      </c>
      <c r="CV36" s="425">
        <v>3662.3172044831531</v>
      </c>
      <c r="CW36" s="425">
        <v>62841.956456703272</v>
      </c>
      <c r="CX36" s="107">
        <f t="shared" si="44"/>
        <v>163.44759956455317</v>
      </c>
      <c r="CY36" s="115">
        <f t="shared" si="92"/>
        <v>6.5976275387196942E-2</v>
      </c>
      <c r="CZ36" s="96">
        <f t="shared" si="45"/>
        <v>1500.1751936101389</v>
      </c>
      <c r="DA36" s="418">
        <f t="shared" si="46"/>
        <v>919.4942397182449</v>
      </c>
      <c r="DB36" s="314">
        <f t="shared" si="47"/>
        <v>593.42406271597554</v>
      </c>
      <c r="DC36" s="314">
        <f t="shared" si="48"/>
        <v>172.98387887447186</v>
      </c>
      <c r="DD36" s="314">
        <f t="shared" si="49"/>
        <v>0</v>
      </c>
      <c r="DE36" s="314">
        <f t="shared" si="50"/>
        <v>30050.804383417424</v>
      </c>
      <c r="DF36" s="314" t="b">
        <f t="shared" si="63"/>
        <v>0</v>
      </c>
      <c r="DG36" s="27">
        <f t="shared" si="51"/>
        <v>163.44759956455317</v>
      </c>
      <c r="DH36" s="100">
        <f t="shared" si="52"/>
        <v>93.712091302797603</v>
      </c>
      <c r="DI36" s="105">
        <f t="shared" si="53"/>
        <v>8.3701981038398748E-3</v>
      </c>
      <c r="DJ36" s="96">
        <f t="shared" si="54"/>
        <v>0</v>
      </c>
      <c r="DK36" s="100">
        <f t="shared" si="55"/>
        <v>0</v>
      </c>
      <c r="DL36" s="105">
        <f t="shared" si="56"/>
        <v>0</v>
      </c>
      <c r="DM36" s="299">
        <v>2855.9054480059012</v>
      </c>
      <c r="DN36" s="100">
        <f t="shared" si="57"/>
        <v>1750.454626770621</v>
      </c>
      <c r="DO36" s="301">
        <v>1.1281178214136816</v>
      </c>
      <c r="DP36" s="29"/>
      <c r="DQ36" s="53" t="s">
        <v>99</v>
      </c>
      <c r="DR36" s="42"/>
      <c r="DS36" s="42"/>
      <c r="DT36" s="251">
        <v>9.3299999999999994E-2</v>
      </c>
      <c r="DU36" s="29"/>
      <c r="DV36" s="327"/>
      <c r="DW36" s="328"/>
      <c r="DX36" s="328"/>
      <c r="DY36" s="328"/>
      <c r="DZ36" s="328"/>
      <c r="EA36" s="328"/>
      <c r="EB36" s="328"/>
      <c r="EC36" s="328"/>
      <c r="ED36" s="328"/>
      <c r="EE36" s="328"/>
      <c r="EF36" s="328"/>
      <c r="EG36" s="328"/>
      <c r="EH36" s="329"/>
      <c r="EI36" s="330"/>
      <c r="EJ36" s="339" t="e">
        <f>IF(AND(#REF!="Fresh Start",A36&gt;2019),AV36,IF(BD36-(AT36-AX36)&lt;0,0,BD36-(AT36-AX36)))</f>
        <v>#REF!</v>
      </c>
      <c r="EK36" s="339">
        <f t="shared" si="58"/>
        <v>3.1765861952152211E-2</v>
      </c>
      <c r="EL36" s="339" t="e">
        <f t="shared" si="65"/>
        <v>#DIV/0!</v>
      </c>
      <c r="EM36" s="339">
        <f t="shared" si="59"/>
        <v>0</v>
      </c>
      <c r="EN36" s="339">
        <v>0.1056</v>
      </c>
      <c r="EO36" s="339">
        <v>0.14369079844627314</v>
      </c>
      <c r="EP36" s="340" t="e">
        <f t="shared" si="66"/>
        <v>#REF!</v>
      </c>
      <c r="EQ36" s="283"/>
      <c r="ER36" s="30">
        <v>27</v>
      </c>
      <c r="ES36" s="29">
        <f t="shared" si="79"/>
        <v>4880.4064891456592</v>
      </c>
      <c r="ET36" s="29">
        <f t="shared" si="80"/>
        <v>4184.7896245270931</v>
      </c>
      <c r="EU36" s="29">
        <f t="shared" si="67"/>
        <v>-695.61686461856607</v>
      </c>
      <c r="EV36" s="29">
        <f t="shared" si="68"/>
        <v>-556.49349169485288</v>
      </c>
      <c r="EW36" s="29">
        <f t="shared" si="81"/>
        <v>-414.1973341165351</v>
      </c>
      <c r="EX36" s="29">
        <f t="shared" si="93"/>
        <v>-268.61771454121191</v>
      </c>
      <c r="EY36" s="29">
        <f t="shared" si="97"/>
        <v>-127.51573817137576</v>
      </c>
      <c r="EZ36" s="29">
        <f t="shared" si="69"/>
        <v>-1366.8242785239756</v>
      </c>
      <c r="FA36" s="29"/>
      <c r="FB36" s="29">
        <f t="shared" si="237"/>
        <v>732.3108236052949</v>
      </c>
      <c r="FC36" s="29">
        <f t="shared" si="238"/>
        <v>627.42534321238963</v>
      </c>
      <c r="FD36" s="29">
        <f t="shared" si="191"/>
        <v>-104.88548039290527</v>
      </c>
      <c r="FE36" s="29">
        <f t="shared" si="192"/>
        <v>-83.908384314324209</v>
      </c>
      <c r="FF36" s="29">
        <f t="shared" si="193"/>
        <v>-55.93928943752514</v>
      </c>
      <c r="FG36" s="29">
        <f t="shared" si="194"/>
        <v>-32.961727549872606</v>
      </c>
      <c r="FH36" s="29">
        <f t="shared" si="195"/>
        <v>-14.473938525552171</v>
      </c>
      <c r="FI36" s="29">
        <f t="shared" si="196"/>
        <v>-187.28333982727412</v>
      </c>
      <c r="FJ36" s="29"/>
      <c r="FK36" s="29"/>
      <c r="FL36" s="27">
        <f t="shared" si="24"/>
        <v>8325.944606364239</v>
      </c>
      <c r="FM36" s="29"/>
      <c r="FN36" s="308">
        <f t="shared" si="156"/>
        <v>1016.4354137004138</v>
      </c>
      <c r="FO36" s="93">
        <f t="shared" si="197"/>
        <v>18.582983886829691</v>
      </c>
      <c r="FP36" s="27">
        <f t="shared" si="82"/>
        <v>20</v>
      </c>
      <c r="FQ36" s="309">
        <f t="shared" si="27"/>
        <v>13.512970250241354</v>
      </c>
      <c r="FR36" s="93">
        <f t="shared" si="60"/>
        <v>616.14467079993244</v>
      </c>
      <c r="FS36" s="93">
        <f t="shared" si="198"/>
        <v>1035.0183975872435</v>
      </c>
      <c r="FT36" s="29">
        <f t="shared" si="83"/>
        <v>20</v>
      </c>
      <c r="FU36" s="142">
        <f t="shared" si="28"/>
        <v>13.512970250241354</v>
      </c>
      <c r="FV36" s="48">
        <v>-554.51392413586518</v>
      </c>
      <c r="FW36" s="29">
        <f t="shared" si="98"/>
        <v>707.44658452646945</v>
      </c>
      <c r="FX36" s="29">
        <f t="shared" si="157"/>
        <v>719.51927671136889</v>
      </c>
      <c r="FY36" s="29">
        <f t="shared" si="255"/>
        <v>678.79009468091431</v>
      </c>
      <c r="FZ36" s="29">
        <f t="shared" si="256"/>
        <v>638.24428203784873</v>
      </c>
      <c r="GA36" s="29">
        <f t="shared" si="257"/>
        <v>599.88986288156229</v>
      </c>
      <c r="GB36" s="29">
        <f t="shared" si="258"/>
        <v>562.19115510880863</v>
      </c>
      <c r="GC36" s="29">
        <f t="shared" si="259"/>
        <v>525.04456360692325</v>
      </c>
      <c r="GD36" s="29">
        <f t="shared" si="260"/>
        <v>488.34883918317837</v>
      </c>
      <c r="GE36" s="29">
        <f t="shared" si="261"/>
        <v>452.02352818205907</v>
      </c>
      <c r="GF36" s="29">
        <f t="shared" si="262"/>
        <v>416.47146816157652</v>
      </c>
      <c r="GG36" s="29">
        <f t="shared" si="263"/>
        <v>380.65873266793443</v>
      </c>
      <c r="GH36" s="29">
        <f t="shared" si="264"/>
        <v>345.03977284302277</v>
      </c>
      <c r="GI36" s="29">
        <f t="shared" si="265"/>
        <v>309.94037881291865</v>
      </c>
      <c r="GJ36" s="29">
        <f t="shared" si="266"/>
        <v>274.62338203316096</v>
      </c>
      <c r="GK36" s="29">
        <f t="shared" si="267"/>
        <v>239.74569520016314</v>
      </c>
      <c r="GL36" s="29">
        <f t="shared" si="268"/>
        <v>205.02188121513379</v>
      </c>
      <c r="GM36" s="29">
        <f t="shared" si="269"/>
        <v>170.47535262913345</v>
      </c>
      <c r="GN36" s="29">
        <f t="shared" si="240"/>
        <v>136.10908834181075</v>
      </c>
      <c r="GO36" s="29">
        <f t="shared" si="241"/>
        <v>107.04098110748865</v>
      </c>
      <c r="GP36" s="29">
        <f t="shared" si="242"/>
        <v>187.16222533004571</v>
      </c>
      <c r="GQ36" s="29">
        <f t="shared" si="243"/>
        <v>104.97676749882613</v>
      </c>
      <c r="GR36" s="29">
        <f t="shared" si="244"/>
        <v>0</v>
      </c>
      <c r="GS36" s="29">
        <f t="shared" si="245"/>
        <v>0</v>
      </c>
      <c r="GT36" s="29">
        <f t="shared" si="246"/>
        <v>0</v>
      </c>
      <c r="GU36" s="29">
        <f t="shared" si="247"/>
        <v>0</v>
      </c>
      <c r="GV36" s="29">
        <f t="shared" si="248"/>
        <v>0</v>
      </c>
      <c r="GW36" s="29">
        <f t="shared" si="249"/>
        <v>0</v>
      </c>
      <c r="GX36" s="29">
        <f t="shared" si="250"/>
        <v>0</v>
      </c>
      <c r="GY36" s="29">
        <f t="shared" si="251"/>
        <v>0</v>
      </c>
      <c r="GZ36" s="29">
        <f t="shared" si="252"/>
        <v>0</v>
      </c>
      <c r="HA36" s="29">
        <f t="shared" si="253"/>
        <v>0</v>
      </c>
      <c r="HB36" s="29">
        <f t="shared" si="254"/>
        <v>0</v>
      </c>
      <c r="HC36" s="29"/>
      <c r="HD36" s="29">
        <f t="shared" si="29"/>
        <v>20</v>
      </c>
      <c r="HE36" s="29">
        <f t="shared" si="100"/>
        <v>0</v>
      </c>
      <c r="HF36" s="29">
        <f t="shared" si="101"/>
        <v>52.175450189816893</v>
      </c>
      <c r="HG36" s="29">
        <f t="shared" si="102"/>
        <v>50.95390957871237</v>
      </c>
      <c r="HH36" s="29">
        <f t="shared" si="103"/>
        <v>49.727967395567063</v>
      </c>
      <c r="HI36" s="29">
        <f t="shared" si="104"/>
        <v>48.657324408238367</v>
      </c>
      <c r="HJ36" s="29">
        <f t="shared" si="105"/>
        <v>47.62966637003656</v>
      </c>
      <c r="HK36" s="29">
        <f t="shared" si="106"/>
        <v>46.639591625158062</v>
      </c>
      <c r="HL36" s="29">
        <f t="shared" si="107"/>
        <v>45.681103573155177</v>
      </c>
      <c r="HM36" s="29">
        <f t="shared" si="108"/>
        <v>44.749170263409262</v>
      </c>
      <c r="HN36" s="29">
        <f t="shared" si="109"/>
        <v>43.888652358699836</v>
      </c>
      <c r="HO36" s="29">
        <f t="shared" si="110"/>
        <v>42.995232250601426</v>
      </c>
      <c r="HP36" s="29">
        <f t="shared" si="111"/>
        <v>42.113682558093799</v>
      </c>
      <c r="HQ36" s="29">
        <f t="shared" si="112"/>
        <v>41.287104607763503</v>
      </c>
      <c r="HR36" s="29">
        <f t="shared" si="113"/>
        <v>40.420231110672475</v>
      </c>
      <c r="HS36" s="29">
        <f t="shared" si="114"/>
        <v>39.602649774239367</v>
      </c>
      <c r="HT36" s="29">
        <f t="shared" si="115"/>
        <v>38.796118935811279</v>
      </c>
      <c r="HU36" s="29">
        <f t="shared" si="116"/>
        <v>38.005492516204832</v>
      </c>
      <c r="HV36" s="29">
        <f t="shared" si="117"/>
        <v>37.234448004392384</v>
      </c>
      <c r="HW36" s="29">
        <f t="shared" si="118"/>
        <v>38.322792988446366</v>
      </c>
      <c r="HX36" s="29">
        <f t="shared" si="119"/>
        <v>98.644885270916973</v>
      </c>
      <c r="HY36" s="29">
        <f t="shared" si="120"/>
        <v>108.58881265820058</v>
      </c>
      <c r="HZ36" s="29">
        <f t="shared" si="121"/>
        <v>0</v>
      </c>
      <c r="IA36" s="29">
        <f t="shared" si="122"/>
        <v>0</v>
      </c>
      <c r="IB36" s="29">
        <f t="shared" si="123"/>
        <v>0</v>
      </c>
      <c r="IC36" s="29">
        <f t="shared" si="124"/>
        <v>0</v>
      </c>
      <c r="ID36" s="29">
        <f t="shared" si="125"/>
        <v>0</v>
      </c>
      <c r="IE36" s="29">
        <f t="shared" si="126"/>
        <v>0</v>
      </c>
      <c r="IF36" s="29">
        <f t="shared" si="127"/>
        <v>0</v>
      </c>
      <c r="IG36" s="29">
        <f t="shared" si="128"/>
        <v>0</v>
      </c>
      <c r="IH36" s="29">
        <f t="shared" si="129"/>
        <v>0</v>
      </c>
      <c r="II36" s="29">
        <f t="shared" si="130"/>
        <v>0</v>
      </c>
      <c r="IJ36" s="29">
        <f t="shared" si="131"/>
        <v>0</v>
      </c>
      <c r="IK36" s="48"/>
      <c r="IL36" s="48"/>
      <c r="IM36" s="48"/>
      <c r="IN36" s="29">
        <f t="shared" si="199"/>
        <v>67.266014247712633</v>
      </c>
      <c r="IO36" s="29">
        <f t="shared" si="239"/>
        <v>62.174569107558341</v>
      </c>
      <c r="IP36" s="29">
        <f t="shared" si="287"/>
        <v>52.213352945399116</v>
      </c>
      <c r="IQ36" s="29">
        <f t="shared" si="288"/>
        <v>43.782942753958672</v>
      </c>
      <c r="IR36" s="29">
        <f t="shared" si="289"/>
        <v>36.162169632211913</v>
      </c>
      <c r="IS36" s="29">
        <f t="shared" si="290"/>
        <v>29.348352523316144</v>
      </c>
      <c r="IT36" s="29">
        <f t="shared" si="291"/>
        <v>23.329928264726661</v>
      </c>
      <c r="IU36" s="29">
        <f t="shared" si="292"/>
        <v>18.098530764288125</v>
      </c>
      <c r="IV36" s="29">
        <f t="shared" si="293"/>
        <v>13.629110130937068</v>
      </c>
      <c r="IW36" s="29">
        <f t="shared" si="294"/>
        <v>9.4376300087870693</v>
      </c>
      <c r="IX36" s="29">
        <f t="shared" si="295"/>
        <v>6.419963910098474</v>
      </c>
      <c r="IY36" s="29">
        <f t="shared" si="296"/>
        <v>4.055636084533524</v>
      </c>
      <c r="IZ36" s="29">
        <f t="shared" si="297"/>
        <v>1.9446201966160366</v>
      </c>
      <c r="JA36" s="29">
        <f t="shared" si="298"/>
        <v>0.7189561361044372</v>
      </c>
      <c r="JB36" s="29">
        <f t="shared" si="299"/>
        <v>-0.30647972763066211</v>
      </c>
      <c r="JC36" s="29">
        <f t="shared" si="300"/>
        <v>-0.88594976145530691</v>
      </c>
      <c r="JD36" s="29">
        <f t="shared" si="301"/>
        <v>-1.0889018492354436</v>
      </c>
      <c r="JE36" s="29">
        <f t="shared" si="270"/>
        <v>-0.99843201972858175</v>
      </c>
      <c r="JF36" s="29">
        <f t="shared" si="271"/>
        <v>-0.72796898420476364</v>
      </c>
      <c r="JG36" s="29">
        <f t="shared" si="272"/>
        <v>-0.40180052083480644</v>
      </c>
      <c r="JH36" s="29">
        <f t="shared" si="273"/>
        <v>-9.4184425430096044E-2</v>
      </c>
      <c r="JI36" s="29">
        <f t="shared" si="274"/>
        <v>0</v>
      </c>
      <c r="JJ36" s="29">
        <f t="shared" si="275"/>
        <v>0</v>
      </c>
      <c r="JK36" s="29">
        <f t="shared" si="276"/>
        <v>0</v>
      </c>
      <c r="JL36" s="29">
        <f t="shared" si="277"/>
        <v>0</v>
      </c>
      <c r="JM36" s="29">
        <f t="shared" si="278"/>
        <v>0</v>
      </c>
      <c r="JN36" s="29">
        <f t="shared" si="279"/>
        <v>0</v>
      </c>
      <c r="JO36" s="29">
        <f t="shared" si="280"/>
        <v>0</v>
      </c>
      <c r="JP36" s="29">
        <f t="shared" si="281"/>
        <v>0</v>
      </c>
      <c r="JQ36" s="29">
        <f t="shared" si="282"/>
        <v>0</v>
      </c>
      <c r="JR36" s="29">
        <f t="shared" si="283"/>
        <v>0</v>
      </c>
      <c r="JS36" s="29">
        <f t="shared" si="284"/>
        <v>0</v>
      </c>
      <c r="JT36" s="48"/>
      <c r="JU36" s="401">
        <f t="shared" si="201"/>
        <v>20</v>
      </c>
      <c r="JV36" s="29">
        <f t="shared" si="202"/>
        <v>0</v>
      </c>
      <c r="JW36" s="29">
        <f t="shared" si="203"/>
        <v>4.5085465234116935</v>
      </c>
      <c r="JX36" s="29">
        <f t="shared" si="204"/>
        <v>3.9194361933520816</v>
      </c>
      <c r="JY36" s="29">
        <f t="shared" si="205"/>
        <v>3.4112906468964228</v>
      </c>
      <c r="JZ36" s="29">
        <f t="shared" si="206"/>
        <v>2.9331291091472802</v>
      </c>
      <c r="KA36" s="29">
        <f t="shared" si="207"/>
        <v>2.4864358439172225</v>
      </c>
      <c r="KB36" s="29">
        <f t="shared" si="208"/>
        <v>2.0723923307311742</v>
      </c>
      <c r="KC36" s="29">
        <f t="shared" si="209"/>
        <v>1.6929718922814216</v>
      </c>
      <c r="KD36" s="29">
        <f t="shared" si="210"/>
        <v>1.3492469567699501</v>
      </c>
      <c r="KE36" s="29">
        <f t="shared" si="211"/>
        <v>0.99455759688438439</v>
      </c>
      <c r="KF36" s="29">
        <f t="shared" si="212"/>
        <v>0.72513202947048772</v>
      </c>
      <c r="KG36" s="29">
        <f t="shared" si="213"/>
        <v>0.49500893542757002</v>
      </c>
      <c r="KH36" s="29">
        <f t="shared" si="214"/>
        <v>0.25904252226689689</v>
      </c>
      <c r="KI36" s="29">
        <f t="shared" si="215"/>
        <v>0.10581900552178178</v>
      </c>
      <c r="KJ36" s="29">
        <f t="shared" si="216"/>
        <v>-5.0626182489441111E-2</v>
      </c>
      <c r="KK36" s="29">
        <f t="shared" si="217"/>
        <v>-0.16764753163349952</v>
      </c>
      <c r="KL36" s="29">
        <f t="shared" si="218"/>
        <v>-0.24275797318354911</v>
      </c>
      <c r="KM36" s="29">
        <f t="shared" si="219"/>
        <v>-0.27313433347774763</v>
      </c>
      <c r="KN36" s="29">
        <f t="shared" si="220"/>
        <v>-0.26062732604883598</v>
      </c>
      <c r="KO36" s="29">
        <f t="shared" si="221"/>
        <v>-0.21177118518253346</v>
      </c>
      <c r="KP36" s="29">
        <f t="shared" si="222"/>
        <v>-9.7425127216489354E-2</v>
      </c>
      <c r="KQ36" s="29">
        <f t="shared" si="223"/>
        <v>0</v>
      </c>
      <c r="KR36" s="29">
        <f t="shared" si="224"/>
        <v>0</v>
      </c>
      <c r="KS36" s="29">
        <f t="shared" si="225"/>
        <v>0</v>
      </c>
      <c r="KT36" s="29">
        <f t="shared" si="226"/>
        <v>0</v>
      </c>
      <c r="KU36" s="29">
        <f t="shared" si="227"/>
        <v>0</v>
      </c>
      <c r="KV36" s="29">
        <f t="shared" si="228"/>
        <v>0</v>
      </c>
      <c r="KW36" s="29">
        <f t="shared" si="229"/>
        <v>0</v>
      </c>
      <c r="KX36" s="29">
        <f t="shared" si="230"/>
        <v>0</v>
      </c>
      <c r="KY36" s="29">
        <f t="shared" si="231"/>
        <v>0</v>
      </c>
      <c r="KZ36" s="29">
        <f t="shared" si="232"/>
        <v>0</v>
      </c>
      <c r="LA36" s="29">
        <f t="shared" si="233"/>
        <v>0</v>
      </c>
      <c r="LB36" s="48"/>
      <c r="LC36" s="48"/>
      <c r="LD36" s="48"/>
      <c r="LE36" s="48"/>
      <c r="LF36" s="48"/>
      <c r="LG36" s="48"/>
      <c r="LH36" s="48"/>
      <c r="LI36" s="48"/>
      <c r="LJ36" s="48"/>
      <c r="LK36" s="48"/>
      <c r="LL36" s="48"/>
      <c r="LM36" s="48"/>
      <c r="LN36" s="48"/>
      <c r="LO36" s="121">
        <f>LO35/(1+LO3)^0.5</f>
        <v>0.13136711715458962</v>
      </c>
      <c r="LP36" s="122">
        <f>LP35/(1+LP3)^0.5</f>
        <v>0.51298007842517801</v>
      </c>
      <c r="LQ36" s="61" t="s">
        <v>25</v>
      </c>
      <c r="LR36" s="48"/>
      <c r="LS36" s="28"/>
      <c r="LT36" s="166">
        <v>6.5216666666666673E-2</v>
      </c>
      <c r="LU36" s="115">
        <f t="shared" si="70"/>
        <v>1.057316660669353E-17</v>
      </c>
      <c r="LV36" s="157">
        <f t="shared" si="15"/>
        <v>1.7245318213092264E-13</v>
      </c>
      <c r="LW36" s="229" t="e">
        <f>LW35*(1+#REF!)</f>
        <v>#REF!</v>
      </c>
      <c r="LX36" s="158"/>
      <c r="LY36" s="129">
        <f t="shared" si="71"/>
        <v>-713.29524567780027</v>
      </c>
      <c r="LZ36" s="130">
        <f t="shared" si="72"/>
        <v>-1592.6560408841615</v>
      </c>
      <c r="MA36" s="28"/>
      <c r="MB36" s="381">
        <f t="shared" si="285"/>
        <v>5.2500000000000012E-2</v>
      </c>
      <c r="MC36" s="394">
        <f t="shared" si="177"/>
        <v>-846.65856574438556</v>
      </c>
      <c r="MD36" s="157">
        <f t="shared" si="158"/>
        <v>-5880.6385796088307</v>
      </c>
      <c r="ME36" s="28"/>
      <c r="MF36" s="381">
        <f t="shared" si="286"/>
        <v>5.2500000000000012E-2</v>
      </c>
      <c r="MG36" s="394">
        <f t="shared" si="178"/>
        <v>-32.909894967876824</v>
      </c>
      <c r="MH36" s="157">
        <f t="shared" si="159"/>
        <v>-228.58234219696055</v>
      </c>
      <c r="MI36" s="28"/>
      <c r="MJ36" s="28"/>
      <c r="MK36" s="38"/>
      <c r="ML36" s="38" t="s">
        <v>149</v>
      </c>
      <c r="MM36" s="38">
        <f>((ML33*MN33)/(MM33^2)-1)*100</f>
        <v>0.78425225741758364</v>
      </c>
      <c r="MN36" s="38"/>
      <c r="MO36" s="28"/>
      <c r="MP36" s="28"/>
      <c r="MQ36" s="28"/>
      <c r="MR36" s="28"/>
      <c r="MS36" s="28"/>
      <c r="MT36" s="28"/>
      <c r="MU36" s="28"/>
      <c r="MV36" s="28"/>
    </row>
    <row r="37" spans="1:360" s="30" customFormat="1" ht="12.75" customHeight="1" x14ac:dyDescent="0.3">
      <c r="A37" s="305">
        <f t="shared" si="91"/>
        <v>2046</v>
      </c>
      <c r="B37" s="355">
        <f t="shared" si="1"/>
        <v>2044</v>
      </c>
      <c r="C37" s="26">
        <v>52779</v>
      </c>
      <c r="D37" s="96">
        <f t="shared" si="132"/>
        <v>4438.3178754947376</v>
      </c>
      <c r="E37" s="27">
        <f t="shared" si="133"/>
        <v>4438.3178754947376</v>
      </c>
      <c r="F37" s="111">
        <f t="shared" si="18"/>
        <v>17480.842783278513</v>
      </c>
      <c r="G37" s="27">
        <f t="shared" si="134"/>
        <v>22446.803673531969</v>
      </c>
      <c r="H37" s="27">
        <f t="shared" si="135"/>
        <v>5162.7648449123517</v>
      </c>
      <c r="I37" s="296">
        <f t="shared" si="136"/>
        <v>4388.3501181754991</v>
      </c>
      <c r="J37" s="69">
        <v>1311.804893</v>
      </c>
      <c r="K37" s="297">
        <f t="shared" si="160"/>
        <v>3076.5452251754991</v>
      </c>
      <c r="L37" s="297">
        <f t="shared" si="137"/>
        <v>17284.038828619618</v>
      </c>
      <c r="M37" s="297">
        <f t="shared" si="161"/>
        <v>14691.433004326675</v>
      </c>
      <c r="N37" s="27">
        <f t="shared" si="162"/>
        <v>0</v>
      </c>
      <c r="O37" s="297">
        <f t="shared" si="138"/>
        <v>774.41472673685269</v>
      </c>
      <c r="P37" s="297">
        <f t="shared" si="139"/>
        <v>2592.6058242929425</v>
      </c>
      <c r="Q37" s="297">
        <f t="shared" si="140"/>
        <v>973.4400481724806</v>
      </c>
      <c r="R37" s="260">
        <f t="shared" si="2"/>
        <v>0.22999999999999998</v>
      </c>
      <c r="S37" s="257">
        <v>0.77</v>
      </c>
      <c r="T37" s="290">
        <f t="shared" si="163"/>
        <v>7.2499999999999995E-2</v>
      </c>
      <c r="U37" s="290">
        <f t="shared" si="164"/>
        <v>7.2499999999999995E-2</v>
      </c>
      <c r="V37" s="27">
        <f t="shared" si="4"/>
        <v>93453.212786324235</v>
      </c>
      <c r="W37" s="27">
        <f t="shared" si="141"/>
        <v>80431.049848364099</v>
      </c>
      <c r="X37" s="27">
        <f t="shared" si="179"/>
        <v>13022.16293796014</v>
      </c>
      <c r="Y37" s="27">
        <f t="shared" si="142"/>
        <v>440.41399473530362</v>
      </c>
      <c r="Z37" s="27">
        <f t="shared" si="180"/>
        <v>1370.7106993036787</v>
      </c>
      <c r="AA37" s="115">
        <f t="shared" si="165"/>
        <v>7.0000000000000007E-2</v>
      </c>
      <c r="AB37" s="115">
        <f t="shared" si="166"/>
        <v>7.0000000000000007E-2</v>
      </c>
      <c r="AC37" s="96">
        <f t="shared" si="6"/>
        <v>96025.055026758811</v>
      </c>
      <c r="AD37" s="27">
        <f t="shared" si="143"/>
        <v>82644.52079575129</v>
      </c>
      <c r="AE37" s="27">
        <f t="shared" si="181"/>
        <v>13380.534231007527</v>
      </c>
      <c r="AF37" s="150">
        <f t="shared" si="144"/>
        <v>463.54679213307861</v>
      </c>
      <c r="AG37" s="27">
        <f t="shared" si="234"/>
        <v>1442.707441634748</v>
      </c>
      <c r="AH37" s="27">
        <f t="shared" si="167"/>
        <v>87048.54120698871</v>
      </c>
      <c r="AI37" s="27">
        <f t="shared" si="145"/>
        <v>74111.082912253827</v>
      </c>
      <c r="AJ37" s="27">
        <f t="shared" si="182"/>
        <v>12937.458294734879</v>
      </c>
      <c r="AK37" s="27">
        <f t="shared" si="10"/>
        <v>85448.99292442853</v>
      </c>
      <c r="AL37" s="27">
        <f t="shared" si="168"/>
        <v>72722.146808414182</v>
      </c>
      <c r="AM37" s="27">
        <f t="shared" si="235"/>
        <v>12726.846116014345</v>
      </c>
      <c r="AN37" s="417">
        <f>INDEX(Inv.Returns!$B$2:$E$32,MATCH(B37,Inv.Returns!$A$2:$A$32,0),MATCH(SCRS!$DT$52,Inv.Returns!$B$1:$E$1,0))</f>
        <v>0.06</v>
      </c>
      <c r="AO37" s="27">
        <f t="shared" si="36"/>
        <v>8976.5138197701017</v>
      </c>
      <c r="AP37" s="229">
        <f t="shared" si="11"/>
        <v>10576.062102330281</v>
      </c>
      <c r="AQ37" s="68">
        <f t="shared" si="19"/>
        <v>0.90651904529220351</v>
      </c>
      <c r="AR37" s="151">
        <f t="shared" si="20"/>
        <v>0.88986143148386532</v>
      </c>
      <c r="AS37" s="353"/>
      <c r="AT37" s="289">
        <f t="shared" si="94"/>
        <v>0.10717062396904616</v>
      </c>
      <c r="AU37" s="397">
        <f t="shared" si="169"/>
        <v>9.9400593584701102E-2</v>
      </c>
      <c r="AV37" s="303">
        <f t="shared" si="95"/>
        <v>3.8262700491301996E-2</v>
      </c>
      <c r="AW37" s="303">
        <f t="shared" si="146"/>
        <v>1.8867484999440438E-3</v>
      </c>
      <c r="AX37" s="115">
        <f t="shared" si="61"/>
        <v>6.9999999999999979E-2</v>
      </c>
      <c r="AY37" s="115">
        <f t="shared" si="147"/>
        <v>6.9999999999999979E-2</v>
      </c>
      <c r="AZ37" s="115">
        <f t="shared" si="148"/>
        <v>0</v>
      </c>
      <c r="BA37" s="262">
        <f t="shared" si="21"/>
        <v>3.7170623969046176E-2</v>
      </c>
      <c r="BB37" s="115">
        <f t="shared" si="170"/>
        <v>2.9400593584701123E-2</v>
      </c>
      <c r="BC37" s="133">
        <f t="shared" si="77"/>
        <v>0.14560000000000001</v>
      </c>
      <c r="BD37" s="133">
        <f t="shared" si="96"/>
        <v>0.14560000000000001</v>
      </c>
      <c r="BE37" s="410">
        <f t="shared" si="12"/>
        <v>0.10842937603095383</v>
      </c>
      <c r="BF37" s="410">
        <f t="shared" si="149"/>
        <v>0.11619940641529888</v>
      </c>
      <c r="BG37" s="410">
        <f t="shared" si="171"/>
        <v>9.5600000000000004E-2</v>
      </c>
      <c r="BH37" s="410">
        <f t="shared" si="23"/>
        <v>0.14560000000000001</v>
      </c>
      <c r="BI37" s="157">
        <f t="shared" si="37"/>
        <v>8.4594135585888619</v>
      </c>
      <c r="BJ37" s="104">
        <f t="shared" si="38"/>
        <v>3.8834951456310662E-2</v>
      </c>
      <c r="BK37" s="27">
        <f t="shared" si="62"/>
        <v>9.9776766981146423</v>
      </c>
      <c r="BL37" s="27">
        <f t="shared" si="14"/>
        <v>20</v>
      </c>
      <c r="BM37" s="111">
        <f t="shared" si="26"/>
        <v>7.011602078852027</v>
      </c>
      <c r="BN37" s="27"/>
      <c r="BO37" s="27"/>
      <c r="BP37" s="96">
        <f t="shared" si="172"/>
        <v>-4935.3678251421961</v>
      </c>
      <c r="BQ37" s="27">
        <f t="shared" si="183"/>
        <v>-808.02881523796736</v>
      </c>
      <c r="BR37" s="27">
        <f t="shared" si="173"/>
        <v>-191.83935924685991</v>
      </c>
      <c r="BS37" s="27">
        <f t="shared" si="184"/>
        <v>-31.408343949274922</v>
      </c>
      <c r="BT37" s="27">
        <f t="shared" si="150"/>
        <v>-5.2660201418105981</v>
      </c>
      <c r="BU37" s="27">
        <f t="shared" si="185"/>
        <v>-17.629719605192008</v>
      </c>
      <c r="BV37" s="304">
        <f t="shared" si="151"/>
        <v>351.0680094540399</v>
      </c>
      <c r="BW37" s="304">
        <f t="shared" si="186"/>
        <v>1175.3146403461337</v>
      </c>
      <c r="BX37" s="304">
        <f t="shared" si="187"/>
        <v>0</v>
      </c>
      <c r="BY37" s="304">
        <f t="shared" si="152"/>
        <v>77.875203853798439</v>
      </c>
      <c r="BZ37" s="304">
        <f t="shared" si="78"/>
        <v>117.74480282084937</v>
      </c>
      <c r="CA37" s="304">
        <f t="shared" si="188"/>
        <v>285.02252089380636</v>
      </c>
      <c r="CB37" s="304">
        <f t="shared" si="236"/>
        <v>996.11428643813656</v>
      </c>
      <c r="CC37" s="304">
        <f t="shared" si="189"/>
        <v>0</v>
      </c>
      <c r="CD37" s="304">
        <f t="shared" si="190"/>
        <v>23.649019926846258</v>
      </c>
      <c r="CE37" s="304"/>
      <c r="CF37" s="304">
        <f t="shared" si="174"/>
        <v>0</v>
      </c>
      <c r="CG37" s="304">
        <f t="shared" si="153"/>
        <v>0</v>
      </c>
      <c r="CH37" s="304">
        <f t="shared" si="175"/>
        <v>0</v>
      </c>
      <c r="CI37" s="27"/>
      <c r="CJ37" s="27">
        <f t="shared" si="39"/>
        <v>0</v>
      </c>
      <c r="CK37" s="27">
        <f t="shared" si="40"/>
        <v>0</v>
      </c>
      <c r="CL37" s="27">
        <f t="shared" si="41"/>
        <v>0</v>
      </c>
      <c r="CM37" s="27">
        <f t="shared" si="42"/>
        <v>3026.7884837336105</v>
      </c>
      <c r="CN37" s="27">
        <f t="shared" si="43"/>
        <v>0</v>
      </c>
      <c r="CO37" s="111">
        <f t="shared" si="3"/>
        <v>3026.7884837336105</v>
      </c>
      <c r="CP37" s="27">
        <f t="shared" si="154"/>
        <v>1019.7633063649828</v>
      </c>
      <c r="CQ37" s="27">
        <f t="shared" si="155"/>
        <v>0</v>
      </c>
      <c r="CR37" s="27">
        <f t="shared" si="176"/>
        <v>1019.7633063649828</v>
      </c>
      <c r="CS37" s="27">
        <f>SUM($CR$14:CR37)</f>
        <v>63233.689200884161</v>
      </c>
      <c r="CT37" s="229">
        <v>3138.1710479380818</v>
      </c>
      <c r="CU37" s="425">
        <v>637.23845966045292</v>
      </c>
      <c r="CV37" s="425">
        <v>3775.4095075985347</v>
      </c>
      <c r="CW37" s="425">
        <v>66617.365964301804</v>
      </c>
      <c r="CX37" s="107">
        <f t="shared" si="44"/>
        <v>168.35102755148978</v>
      </c>
      <c r="CY37" s="115">
        <f t="shared" si="92"/>
        <v>6.7927630324222305E-2</v>
      </c>
      <c r="CZ37" s="96">
        <f t="shared" si="45"/>
        <v>1590.8816576311283</v>
      </c>
      <c r="DA37" s="418">
        <f t="shared" si="46"/>
        <v>953.63370213350333</v>
      </c>
      <c r="DB37" s="314">
        <f t="shared" si="47"/>
        <v>571.81184471556378</v>
      </c>
      <c r="DC37" s="314">
        <f t="shared" si="48"/>
        <v>225.84370797315083</v>
      </c>
      <c r="DD37" s="314">
        <f t="shared" si="49"/>
        <v>0</v>
      </c>
      <c r="DE37" s="314">
        <f t="shared" si="50"/>
        <v>29594.766907058292</v>
      </c>
      <c r="DF37" s="314" t="b">
        <f t="shared" si="63"/>
        <v>0</v>
      </c>
      <c r="DG37" s="27">
        <f t="shared" si="51"/>
        <v>168.35102755148978</v>
      </c>
      <c r="DH37" s="100">
        <f t="shared" si="52"/>
        <v>94.399466055629858</v>
      </c>
      <c r="DI37" s="105">
        <f t="shared" si="53"/>
        <v>8.1709076727960669E-3</v>
      </c>
      <c r="DJ37" s="96">
        <f t="shared" si="54"/>
        <v>0</v>
      </c>
      <c r="DK37" s="100">
        <f t="shared" si="55"/>
        <v>0</v>
      </c>
      <c r="DL37" s="105">
        <f t="shared" si="56"/>
        <v>0</v>
      </c>
      <c r="DM37" s="299">
        <v>2707.3801742290343</v>
      </c>
      <c r="DN37" s="100">
        <f t="shared" si="57"/>
        <v>1622.9044858543002</v>
      </c>
      <c r="DO37" s="301">
        <v>1.1540468668447155</v>
      </c>
      <c r="DP37" s="29"/>
      <c r="DQ37" s="53" t="s">
        <v>241</v>
      </c>
      <c r="DR37" s="42"/>
      <c r="DS37" s="42"/>
      <c r="DT37" s="251">
        <v>9.3299999999999994E-2</v>
      </c>
      <c r="DU37" s="29"/>
      <c r="DV37" s="327"/>
      <c r="DW37" s="328"/>
      <c r="DX37" s="328"/>
      <c r="DY37" s="328"/>
      <c r="DZ37" s="328"/>
      <c r="EA37" s="328"/>
      <c r="EB37" s="328"/>
      <c r="EC37" s="328"/>
      <c r="ED37" s="328"/>
      <c r="EE37" s="328"/>
      <c r="EF37" s="328"/>
      <c r="EG37" s="328"/>
      <c r="EH37" s="329"/>
      <c r="EI37" s="330"/>
      <c r="EJ37" s="339" t="e">
        <f>IF(AND(#REF!="Fresh Start",A37&gt;2019),AV37,IF(BD37-(AT37-AX37)&lt;0,0,BD37-(AT37-AX37)))</f>
        <v>#REF!</v>
      </c>
      <c r="EK37" s="339">
        <f t="shared" si="58"/>
        <v>3.7170623969046176E-2</v>
      </c>
      <c r="EL37" s="339" t="e">
        <f t="shared" si="65"/>
        <v>#DIV/0!</v>
      </c>
      <c r="EM37" s="339">
        <f t="shared" si="59"/>
        <v>0</v>
      </c>
      <c r="EN37" s="339">
        <v>9.5600000000000004E-2</v>
      </c>
      <c r="EO37" s="339">
        <v>0.14344509077636353</v>
      </c>
      <c r="EP37" s="340" t="e">
        <f t="shared" si="66"/>
        <v>#REF!</v>
      </c>
      <c r="EQ37" s="283"/>
      <c r="ER37" s="341">
        <v>28</v>
      </c>
      <c r="ES37" s="29">
        <f t="shared" si="79"/>
        <v>4920.829201573134</v>
      </c>
      <c r="ET37" s="29">
        <f t="shared" si="80"/>
        <v>4219.4222369228683</v>
      </c>
      <c r="EU37" s="29">
        <f t="shared" si="67"/>
        <v>-701.40696465026576</v>
      </c>
      <c r="EV37" s="29">
        <f t="shared" si="68"/>
        <v>-561.12557172021263</v>
      </c>
      <c r="EW37" s="29">
        <f t="shared" si="81"/>
        <v>-417.37011877113969</v>
      </c>
      <c r="EX37" s="29">
        <f t="shared" si="93"/>
        <v>-276.13155607769005</v>
      </c>
      <c r="EY37" s="29">
        <f t="shared" si="97"/>
        <v>-134.30885727060596</v>
      </c>
      <c r="EZ37" s="29">
        <f t="shared" si="69"/>
        <v>-1388.9361038396485</v>
      </c>
      <c r="FA37" s="29"/>
      <c r="FB37" s="29">
        <f t="shared" si="237"/>
        <v>819.77002771759362</v>
      </c>
      <c r="FC37" s="29">
        <f t="shared" si="238"/>
        <v>702.38606886154764</v>
      </c>
      <c r="FD37" s="29">
        <f t="shared" si="191"/>
        <v>-117.38395885604598</v>
      </c>
      <c r="FE37" s="29">
        <f t="shared" si="192"/>
        <v>-93.907167084836786</v>
      </c>
      <c r="FF37" s="29">
        <f t="shared" si="193"/>
        <v>-62.931288235743153</v>
      </c>
      <c r="FG37" s="29">
        <f t="shared" si="194"/>
        <v>-37.29285962501676</v>
      </c>
      <c r="FH37" s="29">
        <f t="shared" si="195"/>
        <v>-16.480863774936303</v>
      </c>
      <c r="FI37" s="29">
        <f t="shared" si="196"/>
        <v>-210.61217872053302</v>
      </c>
      <c r="FJ37" s="29"/>
      <c r="FK37" s="29"/>
      <c r="FL37" s="27">
        <f t="shared" si="24"/>
        <v>8612.8419721780811</v>
      </c>
      <c r="FM37" s="29"/>
      <c r="FN37" s="308">
        <f t="shared" si="156"/>
        <v>996.11428643813656</v>
      </c>
      <c r="FO37" s="93">
        <f t="shared" si="197"/>
        <v>23.649019926846258</v>
      </c>
      <c r="FP37" s="27">
        <f t="shared" si="82"/>
        <v>20</v>
      </c>
      <c r="FQ37" s="309">
        <f t="shared" si="27"/>
        <v>13.512970250241354</v>
      </c>
      <c r="FR37" s="93">
        <f t="shared" si="60"/>
        <v>637.37592939822002</v>
      </c>
      <c r="FS37" s="93">
        <f t="shared" si="198"/>
        <v>1019.7633063649828</v>
      </c>
      <c r="FT37" s="29">
        <f t="shared" si="83"/>
        <v>20</v>
      </c>
      <c r="FU37" s="142">
        <f t="shared" si="28"/>
        <v>13.512970250241354</v>
      </c>
      <c r="FV37" s="48">
        <v>-890.11026027159733</v>
      </c>
      <c r="FW37" s="29">
        <f t="shared" si="98"/>
        <v>737.64912676048061</v>
      </c>
      <c r="FX37" s="29">
        <f t="shared" si="157"/>
        <v>756.9678454433224</v>
      </c>
      <c r="FY37" s="29">
        <f t="shared" si="255"/>
        <v>715.91492074312271</v>
      </c>
      <c r="FZ37" s="29">
        <f t="shared" si="256"/>
        <v>673.59826740385449</v>
      </c>
      <c r="GA37" s="29">
        <f t="shared" si="257"/>
        <v>631.48237233061479</v>
      </c>
      <c r="GB37" s="29">
        <f t="shared" si="258"/>
        <v>591.55062555096117</v>
      </c>
      <c r="GC37" s="29">
        <f t="shared" si="259"/>
        <v>552.27602597457087</v>
      </c>
      <c r="GD37" s="29">
        <f t="shared" si="260"/>
        <v>513.55331434710297</v>
      </c>
      <c r="GE37" s="29">
        <f t="shared" si="261"/>
        <v>475.28035696407454</v>
      </c>
      <c r="GF37" s="29">
        <f t="shared" si="262"/>
        <v>437.37627350427755</v>
      </c>
      <c r="GG37" s="29">
        <f t="shared" si="263"/>
        <v>400.22569592437804</v>
      </c>
      <c r="GH37" s="29">
        <f t="shared" si="264"/>
        <v>362.83022989202516</v>
      </c>
      <c r="GI37" s="29">
        <f t="shared" si="265"/>
        <v>325.62982497184953</v>
      </c>
      <c r="GJ37" s="29">
        <f t="shared" si="266"/>
        <v>288.92849223985672</v>
      </c>
      <c r="GK37" s="29">
        <f t="shared" si="267"/>
        <v>252.0360066034122</v>
      </c>
      <c r="GL37" s="29">
        <f t="shared" si="268"/>
        <v>215.56259440254564</v>
      </c>
      <c r="GM37" s="29">
        <f t="shared" si="269"/>
        <v>179.24239542498668</v>
      </c>
      <c r="GN37" s="29">
        <f t="shared" si="240"/>
        <v>143.09544016563601</v>
      </c>
      <c r="GO37" s="29">
        <f t="shared" si="241"/>
        <v>107.12111202294554</v>
      </c>
      <c r="GP37" s="29">
        <f t="shared" si="242"/>
        <v>74.892444476853228</v>
      </c>
      <c r="GQ37" s="29">
        <f t="shared" si="243"/>
        <v>98.224518350592064</v>
      </c>
      <c r="GR37" s="29">
        <f t="shared" si="244"/>
        <v>0</v>
      </c>
      <c r="GS37" s="29">
        <f t="shared" si="245"/>
        <v>0</v>
      </c>
      <c r="GT37" s="29">
        <f t="shared" si="246"/>
        <v>0</v>
      </c>
      <c r="GU37" s="29">
        <f t="shared" si="247"/>
        <v>0</v>
      </c>
      <c r="GV37" s="29">
        <f t="shared" si="248"/>
        <v>0</v>
      </c>
      <c r="GW37" s="29">
        <f t="shared" si="249"/>
        <v>0</v>
      </c>
      <c r="GX37" s="29">
        <f t="shared" si="250"/>
        <v>0</v>
      </c>
      <c r="GY37" s="29">
        <f t="shared" si="251"/>
        <v>0</v>
      </c>
      <c r="GZ37" s="29">
        <f t="shared" si="252"/>
        <v>0</v>
      </c>
      <c r="HA37" s="29">
        <f t="shared" si="253"/>
        <v>0</v>
      </c>
      <c r="HB37" s="29">
        <f t="shared" si="254"/>
        <v>0</v>
      </c>
      <c r="HC37" s="29"/>
      <c r="HD37" s="29">
        <f t="shared" si="29"/>
        <v>20</v>
      </c>
      <c r="HE37" s="29">
        <f t="shared" si="100"/>
        <v>0</v>
      </c>
      <c r="HF37" s="29">
        <f t="shared" si="101"/>
        <v>54.89100764018076</v>
      </c>
      <c r="HG37" s="29">
        <f t="shared" si="102"/>
        <v>53.740713695511424</v>
      </c>
      <c r="HH37" s="29">
        <f t="shared" si="103"/>
        <v>52.482526866073734</v>
      </c>
      <c r="HI37" s="29">
        <f t="shared" si="104"/>
        <v>51.219806417434071</v>
      </c>
      <c r="HJ37" s="29">
        <f t="shared" si="105"/>
        <v>50.117044140485525</v>
      </c>
      <c r="HK37" s="29">
        <f t="shared" si="106"/>
        <v>49.058556361137661</v>
      </c>
      <c r="HL37" s="29">
        <f t="shared" si="107"/>
        <v>48.038779373912803</v>
      </c>
      <c r="HM37" s="29">
        <f t="shared" si="108"/>
        <v>47.051536680349848</v>
      </c>
      <c r="HN37" s="29">
        <f t="shared" si="109"/>
        <v>46.09164537131155</v>
      </c>
      <c r="HO37" s="29">
        <f t="shared" si="110"/>
        <v>45.205311929460834</v>
      </c>
      <c r="HP37" s="29">
        <f t="shared" si="111"/>
        <v>44.285089218119481</v>
      </c>
      <c r="HQ37" s="29">
        <f t="shared" si="112"/>
        <v>43.377093034836605</v>
      </c>
      <c r="HR37" s="29">
        <f t="shared" si="113"/>
        <v>42.525717745996417</v>
      </c>
      <c r="HS37" s="29">
        <f t="shared" si="114"/>
        <v>41.632838043992635</v>
      </c>
      <c r="HT37" s="29">
        <f t="shared" si="115"/>
        <v>40.790729267466553</v>
      </c>
      <c r="HU37" s="29">
        <f t="shared" si="116"/>
        <v>39.960002503885633</v>
      </c>
      <c r="HV37" s="29">
        <f t="shared" si="117"/>
        <v>39.145657291690981</v>
      </c>
      <c r="HW37" s="29">
        <f t="shared" si="118"/>
        <v>38.351481444524183</v>
      </c>
      <c r="HX37" s="29">
        <f t="shared" si="119"/>
        <v>39.472476778099768</v>
      </c>
      <c r="HY37" s="29">
        <f t="shared" si="120"/>
        <v>101.60423182904442</v>
      </c>
      <c r="HZ37" s="29">
        <f t="shared" si="121"/>
        <v>0</v>
      </c>
      <c r="IA37" s="29">
        <f t="shared" si="122"/>
        <v>0</v>
      </c>
      <c r="IB37" s="29">
        <f t="shared" si="123"/>
        <v>0</v>
      </c>
      <c r="IC37" s="29">
        <f t="shared" si="124"/>
        <v>0</v>
      </c>
      <c r="ID37" s="29">
        <f t="shared" si="125"/>
        <v>0</v>
      </c>
      <c r="IE37" s="29">
        <f t="shared" si="126"/>
        <v>0</v>
      </c>
      <c r="IF37" s="29">
        <f t="shared" si="127"/>
        <v>0</v>
      </c>
      <c r="IG37" s="29">
        <f t="shared" si="128"/>
        <v>0</v>
      </c>
      <c r="IH37" s="29">
        <f t="shared" si="129"/>
        <v>0</v>
      </c>
      <c r="II37" s="29">
        <f t="shared" si="130"/>
        <v>0</v>
      </c>
      <c r="IJ37" s="29">
        <f t="shared" si="131"/>
        <v>0</v>
      </c>
      <c r="IK37" s="48"/>
      <c r="IL37" s="48"/>
      <c r="IM37" s="48"/>
      <c r="IN37" s="29">
        <f t="shared" si="199"/>
        <v>77.975149123669837</v>
      </c>
      <c r="IO37" s="29">
        <f t="shared" si="239"/>
        <v>71.974635245052525</v>
      </c>
      <c r="IP37" s="29">
        <f t="shared" si="287"/>
        <v>61.863112157773436</v>
      </c>
      <c r="IQ37" s="29">
        <f t="shared" si="288"/>
        <v>51.813991328055387</v>
      </c>
      <c r="IR37" s="29">
        <f t="shared" si="289"/>
        <v>43.319082263624175</v>
      </c>
      <c r="IS37" s="29">
        <f t="shared" si="290"/>
        <v>35.659469163989449</v>
      </c>
      <c r="IT37" s="29">
        <f t="shared" si="291"/>
        <v>28.830747963903441</v>
      </c>
      <c r="IU37" s="29">
        <f t="shared" si="292"/>
        <v>22.819323947519777</v>
      </c>
      <c r="IV37" s="29">
        <f t="shared" si="293"/>
        <v>17.614204175367362</v>
      </c>
      <c r="IW37" s="29">
        <f t="shared" si="294"/>
        <v>13.187475935650303</v>
      </c>
      <c r="IX37" s="29">
        <f t="shared" si="295"/>
        <v>9.0694857316808637</v>
      </c>
      <c r="IY37" s="29">
        <f t="shared" si="296"/>
        <v>6.1192789800819716</v>
      </c>
      <c r="IZ37" s="29">
        <f t="shared" si="297"/>
        <v>3.8274893861496868</v>
      </c>
      <c r="JA37" s="29">
        <f t="shared" si="298"/>
        <v>1.8127879417950379</v>
      </c>
      <c r="JB37" s="29">
        <f t="shared" si="299"/>
        <v>0.6598230351882467</v>
      </c>
      <c r="JC37" s="29">
        <f t="shared" si="300"/>
        <v>-0.2755651781972272</v>
      </c>
      <c r="JD37" s="29">
        <f t="shared" si="301"/>
        <v>-0.77455028959963934</v>
      </c>
      <c r="JE37" s="29">
        <f t="shared" si="270"/>
        <v>-0.9140141786507876</v>
      </c>
      <c r="JF37" s="29">
        <f t="shared" si="271"/>
        <v>-0.78578990966459006</v>
      </c>
      <c r="JG37" s="29">
        <f t="shared" si="272"/>
        <v>-0.50933181073591927</v>
      </c>
      <c r="JH37" s="29">
        <f t="shared" si="273"/>
        <v>-0.21086874000573336</v>
      </c>
      <c r="JI37" s="29">
        <f t="shared" si="274"/>
        <v>0</v>
      </c>
      <c r="JJ37" s="29">
        <f t="shared" si="275"/>
        <v>0</v>
      </c>
      <c r="JK37" s="29">
        <f t="shared" si="276"/>
        <v>0</v>
      </c>
      <c r="JL37" s="29">
        <f t="shared" si="277"/>
        <v>0</v>
      </c>
      <c r="JM37" s="29">
        <f t="shared" si="278"/>
        <v>0</v>
      </c>
      <c r="JN37" s="29">
        <f t="shared" si="279"/>
        <v>0</v>
      </c>
      <c r="JO37" s="29">
        <f t="shared" si="280"/>
        <v>0</v>
      </c>
      <c r="JP37" s="29">
        <f t="shared" si="281"/>
        <v>0</v>
      </c>
      <c r="JQ37" s="29">
        <f t="shared" si="282"/>
        <v>0</v>
      </c>
      <c r="JR37" s="29">
        <f t="shared" si="283"/>
        <v>0</v>
      </c>
      <c r="JS37" s="29">
        <f t="shared" si="284"/>
        <v>0</v>
      </c>
      <c r="JT37" s="48"/>
      <c r="JU37" s="401">
        <f t="shared" si="201"/>
        <v>20</v>
      </c>
      <c r="JV37" s="29">
        <f t="shared" si="202"/>
        <v>0</v>
      </c>
      <c r="JW37" s="29">
        <f t="shared" si="203"/>
        <v>5.2191916432350132</v>
      </c>
      <c r="JX37" s="29">
        <f t="shared" si="204"/>
        <v>4.6438029191140462</v>
      </c>
      <c r="JY37" s="29">
        <f t="shared" si="205"/>
        <v>4.037019279152644</v>
      </c>
      <c r="JZ37" s="29">
        <f t="shared" si="206"/>
        <v>3.5136293663033151</v>
      </c>
      <c r="KA37" s="29">
        <f t="shared" si="207"/>
        <v>3.0211229824216992</v>
      </c>
      <c r="KB37" s="29">
        <f t="shared" si="208"/>
        <v>2.5610289192347389</v>
      </c>
      <c r="KC37" s="29">
        <f t="shared" si="209"/>
        <v>2.1345641006531095</v>
      </c>
      <c r="KD37" s="29">
        <f t="shared" si="210"/>
        <v>1.7437610490498647</v>
      </c>
      <c r="KE37" s="29">
        <f t="shared" si="211"/>
        <v>1.3897243654730489</v>
      </c>
      <c r="KF37" s="29">
        <f t="shared" si="212"/>
        <v>1.024394324790916</v>
      </c>
      <c r="KG37" s="29">
        <f t="shared" si="213"/>
        <v>0.74688599035460246</v>
      </c>
      <c r="KH37" s="29">
        <f t="shared" si="214"/>
        <v>0.50985920349039704</v>
      </c>
      <c r="KI37" s="29">
        <f t="shared" si="215"/>
        <v>0.26681379793490384</v>
      </c>
      <c r="KJ37" s="29">
        <f t="shared" si="216"/>
        <v>0.10899357568743522</v>
      </c>
      <c r="KK37" s="29">
        <f t="shared" si="217"/>
        <v>-5.2144967964124336E-2</v>
      </c>
      <c r="KL37" s="29">
        <f t="shared" si="218"/>
        <v>-0.17267695758250454</v>
      </c>
      <c r="KM37" s="29">
        <f t="shared" si="219"/>
        <v>-0.25004071237905556</v>
      </c>
      <c r="KN37" s="29">
        <f t="shared" si="220"/>
        <v>-0.28132836348208029</v>
      </c>
      <c r="KO37" s="29">
        <f t="shared" si="221"/>
        <v>-0.26844614583030124</v>
      </c>
      <c r="KP37" s="29">
        <f t="shared" si="222"/>
        <v>-0.21812432073800933</v>
      </c>
      <c r="KQ37" s="29">
        <f t="shared" si="223"/>
        <v>0</v>
      </c>
      <c r="KR37" s="29">
        <f t="shared" si="224"/>
        <v>0</v>
      </c>
      <c r="KS37" s="29">
        <f t="shared" si="225"/>
        <v>0</v>
      </c>
      <c r="KT37" s="29">
        <f t="shared" si="226"/>
        <v>0</v>
      </c>
      <c r="KU37" s="29">
        <f t="shared" si="227"/>
        <v>0</v>
      </c>
      <c r="KV37" s="29">
        <f t="shared" si="228"/>
        <v>0</v>
      </c>
      <c r="KW37" s="29">
        <f t="shared" si="229"/>
        <v>0</v>
      </c>
      <c r="KX37" s="29">
        <f t="shared" si="230"/>
        <v>0</v>
      </c>
      <c r="KY37" s="29">
        <f t="shared" si="231"/>
        <v>0</v>
      </c>
      <c r="KZ37" s="29">
        <f t="shared" si="232"/>
        <v>0</v>
      </c>
      <c r="LA37" s="29">
        <f t="shared" si="233"/>
        <v>0</v>
      </c>
      <c r="LB37" s="48"/>
      <c r="LC37" s="48"/>
      <c r="LD37" s="48"/>
      <c r="LE37" s="48"/>
      <c r="LF37" s="48"/>
      <c r="LG37" s="48"/>
      <c r="LH37" s="48"/>
      <c r="LI37" s="48"/>
      <c r="LJ37" s="48"/>
      <c r="LK37" s="48"/>
      <c r="LL37" s="48"/>
      <c r="LM37" s="48"/>
      <c r="LN37" s="48"/>
      <c r="LO37" s="28"/>
      <c r="LP37" s="28"/>
      <c r="LQ37" s="28"/>
      <c r="LR37" s="48"/>
      <c r="LS37" s="28"/>
      <c r="LT37" s="166">
        <v>6.9159999999999999E-2</v>
      </c>
      <c r="LU37" s="115">
        <f t="shared" si="70"/>
        <v>1.1212474355005231E-17</v>
      </c>
      <c r="LV37" s="157">
        <f t="shared" si="15"/>
        <v>1.9600350141138858E-13</v>
      </c>
      <c r="LW37" s="229" t="e">
        <f>LW36*(1+#REF!)</f>
        <v>#REF!</v>
      </c>
      <c r="LX37" s="158"/>
      <c r="LY37" s="129">
        <f t="shared" si="71"/>
        <v>-802.00736033172871</v>
      </c>
      <c r="LZ37" s="130">
        <f t="shared" si="72"/>
        <v>-1707.1016172795644</v>
      </c>
      <c r="MA37" s="28"/>
      <c r="MB37" s="381">
        <f t="shared" si="285"/>
        <v>5.5000000000000014E-2</v>
      </c>
      <c r="MC37" s="394">
        <f t="shared" si="177"/>
        <v>-950.62213557407927</v>
      </c>
      <c r="MD37" s="157">
        <f t="shared" si="158"/>
        <v>-5885.9899607162752</v>
      </c>
      <c r="ME37" s="28"/>
      <c r="MF37" s="381">
        <f t="shared" si="286"/>
        <v>5.5000000000000014E-2</v>
      </c>
      <c r="MG37" s="394">
        <f t="shared" si="178"/>
        <v>-36.950992881499907</v>
      </c>
      <c r="MH37" s="157">
        <f t="shared" si="159"/>
        <v>-228.79035212835981</v>
      </c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</row>
    <row r="38" spans="1:360" s="30" customFormat="1" ht="12.75" customHeight="1" x14ac:dyDescent="0.3">
      <c r="A38" s="305">
        <f t="shared" si="91"/>
        <v>2047</v>
      </c>
      <c r="B38" s="355">
        <f t="shared" si="1"/>
        <v>2045</v>
      </c>
      <c r="C38" s="26">
        <v>53144</v>
      </c>
      <c r="D38" s="96">
        <f t="shared" si="132"/>
        <v>4173.9485063891816</v>
      </c>
      <c r="E38" s="27">
        <f t="shared" si="133"/>
        <v>4173.9485063891816</v>
      </c>
      <c r="F38" s="111">
        <f t="shared" si="18"/>
        <v>18472.937367212631</v>
      </c>
      <c r="G38" s="27">
        <f t="shared" si="134"/>
        <v>23120.207783737929</v>
      </c>
      <c r="H38" s="27">
        <f t="shared" si="135"/>
        <v>4855.2436345849637</v>
      </c>
      <c r="I38" s="296">
        <f t="shared" si="136"/>
        <v>4126.9570893972195</v>
      </c>
      <c r="J38" s="69">
        <v>1222.8153279999999</v>
      </c>
      <c r="K38" s="297">
        <f t="shared" si="160"/>
        <v>2904.1417613972199</v>
      </c>
      <c r="L38" s="297">
        <f t="shared" si="137"/>
        <v>18264.964149152966</v>
      </c>
      <c r="M38" s="297">
        <f t="shared" si="161"/>
        <v>15525.21952678002</v>
      </c>
      <c r="N38" s="27">
        <f t="shared" si="162"/>
        <v>0</v>
      </c>
      <c r="O38" s="297">
        <f t="shared" si="138"/>
        <v>728.28654518774454</v>
      </c>
      <c r="P38" s="297">
        <f t="shared" si="139"/>
        <v>2739.7446223729448</v>
      </c>
      <c r="Q38" s="297">
        <f t="shared" si="140"/>
        <v>1002.6432496176551</v>
      </c>
      <c r="R38" s="260">
        <f t="shared" si="2"/>
        <v>0.20999999999999996</v>
      </c>
      <c r="S38" s="257">
        <v>0.79</v>
      </c>
      <c r="T38" s="290">
        <f t="shared" si="163"/>
        <v>7.2499999999999995E-2</v>
      </c>
      <c r="U38" s="290">
        <f t="shared" si="164"/>
        <v>7.2499999999999995E-2</v>
      </c>
      <c r="V38" s="27">
        <f t="shared" si="4"/>
        <v>96036.461088080832</v>
      </c>
      <c r="W38" s="27">
        <f t="shared" si="141"/>
        <v>81530.528533423989</v>
      </c>
      <c r="X38" s="27">
        <f t="shared" si="179"/>
        <v>14505.932554656851</v>
      </c>
      <c r="Y38" s="27">
        <f t="shared" si="142"/>
        <v>413.92435638546942</v>
      </c>
      <c r="Z38" s="27">
        <f t="shared" si="180"/>
        <v>1448.5029818485757</v>
      </c>
      <c r="AA38" s="115">
        <f t="shared" si="165"/>
        <v>7.0000000000000007E-2</v>
      </c>
      <c r="AB38" s="115">
        <f t="shared" si="166"/>
        <v>7.0000000000000007E-2</v>
      </c>
      <c r="AC38" s="96">
        <f t="shared" si="6"/>
        <v>98679.394593351666</v>
      </c>
      <c r="AD38" s="27">
        <f t="shared" si="143"/>
        <v>83774.257249810107</v>
      </c>
      <c r="AE38" s="27">
        <f t="shared" si="181"/>
        <v>14905.137343541553</v>
      </c>
      <c r="AF38" s="150">
        <f t="shared" si="144"/>
        <v>435.66578238176265</v>
      </c>
      <c r="AG38" s="27">
        <f t="shared" si="234"/>
        <v>1524.5857730625901</v>
      </c>
      <c r="AH38" s="27">
        <f t="shared" si="167"/>
        <v>89253.97637274403</v>
      </c>
      <c r="AI38" s="27">
        <f t="shared" si="145"/>
        <v>74882.550994131088</v>
      </c>
      <c r="AJ38" s="27">
        <f t="shared" si="182"/>
        <v>14371.425378612943</v>
      </c>
      <c r="AK38" s="27">
        <f t="shared" si="10"/>
        <v>87614.707001080562</v>
      </c>
      <c r="AL38" s="27">
        <f t="shared" si="168"/>
        <v>73478.853989850235</v>
      </c>
      <c r="AM38" s="27">
        <f t="shared" si="235"/>
        <v>14135.853011230334</v>
      </c>
      <c r="AN38" s="417">
        <f>INDEX(Inv.Returns!$B$2:$E$32,MATCH(B38,Inv.Returns!$A$2:$A$32,0),MATCH(SCRS!$DT$52,Inv.Returns!$B$1:$E$1,0))</f>
        <v>0.06</v>
      </c>
      <c r="AO38" s="27">
        <f t="shared" si="36"/>
        <v>9425.4182206076366</v>
      </c>
      <c r="AP38" s="229">
        <f t="shared" si="11"/>
        <v>11064.687592271104</v>
      </c>
      <c r="AQ38" s="68">
        <f t="shared" si="19"/>
        <v>0.90448443406600854</v>
      </c>
      <c r="AR38" s="151">
        <f t="shared" si="20"/>
        <v>0.88787236040646966</v>
      </c>
      <c r="AS38" s="353"/>
      <c r="AT38" s="289">
        <f t="shared" si="94"/>
        <v>0.10730487858911138</v>
      </c>
      <c r="AU38" s="397">
        <f t="shared" si="169"/>
        <v>9.9400593584701102E-2</v>
      </c>
      <c r="AV38" s="303">
        <f t="shared" si="95"/>
        <v>3.8940622549759163E-2</v>
      </c>
      <c r="AW38" s="303">
        <f t="shared" si="146"/>
        <v>2.1957788873522579E-3</v>
      </c>
      <c r="AX38" s="115">
        <f t="shared" si="61"/>
        <v>6.4999999999999974E-2</v>
      </c>
      <c r="AY38" s="115">
        <f t="shared" si="147"/>
        <v>6.4999999999999974E-2</v>
      </c>
      <c r="AZ38" s="115">
        <f t="shared" si="148"/>
        <v>0</v>
      </c>
      <c r="BA38" s="262">
        <f t="shared" si="21"/>
        <v>4.2304878589111403E-2</v>
      </c>
      <c r="BB38" s="115">
        <f t="shared" si="170"/>
        <v>3.4400593584701128E-2</v>
      </c>
      <c r="BC38" s="133">
        <f t="shared" si="77"/>
        <v>0.1356</v>
      </c>
      <c r="BD38" s="133">
        <f t="shared" si="96"/>
        <v>0.1356</v>
      </c>
      <c r="BE38" s="410">
        <f t="shared" si="12"/>
        <v>9.3295121410888596E-2</v>
      </c>
      <c r="BF38" s="410">
        <f t="shared" si="149"/>
        <v>0.10119940641529887</v>
      </c>
      <c r="BG38" s="410">
        <f t="shared" si="171"/>
        <v>8.5599999999999996E-2</v>
      </c>
      <c r="BH38" s="410">
        <f t="shared" si="23"/>
        <v>0.1356</v>
      </c>
      <c r="BI38" s="157">
        <f t="shared" si="37"/>
        <v>9.0786481865278983</v>
      </c>
      <c r="BJ38" s="104">
        <f t="shared" si="38"/>
        <v>3.8834951456310662E-2</v>
      </c>
      <c r="BK38" s="27">
        <f t="shared" si="62"/>
        <v>10.881662988874917</v>
      </c>
      <c r="BL38" s="27">
        <f t="shared" si="14"/>
        <v>20</v>
      </c>
      <c r="BM38" s="111">
        <f t="shared" si="26"/>
        <v>6.9686452739612506</v>
      </c>
      <c r="BN38" s="27"/>
      <c r="BO38" s="27"/>
      <c r="BP38" s="96">
        <f t="shared" si="172"/>
        <v>-4796.5243990518065</v>
      </c>
      <c r="BQ38" s="27">
        <f t="shared" si="183"/>
        <v>-892.70012278985143</v>
      </c>
      <c r="BR38" s="27">
        <f t="shared" si="173"/>
        <v>-186.44246992867588</v>
      </c>
      <c r="BS38" s="27">
        <f t="shared" si="184"/>
        <v>-34.699545327336189</v>
      </c>
      <c r="BT38" s="27">
        <f t="shared" si="150"/>
        <v>-4.9523485072766631</v>
      </c>
      <c r="BU38" s="27">
        <f t="shared" si="185"/>
        <v>-18.630263432136022</v>
      </c>
      <c r="BV38" s="304">
        <f t="shared" si="151"/>
        <v>309.52178170479141</v>
      </c>
      <c r="BW38" s="304">
        <f t="shared" si="186"/>
        <v>1164.3914645085013</v>
      </c>
      <c r="BX38" s="304">
        <f t="shared" si="187"/>
        <v>0</v>
      </c>
      <c r="BY38" s="304">
        <f t="shared" si="152"/>
        <v>75.198243721324118</v>
      </c>
      <c r="BZ38" s="304">
        <f t="shared" si="78"/>
        <v>131.09634918424797</v>
      </c>
      <c r="CA38" s="304">
        <f t="shared" si="188"/>
        <v>378.82457198622478</v>
      </c>
      <c r="CB38" s="304">
        <f t="shared" si="236"/>
        <v>969.04224563351511</v>
      </c>
      <c r="CC38" s="304">
        <f t="shared" si="189"/>
        <v>0</v>
      </c>
      <c r="CD38" s="304">
        <f t="shared" si="190"/>
        <v>29.678030048919659</v>
      </c>
      <c r="CE38" s="304"/>
      <c r="CF38" s="304">
        <f t="shared" si="174"/>
        <v>0</v>
      </c>
      <c r="CG38" s="304">
        <f t="shared" si="153"/>
        <v>0</v>
      </c>
      <c r="CH38" s="304">
        <f t="shared" si="175"/>
        <v>0</v>
      </c>
      <c r="CI38" s="27"/>
      <c r="CJ38" s="27">
        <f t="shared" si="39"/>
        <v>0</v>
      </c>
      <c r="CK38" s="27">
        <f t="shared" si="40"/>
        <v>0</v>
      </c>
      <c r="CL38" s="27">
        <f t="shared" si="41"/>
        <v>0</v>
      </c>
      <c r="CM38" s="27">
        <f t="shared" si="42"/>
        <v>3057.752686787524</v>
      </c>
      <c r="CN38" s="27">
        <f t="shared" si="43"/>
        <v>0</v>
      </c>
      <c r="CO38" s="111">
        <f t="shared" si="3"/>
        <v>3057.752686787524</v>
      </c>
      <c r="CP38" s="27">
        <f t="shared" si="154"/>
        <v>998.72027568243482</v>
      </c>
      <c r="CQ38" s="27">
        <f t="shared" si="155"/>
        <v>0</v>
      </c>
      <c r="CR38" s="27">
        <f t="shared" si="176"/>
        <v>998.72027568243482</v>
      </c>
      <c r="CS38" s="27">
        <f>SUM($CR$14:CR38)</f>
        <v>64232.409476566594</v>
      </c>
      <c r="CT38" s="229">
        <v>3235.347276002331</v>
      </c>
      <c r="CU38" s="425">
        <v>656.35561345026645</v>
      </c>
      <c r="CV38" s="425">
        <v>3891.7028894525974</v>
      </c>
      <c r="CW38" s="425">
        <v>70509.068853754405</v>
      </c>
      <c r="CX38" s="107">
        <f t="shared" si="44"/>
        <v>173.40155837803448</v>
      </c>
      <c r="CY38" s="115">
        <f t="shared" si="92"/>
        <v>6.9728190623285669E-2</v>
      </c>
      <c r="CZ38" s="96">
        <f t="shared" si="45"/>
        <v>1682.042755230942</v>
      </c>
      <c r="DA38" s="418">
        <f t="shared" si="46"/>
        <v>986.09198867712723</v>
      </c>
      <c r="DB38" s="314">
        <f t="shared" si="47"/>
        <v>547.68937586682148</v>
      </c>
      <c r="DC38" s="314">
        <f t="shared" si="48"/>
        <v>279.63612821063185</v>
      </c>
      <c r="DD38" s="314">
        <f t="shared" si="49"/>
        <v>0</v>
      </c>
      <c r="DE38" s="314">
        <f t="shared" si="50"/>
        <v>29143.700092778919</v>
      </c>
      <c r="DF38" s="314" t="b">
        <f t="shared" si="63"/>
        <v>0</v>
      </c>
      <c r="DG38" s="27">
        <f t="shared" si="51"/>
        <v>173.40155837803448</v>
      </c>
      <c r="DH38" s="100">
        <f t="shared" si="52"/>
        <v>95.091882677064817</v>
      </c>
      <c r="DI38" s="105">
        <f t="shared" si="53"/>
        <v>7.980886564126391E-3</v>
      </c>
      <c r="DJ38" s="96">
        <f t="shared" si="54"/>
        <v>0</v>
      </c>
      <c r="DK38" s="100">
        <f t="shared" si="55"/>
        <v>0</v>
      </c>
      <c r="DL38" s="316">
        <f t="shared" si="56"/>
        <v>0</v>
      </c>
      <c r="DM38" s="299">
        <v>2547.3730691223495</v>
      </c>
      <c r="DN38" s="100">
        <f t="shared" si="57"/>
        <v>1493.3890163145875</v>
      </c>
      <c r="DO38" s="301">
        <v>1.1771650646767426</v>
      </c>
      <c r="DP38" s="29"/>
      <c r="DQ38" s="53" t="s">
        <v>202</v>
      </c>
      <c r="DR38" s="42"/>
      <c r="DS38" s="42"/>
      <c r="DT38" s="265">
        <v>1.1999999999999999E-3</v>
      </c>
      <c r="DU38" s="29"/>
      <c r="DV38" s="327"/>
      <c r="DW38" s="328"/>
      <c r="DX38" s="328"/>
      <c r="DY38" s="328"/>
      <c r="DZ38" s="328"/>
      <c r="EA38" s="328"/>
      <c r="EB38" s="328"/>
      <c r="EC38" s="328"/>
      <c r="ED38" s="328"/>
      <c r="EE38" s="328"/>
      <c r="EF38" s="328"/>
      <c r="EG38" s="328"/>
      <c r="EH38" s="329"/>
      <c r="EI38" s="330"/>
      <c r="EJ38" s="339" t="e">
        <f>IF(AND(#REF!="Fresh Start",A38&gt;2019),AV38,IF(BD38-(AT38-AX38)&lt;0,0,BD38-(AT38-AX38)))</f>
        <v>#REF!</v>
      </c>
      <c r="EK38" s="339">
        <f t="shared" si="58"/>
        <v>4.2304878589111403E-2</v>
      </c>
      <c r="EL38" s="339" t="e">
        <f t="shared" si="65"/>
        <v>#DIV/0!</v>
      </c>
      <c r="EM38" s="339">
        <f t="shared" si="59"/>
        <v>0</v>
      </c>
      <c r="EN38" s="339">
        <v>8.5600000000000009E-2</v>
      </c>
      <c r="EO38" s="339">
        <v>0.14330498767576727</v>
      </c>
      <c r="EP38" s="340" t="e">
        <f t="shared" si="66"/>
        <v>#REF!</v>
      </c>
      <c r="EQ38" s="283"/>
      <c r="ER38" s="30">
        <v>29</v>
      </c>
      <c r="ES38" s="29">
        <f t="shared" si="79"/>
        <v>4967.943155685457</v>
      </c>
      <c r="ET38" s="29">
        <f t="shared" si="80"/>
        <v>4259.7677786799341</v>
      </c>
      <c r="EU38" s="29">
        <f t="shared" si="67"/>
        <v>-708.17537700552293</v>
      </c>
      <c r="EV38" s="29">
        <f t="shared" si="68"/>
        <v>-566.54030160441835</v>
      </c>
      <c r="EW38" s="29">
        <f t="shared" si="81"/>
        <v>-420.8441787901595</v>
      </c>
      <c r="EX38" s="29">
        <f t="shared" si="93"/>
        <v>-278.24674584742644</v>
      </c>
      <c r="EY38" s="29">
        <f t="shared" si="97"/>
        <v>-138.06577803884502</v>
      </c>
      <c r="EZ38" s="29">
        <f t="shared" si="69"/>
        <v>-1403.6970042808493</v>
      </c>
      <c r="FA38" s="29"/>
      <c r="FB38" s="29">
        <f t="shared" si="237"/>
        <v>912.81947284580554</v>
      </c>
      <c r="FC38" s="29">
        <f t="shared" si="238"/>
        <v>782.142760221667</v>
      </c>
      <c r="FD38" s="29">
        <f t="shared" si="191"/>
        <v>-130.67671262413853</v>
      </c>
      <c r="FE38" s="29">
        <f t="shared" si="192"/>
        <v>-104.54137009931083</v>
      </c>
      <c r="FF38" s="29">
        <f t="shared" si="193"/>
        <v>-70.430375313627593</v>
      </c>
      <c r="FG38" s="29">
        <f t="shared" si="194"/>
        <v>-41.954192157162097</v>
      </c>
      <c r="FH38" s="29">
        <f t="shared" si="195"/>
        <v>-18.64642981250838</v>
      </c>
      <c r="FI38" s="29">
        <f t="shared" si="196"/>
        <v>-235.57236738260892</v>
      </c>
      <c r="FJ38" s="29"/>
      <c r="FK38" s="29"/>
      <c r="FL38" s="27">
        <f t="shared" si="24"/>
        <v>8976.5138197701017</v>
      </c>
      <c r="FM38" s="29"/>
      <c r="FN38" s="308">
        <f t="shared" si="156"/>
        <v>969.04224563351511</v>
      </c>
      <c r="FO38" s="93">
        <f t="shared" si="197"/>
        <v>29.678030048919659</v>
      </c>
      <c r="FP38" s="27">
        <f t="shared" si="82"/>
        <v>20</v>
      </c>
      <c r="FQ38" s="309">
        <f t="shared" si="27"/>
        <v>13.512970250241354</v>
      </c>
      <c r="FR38" s="93">
        <f t="shared" si="60"/>
        <v>664.28872805442404</v>
      </c>
      <c r="FS38" s="93">
        <f t="shared" si="198"/>
        <v>998.72027568243482</v>
      </c>
      <c r="FT38" s="29">
        <f t="shared" si="83"/>
        <v>20</v>
      </c>
      <c r="FU38" s="142">
        <f t="shared" si="28"/>
        <v>13.512970250241354</v>
      </c>
      <c r="FV38" s="48">
        <v>-1172.0943662181912</v>
      </c>
      <c r="FW38" s="29">
        <f t="shared" si="98"/>
        <v>763.31281349704932</v>
      </c>
      <c r="FX38" s="29">
        <f t="shared" si="157"/>
        <v>789.28456563371435</v>
      </c>
      <c r="FY38" s="29">
        <f t="shared" si="255"/>
        <v>753.17589481767072</v>
      </c>
      <c r="FZ38" s="29">
        <f t="shared" si="256"/>
        <v>710.43913869695803</v>
      </c>
      <c r="GA38" s="29">
        <f t="shared" si="257"/>
        <v>666.46179820025873</v>
      </c>
      <c r="GB38" s="29">
        <f t="shared" si="258"/>
        <v>622.70395866037791</v>
      </c>
      <c r="GC38" s="29">
        <f t="shared" si="259"/>
        <v>581.11769577524854</v>
      </c>
      <c r="GD38" s="29">
        <f t="shared" si="260"/>
        <v>540.18878250118075</v>
      </c>
      <c r="GE38" s="29">
        <f t="shared" si="261"/>
        <v>499.81034657772614</v>
      </c>
      <c r="GF38" s="29">
        <f t="shared" si="262"/>
        <v>459.87949396077562</v>
      </c>
      <c r="GG38" s="29">
        <f t="shared" si="263"/>
        <v>420.31504394953549</v>
      </c>
      <c r="GH38" s="29">
        <f t="shared" si="264"/>
        <v>381.48075638032043</v>
      </c>
      <c r="GI38" s="29">
        <f t="shared" si="265"/>
        <v>342.41949349992223</v>
      </c>
      <c r="GJ38" s="29">
        <f t="shared" si="266"/>
        <v>303.55429879058863</v>
      </c>
      <c r="GK38" s="29">
        <f t="shared" si="267"/>
        <v>265.16454221398146</v>
      </c>
      <c r="GL38" s="29">
        <f t="shared" si="268"/>
        <v>226.61318452841894</v>
      </c>
      <c r="GM38" s="29">
        <f t="shared" si="269"/>
        <v>188.45771756524604</v>
      </c>
      <c r="GN38" s="29">
        <f t="shared" si="240"/>
        <v>150.45441510527309</v>
      </c>
      <c r="GO38" s="29">
        <f t="shared" si="241"/>
        <v>112.61953821526764</v>
      </c>
      <c r="GP38" s="29">
        <f t="shared" si="242"/>
        <v>74.948508986675961</v>
      </c>
      <c r="GQ38" s="29">
        <f t="shared" si="243"/>
        <v>39.304268122828539</v>
      </c>
      <c r="GR38" s="29">
        <f t="shared" si="244"/>
        <v>0</v>
      </c>
      <c r="GS38" s="29">
        <f t="shared" si="245"/>
        <v>0</v>
      </c>
      <c r="GT38" s="29">
        <f t="shared" si="246"/>
        <v>0</v>
      </c>
      <c r="GU38" s="29">
        <f t="shared" si="247"/>
        <v>0</v>
      </c>
      <c r="GV38" s="29">
        <f t="shared" si="248"/>
        <v>0</v>
      </c>
      <c r="GW38" s="29">
        <f t="shared" si="249"/>
        <v>0</v>
      </c>
      <c r="GX38" s="29">
        <f t="shared" si="250"/>
        <v>0</v>
      </c>
      <c r="GY38" s="29">
        <f t="shared" si="251"/>
        <v>0</v>
      </c>
      <c r="GZ38" s="29">
        <f t="shared" si="252"/>
        <v>0</v>
      </c>
      <c r="HA38" s="29">
        <f t="shared" si="253"/>
        <v>0</v>
      </c>
      <c r="HB38" s="29">
        <f t="shared" si="254"/>
        <v>0</v>
      </c>
      <c r="HC38" s="29"/>
      <c r="HD38" s="29">
        <f t="shared" si="29"/>
        <v>20</v>
      </c>
      <c r="HE38" s="29">
        <f t="shared" si="100"/>
        <v>0</v>
      </c>
      <c r="HF38" s="29">
        <f t="shared" si="101"/>
        <v>57.234432589542372</v>
      </c>
      <c r="HG38" s="29">
        <f t="shared" si="102"/>
        <v>56.537737869386206</v>
      </c>
      <c r="HH38" s="29">
        <f t="shared" si="103"/>
        <v>55.352935106376769</v>
      </c>
      <c r="HI38" s="29">
        <f t="shared" si="104"/>
        <v>54.057002672055937</v>
      </c>
      <c r="HJ38" s="29">
        <f t="shared" si="105"/>
        <v>52.756400609957105</v>
      </c>
      <c r="HK38" s="29">
        <f t="shared" si="106"/>
        <v>51.620555464700082</v>
      </c>
      <c r="HL38" s="29">
        <f t="shared" si="107"/>
        <v>50.530313051971795</v>
      </c>
      <c r="HM38" s="29">
        <f t="shared" si="108"/>
        <v>49.479942755130189</v>
      </c>
      <c r="HN38" s="29">
        <f t="shared" si="109"/>
        <v>48.463082780760352</v>
      </c>
      <c r="HO38" s="29">
        <f t="shared" si="110"/>
        <v>47.474394732450904</v>
      </c>
      <c r="HP38" s="29">
        <f t="shared" si="111"/>
        <v>46.561471287344659</v>
      </c>
      <c r="HQ38" s="29">
        <f t="shared" si="112"/>
        <v>45.613641894663061</v>
      </c>
      <c r="HR38" s="29">
        <f t="shared" si="113"/>
        <v>44.678405825881711</v>
      </c>
      <c r="HS38" s="29">
        <f t="shared" si="114"/>
        <v>43.801489278376302</v>
      </c>
      <c r="HT38" s="29">
        <f t="shared" si="115"/>
        <v>42.881823185312406</v>
      </c>
      <c r="HU38" s="29">
        <f t="shared" si="116"/>
        <v>42.014451145490554</v>
      </c>
      <c r="HV38" s="29">
        <f t="shared" si="117"/>
        <v>41.158802579002206</v>
      </c>
      <c r="HW38" s="29">
        <f t="shared" si="118"/>
        <v>40.320027010441734</v>
      </c>
      <c r="HX38" s="29">
        <f t="shared" si="119"/>
        <v>39.502025887859929</v>
      </c>
      <c r="HY38" s="29">
        <f t="shared" si="120"/>
        <v>40.656651081442746</v>
      </c>
      <c r="HZ38" s="29">
        <f t="shared" si="121"/>
        <v>0</v>
      </c>
      <c r="IA38" s="29">
        <f t="shared" si="122"/>
        <v>0</v>
      </c>
      <c r="IB38" s="29">
        <f t="shared" si="123"/>
        <v>0</v>
      </c>
      <c r="IC38" s="29">
        <f t="shared" si="124"/>
        <v>0</v>
      </c>
      <c r="ID38" s="29">
        <f t="shared" si="125"/>
        <v>0</v>
      </c>
      <c r="IE38" s="29">
        <f t="shared" si="126"/>
        <v>0</v>
      </c>
      <c r="IF38" s="29">
        <f t="shared" si="127"/>
        <v>0</v>
      </c>
      <c r="IG38" s="29">
        <f t="shared" si="128"/>
        <v>0</v>
      </c>
      <c r="IH38" s="29">
        <f t="shared" si="129"/>
        <v>0</v>
      </c>
      <c r="II38" s="29">
        <f t="shared" si="130"/>
        <v>0</v>
      </c>
      <c r="IJ38" s="29">
        <f t="shared" si="131"/>
        <v>0</v>
      </c>
      <c r="IK38" s="48"/>
      <c r="IL38" s="48"/>
      <c r="IM38" s="48"/>
      <c r="IN38" s="29">
        <f t="shared" si="199"/>
        <v>90.319906108151827</v>
      </c>
      <c r="IO38" s="29">
        <f t="shared" si="239"/>
        <v>83.43340956232673</v>
      </c>
      <c r="IP38" s="29">
        <f t="shared" si="287"/>
        <v>71.614085897030094</v>
      </c>
      <c r="IQ38" s="29">
        <f t="shared" si="288"/>
        <v>61.389942917884156</v>
      </c>
      <c r="IR38" s="29">
        <f t="shared" si="289"/>
        <v>51.265045507791946</v>
      </c>
      <c r="IS38" s="29">
        <f t="shared" si="290"/>
        <v>42.716891544472922</v>
      </c>
      <c r="IT38" s="29">
        <f t="shared" si="291"/>
        <v>35.030558092717087</v>
      </c>
      <c r="IU38" s="29">
        <f t="shared" si="292"/>
        <v>28.199751408250503</v>
      </c>
      <c r="IV38" s="29">
        <f t="shared" si="293"/>
        <v>22.208666349236278</v>
      </c>
      <c r="IW38" s="29">
        <f t="shared" si="294"/>
        <v>17.043438012949515</v>
      </c>
      <c r="IX38" s="29">
        <f t="shared" si="295"/>
        <v>12.673057189559893</v>
      </c>
      <c r="IY38" s="29">
        <f t="shared" si="296"/>
        <v>8.6447080038455848</v>
      </c>
      <c r="IZ38" s="29">
        <f t="shared" si="297"/>
        <v>5.7750436328526122</v>
      </c>
      <c r="JA38" s="29">
        <f t="shared" si="298"/>
        <v>3.5680111821499452</v>
      </c>
      <c r="JB38" s="29">
        <f t="shared" si="299"/>
        <v>1.6636887590790457</v>
      </c>
      <c r="JC38" s="29">
        <f t="shared" si="300"/>
        <v>0.59326681629461775</v>
      </c>
      <c r="JD38" s="29">
        <f t="shared" si="301"/>
        <v>-0.24091556639242442</v>
      </c>
      <c r="JE38" s="29">
        <f t="shared" si="270"/>
        <v>-0.650150376059349</v>
      </c>
      <c r="JF38" s="29">
        <f t="shared" si="271"/>
        <v>-0.71935104712427167</v>
      </c>
      <c r="JG38" s="29">
        <f t="shared" si="272"/>
        <v>-0.54978688135276887</v>
      </c>
      <c r="JH38" s="29">
        <f t="shared" si="273"/>
        <v>-0.26730218505336023</v>
      </c>
      <c r="JI38" s="29">
        <f t="shared" si="274"/>
        <v>0</v>
      </c>
      <c r="JJ38" s="29">
        <f t="shared" si="275"/>
        <v>0</v>
      </c>
      <c r="JK38" s="29">
        <f t="shared" si="276"/>
        <v>0</v>
      </c>
      <c r="JL38" s="29">
        <f t="shared" si="277"/>
        <v>0</v>
      </c>
      <c r="JM38" s="29">
        <f t="shared" si="278"/>
        <v>0</v>
      </c>
      <c r="JN38" s="29">
        <f t="shared" si="279"/>
        <v>0</v>
      </c>
      <c r="JO38" s="29">
        <f t="shared" si="280"/>
        <v>0</v>
      </c>
      <c r="JP38" s="29">
        <f t="shared" si="281"/>
        <v>0</v>
      </c>
      <c r="JQ38" s="29">
        <f t="shared" si="282"/>
        <v>0</v>
      </c>
      <c r="JR38" s="29">
        <f t="shared" si="283"/>
        <v>0</v>
      </c>
      <c r="JS38" s="29">
        <f t="shared" si="284"/>
        <v>0</v>
      </c>
      <c r="JT38" s="48"/>
      <c r="JU38" s="401">
        <f t="shared" si="201"/>
        <v>20</v>
      </c>
      <c r="JV38" s="29">
        <f t="shared" si="202"/>
        <v>0</v>
      </c>
      <c r="JW38" s="29">
        <f t="shared" si="203"/>
        <v>6.0501168567468735</v>
      </c>
      <c r="JX38" s="29">
        <f t="shared" si="204"/>
        <v>5.3757673925320653</v>
      </c>
      <c r="JY38" s="29">
        <f t="shared" si="205"/>
        <v>4.7831170066874664</v>
      </c>
      <c r="JZ38" s="29">
        <f t="shared" si="206"/>
        <v>4.1581298575272223</v>
      </c>
      <c r="KA38" s="29">
        <f t="shared" si="207"/>
        <v>3.6190382472924152</v>
      </c>
      <c r="KB38" s="29">
        <f t="shared" si="208"/>
        <v>3.1117566718943497</v>
      </c>
      <c r="KC38" s="29">
        <f t="shared" si="209"/>
        <v>2.6378597868117812</v>
      </c>
      <c r="KD38" s="29">
        <f t="shared" si="210"/>
        <v>2.1986010236727029</v>
      </c>
      <c r="KE38" s="29">
        <f t="shared" si="211"/>
        <v>1.796073880521361</v>
      </c>
      <c r="KF38" s="29">
        <f t="shared" si="212"/>
        <v>1.4314160964372404</v>
      </c>
      <c r="KG38" s="29">
        <f t="shared" si="213"/>
        <v>1.0551261545346438</v>
      </c>
      <c r="KH38" s="29">
        <f t="shared" si="214"/>
        <v>0.76929257006524043</v>
      </c>
      <c r="KI38" s="29">
        <f t="shared" si="215"/>
        <v>0.52515497959510904</v>
      </c>
      <c r="KJ38" s="29">
        <f t="shared" si="216"/>
        <v>0.27481821187295091</v>
      </c>
      <c r="KK38" s="29">
        <f t="shared" si="217"/>
        <v>0.11226338295805825</v>
      </c>
      <c r="KL38" s="29">
        <f t="shared" si="218"/>
        <v>-5.3709317003048082E-2</v>
      </c>
      <c r="KM38" s="29">
        <f t="shared" si="219"/>
        <v>-0.17785726630997969</v>
      </c>
      <c r="KN38" s="29">
        <f t="shared" si="220"/>
        <v>-0.25754193375042733</v>
      </c>
      <c r="KO38" s="29">
        <f t="shared" si="221"/>
        <v>-0.28976821438654282</v>
      </c>
      <c r="KP38" s="29">
        <f t="shared" si="222"/>
        <v>-0.27649953020521012</v>
      </c>
      <c r="KQ38" s="29">
        <f t="shared" si="223"/>
        <v>0</v>
      </c>
      <c r="KR38" s="29">
        <f t="shared" si="224"/>
        <v>0</v>
      </c>
      <c r="KS38" s="29">
        <f t="shared" si="225"/>
        <v>0</v>
      </c>
      <c r="KT38" s="29">
        <f t="shared" si="226"/>
        <v>0</v>
      </c>
      <c r="KU38" s="29">
        <f t="shared" si="227"/>
        <v>0</v>
      </c>
      <c r="KV38" s="29">
        <f t="shared" si="228"/>
        <v>0</v>
      </c>
      <c r="KW38" s="29">
        <f t="shared" si="229"/>
        <v>0</v>
      </c>
      <c r="KX38" s="29">
        <f t="shared" si="230"/>
        <v>0</v>
      </c>
      <c r="KY38" s="29">
        <f t="shared" si="231"/>
        <v>0</v>
      </c>
      <c r="KZ38" s="29">
        <f t="shared" si="232"/>
        <v>0</v>
      </c>
      <c r="LA38" s="29">
        <f t="shared" si="233"/>
        <v>0</v>
      </c>
      <c r="LB38" s="48"/>
      <c r="LC38" s="48"/>
      <c r="LD38" s="48"/>
      <c r="LE38" s="48"/>
      <c r="LF38" s="48"/>
      <c r="LG38" s="48"/>
      <c r="LH38" s="48"/>
      <c r="LI38" s="48"/>
      <c r="LJ38" s="48"/>
      <c r="LK38" s="48"/>
      <c r="LL38" s="48"/>
      <c r="LM38" s="48"/>
      <c r="LN38" s="48"/>
      <c r="LO38" s="123"/>
      <c r="LP38" s="123"/>
      <c r="LQ38" s="28"/>
      <c r="LR38" s="48"/>
      <c r="LS38" s="39"/>
      <c r="LT38" s="166">
        <v>7.3103333333333326E-2</v>
      </c>
      <c r="LU38" s="115">
        <f t="shared" si="70"/>
        <v>1.1851782103316931E-17</v>
      </c>
      <c r="LV38" s="157">
        <f t="shared" si="15"/>
        <v>2.1893722848442524E-13</v>
      </c>
      <c r="LW38" s="229" t="e">
        <f>LW37*(1+#REF!)</f>
        <v>#REF!</v>
      </c>
      <c r="LX38" s="158"/>
      <c r="LY38" s="129">
        <f t="shared" si="71"/>
        <v>-884.83798855858913</v>
      </c>
      <c r="LZ38" s="130">
        <f t="shared" si="72"/>
        <v>-1819.1356438339863</v>
      </c>
      <c r="MA38" s="28"/>
      <c r="MB38" s="381">
        <f t="shared" si="285"/>
        <v>5.7500000000000016E-2</v>
      </c>
      <c r="MC38" s="394">
        <f t="shared" si="177"/>
        <v>-1050.2354385762958</v>
      </c>
      <c r="MD38" s="157">
        <f t="shared" si="158"/>
        <v>-5846.7598376281021</v>
      </c>
      <c r="ME38" s="28"/>
      <c r="MF38" s="381">
        <f t="shared" si="286"/>
        <v>5.7500000000000016E-2</v>
      </c>
      <c r="MG38" s="394">
        <f t="shared" si="178"/>
        <v>-40.822994502748458</v>
      </c>
      <c r="MH38" s="157">
        <f t="shared" si="159"/>
        <v>-227.26546443142433</v>
      </c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</row>
    <row r="39" spans="1:360" ht="12" customHeight="1" x14ac:dyDescent="0.3">
      <c r="A39" s="305">
        <f t="shared" si="91"/>
        <v>2048</v>
      </c>
      <c r="B39" s="355">
        <f t="shared" si="1"/>
        <v>2046</v>
      </c>
      <c r="C39" s="26">
        <v>53509</v>
      </c>
      <c r="D39" s="96">
        <f t="shared" si="132"/>
        <v>3685.0002527835936</v>
      </c>
      <c r="E39" s="27">
        <f t="shared" si="133"/>
        <v>3685.0002527835936</v>
      </c>
      <c r="F39" s="111">
        <f t="shared" si="18"/>
        <v>19749.674557402261</v>
      </c>
      <c r="G39" s="27">
        <f t="shared" si="134"/>
        <v>23813.814017250068</v>
      </c>
      <c r="H39" s="27">
        <f t="shared" si="135"/>
        <v>4286.4865231050135</v>
      </c>
      <c r="I39" s="296">
        <f t="shared" si="136"/>
        <v>3643.5135446392615</v>
      </c>
      <c r="J39" s="69">
        <v>1138.8996259999999</v>
      </c>
      <c r="K39" s="297">
        <f t="shared" si="160"/>
        <v>2504.6139186392616</v>
      </c>
      <c r="L39" s="297">
        <f t="shared" si="137"/>
        <v>19527.327494145055</v>
      </c>
      <c r="M39" s="297">
        <f t="shared" si="161"/>
        <v>16598.228370023295</v>
      </c>
      <c r="N39" s="27">
        <f t="shared" si="162"/>
        <v>0</v>
      </c>
      <c r="O39" s="297">
        <f t="shared" si="138"/>
        <v>642.97297846575202</v>
      </c>
      <c r="P39" s="297">
        <f t="shared" si="139"/>
        <v>2929.099124121758</v>
      </c>
      <c r="Q39" s="297">
        <f t="shared" si="140"/>
        <v>1032.7225471061847</v>
      </c>
      <c r="R39" s="260">
        <f t="shared" si="2"/>
        <v>0.18000000000000005</v>
      </c>
      <c r="S39" s="257">
        <v>0.82</v>
      </c>
      <c r="T39" s="290">
        <f t="shared" si="163"/>
        <v>7.2499999999999995E-2</v>
      </c>
      <c r="U39" s="290">
        <f t="shared" si="164"/>
        <v>7.2499999999999995E-2</v>
      </c>
      <c r="V39" s="27">
        <f t="shared" si="4"/>
        <v>98971.074961414575</v>
      </c>
      <c r="W39" s="27">
        <f t="shared" si="141"/>
        <v>82881.145138699983</v>
      </c>
      <c r="X39" s="27">
        <f t="shared" si="179"/>
        <v>16089.929822714594</v>
      </c>
      <c r="Y39" s="27">
        <f t="shared" si="142"/>
        <v>366.83723444310669</v>
      </c>
      <c r="Z39" s="27">
        <f t="shared" si="180"/>
        <v>1548.6147069231733</v>
      </c>
      <c r="AA39" s="115">
        <f t="shared" si="165"/>
        <v>7.0000000000000007E-2</v>
      </c>
      <c r="AB39" s="115">
        <f t="shared" si="166"/>
        <v>7.0000000000000007E-2</v>
      </c>
      <c r="AC39" s="96">
        <f t="shared" si="6"/>
        <v>101694.76934898979</v>
      </c>
      <c r="AD39" s="27">
        <f t="shared" si="143"/>
        <v>85162.042966050984</v>
      </c>
      <c r="AE39" s="27">
        <f t="shared" si="181"/>
        <v>16532.726382938803</v>
      </c>
      <c r="AF39" s="150">
        <f t="shared" si="144"/>
        <v>386.10540376509363</v>
      </c>
      <c r="AG39" s="27">
        <f t="shared" si="234"/>
        <v>1629.9558783907132</v>
      </c>
      <c r="AH39" s="27">
        <f t="shared" si="167"/>
        <v>91741.822199780217</v>
      </c>
      <c r="AI39" s="27">
        <f t="shared" si="145"/>
        <v>75844.760493001013</v>
      </c>
      <c r="AJ39" s="27">
        <f t="shared" si="182"/>
        <v>15897.061706779206</v>
      </c>
      <c r="AK39" s="27">
        <f t="shared" si="10"/>
        <v>90061.846754662984</v>
      </c>
      <c r="AL39" s="27">
        <f t="shared" si="168"/>
        <v>74426.958365751605</v>
      </c>
      <c r="AM39" s="27">
        <f t="shared" si="235"/>
        <v>15634.888388911382</v>
      </c>
      <c r="AN39" s="417">
        <f>INDEX(Inv.Returns!$B$2:$E$32,MATCH(B39,Inv.Returns!$A$2:$A$32,0),MATCH(SCRS!$DT$52,Inv.Returns!$B$1:$E$1,0))</f>
        <v>0.06</v>
      </c>
      <c r="AO39" s="27">
        <f t="shared" si="36"/>
        <v>9952.9471492095763</v>
      </c>
      <c r="AP39" s="229">
        <f t="shared" si="11"/>
        <v>11632.92259432681</v>
      </c>
      <c r="AQ39" s="68">
        <f t="shared" si="19"/>
        <v>0.90212921261413481</v>
      </c>
      <c r="AR39" s="151">
        <f t="shared" si="20"/>
        <v>0.88560943036897333</v>
      </c>
      <c r="AS39" s="353"/>
      <c r="AT39" s="289">
        <f t="shared" si="94"/>
        <v>0.1075690856182465</v>
      </c>
      <c r="AU39" s="397">
        <f t="shared" si="169"/>
        <v>9.9400593584701089E-2</v>
      </c>
      <c r="AV39" s="303">
        <f t="shared" si="95"/>
        <v>3.9666050239394103E-2</v>
      </c>
      <c r="AW39" s="303">
        <f t="shared" si="146"/>
        <v>2.5256315823937686E-3</v>
      </c>
      <c r="AX39" s="115">
        <f t="shared" si="61"/>
        <v>5.999999999999997E-2</v>
      </c>
      <c r="AY39" s="115">
        <f t="shared" si="147"/>
        <v>5.999999999999997E-2</v>
      </c>
      <c r="AZ39" s="115">
        <f t="shared" si="148"/>
        <v>0</v>
      </c>
      <c r="BA39" s="262">
        <f t="shared" si="21"/>
        <v>4.7569085618246534E-2</v>
      </c>
      <c r="BB39" s="115">
        <f t="shared" si="170"/>
        <v>3.9400593584701118E-2</v>
      </c>
      <c r="BC39" s="133">
        <f t="shared" si="77"/>
        <v>0.12559999999999999</v>
      </c>
      <c r="BD39" s="133">
        <f t="shared" si="96"/>
        <v>0.12559999999999999</v>
      </c>
      <c r="BE39" s="410">
        <f t="shared" si="12"/>
        <v>7.8030914381753455E-2</v>
      </c>
      <c r="BF39" s="410">
        <f t="shared" si="149"/>
        <v>8.6199406415298871E-2</v>
      </c>
      <c r="BG39" s="410">
        <f t="shared" si="171"/>
        <v>7.5599999999999987E-2</v>
      </c>
      <c r="BH39" s="410">
        <f t="shared" si="23"/>
        <v>0.12559999999999999</v>
      </c>
      <c r="BI39" s="157">
        <f t="shared" si="37"/>
        <v>9.7142137718140109</v>
      </c>
      <c r="BJ39" s="104">
        <f t="shared" si="38"/>
        <v>3.8834951456310662E-2</v>
      </c>
      <c r="BK39" s="27">
        <f t="shared" si="62"/>
        <v>11.843046999424473</v>
      </c>
      <c r="BL39" s="27">
        <f t="shared" si="14"/>
        <v>20</v>
      </c>
      <c r="BM39" s="111">
        <f t="shared" si="26"/>
        <v>6.9171775516342366</v>
      </c>
      <c r="BN39" s="27"/>
      <c r="BO39" s="27"/>
      <c r="BP39" s="96">
        <f t="shared" si="172"/>
        <v>-4591.8623278915748</v>
      </c>
      <c r="BQ39" s="27">
        <f t="shared" si="183"/>
        <v>-995.89370220139801</v>
      </c>
      <c r="BR39" s="27">
        <f t="shared" si="173"/>
        <v>-178.48718838035828</v>
      </c>
      <c r="BS39" s="27">
        <f t="shared" si="184"/>
        <v>-38.710713461928201</v>
      </c>
      <c r="BT39" s="27">
        <f t="shared" si="150"/>
        <v>-4.372216253567113</v>
      </c>
      <c r="BU39" s="27">
        <f t="shared" si="185"/>
        <v>-19.91787404402795</v>
      </c>
      <c r="BV39" s="304">
        <f t="shared" si="151"/>
        <v>255.04594812474824</v>
      </c>
      <c r="BW39" s="304">
        <f t="shared" si="186"/>
        <v>1161.8759859016302</v>
      </c>
      <c r="BX39" s="304">
        <f t="shared" si="187"/>
        <v>0</v>
      </c>
      <c r="BY39" s="304">
        <f t="shared" si="152"/>
        <v>72.290578297432916</v>
      </c>
      <c r="BZ39" s="304">
        <f t="shared" si="78"/>
        <v>135.43167189391249</v>
      </c>
      <c r="CA39" s="304">
        <f t="shared" si="188"/>
        <v>487.99776653311119</v>
      </c>
      <c r="CB39" s="304">
        <f t="shared" si="236"/>
        <v>950.69558680814703</v>
      </c>
      <c r="CC39" s="304">
        <f t="shared" si="189"/>
        <v>0</v>
      </c>
      <c r="CD39" s="304">
        <f t="shared" si="190"/>
        <v>36.843155857494267</v>
      </c>
      <c r="CE39" s="304"/>
      <c r="CF39" s="304">
        <f t="shared" si="174"/>
        <v>0</v>
      </c>
      <c r="CG39" s="304">
        <f t="shared" si="153"/>
        <v>0</v>
      </c>
      <c r="CH39" s="304">
        <f t="shared" si="175"/>
        <v>0</v>
      </c>
      <c r="CI39" s="27"/>
      <c r="CJ39" s="27">
        <f t="shared" si="39"/>
        <v>0</v>
      </c>
      <c r="CK39" s="27">
        <f t="shared" si="40"/>
        <v>0</v>
      </c>
      <c r="CL39" s="27">
        <f t="shared" si="41"/>
        <v>0</v>
      </c>
      <c r="CM39" s="109">
        <f t="shared" si="42"/>
        <v>3100.1806934164765</v>
      </c>
      <c r="CN39" s="27">
        <f t="shared" si="43"/>
        <v>0</v>
      </c>
      <c r="CO39" s="112">
        <f t="shared" si="3"/>
        <v>3100.1806934164765</v>
      </c>
      <c r="CP39" s="27">
        <f t="shared" si="154"/>
        <v>987.53874266564128</v>
      </c>
      <c r="CQ39" s="27">
        <f t="shared" si="155"/>
        <v>0</v>
      </c>
      <c r="CR39" s="27">
        <f t="shared" si="176"/>
        <v>987.53874266564128</v>
      </c>
      <c r="CS39" s="27">
        <f>SUM($CR$14:CR39)</f>
        <v>65219.948219232232</v>
      </c>
      <c r="CT39" s="229">
        <v>3335.2559112971876</v>
      </c>
      <c r="CU39" s="425">
        <v>676.04628185377453</v>
      </c>
      <c r="CV39" s="425">
        <v>4011.302193150962</v>
      </c>
      <c r="CW39" s="425">
        <v>74520.371046905362</v>
      </c>
      <c r="CX39" s="107">
        <f t="shared" si="44"/>
        <v>178.60360512937552</v>
      </c>
      <c r="CY39" s="115">
        <f t="shared" si="92"/>
        <v>7.2024999604543727E-2</v>
      </c>
      <c r="CZ39" s="96">
        <f t="shared" si="45"/>
        <v>1789.5717862220404</v>
      </c>
      <c r="DA39" s="418">
        <f t="shared" si="46"/>
        <v>1026.0445247904422</v>
      </c>
      <c r="DB39" s="314">
        <f t="shared" si="47"/>
        <v>529.64060825921183</v>
      </c>
      <c r="DC39" s="314">
        <f t="shared" si="48"/>
        <v>334.36009415074045</v>
      </c>
      <c r="DD39" s="314">
        <f t="shared" si="49"/>
        <v>0</v>
      </c>
      <c r="DE39" s="314">
        <f t="shared" si="50"/>
        <v>28698.154394270328</v>
      </c>
      <c r="DF39" s="314" t="b">
        <f t="shared" si="63"/>
        <v>0</v>
      </c>
      <c r="DG39" s="109">
        <f t="shared" si="51"/>
        <v>178.60360512937552</v>
      </c>
      <c r="DH39" s="153">
        <f t="shared" si="52"/>
        <v>95.789378149023719</v>
      </c>
      <c r="DI39" s="106">
        <f t="shared" si="53"/>
        <v>7.799502778578063E-3</v>
      </c>
      <c r="DJ39" s="97">
        <f t="shared" si="54"/>
        <v>0</v>
      </c>
      <c r="DK39" s="153">
        <f t="shared" si="55"/>
        <v>0</v>
      </c>
      <c r="DL39" s="317">
        <f t="shared" si="56"/>
        <v>0</v>
      </c>
      <c r="DM39" s="300">
        <v>2375.3288955524572</v>
      </c>
      <c r="DN39" s="100">
        <f t="shared" si="57"/>
        <v>1361.8862493374897</v>
      </c>
      <c r="DO39" s="301">
        <v>1.1970783782637879</v>
      </c>
      <c r="DP39" s="41"/>
      <c r="DQ39" s="50" t="s">
        <v>151</v>
      </c>
      <c r="DR39" s="34"/>
      <c r="DS39" s="34"/>
      <c r="DT39" s="270">
        <v>0.09</v>
      </c>
      <c r="DU39" s="41"/>
      <c r="EI39" s="346"/>
      <c r="EJ39" s="339" t="e">
        <f>IF(AND(#REF!="Fresh Start",A39&gt;2019),AV39,IF(BD39-(AT39-AX39)&lt;0,0,BD39-(AT39-AX39)))</f>
        <v>#REF!</v>
      </c>
      <c r="EK39" s="339">
        <f t="shared" si="58"/>
        <v>4.7569085618246534E-2</v>
      </c>
      <c r="EL39" s="339" t="e">
        <f t="shared" si="65"/>
        <v>#DIV/0!</v>
      </c>
      <c r="EM39" s="339">
        <f t="shared" si="59"/>
        <v>0</v>
      </c>
      <c r="EN39" s="339">
        <v>7.5600000000000014E-2</v>
      </c>
      <c r="EO39" s="339">
        <v>0.14304146722243882</v>
      </c>
      <c r="EP39" s="340" t="e">
        <f t="shared" si="66"/>
        <v>#REF!</v>
      </c>
      <c r="EQ39" s="283"/>
      <c r="ER39" s="341">
        <v>30</v>
      </c>
      <c r="ES39" s="29">
        <f t="shared" si="79"/>
        <v>5025.875751130473</v>
      </c>
      <c r="ET39" s="29">
        <f t="shared" si="80"/>
        <v>4309.3623233026292</v>
      </c>
      <c r="EU39" s="29">
        <f t="shared" si="67"/>
        <v>-716.51342782784377</v>
      </c>
      <c r="EV39" s="29">
        <f t="shared" si="68"/>
        <v>-573.21074226227506</v>
      </c>
      <c r="EW39" s="29">
        <f t="shared" si="81"/>
        <v>-424.90522620331376</v>
      </c>
      <c r="EX39" s="29">
        <f t="shared" si="93"/>
        <v>-280.56278586010632</v>
      </c>
      <c r="EY39" s="29">
        <f t="shared" si="97"/>
        <v>-139.12337292371322</v>
      </c>
      <c r="EZ39" s="29">
        <f t="shared" si="69"/>
        <v>-1417.8021272494084</v>
      </c>
      <c r="FA39" s="29"/>
      <c r="FB39" s="29">
        <f t="shared" si="237"/>
        <v>1011.6365224365943</v>
      </c>
      <c r="FC39" s="29">
        <f t="shared" si="238"/>
        <v>866.84075909616638</v>
      </c>
      <c r="FD39" s="29">
        <f t="shared" si="191"/>
        <v>-144.79576334042792</v>
      </c>
      <c r="FE39" s="29">
        <f t="shared" si="192"/>
        <v>-115.83661067234235</v>
      </c>
      <c r="FF39" s="29">
        <f t="shared" si="193"/>
        <v>-78.406027574483119</v>
      </c>
      <c r="FG39" s="29">
        <f t="shared" si="194"/>
        <v>-46.953583542418393</v>
      </c>
      <c r="FH39" s="29">
        <f t="shared" si="195"/>
        <v>-20.977096078581049</v>
      </c>
      <c r="FI39" s="29">
        <f t="shared" si="196"/>
        <v>-262.17331786782489</v>
      </c>
      <c r="FJ39" s="29"/>
      <c r="FK39" s="41"/>
      <c r="FL39" s="27">
        <f t="shared" si="24"/>
        <v>9425.4182206076366</v>
      </c>
      <c r="FM39" s="41"/>
      <c r="FN39" s="308">
        <f t="shared" si="156"/>
        <v>950.69558680814703</v>
      </c>
      <c r="FO39" s="93">
        <f t="shared" si="197"/>
        <v>36.843155857494267</v>
      </c>
      <c r="FP39" s="27">
        <f t="shared" si="82"/>
        <v>20</v>
      </c>
      <c r="FQ39" s="309">
        <f t="shared" si="27"/>
        <v>13.512970250241354</v>
      </c>
      <c r="FR39" s="93">
        <f t="shared" si="60"/>
        <v>697.50898922013755</v>
      </c>
      <c r="FS39" s="93">
        <f t="shared" si="198"/>
        <v>987.53874266564128</v>
      </c>
      <c r="FT39" s="29">
        <f t="shared" si="83"/>
        <v>20</v>
      </c>
      <c r="FU39" s="142">
        <f t="shared" si="28"/>
        <v>13.512970250241354</v>
      </c>
      <c r="FV39" s="48">
        <v>-1441.132927342579</v>
      </c>
      <c r="FW39" s="29">
        <f t="shared" si="98"/>
        <v>786.56394117748277</v>
      </c>
      <c r="FX39" s="29">
        <f t="shared" si="157"/>
        <v>816.74471044184281</v>
      </c>
      <c r="FY39" s="29">
        <f t="shared" si="255"/>
        <v>785.33072780495013</v>
      </c>
      <c r="FZ39" s="29">
        <f t="shared" si="256"/>
        <v>747.41511665402288</v>
      </c>
      <c r="GA39" s="29">
        <f t="shared" si="257"/>
        <v>702.91235711261629</v>
      </c>
      <c r="GB39" s="29">
        <f t="shared" si="258"/>
        <v>657.19712571475543</v>
      </c>
      <c r="GC39" s="29">
        <f t="shared" si="259"/>
        <v>611.72159064122309</v>
      </c>
      <c r="GD39" s="29">
        <f t="shared" si="260"/>
        <v>568.39921670830768</v>
      </c>
      <c r="GE39" s="29">
        <f t="shared" si="261"/>
        <v>525.733035025905</v>
      </c>
      <c r="GF39" s="29">
        <f t="shared" si="262"/>
        <v>483.61462007128273</v>
      </c>
      <c r="GG39" s="29">
        <f t="shared" si="263"/>
        <v>441.94045590752222</v>
      </c>
      <c r="GH39" s="29">
        <f t="shared" si="264"/>
        <v>400.62920126496027</v>
      </c>
      <c r="GI39" s="29">
        <f t="shared" si="265"/>
        <v>360.02084892041592</v>
      </c>
      <c r="GJ39" s="29">
        <f t="shared" si="266"/>
        <v>319.20573998583575</v>
      </c>
      <c r="GK39" s="29">
        <f t="shared" si="267"/>
        <v>278.58739735876077</v>
      </c>
      <c r="GL39" s="29">
        <f t="shared" si="268"/>
        <v>238.41744735181501</v>
      </c>
      <c r="GM39" s="29">
        <f t="shared" si="269"/>
        <v>198.11880463205921</v>
      </c>
      <c r="GN39" s="29">
        <f t="shared" si="240"/>
        <v>158.18967159597113</v>
      </c>
      <c r="GO39" s="29">
        <f t="shared" si="241"/>
        <v>118.41122772319562</v>
      </c>
      <c r="GP39" s="29">
        <f t="shared" si="242"/>
        <v>78.795545645514551</v>
      </c>
      <c r="GQ39" s="29">
        <f t="shared" si="243"/>
        <v>39.333691311531219</v>
      </c>
      <c r="GR39" s="29">
        <f t="shared" si="244"/>
        <v>0</v>
      </c>
      <c r="GS39" s="29">
        <f t="shared" si="245"/>
        <v>0</v>
      </c>
      <c r="GT39" s="29">
        <f t="shared" si="246"/>
        <v>0</v>
      </c>
      <c r="GU39" s="29">
        <f t="shared" si="247"/>
        <v>0</v>
      </c>
      <c r="GV39" s="29">
        <f t="shared" si="248"/>
        <v>0</v>
      </c>
      <c r="GW39" s="29">
        <f t="shared" si="249"/>
        <v>0</v>
      </c>
      <c r="GX39" s="29">
        <f t="shared" si="250"/>
        <v>0</v>
      </c>
      <c r="GY39" s="29">
        <f t="shared" si="251"/>
        <v>0</v>
      </c>
      <c r="GZ39" s="29">
        <f t="shared" si="252"/>
        <v>0</v>
      </c>
      <c r="HA39" s="29">
        <f t="shared" si="253"/>
        <v>0</v>
      </c>
      <c r="HB39" s="29">
        <f t="shared" si="254"/>
        <v>0</v>
      </c>
      <c r="HC39" s="29"/>
      <c r="HD39" s="29">
        <f t="shared" si="29"/>
        <v>20</v>
      </c>
      <c r="HE39" s="29">
        <f t="shared" si="100"/>
        <v>0</v>
      </c>
      <c r="HF39" s="29">
        <f t="shared" si="101"/>
        <v>59.225686283522833</v>
      </c>
      <c r="HG39" s="29">
        <f t="shared" si="102"/>
        <v>58.951465567228666</v>
      </c>
      <c r="HH39" s="29">
        <f t="shared" si="103"/>
        <v>58.233870005467786</v>
      </c>
      <c r="HI39" s="29">
        <f t="shared" si="104"/>
        <v>57.013523159568074</v>
      </c>
      <c r="HJ39" s="29">
        <f t="shared" si="105"/>
        <v>55.678712752217621</v>
      </c>
      <c r="HK39" s="29">
        <f t="shared" si="106"/>
        <v>54.33909262825582</v>
      </c>
      <c r="HL39" s="29">
        <f t="shared" si="107"/>
        <v>53.169172128641087</v>
      </c>
      <c r="HM39" s="29">
        <f t="shared" si="108"/>
        <v>52.046222443530951</v>
      </c>
      <c r="HN39" s="29">
        <f t="shared" si="109"/>
        <v>50.964341037784095</v>
      </c>
      <c r="HO39" s="29">
        <f t="shared" si="110"/>
        <v>49.916975264183165</v>
      </c>
      <c r="HP39" s="29">
        <f t="shared" si="111"/>
        <v>48.898626574424441</v>
      </c>
      <c r="HQ39" s="29">
        <f t="shared" si="112"/>
        <v>47.958315425965004</v>
      </c>
      <c r="HR39" s="29">
        <f t="shared" si="113"/>
        <v>46.982051151502958</v>
      </c>
      <c r="HS39" s="29">
        <f t="shared" si="114"/>
        <v>46.01875800065816</v>
      </c>
      <c r="HT39" s="29">
        <f t="shared" si="115"/>
        <v>45.115533956727596</v>
      </c>
      <c r="HU39" s="29">
        <f t="shared" si="116"/>
        <v>44.168277880871791</v>
      </c>
      <c r="HV39" s="29">
        <f t="shared" si="117"/>
        <v>43.274884679855276</v>
      </c>
      <c r="HW39" s="29">
        <f t="shared" si="118"/>
        <v>42.393566656372286</v>
      </c>
      <c r="HX39" s="29">
        <f t="shared" si="119"/>
        <v>41.52962782075501</v>
      </c>
      <c r="HY39" s="29">
        <f t="shared" si="120"/>
        <v>40.687086664495709</v>
      </c>
      <c r="HZ39" s="29">
        <f t="shared" si="121"/>
        <v>0</v>
      </c>
      <c r="IA39" s="29">
        <f t="shared" si="122"/>
        <v>0</v>
      </c>
      <c r="IB39" s="29">
        <f t="shared" si="123"/>
        <v>0</v>
      </c>
      <c r="IC39" s="29">
        <f t="shared" si="124"/>
        <v>0</v>
      </c>
      <c r="ID39" s="29">
        <f t="shared" si="125"/>
        <v>0</v>
      </c>
      <c r="IE39" s="29">
        <f t="shared" si="126"/>
        <v>0</v>
      </c>
      <c r="IF39" s="29">
        <f t="shared" si="127"/>
        <v>0</v>
      </c>
      <c r="IG39" s="29">
        <f t="shared" si="128"/>
        <v>0</v>
      </c>
      <c r="IH39" s="29">
        <f t="shared" si="129"/>
        <v>0</v>
      </c>
      <c r="II39" s="29">
        <f t="shared" si="130"/>
        <v>0</v>
      </c>
      <c r="IJ39" s="29">
        <f t="shared" si="131"/>
        <v>0</v>
      </c>
      <c r="IK39" s="48"/>
      <c r="IL39" s="5"/>
      <c r="IM39" s="5"/>
      <c r="IN39" s="29">
        <f t="shared" si="199"/>
        <v>102.70373044475195</v>
      </c>
      <c r="IO39" s="29">
        <f t="shared" si="239"/>
        <v>96.642299535722458</v>
      </c>
      <c r="IP39" s="29">
        <f t="shared" si="287"/>
        <v>83.015458692293635</v>
      </c>
      <c r="IQ39" s="29">
        <f t="shared" si="288"/>
        <v>71.066334880190809</v>
      </c>
      <c r="IR39" s="29">
        <f t="shared" si="289"/>
        <v>60.739544218474627</v>
      </c>
      <c r="IS39" s="29">
        <f t="shared" si="290"/>
        <v>50.552395723713246</v>
      </c>
      <c r="IT39" s="29">
        <f t="shared" si="291"/>
        <v>41.963511680652928</v>
      </c>
      <c r="IU39" s="29">
        <f t="shared" si="292"/>
        <v>34.263871029073115</v>
      </c>
      <c r="IV39" s="29">
        <f t="shared" si="293"/>
        <v>27.445110626308072</v>
      </c>
      <c r="IW39" s="29">
        <f t="shared" si="294"/>
        <v>21.489022410834639</v>
      </c>
      <c r="IX39" s="29">
        <f t="shared" si="295"/>
        <v>16.378605405521611</v>
      </c>
      <c r="IY39" s="29">
        <f t="shared" si="296"/>
        <v>12.079502869395576</v>
      </c>
      <c r="IZ39" s="29">
        <f t="shared" si="297"/>
        <v>8.1584065831902457</v>
      </c>
      <c r="JA39" s="29">
        <f t="shared" si="298"/>
        <v>5.3835342650421456</v>
      </c>
      <c r="JB39" s="29">
        <f t="shared" si="299"/>
        <v>3.2745474300393149</v>
      </c>
      <c r="JC39" s="29">
        <f t="shared" si="300"/>
        <v>1.4958728034136848</v>
      </c>
      <c r="JD39" s="29">
        <f t="shared" si="301"/>
        <v>0.51866934713773061</v>
      </c>
      <c r="JE39" s="29">
        <f t="shared" si="270"/>
        <v>-0.20222230653292719</v>
      </c>
      <c r="JF39" s="29">
        <f t="shared" si="271"/>
        <v>-0.51168391555687021</v>
      </c>
      <c r="JG39" s="29">
        <f t="shared" si="272"/>
        <v>-0.50330217266993738</v>
      </c>
      <c r="JH39" s="29">
        <f t="shared" si="273"/>
        <v>-0.28853339139946976</v>
      </c>
      <c r="JI39" s="29">
        <f t="shared" si="274"/>
        <v>0</v>
      </c>
      <c r="JJ39" s="29">
        <f t="shared" si="275"/>
        <v>0</v>
      </c>
      <c r="JK39" s="29">
        <f t="shared" si="276"/>
        <v>0</v>
      </c>
      <c r="JL39" s="29">
        <f t="shared" si="277"/>
        <v>0</v>
      </c>
      <c r="JM39" s="29">
        <f t="shared" si="278"/>
        <v>0</v>
      </c>
      <c r="JN39" s="29">
        <f t="shared" si="279"/>
        <v>0</v>
      </c>
      <c r="JO39" s="29">
        <f t="shared" si="280"/>
        <v>0</v>
      </c>
      <c r="JP39" s="29">
        <f t="shared" si="281"/>
        <v>0</v>
      </c>
      <c r="JQ39" s="29">
        <f t="shared" si="282"/>
        <v>0</v>
      </c>
      <c r="JR39" s="29">
        <f t="shared" si="283"/>
        <v>0</v>
      </c>
      <c r="JS39" s="29">
        <f t="shared" si="284"/>
        <v>0</v>
      </c>
      <c r="JT39" s="5"/>
      <c r="JU39" s="401">
        <f t="shared" si="201"/>
        <v>20</v>
      </c>
      <c r="JV39" s="29">
        <f t="shared" si="202"/>
        <v>0</v>
      </c>
      <c r="JW39" s="29">
        <f t="shared" si="203"/>
        <v>7.0079505148243086</v>
      </c>
      <c r="JX39" s="29">
        <f t="shared" si="204"/>
        <v>6.2316203624492825</v>
      </c>
      <c r="JY39" s="29">
        <f t="shared" si="205"/>
        <v>5.5370404143080263</v>
      </c>
      <c r="JZ39" s="29">
        <f t="shared" si="206"/>
        <v>4.9266105168880898</v>
      </c>
      <c r="KA39" s="29">
        <f t="shared" si="207"/>
        <v>4.2828737532530399</v>
      </c>
      <c r="KB39" s="29">
        <f t="shared" si="208"/>
        <v>3.7276093947111875</v>
      </c>
      <c r="KC39" s="29">
        <f t="shared" si="209"/>
        <v>3.2051093720511807</v>
      </c>
      <c r="KD39" s="29">
        <f t="shared" si="210"/>
        <v>2.716995580416135</v>
      </c>
      <c r="KE39" s="29">
        <f t="shared" si="211"/>
        <v>2.2645590543828846</v>
      </c>
      <c r="KF39" s="29">
        <f t="shared" si="212"/>
        <v>1.8499560969370019</v>
      </c>
      <c r="KG39" s="29">
        <f t="shared" si="213"/>
        <v>1.4743585793303577</v>
      </c>
      <c r="KH39" s="29">
        <f t="shared" si="214"/>
        <v>1.0867799391706827</v>
      </c>
      <c r="KI39" s="29">
        <f t="shared" si="215"/>
        <v>0.79237134716719793</v>
      </c>
      <c r="KJ39" s="29">
        <f t="shared" si="216"/>
        <v>0.54090962898296224</v>
      </c>
      <c r="KK39" s="29">
        <f t="shared" si="217"/>
        <v>0.28306275822913946</v>
      </c>
      <c r="KL39" s="29">
        <f t="shared" si="218"/>
        <v>0.11563128444680001</v>
      </c>
      <c r="KM39" s="29">
        <f t="shared" si="219"/>
        <v>-5.5320596513139537E-2</v>
      </c>
      <c r="KN39" s="29">
        <f t="shared" si="220"/>
        <v>-0.18319298429927919</v>
      </c>
      <c r="KO39" s="29">
        <f t="shared" si="221"/>
        <v>-0.26526819176294031</v>
      </c>
      <c r="KP39" s="29">
        <f t="shared" si="222"/>
        <v>-0.29846126081813901</v>
      </c>
      <c r="KQ39" s="29">
        <f t="shared" si="223"/>
        <v>0</v>
      </c>
      <c r="KR39" s="29">
        <f t="shared" si="224"/>
        <v>0</v>
      </c>
      <c r="KS39" s="29">
        <f t="shared" si="225"/>
        <v>0</v>
      </c>
      <c r="KT39" s="29">
        <f t="shared" si="226"/>
        <v>0</v>
      </c>
      <c r="KU39" s="29">
        <f t="shared" si="227"/>
        <v>0</v>
      </c>
      <c r="KV39" s="29">
        <f t="shared" si="228"/>
        <v>0</v>
      </c>
      <c r="KW39" s="29">
        <f t="shared" si="229"/>
        <v>0</v>
      </c>
      <c r="KX39" s="29">
        <f t="shared" si="230"/>
        <v>0</v>
      </c>
      <c r="KY39" s="29">
        <f t="shared" si="231"/>
        <v>0</v>
      </c>
      <c r="KZ39" s="29">
        <f t="shared" si="232"/>
        <v>0</v>
      </c>
      <c r="LA39" s="29">
        <f t="shared" si="233"/>
        <v>0</v>
      </c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39"/>
      <c r="LP39" s="39"/>
      <c r="LQ39" s="39"/>
      <c r="LR39" s="5"/>
      <c r="LS39" s="39"/>
      <c r="LT39" s="166">
        <v>7.7046666666666652E-2</v>
      </c>
      <c r="LU39" s="115">
        <f t="shared" si="70"/>
        <v>1.2491089851628631E-17</v>
      </c>
      <c r="LV39" s="157">
        <f t="shared" si="15"/>
        <v>2.4669495943693557E-13</v>
      </c>
      <c r="LW39" s="229" t="e">
        <f>LW38*(1+#REF!)</f>
        <v>#REF!</v>
      </c>
      <c r="LX39" s="158"/>
      <c r="LY39" s="129">
        <f t="shared" si="71"/>
        <v>-985.39493281491741</v>
      </c>
      <c r="LZ39" s="130">
        <f t="shared" si="72"/>
        <v>-1953.7310168382974</v>
      </c>
      <c r="MA39" s="39"/>
      <c r="MB39" s="381">
        <f t="shared" si="285"/>
        <v>6.0000000000000019E-2</v>
      </c>
      <c r="MC39" s="394">
        <f t="shared" si="177"/>
        <v>-1171.6396496487037</v>
      </c>
      <c r="MD39" s="157">
        <f t="shared" si="158"/>
        <v>-5763.5019775402789</v>
      </c>
      <c r="ME39" s="39"/>
      <c r="MF39" s="381">
        <f t="shared" si="286"/>
        <v>6.0000000000000019E-2</v>
      </c>
      <c r="MG39" s="394">
        <f t="shared" si="178"/>
        <v>-45.542015837562587</v>
      </c>
      <c r="MH39" s="157">
        <f t="shared" si="159"/>
        <v>-224.02920421792086</v>
      </c>
      <c r="MI39" s="39"/>
      <c r="MJ39" s="39"/>
      <c r="MK39" s="39"/>
      <c r="ML39" s="39"/>
      <c r="MM39" s="39"/>
      <c r="MN39" s="39"/>
      <c r="MO39" s="39"/>
      <c r="MP39" s="39"/>
      <c r="MQ39" s="39"/>
      <c r="MR39" s="39"/>
      <c r="MS39" s="39"/>
      <c r="MT39" s="39"/>
      <c r="MU39" s="39"/>
      <c r="MV39" s="39"/>
    </row>
    <row r="40" spans="1:360" ht="12.75" customHeight="1" x14ac:dyDescent="0.3">
      <c r="A40" s="305">
        <f t="shared" si="91"/>
        <v>2049</v>
      </c>
      <c r="B40" s="355">
        <f t="shared" si="1"/>
        <v>2047</v>
      </c>
      <c r="C40" s="26">
        <v>53874</v>
      </c>
      <c r="D40" s="96">
        <f t="shared" si="132"/>
        <v>3373.8224536596458</v>
      </c>
      <c r="E40" s="27">
        <f t="shared" si="133"/>
        <v>3373.8224536596454</v>
      </c>
      <c r="F40" s="111">
        <f t="shared" si="18"/>
        <v>20838.315154956632</v>
      </c>
      <c r="G40" s="27">
        <f t="shared" si="134"/>
        <v>24528.228437767571</v>
      </c>
      <c r="H40" s="27">
        <f t="shared" si="135"/>
        <v>3924.516550042812</v>
      </c>
      <c r="I40" s="296">
        <f t="shared" si="136"/>
        <v>3335.8390675363903</v>
      </c>
      <c r="J40" s="273">
        <f>J39/J38*J39</f>
        <v>1060.7426390577104</v>
      </c>
      <c r="K40" s="297">
        <f t="shared" si="160"/>
        <v>2275.0964284786796</v>
      </c>
      <c r="L40" s="297">
        <f t="shared" si="137"/>
        <v>20603.711887724759</v>
      </c>
      <c r="M40" s="297">
        <f t="shared" si="161"/>
        <v>17513.155104566045</v>
      </c>
      <c r="N40" s="27">
        <f t="shared" si="162"/>
        <v>0</v>
      </c>
      <c r="O40" s="297">
        <f t="shared" si="138"/>
        <v>588.67748250642182</v>
      </c>
      <c r="P40" s="297">
        <f t="shared" si="139"/>
        <v>3090.5567831587136</v>
      </c>
      <c r="Q40" s="297">
        <f t="shared" si="140"/>
        <v>1063.7042235193703</v>
      </c>
      <c r="R40" s="260">
        <f t="shared" si="2"/>
        <v>0.16000000000000003</v>
      </c>
      <c r="S40" s="257">
        <v>0.84</v>
      </c>
      <c r="T40" s="290">
        <f t="shared" si="163"/>
        <v>7.2499999999999995E-2</v>
      </c>
      <c r="U40" s="290">
        <f t="shared" si="164"/>
        <v>7.2499999999999995E-2</v>
      </c>
      <c r="V40" s="27">
        <f t="shared" si="4"/>
        <v>102329.21636938666</v>
      </c>
      <c r="W40" s="27">
        <f t="shared" si="141"/>
        <v>84558.211832815461</v>
      </c>
      <c r="X40" s="27">
        <f t="shared" si="179"/>
        <v>17771.004536571203</v>
      </c>
      <c r="Y40" s="27">
        <f t="shared" si="142"/>
        <v>336.28537022938013</v>
      </c>
      <c r="Z40" s="27">
        <f t="shared" si="180"/>
        <v>1633.977371256012</v>
      </c>
      <c r="AA40" s="115">
        <f t="shared" si="165"/>
        <v>7.0000000000000007E-2</v>
      </c>
      <c r="AB40" s="115">
        <f t="shared" si="166"/>
        <v>7.0000000000000007E-2</v>
      </c>
      <c r="AC40" s="96">
        <f t="shared" si="6"/>
        <v>105145.32716154416</v>
      </c>
      <c r="AD40" s="27">
        <f t="shared" si="143"/>
        <v>86885.262711895295</v>
      </c>
      <c r="AE40" s="27">
        <f t="shared" si="181"/>
        <v>18260.064449648871</v>
      </c>
      <c r="AF40" s="150">
        <f t="shared" si="144"/>
        <v>353.94879925376313</v>
      </c>
      <c r="AG40" s="27">
        <f t="shared" si="234"/>
        <v>1719.8022268093237</v>
      </c>
      <c r="AH40" s="27">
        <f t="shared" si="167"/>
        <v>94646.773877791537</v>
      </c>
      <c r="AI40" s="27">
        <f t="shared" si="145"/>
        <v>77136.868727911205</v>
      </c>
      <c r="AJ40" s="27">
        <f t="shared" si="182"/>
        <v>17509.905149880335</v>
      </c>
      <c r="AK40" s="27">
        <f t="shared" si="10"/>
        <v>92920.944778929377</v>
      </c>
      <c r="AL40" s="27">
        <f t="shared" si="168"/>
        <v>75701.474885829244</v>
      </c>
      <c r="AM40" s="27">
        <f t="shared" si="235"/>
        <v>17219.469893100137</v>
      </c>
      <c r="AN40" s="417">
        <f>INDEX(Inv.Returns!$B$2:$E$32,MATCH(B40,Inv.Returns!$A$2:$A$32,0),MATCH(SCRS!$DT$52,Inv.Returns!$B$1:$E$1,0))</f>
        <v>0.06</v>
      </c>
      <c r="AO40" s="27">
        <f>AC40-AH40</f>
        <v>10498.553283752626</v>
      </c>
      <c r="AP40" s="229">
        <f t="shared" si="11"/>
        <v>12224.382382614785</v>
      </c>
      <c r="AQ40" s="68">
        <f>AH40/AC40</f>
        <v>0.90015197472710551</v>
      </c>
      <c r="AR40" s="151">
        <f>AK40/AC40</f>
        <v>0.88373822486820197</v>
      </c>
      <c r="AS40" s="353"/>
      <c r="AT40" s="289">
        <f t="shared" si="94"/>
        <v>0.10801798919453591</v>
      </c>
      <c r="AU40" s="397">
        <f t="shared" si="169"/>
        <v>9.9400593584701089E-2</v>
      </c>
      <c r="AV40" s="303">
        <f t="shared" si="95"/>
        <v>4.0357402808114118E-2</v>
      </c>
      <c r="AW40" s="303">
        <f t="shared" si="146"/>
        <v>2.8762623286998018E-3</v>
      </c>
      <c r="AX40" s="115">
        <f t="shared" si="61"/>
        <v>5.4999999999999973E-2</v>
      </c>
      <c r="AY40" s="115">
        <f t="shared" si="147"/>
        <v>5.4999999999999973E-2</v>
      </c>
      <c r="AZ40" s="115">
        <f t="shared" si="148"/>
        <v>0</v>
      </c>
      <c r="BA40" s="262">
        <f t="shared" si="21"/>
        <v>5.3017989194535937E-2</v>
      </c>
      <c r="BB40" s="115">
        <f t="shared" si="170"/>
        <v>4.4400593584701116E-2</v>
      </c>
      <c r="BC40" s="133">
        <f t="shared" si="77"/>
        <v>0.11559999999999999</v>
      </c>
      <c r="BD40" s="133">
        <f t="shared" si="96"/>
        <v>0.11559999999999999</v>
      </c>
      <c r="BE40" s="410">
        <f t="shared" si="12"/>
        <v>6.258201080546405E-2</v>
      </c>
      <c r="BF40" s="410">
        <f t="shared" si="149"/>
        <v>7.1199406415298871E-2</v>
      </c>
      <c r="BG40" s="410">
        <f t="shared" si="171"/>
        <v>6.5599999999999992E-2</v>
      </c>
      <c r="BH40" s="410">
        <f t="shared" si="23"/>
        <v>0.11559999999999999</v>
      </c>
      <c r="BI40" s="157">
        <f t="shared" si="37"/>
        <v>9.7752462796228183</v>
      </c>
      <c r="BJ40" s="104">
        <f t="shared" si="38"/>
        <v>3.8834951456310662E-2</v>
      </c>
      <c r="BK40" s="27">
        <f t="shared" si="62"/>
        <v>11.937247872401164</v>
      </c>
      <c r="BL40" s="27">
        <f t="shared" si="14"/>
        <v>20</v>
      </c>
      <c r="BM40" s="111">
        <f t="shared" si="26"/>
        <v>6.5794992934889978</v>
      </c>
      <c r="BN40" s="27"/>
      <c r="BO40" s="27"/>
      <c r="BP40" s="96">
        <f t="shared" si="172"/>
        <v>-4350.0391889174407</v>
      </c>
      <c r="BQ40" s="27">
        <f t="shared" si="183"/>
        <v>-1094.5721940353781</v>
      </c>
      <c r="BR40" s="27">
        <f t="shared" si="173"/>
        <v>-169.08744398936636</v>
      </c>
      <c r="BS40" s="27">
        <f t="shared" si="184"/>
        <v>-42.546378667759505</v>
      </c>
      <c r="BT40" s="27">
        <f t="shared" si="150"/>
        <v>-4.0030068810436683</v>
      </c>
      <c r="BU40" s="27">
        <f t="shared" si="185"/>
        <v>-21.015786125479252</v>
      </c>
      <c r="BV40" s="304">
        <f t="shared" si="151"/>
        <v>216.82953938986529</v>
      </c>
      <c r="BW40" s="304">
        <f t="shared" si="186"/>
        <v>1138.3550817967925</v>
      </c>
      <c r="BX40" s="304">
        <f t="shared" si="187"/>
        <v>0</v>
      </c>
      <c r="BY40" s="304">
        <f t="shared" si="152"/>
        <v>69.140774528759039</v>
      </c>
      <c r="BZ40" s="304">
        <f t="shared" si="78"/>
        <v>141.12226674494158</v>
      </c>
      <c r="CA40" s="304">
        <f t="shared" si="188"/>
        <v>602.46293113801039</v>
      </c>
      <c r="CB40" s="304">
        <f t="shared" si="236"/>
        <v>996.56579008202823</v>
      </c>
      <c r="CC40" s="304">
        <f t="shared" si="189"/>
        <v>0</v>
      </c>
      <c r="CD40" s="304">
        <f t="shared" si="190"/>
        <v>45.241195564154758</v>
      </c>
      <c r="CE40" s="304"/>
      <c r="CF40" s="304">
        <f t="shared" si="174"/>
        <v>0</v>
      </c>
      <c r="CG40" s="304">
        <f t="shared" si="153"/>
        <v>0</v>
      </c>
      <c r="CH40" s="304">
        <f t="shared" si="175"/>
        <v>0</v>
      </c>
      <c r="CI40" s="27"/>
      <c r="CJ40" s="27">
        <f t="shared" si="39"/>
        <v>0</v>
      </c>
      <c r="CK40" s="27">
        <f t="shared" si="40"/>
        <v>0</v>
      </c>
      <c r="CL40" s="27">
        <f t="shared" si="41"/>
        <v>0</v>
      </c>
      <c r="CM40" s="109">
        <f t="shared" si="42"/>
        <v>3209.7175792445519</v>
      </c>
      <c r="CN40" s="27">
        <f t="shared" si="43"/>
        <v>0</v>
      </c>
      <c r="CO40" s="112">
        <f>SUM(CM40:CN40)</f>
        <v>3209.7175792445519</v>
      </c>
      <c r="CP40" s="27">
        <f t="shared" si="154"/>
        <v>1041.806985646183</v>
      </c>
      <c r="CQ40" s="27">
        <f t="shared" si="155"/>
        <v>0</v>
      </c>
      <c r="CR40" s="27">
        <f t="shared" si="176"/>
        <v>1041.806985646183</v>
      </c>
      <c r="CS40" s="27">
        <f>SUM($CR$14:CR40)</f>
        <v>66261.755204878413</v>
      </c>
      <c r="CT40" s="229">
        <v>3437.9663467579803</v>
      </c>
      <c r="CU40" s="425">
        <v>696.32767030938771</v>
      </c>
      <c r="CV40" s="425">
        <v>4134.2940170673683</v>
      </c>
      <c r="CW40" s="425">
        <v>78654.66506397273</v>
      </c>
      <c r="CX40" s="107">
        <f t="shared" si="44"/>
        <v>183.96171328325678</v>
      </c>
      <c r="CY40" s="115">
        <f t="shared" si="92"/>
        <v>7.6952136553228925E-2</v>
      </c>
      <c r="CZ40" s="96">
        <f t="shared" si="45"/>
        <v>1969.3538968123919</v>
      </c>
      <c r="DA40" s="418">
        <f t="shared" si="46"/>
        <v>1104.2757447785987</v>
      </c>
      <c r="DB40" s="314">
        <f t="shared" si="47"/>
        <v>546.45081935769281</v>
      </c>
      <c r="DC40" s="314">
        <f t="shared" si="48"/>
        <v>390.02689197112898</v>
      </c>
      <c r="DD40" s="314">
        <f t="shared" si="49"/>
        <v>0</v>
      </c>
      <c r="DE40" s="314">
        <f t="shared" si="50"/>
        <v>28258.105241842317</v>
      </c>
      <c r="DF40" s="314" t="b">
        <f>ROUND(SUM(DB40:DD40),0)=ROUND(DA40,0)</f>
        <v>0</v>
      </c>
      <c r="DG40" s="109">
        <f>CX40</f>
        <v>183.96171328325678</v>
      </c>
      <c r="DH40" s="153">
        <f t="shared" si="52"/>
        <v>96.491989724688935</v>
      </c>
      <c r="DI40" s="106">
        <f>DG40/$L43</f>
        <v>7.626180494609662E-3</v>
      </c>
      <c r="DJ40" s="97">
        <f>CN40</f>
        <v>0</v>
      </c>
      <c r="DK40" s="153">
        <f t="shared" si="55"/>
        <v>0</v>
      </c>
      <c r="DL40" s="317">
        <f>DJ40/$I40</f>
        <v>0</v>
      </c>
      <c r="DM40" s="300">
        <v>2190.6694358061623</v>
      </c>
      <c r="DN40" s="100">
        <f t="shared" si="57"/>
        <v>1228.3739995661203</v>
      </c>
      <c r="DO40" s="301">
        <v>1.2134137491985475</v>
      </c>
      <c r="DP40" s="41"/>
      <c r="DQ40" s="53" t="s">
        <v>172</v>
      </c>
      <c r="DR40" s="42"/>
      <c r="DS40" s="42"/>
      <c r="DT40" s="265">
        <v>0.01</v>
      </c>
      <c r="DU40" s="41"/>
      <c r="EI40" s="346"/>
      <c r="EJ40" s="339" t="e">
        <f>IF(AND(#REF!="Fresh Start",A40&gt;2019),AV40,IF(BD40-(AT40-AX40)&lt;0,0,BD40-(AT40-AX40)))</f>
        <v>#REF!</v>
      </c>
      <c r="EK40" s="339">
        <f t="shared" si="58"/>
        <v>5.3017989194535937E-2</v>
      </c>
      <c r="EL40" s="339" t="e">
        <f>DH40/$DF40</f>
        <v>#DIV/0!</v>
      </c>
      <c r="EM40" s="339">
        <f t="shared" si="59"/>
        <v>0</v>
      </c>
      <c r="EN40" s="339">
        <v>6.5600000000000019E-2</v>
      </c>
      <c r="EO40" s="339">
        <v>2.4647249465779036E-2</v>
      </c>
      <c r="EP40" s="340" t="e">
        <f>SUM(EJ40:EL40)</f>
        <v>#REF!</v>
      </c>
      <c r="ES40" s="29">
        <f t="shared" si="79"/>
        <v>5101.4055911861342</v>
      </c>
      <c r="ET40" s="29">
        <f t="shared" si="80"/>
        <v>4373.9877891198958</v>
      </c>
      <c r="EU40" s="29">
        <f>ET40-ES40</f>
        <v>-727.41780206623844</v>
      </c>
      <c r="EV40" s="29">
        <f>EU40*4/5</f>
        <v>-581.93424165299075</v>
      </c>
      <c r="EW40" s="29">
        <f>EV39*(3/4)</f>
        <v>-429.9080566967063</v>
      </c>
      <c r="EX40" s="29">
        <f>EW39*(2/3)</f>
        <v>-283.27015080220917</v>
      </c>
      <c r="EY40" s="29">
        <f>EX39*(1/2)</f>
        <v>-140.28139293005316</v>
      </c>
      <c r="EZ40" s="29">
        <f>SUM(EV40:EY40)</f>
        <v>-1435.3938420819595</v>
      </c>
      <c r="FA40" s="29"/>
      <c r="FB40" s="29">
        <f t="shared" si="237"/>
        <v>1116.4195569622589</v>
      </c>
      <c r="FC40" s="29">
        <f t="shared" si="238"/>
        <v>956.65665451841357</v>
      </c>
      <c r="FD40" s="29">
        <f t="shared" si="191"/>
        <v>-159.76290244384529</v>
      </c>
      <c r="FE40" s="29">
        <f t="shared" si="192"/>
        <v>-127.81032195507623</v>
      </c>
      <c r="FF40" s="29">
        <f t="shared" si="193"/>
        <v>-86.877458004256766</v>
      </c>
      <c r="FG40" s="29">
        <f t="shared" si="194"/>
        <v>-52.270685049655413</v>
      </c>
      <c r="FH40" s="29">
        <f t="shared" si="195"/>
        <v>-23.476791771209196</v>
      </c>
      <c r="FI40" s="29">
        <f t="shared" si="196"/>
        <v>-290.43525678019762</v>
      </c>
      <c r="FJ40" s="41"/>
      <c r="FK40" s="41"/>
      <c r="FL40" s="27">
        <f t="shared" si="24"/>
        <v>9952.9471492095763</v>
      </c>
      <c r="FM40" s="41"/>
      <c r="FN40" s="308">
        <f t="shared" si="156"/>
        <v>996.56579008202834</v>
      </c>
      <c r="FO40" s="93">
        <f t="shared" si="197"/>
        <v>45.241195564154765</v>
      </c>
      <c r="FP40" s="27">
        <f t="shared" si="82"/>
        <v>20</v>
      </c>
      <c r="FQ40" s="309">
        <f t="shared" si="27"/>
        <v>13.512970250241354</v>
      </c>
      <c r="FR40" s="93">
        <f>FL40/FQ40</f>
        <v>736.54769935068919</v>
      </c>
      <c r="FS40" s="93">
        <f t="shared" si="198"/>
        <v>1041.8069856461832</v>
      </c>
      <c r="FT40" s="29">
        <f>FP40</f>
        <v>20</v>
      </c>
      <c r="FU40" s="142">
        <f t="shared" si="28"/>
        <v>13.512970250241354</v>
      </c>
      <c r="FV40" s="48">
        <v>-1653.2118643223848</v>
      </c>
      <c r="FW40" s="29">
        <f t="shared" si="98"/>
        <v>809.75740673802284</v>
      </c>
      <c r="FX40" s="29">
        <f t="shared" si="157"/>
        <v>841.62341705990661</v>
      </c>
      <c r="FY40" s="29">
        <f t="shared" si="255"/>
        <v>812.65331391238544</v>
      </c>
      <c r="FZ40" s="29">
        <f t="shared" si="256"/>
        <v>779.32400860547864</v>
      </c>
      <c r="GA40" s="29">
        <f t="shared" si="257"/>
        <v>739.49659129489305</v>
      </c>
      <c r="GB40" s="29">
        <f t="shared" si="258"/>
        <v>693.1409751785767</v>
      </c>
      <c r="GC40" s="29">
        <f t="shared" si="259"/>
        <v>645.60641620448121</v>
      </c>
      <c r="GD40" s="29">
        <f t="shared" si="260"/>
        <v>598.33330750696587</v>
      </c>
      <c r="GE40" s="29">
        <f t="shared" si="261"/>
        <v>553.18854257354474</v>
      </c>
      <c r="GF40" s="29">
        <f t="shared" si="262"/>
        <v>508.69731635984925</v>
      </c>
      <c r="GG40" s="29">
        <f t="shared" si="263"/>
        <v>464.74971918638181</v>
      </c>
      <c r="GH40" s="29">
        <f t="shared" si="264"/>
        <v>421.24176711162579</v>
      </c>
      <c r="GI40" s="29">
        <f t="shared" si="265"/>
        <v>378.09211271963346</v>
      </c>
      <c r="GJ40" s="29">
        <f t="shared" si="266"/>
        <v>335.61384112612222</v>
      </c>
      <c r="GK40" s="29">
        <f t="shared" si="267"/>
        <v>292.95153018399077</v>
      </c>
      <c r="GL40" s="29">
        <f t="shared" si="268"/>
        <v>250.48634175628985</v>
      </c>
      <c r="GM40" s="29">
        <f t="shared" si="269"/>
        <v>208.43879746478254</v>
      </c>
      <c r="GN40" s="29">
        <f t="shared" si="240"/>
        <v>166.29909905855382</v>
      </c>
      <c r="GO40" s="29">
        <f t="shared" si="241"/>
        <v>124.49905982288169</v>
      </c>
      <c r="GP40" s="29">
        <f t="shared" si="242"/>
        <v>82.847767331189345</v>
      </c>
      <c r="GQ40" s="29">
        <f t="shared" si="243"/>
        <v>41.35265278853408</v>
      </c>
      <c r="GR40" s="29">
        <f t="shared" si="244"/>
        <v>0</v>
      </c>
      <c r="GS40" s="29">
        <f t="shared" si="245"/>
        <v>0</v>
      </c>
      <c r="GT40" s="29">
        <f t="shared" si="246"/>
        <v>0</v>
      </c>
      <c r="GU40" s="29">
        <f t="shared" si="247"/>
        <v>0</v>
      </c>
      <c r="GV40" s="29">
        <f t="shared" si="248"/>
        <v>0</v>
      </c>
      <c r="GW40" s="29">
        <f t="shared" si="249"/>
        <v>0</v>
      </c>
      <c r="GX40" s="29">
        <f t="shared" si="250"/>
        <v>0</v>
      </c>
      <c r="GY40" s="29">
        <f t="shared" si="251"/>
        <v>0</v>
      </c>
      <c r="GZ40" s="29">
        <f t="shared" si="252"/>
        <v>0</v>
      </c>
      <c r="HA40" s="29">
        <f t="shared" si="253"/>
        <v>0</v>
      </c>
      <c r="HB40" s="29">
        <f t="shared" si="254"/>
        <v>0</v>
      </c>
      <c r="HC40" s="29"/>
      <c r="HD40" s="29">
        <f t="shared" si="29"/>
        <v>20</v>
      </c>
      <c r="HE40" s="29">
        <f t="shared" si="100"/>
        <v>0</v>
      </c>
      <c r="HF40" s="29">
        <f t="shared" si="101"/>
        <v>61.029748745713917</v>
      </c>
      <c r="HG40" s="29">
        <f t="shared" si="102"/>
        <v>61.002456872028546</v>
      </c>
      <c r="HH40" s="29">
        <f t="shared" si="103"/>
        <v>60.720009534245527</v>
      </c>
      <c r="HI40" s="29">
        <f t="shared" si="104"/>
        <v>59.980886105631811</v>
      </c>
      <c r="HJ40" s="29">
        <f t="shared" si="105"/>
        <v>58.723928854355123</v>
      </c>
      <c r="HK40" s="29">
        <f t="shared" si="106"/>
        <v>57.349074134784146</v>
      </c>
      <c r="HL40" s="29">
        <f t="shared" si="107"/>
        <v>55.969265407103492</v>
      </c>
      <c r="HM40" s="29">
        <f t="shared" si="108"/>
        <v>54.764247292500336</v>
      </c>
      <c r="HN40" s="29">
        <f t="shared" si="109"/>
        <v>53.60760911683689</v>
      </c>
      <c r="HO40" s="29">
        <f t="shared" si="110"/>
        <v>52.493271268917624</v>
      </c>
      <c r="HP40" s="29">
        <f t="shared" si="111"/>
        <v>51.414484522108665</v>
      </c>
      <c r="HQ40" s="29">
        <f t="shared" si="112"/>
        <v>50.365585371657168</v>
      </c>
      <c r="HR40" s="29">
        <f t="shared" si="113"/>
        <v>49.397064888743962</v>
      </c>
      <c r="HS40" s="29">
        <f t="shared" si="114"/>
        <v>48.391512686048038</v>
      </c>
      <c r="HT40" s="29">
        <f t="shared" si="115"/>
        <v>47.399320740677908</v>
      </c>
      <c r="HU40" s="29">
        <f t="shared" si="116"/>
        <v>46.46899997542944</v>
      </c>
      <c r="HV40" s="29">
        <f t="shared" si="117"/>
        <v>45.493326217297948</v>
      </c>
      <c r="HW40" s="29">
        <f t="shared" si="118"/>
        <v>44.573131220250957</v>
      </c>
      <c r="HX40" s="29">
        <f t="shared" si="119"/>
        <v>43.665373656063487</v>
      </c>
      <c r="HY40" s="29">
        <f t="shared" si="120"/>
        <v>42.775516655377636</v>
      </c>
      <c r="HZ40" s="29">
        <f t="shared" si="121"/>
        <v>0</v>
      </c>
      <c r="IA40" s="29">
        <f t="shared" si="122"/>
        <v>0</v>
      </c>
      <c r="IB40" s="29">
        <f t="shared" si="123"/>
        <v>0</v>
      </c>
      <c r="IC40" s="29">
        <f t="shared" si="124"/>
        <v>0</v>
      </c>
      <c r="ID40" s="29">
        <f t="shared" si="125"/>
        <v>0</v>
      </c>
      <c r="IE40" s="29">
        <f t="shared" si="126"/>
        <v>0</v>
      </c>
      <c r="IF40" s="29">
        <f t="shared" si="127"/>
        <v>0</v>
      </c>
      <c r="IG40" s="29">
        <f t="shared" si="128"/>
        <v>0</v>
      </c>
      <c r="IH40" s="29">
        <f t="shared" si="129"/>
        <v>0</v>
      </c>
      <c r="II40" s="29">
        <f t="shared" si="130"/>
        <v>0</v>
      </c>
      <c r="IJ40" s="29">
        <f t="shared" si="131"/>
        <v>0</v>
      </c>
      <c r="IK40" s="5"/>
      <c r="IL40" s="5"/>
      <c r="IM40" s="5"/>
      <c r="IN40" s="29">
        <f t="shared" si="199"/>
        <v>116.79595285688174</v>
      </c>
      <c r="IO40" s="29">
        <f t="shared" si="239"/>
        <v>109.89299157588459</v>
      </c>
      <c r="IP40" s="29">
        <f t="shared" si="287"/>
        <v>96.158180123788554</v>
      </c>
      <c r="IQ40" s="29">
        <f t="shared" si="288"/>
        <v>82.380502575176322</v>
      </c>
      <c r="IR40" s="29">
        <f t="shared" si="289"/>
        <v>70.313419181283848</v>
      </c>
      <c r="IS40" s="29">
        <f t="shared" si="290"/>
        <v>59.895186768996588</v>
      </c>
      <c r="IT40" s="29">
        <f t="shared" si="291"/>
        <v>49.660824365660311</v>
      </c>
      <c r="IU40" s="29">
        <f t="shared" si="292"/>
        <v>41.045088358207543</v>
      </c>
      <c r="IV40" s="29">
        <f t="shared" si="293"/>
        <v>33.346951087070039</v>
      </c>
      <c r="IW40" s="29">
        <f t="shared" si="294"/>
        <v>26.555786288214072</v>
      </c>
      <c r="IX40" s="29">
        <f t="shared" si="295"/>
        <v>20.650775879259442</v>
      </c>
      <c r="IY40" s="29">
        <f t="shared" si="296"/>
        <v>15.611498317523726</v>
      </c>
      <c r="IZ40" s="29">
        <f t="shared" si="297"/>
        <v>11.399979697116752</v>
      </c>
      <c r="JA40" s="29">
        <f t="shared" si="298"/>
        <v>7.605321133661298</v>
      </c>
      <c r="JB40" s="29">
        <f t="shared" si="299"/>
        <v>4.9407463688216406</v>
      </c>
      <c r="JC40" s="29">
        <f t="shared" si="300"/>
        <v>2.944244479235107</v>
      </c>
      <c r="JD40" s="29">
        <f t="shared" si="301"/>
        <v>1.3077815057877218</v>
      </c>
      <c r="JE40" s="29">
        <f t="shared" si="270"/>
        <v>0.43536627075093615</v>
      </c>
      <c r="JF40" s="29">
        <f t="shared" si="271"/>
        <v>-0.15915379799805612</v>
      </c>
      <c r="JG40" s="29">
        <f t="shared" si="272"/>
        <v>-0.35800549321441888</v>
      </c>
      <c r="JH40" s="29">
        <f t="shared" si="273"/>
        <v>-0.26413777357120849</v>
      </c>
      <c r="JI40" s="29">
        <f t="shared" si="274"/>
        <v>0</v>
      </c>
      <c r="JJ40" s="29">
        <f t="shared" si="275"/>
        <v>0</v>
      </c>
      <c r="JK40" s="29">
        <f t="shared" si="276"/>
        <v>0</v>
      </c>
      <c r="JL40" s="29">
        <f t="shared" si="277"/>
        <v>0</v>
      </c>
      <c r="JM40" s="29">
        <f t="shared" si="278"/>
        <v>0</v>
      </c>
      <c r="JN40" s="29">
        <f t="shared" si="279"/>
        <v>0</v>
      </c>
      <c r="JO40" s="29">
        <f t="shared" si="280"/>
        <v>0</v>
      </c>
      <c r="JP40" s="29">
        <f t="shared" si="281"/>
        <v>0</v>
      </c>
      <c r="JQ40" s="29">
        <f t="shared" si="282"/>
        <v>0</v>
      </c>
      <c r="JR40" s="29">
        <f t="shared" si="283"/>
        <v>0</v>
      </c>
      <c r="JS40" s="29">
        <f t="shared" si="284"/>
        <v>0</v>
      </c>
      <c r="JT40" s="5"/>
      <c r="JU40" s="401">
        <f t="shared" si="201"/>
        <v>20</v>
      </c>
      <c r="JV40" s="29">
        <f t="shared" si="202"/>
        <v>0</v>
      </c>
      <c r="JW40" s="29">
        <f t="shared" si="203"/>
        <v>7.9688154212963251</v>
      </c>
      <c r="JX40" s="29">
        <f t="shared" si="204"/>
        <v>7.2181890302690412</v>
      </c>
      <c r="JY40" s="29">
        <f t="shared" si="205"/>
        <v>6.4185689733227598</v>
      </c>
      <c r="JZ40" s="29">
        <f t="shared" si="206"/>
        <v>5.7031516267372675</v>
      </c>
      <c r="KA40" s="29">
        <f t="shared" si="207"/>
        <v>5.0744088323947327</v>
      </c>
      <c r="KB40" s="29">
        <f t="shared" si="208"/>
        <v>4.4113599658506297</v>
      </c>
      <c r="KC40" s="29">
        <f t="shared" si="209"/>
        <v>3.839437676552524</v>
      </c>
      <c r="KD40" s="29">
        <f t="shared" si="210"/>
        <v>3.3012626532127172</v>
      </c>
      <c r="KE40" s="29">
        <f t="shared" si="211"/>
        <v>2.7985054478286195</v>
      </c>
      <c r="KF40" s="29">
        <f t="shared" si="212"/>
        <v>2.3324958260143713</v>
      </c>
      <c r="KG40" s="29">
        <f t="shared" si="213"/>
        <v>1.9054547798451125</v>
      </c>
      <c r="KH40" s="29">
        <f t="shared" si="214"/>
        <v>1.5185893367102683</v>
      </c>
      <c r="KI40" s="29">
        <f t="shared" si="215"/>
        <v>1.1193833373458033</v>
      </c>
      <c r="KJ40" s="29">
        <f t="shared" si="216"/>
        <v>0.81614248758221375</v>
      </c>
      <c r="KK40" s="29">
        <f t="shared" si="217"/>
        <v>0.55713691785245101</v>
      </c>
      <c r="KL40" s="29">
        <f t="shared" si="218"/>
        <v>0.29155464097601375</v>
      </c>
      <c r="KM40" s="29">
        <f t="shared" si="219"/>
        <v>0.11910022298020403</v>
      </c>
      <c r="KN40" s="29">
        <f t="shared" si="220"/>
        <v>-5.6980214408533757E-2</v>
      </c>
      <c r="KO40" s="29">
        <f t="shared" si="221"/>
        <v>-0.18868877382825766</v>
      </c>
      <c r="KP40" s="29">
        <f t="shared" si="222"/>
        <v>-0.27322623751582836</v>
      </c>
      <c r="KQ40" s="29">
        <f t="shared" si="223"/>
        <v>0</v>
      </c>
      <c r="KR40" s="29">
        <f t="shared" si="224"/>
        <v>0</v>
      </c>
      <c r="KS40" s="29">
        <f t="shared" si="225"/>
        <v>0</v>
      </c>
      <c r="KT40" s="29">
        <f t="shared" si="226"/>
        <v>0</v>
      </c>
      <c r="KU40" s="29">
        <f t="shared" si="227"/>
        <v>0</v>
      </c>
      <c r="KV40" s="29">
        <f t="shared" si="228"/>
        <v>0</v>
      </c>
      <c r="KW40" s="29">
        <f t="shared" si="229"/>
        <v>0</v>
      </c>
      <c r="KX40" s="29">
        <f t="shared" si="230"/>
        <v>0</v>
      </c>
      <c r="KY40" s="29">
        <f t="shared" si="231"/>
        <v>0</v>
      </c>
      <c r="KZ40" s="29">
        <f t="shared" si="232"/>
        <v>0</v>
      </c>
      <c r="LA40" s="29">
        <f t="shared" si="233"/>
        <v>0</v>
      </c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39"/>
      <c r="LP40" s="39"/>
      <c r="LQ40" s="39"/>
      <c r="LR40" s="5"/>
      <c r="LS40" s="39"/>
      <c r="LT40" s="166">
        <v>8.0989999999999979E-2</v>
      </c>
      <c r="LU40" s="64"/>
      <c r="LV40" s="64"/>
      <c r="LW40" s="64"/>
      <c r="LX40" s="158"/>
      <c r="LY40" s="39"/>
      <c r="LZ40" s="39"/>
      <c r="MA40" s="39"/>
      <c r="MB40" s="381">
        <f t="shared" si="285"/>
        <v>6.2500000000000014E-2</v>
      </c>
      <c r="MC40" s="394">
        <f t="shared" si="177"/>
        <v>-1287.7319929827977</v>
      </c>
      <c r="MD40" s="157">
        <f t="shared" si="158"/>
        <v>-5637.7711819002379</v>
      </c>
      <c r="ME40" s="39"/>
      <c r="MF40" s="381">
        <f t="shared" si="286"/>
        <v>6.2500000000000014E-2</v>
      </c>
      <c r="MG40" s="394">
        <f t="shared" si="178"/>
        <v>-50.054563138540587</v>
      </c>
      <c r="MH40" s="157">
        <f t="shared" si="159"/>
        <v>-219.14200712790696</v>
      </c>
      <c r="MI40" s="39"/>
      <c r="MJ40" s="39"/>
      <c r="MK40" s="39"/>
      <c r="ML40" s="39"/>
      <c r="MM40" s="39"/>
      <c r="MN40" s="39"/>
      <c r="MO40" s="39"/>
      <c r="MP40" s="39"/>
      <c r="MQ40" s="39"/>
      <c r="MR40" s="39"/>
      <c r="MS40" s="39"/>
      <c r="MT40" s="39"/>
      <c r="MU40" s="39"/>
      <c r="MV40" s="39"/>
    </row>
    <row r="41" spans="1:360" ht="12.75" customHeight="1" x14ac:dyDescent="0.3">
      <c r="A41" s="305">
        <f t="shared" si="91"/>
        <v>2050</v>
      </c>
      <c r="B41" s="355">
        <f t="shared" si="1"/>
        <v>2048</v>
      </c>
      <c r="C41" s="26">
        <v>54240</v>
      </c>
      <c r="D41" s="96">
        <f t="shared" si="132"/>
        <v>3040.6574863607557</v>
      </c>
      <c r="E41" s="27">
        <f t="shared" si="133"/>
        <v>3040.6574863607557</v>
      </c>
      <c r="F41" s="111">
        <f t="shared" si="18"/>
        <v>21974.499481262603</v>
      </c>
      <c r="G41" s="27">
        <f t="shared" si="134"/>
        <v>25264.075290900601</v>
      </c>
      <c r="H41" s="27">
        <f t="shared" si="135"/>
        <v>3536.9705407260844</v>
      </c>
      <c r="I41" s="296">
        <f t="shared" si="136"/>
        <v>3006.4249596171717</v>
      </c>
      <c r="J41" s="273">
        <f>J40/J39*J40</f>
        <v>987.94917535174977</v>
      </c>
      <c r="K41" s="297">
        <f t="shared" si="160"/>
        <v>2018.4757842654219</v>
      </c>
      <c r="L41" s="297">
        <f t="shared" si="137"/>
        <v>21727.104750174516</v>
      </c>
      <c r="M41" s="297">
        <f t="shared" si="161"/>
        <v>18468.039037648337</v>
      </c>
      <c r="N41" s="27">
        <f t="shared" si="162"/>
        <v>0</v>
      </c>
      <c r="O41" s="297">
        <f t="shared" si="138"/>
        <v>530.54558110891264</v>
      </c>
      <c r="P41" s="297">
        <f t="shared" si="139"/>
        <v>3259.0657125261773</v>
      </c>
      <c r="Q41" s="297">
        <f t="shared" si="140"/>
        <v>1095.6153502249515</v>
      </c>
      <c r="R41" s="260">
        <f t="shared" si="2"/>
        <v>0.14000000000000001</v>
      </c>
      <c r="S41" s="257">
        <v>0.86</v>
      </c>
      <c r="T41" s="290">
        <f t="shared" si="163"/>
        <v>7.2499999999999995E-2</v>
      </c>
      <c r="U41" s="290">
        <f t="shared" si="164"/>
        <v>7.2499999999999995E-2</v>
      </c>
      <c r="V41" s="27">
        <f t="shared" si="4"/>
        <v>106187.83945362551</v>
      </c>
      <c r="W41" s="27">
        <f t="shared" si="141"/>
        <v>86635.499843580954</v>
      </c>
      <c r="X41" s="27">
        <f t="shared" si="179"/>
        <v>19552.33961004455</v>
      </c>
      <c r="Y41" s="27">
        <f t="shared" si="142"/>
        <v>303.83186892185296</v>
      </c>
      <c r="Z41" s="27">
        <f t="shared" si="180"/>
        <v>1723.0680422125897</v>
      </c>
      <c r="AA41" s="115">
        <f t="shared" si="165"/>
        <v>7.0000000000000007E-2</v>
      </c>
      <c r="AB41" s="115">
        <f t="shared" si="166"/>
        <v>7.0000000000000007E-2</v>
      </c>
      <c r="AC41" s="96">
        <f t="shared" si="6"/>
        <v>109110.1399587108</v>
      </c>
      <c r="AD41" s="27">
        <f t="shared" si="143"/>
        <v>89019.717907098297</v>
      </c>
      <c r="AE41" s="27">
        <f t="shared" si="181"/>
        <v>20090.422051612506</v>
      </c>
      <c r="AF41" s="150">
        <f t="shared" si="144"/>
        <v>319.79067393435218</v>
      </c>
      <c r="AG41" s="27">
        <f t="shared" si="234"/>
        <v>1813.5723958424985</v>
      </c>
      <c r="AH41" s="27">
        <f t="shared" si="167"/>
        <v>98045.600309801288</v>
      </c>
      <c r="AI41" s="27">
        <f t="shared" si="145"/>
        <v>78832.859309874228</v>
      </c>
      <c r="AJ41" s="27">
        <f t="shared" si="182"/>
        <v>19212.740999927053</v>
      </c>
      <c r="AK41" s="27">
        <f t="shared" si="10"/>
        <v>96267.047726966426</v>
      </c>
      <c r="AL41" s="27">
        <f t="shared" si="168"/>
        <v>77374.676552071192</v>
      </c>
      <c r="AM41" s="27">
        <f t="shared" si="235"/>
        <v>18892.371174895234</v>
      </c>
      <c r="AN41" s="417">
        <f>INDEX(Inv.Returns!$B$2:$E$32,MATCH(B41,Inv.Returns!$A$2:$A$32,0),MATCH(SCRS!$DT$52,Inv.Returns!$B$1:$E$1,0))</f>
        <v>0.06</v>
      </c>
      <c r="AO41" s="27">
        <f>AC41-AH41</f>
        <v>11064.539648909515</v>
      </c>
      <c r="AP41" s="229">
        <f t="shared" si="11"/>
        <v>12843.092231744376</v>
      </c>
      <c r="AQ41" s="68">
        <f>AH41/AC41</f>
        <v>0.89859292955634984</v>
      </c>
      <c r="AR41" s="151">
        <f>AK41/AC41</f>
        <v>0.88229240438510637</v>
      </c>
      <c r="AS41" s="353"/>
      <c r="AT41" s="289">
        <f t="shared" si="94"/>
        <v>0.10875130446076994</v>
      </c>
      <c r="AU41" s="397">
        <f t="shared" si="169"/>
        <v>9.9400593584701102E-2</v>
      </c>
      <c r="AV41" s="303">
        <f t="shared" si="95"/>
        <v>4.1024952901678735E-2</v>
      </c>
      <c r="AW41" s="303">
        <f t="shared" si="146"/>
        <v>3.244496556205467E-3</v>
      </c>
      <c r="AX41" s="115">
        <f t="shared" si="61"/>
        <v>4.9999999999999975E-2</v>
      </c>
      <c r="AY41" s="115">
        <f t="shared" si="147"/>
        <v>4.9999999999999975E-2</v>
      </c>
      <c r="AZ41" s="115">
        <f t="shared" si="148"/>
        <v>0</v>
      </c>
      <c r="BA41" s="262">
        <f t="shared" si="21"/>
        <v>5.8751304460769968E-2</v>
      </c>
      <c r="BB41" s="115">
        <f t="shared" si="170"/>
        <v>4.9400593584701127E-2</v>
      </c>
      <c r="BC41" s="133">
        <f t="shared" si="77"/>
        <v>0.1056</v>
      </c>
      <c r="BD41" s="133">
        <f t="shared" si="96"/>
        <v>0.1056</v>
      </c>
      <c r="BE41" s="410">
        <f t="shared" si="12"/>
        <v>4.6848695539230031E-2</v>
      </c>
      <c r="BF41" s="410">
        <f t="shared" si="149"/>
        <v>5.6199406415298872E-2</v>
      </c>
      <c r="BG41" s="410">
        <f t="shared" si="171"/>
        <v>5.5599999999999997E-2</v>
      </c>
      <c r="BH41" s="410">
        <f t="shared" si="23"/>
        <v>0.1056</v>
      </c>
      <c r="BI41" s="157">
        <f t="shared" si="37"/>
        <v>9.8141692471409154</v>
      </c>
      <c r="BJ41" s="104">
        <f t="shared" si="38"/>
        <v>3.8834951456310662E-2</v>
      </c>
      <c r="BK41" s="27">
        <f t="shared" si="62"/>
        <v>11.997500727663407</v>
      </c>
      <c r="BL41" s="27">
        <f t="shared" si="14"/>
        <v>20</v>
      </c>
      <c r="BM41" s="111">
        <f t="shared" si="26"/>
        <v>6.2766174031160773</v>
      </c>
      <c r="BN41" s="27"/>
      <c r="BO41" s="27"/>
      <c r="BP41" s="96">
        <f t="shared" si="172"/>
        <v>-4059.8152781028466</v>
      </c>
      <c r="BQ41" s="27">
        <f t="shared" si="183"/>
        <v>-1200.4225374471423</v>
      </c>
      <c r="BR41" s="27">
        <f t="shared" si="173"/>
        <v>-157.80634578931776</v>
      </c>
      <c r="BS41" s="27">
        <f t="shared" si="184"/>
        <v>-46.660816086735032</v>
      </c>
      <c r="BT41" s="27">
        <f t="shared" si="150"/>
        <v>-3.6077099515406057</v>
      </c>
      <c r="BU41" s="27">
        <f t="shared" si="185"/>
        <v>-22.161646845178002</v>
      </c>
      <c r="BV41" s="304">
        <f t="shared" si="151"/>
        <v>180.38549757703021</v>
      </c>
      <c r="BW41" s="304">
        <f t="shared" si="186"/>
        <v>1108.0823422588996</v>
      </c>
      <c r="BX41" s="304">
        <f t="shared" si="187"/>
        <v>0</v>
      </c>
      <c r="BY41" s="304">
        <f t="shared" si="152"/>
        <v>65.736921013497053</v>
      </c>
      <c r="BZ41" s="304">
        <f t="shared" si="78"/>
        <v>143.01288630886262</v>
      </c>
      <c r="CA41" s="304">
        <f t="shared" si="188"/>
        <v>727.65170042877685</v>
      </c>
      <c r="CB41" s="304">
        <f t="shared" si="236"/>
        <v>1045.5848132657727</v>
      </c>
      <c r="CC41" s="304">
        <f t="shared" si="189"/>
        <v>0</v>
      </c>
      <c r="CD41" s="304">
        <f t="shared" si="190"/>
        <v>54.874661951018432</v>
      </c>
      <c r="CE41" s="304"/>
      <c r="CF41" s="304">
        <f t="shared" si="174"/>
        <v>0</v>
      </c>
      <c r="CG41" s="304">
        <f t="shared" si="153"/>
        <v>0</v>
      </c>
      <c r="CH41" s="304">
        <f t="shared" si="175"/>
        <v>0</v>
      </c>
      <c r="CI41" s="27"/>
      <c r="CJ41" s="27">
        <f t="shared" si="39"/>
        <v>0</v>
      </c>
      <c r="CK41" s="27">
        <f t="shared" si="40"/>
        <v>0</v>
      </c>
      <c r="CL41" s="27">
        <f t="shared" si="41"/>
        <v>0</v>
      </c>
      <c r="CM41" s="109">
        <f t="shared" si="42"/>
        <v>3325.3288228038573</v>
      </c>
      <c r="CN41" s="27">
        <f t="shared" si="43"/>
        <v>0</v>
      </c>
      <c r="CO41" s="112">
        <f>SUM(CM41:CN41)</f>
        <v>3325.3288228038573</v>
      </c>
      <c r="CP41" s="27">
        <f t="shared" si="154"/>
        <v>1100.4594752167911</v>
      </c>
      <c r="CQ41" s="27">
        <f t="shared" si="155"/>
        <v>0</v>
      </c>
      <c r="CR41" s="27">
        <f t="shared" si="176"/>
        <v>1100.4594752167911</v>
      </c>
      <c r="CS41" s="27">
        <f>SUM($CR$14:CR41)</f>
        <v>67362.214680095203</v>
      </c>
      <c r="CT41" s="229">
        <v>3543.576049756231</v>
      </c>
      <c r="CU41" s="425">
        <v>717.21750041866949</v>
      </c>
      <c r="CV41" s="425">
        <v>4260.7935501749007</v>
      </c>
      <c r="CW41" s="425">
        <v>82915.458614147632</v>
      </c>
      <c r="CX41" s="107">
        <f t="shared" si="44"/>
        <v>189.48056468175452</v>
      </c>
      <c r="CY41" s="115">
        <f t="shared" si="92"/>
        <v>8.1966236100862219E-2</v>
      </c>
      <c r="CZ41" s="96">
        <f t="shared" si="45"/>
        <v>2160.604626636185</v>
      </c>
      <c r="DA41" s="418">
        <f t="shared" si="46"/>
        <v>1184.85648911929</v>
      </c>
      <c r="DB41" s="314">
        <f t="shared" si="47"/>
        <v>564.51378790044009</v>
      </c>
      <c r="DC41" s="314">
        <f t="shared" si="48"/>
        <v>446.63358798669975</v>
      </c>
      <c r="DD41" s="314">
        <f t="shared" si="49"/>
        <v>0</v>
      </c>
      <c r="DE41" s="314">
        <f t="shared" si="50"/>
        <v>27824.039453781676</v>
      </c>
      <c r="DF41" s="314" t="b">
        <f t="shared" si="63"/>
        <v>0</v>
      </c>
      <c r="DG41" s="109">
        <f>CX41</f>
        <v>189.48056468175452</v>
      </c>
      <c r="DH41" s="153">
        <f t="shared" si="52"/>
        <v>97.199754930493512</v>
      </c>
      <c r="DI41" s="106">
        <f>DG41/$L44</f>
        <v>7.4567098169516701E-3</v>
      </c>
      <c r="DJ41" s="97">
        <f>CN41</f>
        <v>0</v>
      </c>
      <c r="DK41" s="153">
        <f t="shared" si="55"/>
        <v>0</v>
      </c>
      <c r="DL41" s="317">
        <f>DJ41/$I41</f>
        <v>0</v>
      </c>
      <c r="DM41" s="300">
        <v>1992.7926124690921</v>
      </c>
      <c r="DN41" s="100">
        <f t="shared" si="57"/>
        <v>1092.8298631059879</v>
      </c>
      <c r="DO41" s="301">
        <v>1.2258397172599245</v>
      </c>
      <c r="DP41" s="41"/>
      <c r="DQ41" s="53" t="s">
        <v>111</v>
      </c>
      <c r="DR41" s="42"/>
      <c r="DS41" s="42"/>
      <c r="DT41" s="259">
        <v>0.85</v>
      </c>
      <c r="EJ41" s="339" t="e">
        <f>IF(AND(#REF!="Fresh Start",A41&gt;2019),AV41,IF(BD41-(AT41-AX41)&lt;0,0,BD41-(AT41-AX41)))</f>
        <v>#REF!</v>
      </c>
      <c r="EK41" s="339">
        <f t="shared" si="58"/>
        <v>5.8751304460769968E-2</v>
      </c>
      <c r="EL41" s="339" t="e">
        <f>DH41/$DF41</f>
        <v>#DIV/0!</v>
      </c>
      <c r="EM41" s="339">
        <f t="shared" si="59"/>
        <v>0</v>
      </c>
      <c r="EN41" s="339">
        <v>5.5600000000000017E-2</v>
      </c>
      <c r="EO41" s="339">
        <v>-9.3746968290881194E-2</v>
      </c>
      <c r="EP41" s="340" t="e">
        <f>SUM(EJ41:EL41)</f>
        <v>#REF!</v>
      </c>
      <c r="ES41" s="29">
        <f t="shared" si="79"/>
        <v>5201.5754194592982</v>
      </c>
      <c r="ET41" s="29">
        <f t="shared" si="80"/>
        <v>4459.7108819204905</v>
      </c>
      <c r="EU41" s="29">
        <f>ET41-ES41</f>
        <v>-741.86453753880778</v>
      </c>
      <c r="EV41" s="29">
        <f>EU41*4/5</f>
        <v>-593.49163003104627</v>
      </c>
      <c r="EW41" s="29">
        <f>EV40*(3/4)</f>
        <v>-436.45068123974306</v>
      </c>
      <c r="EX41" s="29">
        <f>EW40*(2/3)</f>
        <v>-286.60537113113753</v>
      </c>
      <c r="EY41" s="29">
        <f>EX40*(1/2)</f>
        <v>-141.63507540110459</v>
      </c>
      <c r="EZ41" s="29">
        <f>SUM(EV41:EY41)</f>
        <v>-1458.1827578030316</v>
      </c>
      <c r="FA41" s="29"/>
      <c r="FB41" s="29">
        <f t="shared" si="237"/>
        <v>1227.1106221660971</v>
      </c>
      <c r="FC41" s="29">
        <f t="shared" si="238"/>
        <v>1051.5375775354573</v>
      </c>
      <c r="FD41" s="29">
        <f t="shared" si="191"/>
        <v>-175.57304463063974</v>
      </c>
      <c r="FE41" s="29">
        <f t="shared" si="192"/>
        <v>-140.4584357045118</v>
      </c>
      <c r="FF41" s="29">
        <f t="shared" si="193"/>
        <v>-95.857741466307175</v>
      </c>
      <c r="FG41" s="29">
        <f t="shared" si="194"/>
        <v>-57.918305336171173</v>
      </c>
      <c r="FH41" s="29">
        <f t="shared" si="195"/>
        <v>-26.135342524827706</v>
      </c>
      <c r="FI41" s="29">
        <f t="shared" si="196"/>
        <v>-320.36982503181787</v>
      </c>
      <c r="FK41" s="41"/>
      <c r="FL41" s="27">
        <f t="shared" si="24"/>
        <v>10498.553283752626</v>
      </c>
      <c r="FM41" s="41"/>
      <c r="FN41" s="308">
        <f t="shared" si="156"/>
        <v>1045.5848132657727</v>
      </c>
      <c r="FO41" s="93">
        <f t="shared" si="197"/>
        <v>54.874661951018432</v>
      </c>
      <c r="FP41" s="27">
        <f t="shared" si="82"/>
        <v>20</v>
      </c>
      <c r="FQ41" s="309">
        <f t="shared" si="27"/>
        <v>13.512970250241354</v>
      </c>
      <c r="FR41" s="93">
        <f>FL41/FQ41</f>
        <v>776.92417650109996</v>
      </c>
      <c r="FS41" s="93">
        <f t="shared" si="198"/>
        <v>1100.4594752167911</v>
      </c>
      <c r="FT41" s="29">
        <f>FP41</f>
        <v>20</v>
      </c>
      <c r="FU41" s="142">
        <f t="shared" si="28"/>
        <v>13.512970250241354</v>
      </c>
      <c r="FV41" s="48">
        <v>-1878.5350849539336</v>
      </c>
      <c r="FW41" s="29">
        <f t="shared" si="98"/>
        <v>837.63837513343242</v>
      </c>
      <c r="FX41" s="29">
        <f t="shared" si="157"/>
        <v>866.44042520968446</v>
      </c>
      <c r="FY41" s="29">
        <f t="shared" si="255"/>
        <v>837.40739327224571</v>
      </c>
      <c r="FZ41" s="29">
        <f t="shared" si="256"/>
        <v>806.43761383805429</v>
      </c>
      <c r="GA41" s="29">
        <f t="shared" si="257"/>
        <v>771.06742295766958</v>
      </c>
      <c r="GB41" s="29">
        <f t="shared" si="258"/>
        <v>729.21664165487687</v>
      </c>
      <c r="GC41" s="29">
        <f t="shared" si="259"/>
        <v>680.91633910119663</v>
      </c>
      <c r="GD41" s="29">
        <f t="shared" si="260"/>
        <v>631.4765217791786</v>
      </c>
      <c r="GE41" s="29">
        <f t="shared" si="261"/>
        <v>582.32158071893639</v>
      </c>
      <c r="GF41" s="29">
        <f t="shared" si="262"/>
        <v>535.26316267021798</v>
      </c>
      <c r="GG41" s="29">
        <f t="shared" si="263"/>
        <v>488.85398645363347</v>
      </c>
      <c r="GH41" s="29">
        <f t="shared" si="264"/>
        <v>442.9827375108411</v>
      </c>
      <c r="GI41" s="29">
        <f t="shared" si="265"/>
        <v>397.54513447873398</v>
      </c>
      <c r="GJ41" s="29">
        <f t="shared" si="266"/>
        <v>352.45999399711752</v>
      </c>
      <c r="GK41" s="29">
        <f t="shared" si="267"/>
        <v>308.01008876966625</v>
      </c>
      <c r="GL41" s="29">
        <f t="shared" si="268"/>
        <v>263.40156734799103</v>
      </c>
      <c r="GM41" s="29">
        <f t="shared" si="269"/>
        <v>218.99014705911844</v>
      </c>
      <c r="GN41" s="29">
        <f t="shared" si="240"/>
        <v>174.96160594960799</v>
      </c>
      <c r="GO41" s="29">
        <f t="shared" si="241"/>
        <v>130.88137343797058</v>
      </c>
      <c r="GP41" s="29">
        <f t="shared" si="242"/>
        <v>87.107188562131768</v>
      </c>
      <c r="GQ41" s="29">
        <f t="shared" si="243"/>
        <v>43.479297321763696</v>
      </c>
      <c r="GR41" s="29">
        <f t="shared" si="244"/>
        <v>0</v>
      </c>
      <c r="GS41" s="29">
        <f t="shared" si="245"/>
        <v>0</v>
      </c>
      <c r="GT41" s="29">
        <f t="shared" si="246"/>
        <v>0</v>
      </c>
      <c r="GU41" s="29">
        <f t="shared" si="247"/>
        <v>0</v>
      </c>
      <c r="GV41" s="29">
        <f t="shared" si="248"/>
        <v>0</v>
      </c>
      <c r="GW41" s="29">
        <f t="shared" si="249"/>
        <v>0</v>
      </c>
      <c r="GX41" s="29">
        <f t="shared" si="250"/>
        <v>0</v>
      </c>
      <c r="GY41" s="29">
        <f t="shared" si="251"/>
        <v>0</v>
      </c>
      <c r="GZ41" s="29">
        <f t="shared" si="252"/>
        <v>0</v>
      </c>
      <c r="HA41" s="29">
        <f t="shared" si="253"/>
        <v>0</v>
      </c>
      <c r="HB41" s="29">
        <f t="shared" si="254"/>
        <v>0</v>
      </c>
      <c r="HC41" s="29"/>
      <c r="HD41" s="29">
        <f t="shared" si="29"/>
        <v>20</v>
      </c>
      <c r="HE41" s="29">
        <f t="shared" si="100"/>
        <v>0</v>
      </c>
      <c r="HF41" s="29">
        <f t="shared" si="101"/>
        <v>62.829337185508322</v>
      </c>
      <c r="HG41" s="29">
        <f t="shared" si="102"/>
        <v>62.860641208085354</v>
      </c>
      <c r="HH41" s="29">
        <f t="shared" si="103"/>
        <v>62.832530578189392</v>
      </c>
      <c r="HI41" s="29">
        <f t="shared" si="104"/>
        <v>62.541609820272889</v>
      </c>
      <c r="HJ41" s="29">
        <f t="shared" si="105"/>
        <v>61.78031268880077</v>
      </c>
      <c r="HK41" s="29">
        <f t="shared" si="106"/>
        <v>60.485646719985766</v>
      </c>
      <c r="HL41" s="29">
        <f t="shared" si="107"/>
        <v>59.069546358827679</v>
      </c>
      <c r="HM41" s="29">
        <f t="shared" si="108"/>
        <v>57.648343369316613</v>
      </c>
      <c r="HN41" s="29">
        <f t="shared" si="109"/>
        <v>56.407174711275353</v>
      </c>
      <c r="HO41" s="29">
        <f t="shared" si="110"/>
        <v>55.215837390341996</v>
      </c>
      <c r="HP41" s="29">
        <f t="shared" si="111"/>
        <v>54.068069406985167</v>
      </c>
      <c r="HQ41" s="29">
        <f t="shared" si="112"/>
        <v>52.95691905777192</v>
      </c>
      <c r="HR41" s="29">
        <f t="shared" si="113"/>
        <v>51.876552932806888</v>
      </c>
      <c r="HS41" s="29">
        <f t="shared" si="114"/>
        <v>50.878976835406263</v>
      </c>
      <c r="HT41" s="29">
        <f t="shared" si="115"/>
        <v>49.843258066629467</v>
      </c>
      <c r="HU41" s="29">
        <f t="shared" si="116"/>
        <v>48.821300362898256</v>
      </c>
      <c r="HV41" s="29">
        <f t="shared" si="117"/>
        <v>47.86306997469233</v>
      </c>
      <c r="HW41" s="29">
        <f t="shared" si="118"/>
        <v>46.858126003816913</v>
      </c>
      <c r="HX41" s="29">
        <f t="shared" si="119"/>
        <v>45.910325156858512</v>
      </c>
      <c r="HY41" s="29">
        <f t="shared" si="120"/>
        <v>44.975334865745367</v>
      </c>
      <c r="HZ41" s="29">
        <f t="shared" si="121"/>
        <v>0</v>
      </c>
      <c r="IA41" s="29">
        <f t="shared" si="122"/>
        <v>0</v>
      </c>
      <c r="IB41" s="29">
        <f t="shared" si="123"/>
        <v>0</v>
      </c>
      <c r="IC41" s="29">
        <f t="shared" si="124"/>
        <v>0</v>
      </c>
      <c r="ID41" s="29">
        <f t="shared" si="125"/>
        <v>0</v>
      </c>
      <c r="IE41" s="29">
        <f t="shared" si="126"/>
        <v>0</v>
      </c>
      <c r="IF41" s="29">
        <f t="shared" si="127"/>
        <v>0</v>
      </c>
      <c r="IG41" s="29">
        <f t="shared" si="128"/>
        <v>0</v>
      </c>
      <c r="IH41" s="29">
        <f t="shared" si="129"/>
        <v>0</v>
      </c>
      <c r="II41" s="29">
        <f t="shared" si="130"/>
        <v>0</v>
      </c>
      <c r="IJ41" s="29">
        <f t="shared" si="131"/>
        <v>0</v>
      </c>
      <c r="IK41" s="5"/>
      <c r="IL41" s="5"/>
      <c r="IM41" s="5"/>
      <c r="IN41" s="29">
        <f t="shared" si="199"/>
        <v>131.77339262746091</v>
      </c>
      <c r="IO41" s="29">
        <f t="shared" si="239"/>
        <v>124.97166955686347</v>
      </c>
      <c r="IP41" s="29">
        <f t="shared" si="287"/>
        <v>109.34249421900299</v>
      </c>
      <c r="IQ41" s="29">
        <f t="shared" si="288"/>
        <v>95.422699941636225</v>
      </c>
      <c r="IR41" s="29">
        <f t="shared" si="289"/>
        <v>81.507718383093462</v>
      </c>
      <c r="IS41" s="29">
        <f t="shared" si="290"/>
        <v>69.335972609237771</v>
      </c>
      <c r="IT41" s="29">
        <f t="shared" si="291"/>
        <v>58.838840531711959</v>
      </c>
      <c r="IU41" s="29">
        <f t="shared" si="292"/>
        <v>48.573935840782283</v>
      </c>
      <c r="IV41" s="29">
        <f t="shared" si="293"/>
        <v>39.946699328988245</v>
      </c>
      <c r="IW41" s="29">
        <f t="shared" si="294"/>
        <v>32.266385021705595</v>
      </c>
      <c r="IX41" s="29">
        <f t="shared" si="295"/>
        <v>25.519894783995426</v>
      </c>
      <c r="IY41" s="29">
        <f t="shared" si="296"/>
        <v>19.683577747463968</v>
      </c>
      <c r="IZ41" s="29">
        <f t="shared" si="297"/>
        <v>14.733285449374455</v>
      </c>
      <c r="JA41" s="29">
        <f t="shared" si="298"/>
        <v>10.627137251584315</v>
      </c>
      <c r="JB41" s="29">
        <f t="shared" si="299"/>
        <v>6.9797944853547564</v>
      </c>
      <c r="JC41" s="29">
        <f t="shared" si="300"/>
        <v>4.442374261022497</v>
      </c>
      <c r="JD41" s="29">
        <f t="shared" si="301"/>
        <v>2.5740346837473957</v>
      </c>
      <c r="JE41" s="29">
        <f t="shared" si="270"/>
        <v>1.0977397455119935</v>
      </c>
      <c r="JF41" s="29">
        <f t="shared" si="271"/>
        <v>0.34264368109647292</v>
      </c>
      <c r="JG41" s="29">
        <f t="shared" si="272"/>
        <v>-0.11135377176597874</v>
      </c>
      <c r="JH41" s="29">
        <f t="shared" si="273"/>
        <v>-0.18788469241505285</v>
      </c>
      <c r="JI41" s="29">
        <f t="shared" si="274"/>
        <v>0</v>
      </c>
      <c r="JJ41" s="29">
        <f t="shared" si="275"/>
        <v>0</v>
      </c>
      <c r="JK41" s="29">
        <f t="shared" si="276"/>
        <v>0</v>
      </c>
      <c r="JL41" s="29">
        <f t="shared" si="277"/>
        <v>0</v>
      </c>
      <c r="JM41" s="29">
        <f t="shared" si="278"/>
        <v>0</v>
      </c>
      <c r="JN41" s="29">
        <f t="shared" si="279"/>
        <v>0</v>
      </c>
      <c r="JO41" s="29">
        <f t="shared" si="280"/>
        <v>0</v>
      </c>
      <c r="JP41" s="29">
        <f t="shared" si="281"/>
        <v>0</v>
      </c>
      <c r="JQ41" s="29">
        <f t="shared" si="282"/>
        <v>0</v>
      </c>
      <c r="JR41" s="29">
        <f t="shared" si="283"/>
        <v>0</v>
      </c>
      <c r="JS41" s="29">
        <f t="shared" si="284"/>
        <v>0</v>
      </c>
      <c r="JT41" s="5"/>
      <c r="JU41" s="401">
        <f t="shared" si="201"/>
        <v>20</v>
      </c>
      <c r="JV41" s="29">
        <f t="shared" si="202"/>
        <v>0</v>
      </c>
      <c r="JW41" s="29">
        <f t="shared" si="203"/>
        <v>9.0622354829807144</v>
      </c>
      <c r="JX41" s="29">
        <f t="shared" si="204"/>
        <v>8.2078798839352185</v>
      </c>
      <c r="JY41" s="29">
        <f t="shared" si="205"/>
        <v>7.4347347011771108</v>
      </c>
      <c r="JZ41" s="29">
        <f t="shared" si="206"/>
        <v>6.6111260425224403</v>
      </c>
      <c r="KA41" s="29">
        <f t="shared" si="207"/>
        <v>5.8742461755393851</v>
      </c>
      <c r="KB41" s="29">
        <f t="shared" si="208"/>
        <v>5.2266410973665751</v>
      </c>
      <c r="KC41" s="29">
        <f t="shared" si="209"/>
        <v>4.5437007648261494</v>
      </c>
      <c r="KD41" s="29">
        <f t="shared" si="210"/>
        <v>3.9546208068491007</v>
      </c>
      <c r="KE41" s="29">
        <f t="shared" si="211"/>
        <v>3.4003005328090987</v>
      </c>
      <c r="KF41" s="29">
        <f t="shared" si="212"/>
        <v>2.8824606112634781</v>
      </c>
      <c r="KG41" s="29">
        <f t="shared" si="213"/>
        <v>2.4024707007948027</v>
      </c>
      <c r="KH41" s="29">
        <f t="shared" si="214"/>
        <v>1.9626184232404658</v>
      </c>
      <c r="KI41" s="29">
        <f t="shared" si="215"/>
        <v>1.564147016811577</v>
      </c>
      <c r="KJ41" s="29">
        <f t="shared" si="216"/>
        <v>1.1529648374661772</v>
      </c>
      <c r="KK41" s="29">
        <f t="shared" si="217"/>
        <v>0.84062676220968013</v>
      </c>
      <c r="KL41" s="29">
        <f t="shared" si="218"/>
        <v>0.57385102538802468</v>
      </c>
      <c r="KM41" s="29">
        <f t="shared" si="219"/>
        <v>0.30030128020529423</v>
      </c>
      <c r="KN41" s="29">
        <f t="shared" si="220"/>
        <v>0.12267322966961022</v>
      </c>
      <c r="KO41" s="29">
        <f t="shared" si="221"/>
        <v>-5.8689620840789797E-2</v>
      </c>
      <c r="KP41" s="29">
        <f t="shared" si="222"/>
        <v>-0.19434943704310531</v>
      </c>
      <c r="KQ41" s="29">
        <f t="shared" si="223"/>
        <v>0</v>
      </c>
      <c r="KR41" s="29">
        <f t="shared" si="224"/>
        <v>0</v>
      </c>
      <c r="KS41" s="29">
        <f t="shared" si="225"/>
        <v>0</v>
      </c>
      <c r="KT41" s="29">
        <f t="shared" si="226"/>
        <v>0</v>
      </c>
      <c r="KU41" s="29">
        <f t="shared" si="227"/>
        <v>0</v>
      </c>
      <c r="KV41" s="29">
        <f t="shared" si="228"/>
        <v>0</v>
      </c>
      <c r="KW41" s="29">
        <f t="shared" si="229"/>
        <v>0</v>
      </c>
      <c r="KX41" s="29">
        <f t="shared" si="230"/>
        <v>0</v>
      </c>
      <c r="KY41" s="29">
        <f t="shared" si="231"/>
        <v>0</v>
      </c>
      <c r="KZ41" s="29">
        <f t="shared" si="232"/>
        <v>0</v>
      </c>
      <c r="LA41" s="29">
        <f t="shared" si="233"/>
        <v>0</v>
      </c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39"/>
      <c r="LP41" s="39"/>
      <c r="LQ41" s="39"/>
      <c r="LR41" s="5"/>
      <c r="LS41" s="39"/>
      <c r="LT41" s="166">
        <v>8.4933333333333305E-2</v>
      </c>
      <c r="LX41" s="158"/>
      <c r="LY41" s="39"/>
      <c r="LZ41" s="39"/>
      <c r="MA41" s="39"/>
      <c r="MB41" s="381">
        <f t="shared" si="285"/>
        <v>6.5000000000000016E-2</v>
      </c>
      <c r="MC41" s="394">
        <f t="shared" si="177"/>
        <v>-1412.2618087613439</v>
      </c>
      <c r="MD41" s="157">
        <f t="shared" si="158"/>
        <v>-5472.0770868641903</v>
      </c>
      <c r="ME41" s="39"/>
      <c r="MF41" s="381">
        <f t="shared" si="286"/>
        <v>6.5000000000000016E-2</v>
      </c>
      <c r="MG41" s="394">
        <f t="shared" si="178"/>
        <v>-54.895077749100047</v>
      </c>
      <c r="MH41" s="157">
        <f t="shared" si="159"/>
        <v>-212.7014235384178</v>
      </c>
      <c r="MI41" s="39"/>
      <c r="MJ41" s="39"/>
      <c r="MK41" s="39"/>
      <c r="ML41" s="39"/>
      <c r="MM41" s="39"/>
      <c r="MN41" s="39"/>
      <c r="MO41" s="39"/>
      <c r="MP41" s="39"/>
      <c r="MQ41" s="39"/>
      <c r="MR41" s="39"/>
      <c r="MS41" s="39"/>
      <c r="MT41" s="39"/>
      <c r="MU41" s="39"/>
      <c r="MV41" s="39"/>
    </row>
    <row r="42" spans="1:360" ht="12.75" customHeight="1" x14ac:dyDescent="0.3">
      <c r="A42" s="305">
        <f t="shared" si="91"/>
        <v>2051</v>
      </c>
      <c r="B42" s="355">
        <f t="shared" si="1"/>
        <v>2049</v>
      </c>
      <c r="C42" s="26">
        <v>54605</v>
      </c>
      <c r="D42" s="96">
        <f t="shared" si="132"/>
        <v>2684.466180815637</v>
      </c>
      <c r="E42" s="27">
        <f t="shared" si="133"/>
        <v>2684.466180815637</v>
      </c>
      <c r="F42" s="111">
        <f t="shared" si="18"/>
        <v>23160.10038350747</v>
      </c>
      <c r="G42" s="27">
        <f t="shared" si="134"/>
        <v>26021.99754962762</v>
      </c>
      <c r="H42" s="27">
        <f t="shared" si="135"/>
        <v>3122.6397059553128</v>
      </c>
      <c r="I42" s="296">
        <f t="shared" si="136"/>
        <v>2654.2437500620158</v>
      </c>
      <c r="J42" s="273">
        <f>J41/J40*J41</f>
        <v>920.15116309951611</v>
      </c>
      <c r="K42" s="297">
        <f t="shared" si="160"/>
        <v>1734.0925869624998</v>
      </c>
      <c r="L42" s="297">
        <f t="shared" si="137"/>
        <v>22899.357843672307</v>
      </c>
      <c r="M42" s="297">
        <f t="shared" si="161"/>
        <v>19464.454167121461</v>
      </c>
      <c r="N42" s="27">
        <f t="shared" si="162"/>
        <v>0</v>
      </c>
      <c r="O42" s="297">
        <f t="shared" si="138"/>
        <v>468.3959558932969</v>
      </c>
      <c r="P42" s="297">
        <f t="shared" si="139"/>
        <v>3434.9036765508458</v>
      </c>
      <c r="Q42" s="297">
        <f t="shared" si="140"/>
        <v>1128.4838107317</v>
      </c>
      <c r="R42" s="260">
        <f t="shared" si="2"/>
        <v>0.12</v>
      </c>
      <c r="S42" s="257">
        <v>0.88</v>
      </c>
      <c r="T42" s="290">
        <f t="shared" si="163"/>
        <v>7.2499999999999995E-2</v>
      </c>
      <c r="U42" s="290">
        <f t="shared" si="164"/>
        <v>7.2499999999999995E-2</v>
      </c>
      <c r="V42" s="27">
        <f t="shared" si="4"/>
        <v>110625.95974040859</v>
      </c>
      <c r="W42" s="27">
        <f t="shared" si="141"/>
        <v>89188.895659369693</v>
      </c>
      <c r="X42" s="27">
        <f t="shared" si="179"/>
        <v>21437.064081038901</v>
      </c>
      <c r="Y42" s="27">
        <f t="shared" si="142"/>
        <v>269.37217473263422</v>
      </c>
      <c r="Z42" s="27">
        <f t="shared" si="180"/>
        <v>1816.0335737924322</v>
      </c>
      <c r="AA42" s="115">
        <f t="shared" si="165"/>
        <v>7.0000000000000007E-2</v>
      </c>
      <c r="AB42" s="115">
        <f t="shared" si="166"/>
        <v>7.0000000000000007E-2</v>
      </c>
      <c r="AC42" s="96">
        <f t="shared" si="6"/>
        <v>113670.39778235713</v>
      </c>
      <c r="AD42" s="27">
        <f t="shared" si="143"/>
        <v>91643.383444171093</v>
      </c>
      <c r="AE42" s="27">
        <f t="shared" si="181"/>
        <v>22027.014338186043</v>
      </c>
      <c r="AF42" s="150">
        <f t="shared" si="144"/>
        <v>283.52098021378885</v>
      </c>
      <c r="AG42" s="27">
        <f t="shared" si="234"/>
        <v>1911.4209530135361</v>
      </c>
      <c r="AH42" s="27">
        <f t="shared" si="167"/>
        <v>102014.06994706296</v>
      </c>
      <c r="AI42" s="27">
        <f t="shared" si="145"/>
        <v>81005.677446091082</v>
      </c>
      <c r="AJ42" s="27">
        <f t="shared" si="182"/>
        <v>21008.392500971881</v>
      </c>
      <c r="AK42" s="27">
        <f t="shared" si="10"/>
        <v>100174.23216644477</v>
      </c>
      <c r="AL42" s="27">
        <f t="shared" si="168"/>
        <v>79517.850311423477</v>
      </c>
      <c r="AM42" s="27">
        <f t="shared" si="235"/>
        <v>20656.381855021293</v>
      </c>
      <c r="AN42" s="417">
        <f>INDEX(Inv.Returns!$B$2:$E$32,MATCH(B42,Inv.Returns!$A$2:$A$32,0),MATCH(SCRS!$DT$52,Inv.Returns!$B$1:$E$1,0))</f>
        <v>0.06</v>
      </c>
      <c r="AO42" s="27">
        <f>AC42-AH42</f>
        <v>11656.327835294171</v>
      </c>
      <c r="AP42" s="229">
        <f t="shared" si="11"/>
        <v>13496.165615912367</v>
      </c>
      <c r="AQ42" s="68">
        <f>AH42/AC42</f>
        <v>0.8974550273184374</v>
      </c>
      <c r="AR42" s="151">
        <f>AK42/AC42</f>
        <v>0.88126930248143187</v>
      </c>
      <c r="AS42" s="353"/>
      <c r="AT42" s="289">
        <f t="shared" si="94"/>
        <v>0.11003018601237684</v>
      </c>
      <c r="AU42" s="397">
        <f t="shared" si="169"/>
        <v>9.9400593584701102E-2</v>
      </c>
      <c r="AV42" s="303">
        <f t="shared" si="95"/>
        <v>4.1680758705694994E-2</v>
      </c>
      <c r="AW42" s="303">
        <f t="shared" si="146"/>
        <v>3.625639072460783E-3</v>
      </c>
      <c r="AX42" s="115">
        <f t="shared" si="61"/>
        <v>4.4999999999999978E-2</v>
      </c>
      <c r="AY42" s="115">
        <f t="shared" si="147"/>
        <v>4.4999999999999978E-2</v>
      </c>
      <c r="AZ42" s="115">
        <f t="shared" si="148"/>
        <v>0</v>
      </c>
      <c r="BA42" s="262">
        <f t="shared" si="21"/>
        <v>6.5030186012376867E-2</v>
      </c>
      <c r="BB42" s="115">
        <f t="shared" si="170"/>
        <v>5.4400593584701125E-2</v>
      </c>
      <c r="BC42" s="133">
        <f t="shared" si="77"/>
        <v>9.5600000000000004E-2</v>
      </c>
      <c r="BD42" s="133">
        <f t="shared" si="96"/>
        <v>9.5600000000000004E-2</v>
      </c>
      <c r="BE42" s="410">
        <f t="shared" si="12"/>
        <v>3.0569813987623137E-2</v>
      </c>
      <c r="BF42" s="410">
        <f t="shared" si="149"/>
        <v>4.119940641529888E-2</v>
      </c>
      <c r="BG42" s="410">
        <f t="shared" si="171"/>
        <v>4.5600000000000002E-2</v>
      </c>
      <c r="BH42" s="410">
        <f t="shared" si="23"/>
        <v>9.5600000000000004E-2</v>
      </c>
      <c r="BI42" s="157">
        <f t="shared" si="37"/>
        <v>9.8536011437874116</v>
      </c>
      <c r="BJ42" s="104">
        <f t="shared" si="38"/>
        <v>3.8834951456310662E-2</v>
      </c>
      <c r="BK42" s="27">
        <f t="shared" si="62"/>
        <v>12.058682776545776</v>
      </c>
      <c r="BL42" s="27">
        <f t="shared" si="14"/>
        <v>20</v>
      </c>
      <c r="BM42" s="111">
        <f t="shared" si="26"/>
        <v>6.0125507118707988</v>
      </c>
      <c r="BN42" s="27"/>
      <c r="BO42" s="27"/>
      <c r="BP42" s="96">
        <f t="shared" si="172"/>
        <v>-3724.0951029003745</v>
      </c>
      <c r="BQ42" s="27">
        <f t="shared" si="183"/>
        <v>-1313.850656280699</v>
      </c>
      <c r="BR42" s="27">
        <f t="shared" si="173"/>
        <v>-144.756792933502</v>
      </c>
      <c r="BS42" s="27">
        <f t="shared" si="184"/>
        <v>-51.069804111245524</v>
      </c>
      <c r="BT42" s="27">
        <f t="shared" si="150"/>
        <v>-3.1850925000744188</v>
      </c>
      <c r="BU42" s="27">
        <f t="shared" si="185"/>
        <v>-23.357345000545752</v>
      </c>
      <c r="BV42" s="304">
        <f t="shared" si="151"/>
        <v>145.98340625341081</v>
      </c>
      <c r="BW42" s="304">
        <f t="shared" si="186"/>
        <v>1070.5449791916799</v>
      </c>
      <c r="BX42" s="304">
        <f t="shared" si="187"/>
        <v>0</v>
      </c>
      <c r="BY42" s="304">
        <f t="shared" si="152"/>
        <v>62.066609590243473</v>
      </c>
      <c r="BZ42" s="304">
        <f t="shared" si="78"/>
        <v>140.7226664604525</v>
      </c>
      <c r="CA42" s="304">
        <f t="shared" si="188"/>
        <v>864.233318822402</v>
      </c>
      <c r="CB42" s="304">
        <f t="shared" si="236"/>
        <v>1095.7229126942152</v>
      </c>
      <c r="CC42" s="304">
        <f t="shared" si="189"/>
        <v>0</v>
      </c>
      <c r="CD42" s="304">
        <f t="shared" si="190"/>
        <v>65.864560317170984</v>
      </c>
      <c r="CE42" s="304"/>
      <c r="CF42" s="304">
        <f t="shared" si="174"/>
        <v>0</v>
      </c>
      <c r="CG42" s="304">
        <f t="shared" si="153"/>
        <v>0</v>
      </c>
      <c r="CH42" s="304">
        <f t="shared" si="175"/>
        <v>0</v>
      </c>
      <c r="CI42" s="27"/>
      <c r="CJ42" s="27">
        <f t="shared" si="39"/>
        <v>0</v>
      </c>
      <c r="CK42" s="27">
        <f t="shared" si="40"/>
        <v>0</v>
      </c>
      <c r="CL42" s="27">
        <f t="shared" si="41"/>
        <v>0</v>
      </c>
      <c r="CM42" s="109">
        <f t="shared" si="42"/>
        <v>3445.1384533295745</v>
      </c>
      <c r="CN42" s="27">
        <f t="shared" si="43"/>
        <v>0</v>
      </c>
      <c r="CO42" s="96">
        <f>NB42-NA42</f>
        <v>0</v>
      </c>
      <c r="CP42" s="27">
        <f t="shared" si="154"/>
        <v>1161.5874730113862</v>
      </c>
      <c r="CQ42" s="27">
        <f t="shared" si="155"/>
        <v>0</v>
      </c>
      <c r="CR42" s="27">
        <f t="shared" si="176"/>
        <v>1161.5874730113862</v>
      </c>
      <c r="CS42" s="27">
        <f>SUM($CR$14:CR42)</f>
        <v>68523.80215310659</v>
      </c>
      <c r="CT42" s="229">
        <v>3652.1844911923281</v>
      </c>
      <c r="CU42" s="425">
        <v>738.73402543122961</v>
      </c>
      <c r="CV42" s="425">
        <v>4390.9185166235575</v>
      </c>
      <c r="CW42" s="425">
        <v>87306.377130771187</v>
      </c>
      <c r="CX42" s="107">
        <f t="shared" si="44"/>
        <v>195.16498162220716</v>
      </c>
      <c r="CY42" s="115">
        <f t="shared" si="92"/>
        <v>8.6985877287782717E-2</v>
      </c>
      <c r="CZ42" s="96">
        <f t="shared" si="45"/>
        <v>2361.7084399164478</v>
      </c>
      <c r="DA42" s="418">
        <f t="shared" si="46"/>
        <v>1266.640629482396</v>
      </c>
      <c r="DB42" s="314">
        <f t="shared" si="47"/>
        <v>582.75915208125741</v>
      </c>
      <c r="DC42" s="314">
        <f t="shared" si="48"/>
        <v>504.17838644914536</v>
      </c>
      <c r="DD42" s="314">
        <f t="shared" si="49"/>
        <v>0</v>
      </c>
      <c r="DE42" s="314">
        <f t="shared" si="50"/>
        <v>27394.892109933364</v>
      </c>
      <c r="DF42" s="314" t="b">
        <f t="shared" si="63"/>
        <v>0</v>
      </c>
      <c r="DG42" s="109">
        <f>CX42</f>
        <v>195.16498162220716</v>
      </c>
      <c r="DH42" s="153">
        <f t="shared" si="52"/>
        <v>97.912711568125502</v>
      </c>
      <c r="DI42" s="106" t="e">
        <f>DG42/$L45</f>
        <v>#DIV/0!</v>
      </c>
      <c r="DJ42" s="97">
        <f>CN42</f>
        <v>0</v>
      </c>
      <c r="DK42" s="153">
        <f t="shared" si="55"/>
        <v>0</v>
      </c>
      <c r="DL42" s="317">
        <f>DJ42/$I42</f>
        <v>0</v>
      </c>
      <c r="DM42" s="300">
        <v>1781.071577239572</v>
      </c>
      <c r="DN42" s="100">
        <f t="shared" si="57"/>
        <v>955.2312155126765</v>
      </c>
      <c r="DO42" s="301">
        <v>1.2340997452547366</v>
      </c>
      <c r="DP42" s="8"/>
      <c r="DQ42" s="53" t="s">
        <v>183</v>
      </c>
      <c r="DR42" s="42"/>
      <c r="DS42" s="42"/>
      <c r="DT42" s="265">
        <f>DT46</f>
        <v>0.05</v>
      </c>
      <c r="DU42" s="8"/>
      <c r="EI42" s="347"/>
      <c r="EJ42" s="339" t="e">
        <f>IF(AND(#REF!="Fresh Start",A42&gt;2019),AV42,IF(BD42-(AT42-AX42)&lt;0,0,BD42-(AT42-AX42)))</f>
        <v>#REF!</v>
      </c>
      <c r="EK42" s="339">
        <f t="shared" si="58"/>
        <v>6.5030186012376867E-2</v>
      </c>
      <c r="EL42" s="339" t="e">
        <f>DH42/$DF42</f>
        <v>#DIV/0!</v>
      </c>
      <c r="EM42" s="339">
        <f t="shared" si="59"/>
        <v>0</v>
      </c>
      <c r="EN42" s="339">
        <v>4.5600000000000016E-2</v>
      </c>
      <c r="EO42" s="339">
        <v>-0.21214118604754001</v>
      </c>
      <c r="EP42" s="340" t="e">
        <f>SUM(EJ42:EL42)</f>
        <v>#REF!</v>
      </c>
      <c r="ES42" s="29">
        <f t="shared" si="79"/>
        <v>5331.2634098782364</v>
      </c>
      <c r="ET42" s="29">
        <f t="shared" si="80"/>
        <v>4570.7151526879134</v>
      </c>
      <c r="EU42" s="29">
        <f>ET42-ES42</f>
        <v>-760.54825719032306</v>
      </c>
      <c r="EV42" s="29">
        <f>EU42*4/5</f>
        <v>-608.43860575225847</v>
      </c>
      <c r="EW42" s="29">
        <f>EV41*(3/4)</f>
        <v>-445.1187225232847</v>
      </c>
      <c r="EX42" s="29">
        <f>EW41*(2/3)</f>
        <v>-290.96712082649537</v>
      </c>
      <c r="EY42" s="29">
        <f>EX41*(1/2)</f>
        <v>-143.30268556556877</v>
      </c>
      <c r="EZ42" s="29">
        <f>SUM(EV42:EY42)</f>
        <v>-1487.8271346676072</v>
      </c>
      <c r="FA42" s="29"/>
      <c r="FB42" s="29">
        <f t="shared" si="237"/>
        <v>1343.8987590955232</v>
      </c>
      <c r="FC42" s="29">
        <f t="shared" si="238"/>
        <v>1151.6456271872964</v>
      </c>
      <c r="FD42" s="29">
        <f t="shared" si="191"/>
        <v>-192.25313190822681</v>
      </c>
      <c r="FE42" s="29">
        <f t="shared" si="192"/>
        <v>-153.80250552658146</v>
      </c>
      <c r="FF42" s="29">
        <f t="shared" si="193"/>
        <v>-105.34382677838386</v>
      </c>
      <c r="FG42" s="29">
        <f t="shared" si="194"/>
        <v>-63.905160977538117</v>
      </c>
      <c r="FH42" s="29">
        <f t="shared" si="195"/>
        <v>-28.959152668085586</v>
      </c>
      <c r="FI42" s="29">
        <f t="shared" si="196"/>
        <v>-352.01064595058904</v>
      </c>
      <c r="FK42" s="8"/>
      <c r="FL42" s="27">
        <f t="shared" si="24"/>
        <v>11064.539648909515</v>
      </c>
      <c r="FM42" s="41"/>
      <c r="FN42" s="308">
        <f t="shared" si="156"/>
        <v>1095.7229126942152</v>
      </c>
      <c r="FO42" s="93">
        <f t="shared" si="197"/>
        <v>65.864560317170984</v>
      </c>
      <c r="FP42" s="27">
        <f t="shared" si="82"/>
        <v>20</v>
      </c>
      <c r="FQ42" s="309">
        <f t="shared" si="27"/>
        <v>13.512970250241354</v>
      </c>
      <c r="FR42" s="93">
        <f>FL42/FQ42</f>
        <v>818.80885134871744</v>
      </c>
      <c r="FS42" s="93">
        <f t="shared" si="198"/>
        <v>1161.5874730113862</v>
      </c>
      <c r="FT42" s="29">
        <f>FP42</f>
        <v>20</v>
      </c>
      <c r="FU42" s="142">
        <f t="shared" si="28"/>
        <v>13.512970250241354</v>
      </c>
      <c r="FV42" s="48">
        <v>-2109.5956976490129</v>
      </c>
      <c r="FW42" s="29">
        <f t="shared" si="98"/>
        <v>871.19189314609503</v>
      </c>
      <c r="FX42" s="29">
        <f t="shared" si="157"/>
        <v>896.27306139277277</v>
      </c>
      <c r="FY42" s="29">
        <f t="shared" si="255"/>
        <v>862.10008323579302</v>
      </c>
      <c r="FZ42" s="29">
        <f t="shared" si="256"/>
        <v>831.00235792999297</v>
      </c>
      <c r="GA42" s="29">
        <f t="shared" si="257"/>
        <v>797.89377179707412</v>
      </c>
      <c r="GB42" s="29">
        <f t="shared" si="258"/>
        <v>760.34859832700806</v>
      </c>
      <c r="GC42" s="29">
        <f t="shared" si="259"/>
        <v>716.35575420913972</v>
      </c>
      <c r="GD42" s="29">
        <f t="shared" si="260"/>
        <v>666.01364336820359</v>
      </c>
      <c r="GE42" s="29">
        <f t="shared" si="261"/>
        <v>614.57786443731629</v>
      </c>
      <c r="GF42" s="29">
        <f t="shared" si="262"/>
        <v>563.4521813063393</v>
      </c>
      <c r="GG42" s="29">
        <f t="shared" si="263"/>
        <v>514.38354883715419</v>
      </c>
      <c r="GH42" s="29">
        <f t="shared" si="264"/>
        <v>465.95805919244049</v>
      </c>
      <c r="GI42" s="29">
        <f t="shared" si="265"/>
        <v>418.06308325745493</v>
      </c>
      <c r="GJ42" s="29">
        <f t="shared" si="266"/>
        <v>370.59423087161855</v>
      </c>
      <c r="GK42" s="29">
        <f t="shared" si="267"/>
        <v>323.47066996563876</v>
      </c>
      <c r="GL42" s="29">
        <f t="shared" si="268"/>
        <v>276.94117211119988</v>
      </c>
      <c r="GM42" s="29">
        <f t="shared" si="269"/>
        <v>230.28141001500495</v>
      </c>
      <c r="GN42" s="29">
        <f t="shared" si="240"/>
        <v>183.81831157454167</v>
      </c>
      <c r="GO42" s="29">
        <f t="shared" si="241"/>
        <v>137.69897380823991</v>
      </c>
      <c r="GP42" s="29">
        <f t="shared" si="242"/>
        <v>91.572647147305986</v>
      </c>
      <c r="GQ42" s="29">
        <f t="shared" si="243"/>
        <v>45.714682149678765</v>
      </c>
      <c r="GR42" s="29">
        <f t="shared" si="244"/>
        <v>0</v>
      </c>
      <c r="GS42" s="29">
        <f t="shared" si="245"/>
        <v>0</v>
      </c>
      <c r="GT42" s="29">
        <f t="shared" si="246"/>
        <v>0</v>
      </c>
      <c r="GU42" s="29">
        <f t="shared" si="247"/>
        <v>0</v>
      </c>
      <c r="GV42" s="29">
        <f t="shared" si="248"/>
        <v>0</v>
      </c>
      <c r="GW42" s="29">
        <f t="shared" si="249"/>
        <v>0</v>
      </c>
      <c r="GX42" s="29">
        <f t="shared" si="250"/>
        <v>0</v>
      </c>
      <c r="GY42" s="29">
        <f t="shared" si="251"/>
        <v>0</v>
      </c>
      <c r="GZ42" s="29">
        <f t="shared" si="252"/>
        <v>0</v>
      </c>
      <c r="HA42" s="29">
        <f t="shared" si="253"/>
        <v>0</v>
      </c>
      <c r="HB42" s="29">
        <f t="shared" si="254"/>
        <v>0</v>
      </c>
      <c r="HC42" s="29"/>
      <c r="HD42" s="29">
        <f t="shared" si="29"/>
        <v>20</v>
      </c>
      <c r="HE42" s="29">
        <f t="shared" si="100"/>
        <v>0</v>
      </c>
      <c r="HF42" s="29">
        <f t="shared" si="101"/>
        <v>64.9926304753225</v>
      </c>
      <c r="HG42" s="29">
        <f t="shared" si="102"/>
        <v>64.714217301073589</v>
      </c>
      <c r="HH42" s="29">
        <f t="shared" si="103"/>
        <v>64.746460444327909</v>
      </c>
      <c r="HI42" s="29">
        <f t="shared" si="104"/>
        <v>64.717506495535062</v>
      </c>
      <c r="HJ42" s="29">
        <f t="shared" si="105"/>
        <v>64.417858114881071</v>
      </c>
      <c r="HK42" s="29">
        <f t="shared" si="106"/>
        <v>63.633722069464781</v>
      </c>
      <c r="HL42" s="29">
        <f t="shared" si="107"/>
        <v>62.30021612158535</v>
      </c>
      <c r="HM42" s="29">
        <f t="shared" si="108"/>
        <v>60.84163274959252</v>
      </c>
      <c r="HN42" s="29">
        <f t="shared" si="109"/>
        <v>59.377793670396116</v>
      </c>
      <c r="HO42" s="29">
        <f t="shared" si="110"/>
        <v>58.09938995261362</v>
      </c>
      <c r="HP42" s="29">
        <f t="shared" si="111"/>
        <v>56.872312512052268</v>
      </c>
      <c r="HQ42" s="29">
        <f t="shared" si="112"/>
        <v>55.69011148919472</v>
      </c>
      <c r="HR42" s="29">
        <f t="shared" si="113"/>
        <v>54.545626629505087</v>
      </c>
      <c r="HS42" s="29">
        <f t="shared" si="114"/>
        <v>53.432849520791081</v>
      </c>
      <c r="HT42" s="29">
        <f t="shared" si="115"/>
        <v>52.405346140468453</v>
      </c>
      <c r="HU42" s="29">
        <f t="shared" si="116"/>
        <v>51.338555808628364</v>
      </c>
      <c r="HV42" s="29">
        <f t="shared" si="117"/>
        <v>50.285939373785212</v>
      </c>
      <c r="HW42" s="29">
        <f t="shared" si="118"/>
        <v>49.298962073933133</v>
      </c>
      <c r="HX42" s="29">
        <f t="shared" si="119"/>
        <v>48.26386978393144</v>
      </c>
      <c r="HY42" s="29">
        <f t="shared" si="120"/>
        <v>47.287634911564247</v>
      </c>
      <c r="HZ42" s="29">
        <f t="shared" si="121"/>
        <v>0</v>
      </c>
      <c r="IA42" s="29">
        <f t="shared" si="122"/>
        <v>0</v>
      </c>
      <c r="IB42" s="29">
        <f t="shared" si="123"/>
        <v>0</v>
      </c>
      <c r="IC42" s="29">
        <f t="shared" si="124"/>
        <v>0</v>
      </c>
      <c r="ID42" s="29">
        <f t="shared" si="125"/>
        <v>0</v>
      </c>
      <c r="IE42" s="29">
        <f t="shared" si="126"/>
        <v>0</v>
      </c>
      <c r="IF42" s="29">
        <f t="shared" si="127"/>
        <v>0</v>
      </c>
      <c r="IG42" s="29">
        <f t="shared" si="128"/>
        <v>0</v>
      </c>
      <c r="IH42" s="29">
        <f t="shared" si="129"/>
        <v>0</v>
      </c>
      <c r="II42" s="29">
        <f t="shared" si="130"/>
        <v>0</v>
      </c>
      <c r="IJ42" s="29">
        <f t="shared" si="131"/>
        <v>0</v>
      </c>
      <c r="IK42" s="8"/>
      <c r="IL42" s="8"/>
      <c r="IM42" s="8"/>
      <c r="IN42" s="29">
        <f t="shared" si="199"/>
        <v>147.63394286983555</v>
      </c>
      <c r="IO42" s="29">
        <f t="shared" si="239"/>
        <v>140.99753011138318</v>
      </c>
      <c r="IP42" s="29">
        <f t="shared" si="287"/>
        <v>124.34563715216159</v>
      </c>
      <c r="IQ42" s="29">
        <f t="shared" si="288"/>
        <v>108.50617184412386</v>
      </c>
      <c r="IR42" s="29">
        <f t="shared" si="289"/>
        <v>94.411739563008709</v>
      </c>
      <c r="IS42" s="29">
        <f t="shared" si="290"/>
        <v>80.374656716394455</v>
      </c>
      <c r="IT42" s="29">
        <f t="shared" si="291"/>
        <v>68.113123199706394</v>
      </c>
      <c r="IU42" s="29">
        <f t="shared" si="292"/>
        <v>57.551079778483967</v>
      </c>
      <c r="IV42" s="29">
        <f t="shared" si="293"/>
        <v>47.274070732248575</v>
      </c>
      <c r="IW42" s="29">
        <f t="shared" si="294"/>
        <v>38.652276711294775</v>
      </c>
      <c r="IX42" s="29">
        <f t="shared" si="295"/>
        <v>31.007733752521865</v>
      </c>
      <c r="IY42" s="29">
        <f t="shared" si="296"/>
        <v>24.324646978149666</v>
      </c>
      <c r="IZ42" s="29">
        <f t="shared" si="297"/>
        <v>18.576293173142503</v>
      </c>
      <c r="JA42" s="29">
        <f t="shared" si="298"/>
        <v>13.734467147943455</v>
      </c>
      <c r="JB42" s="29">
        <f t="shared" si="299"/>
        <v>9.7530706041346882</v>
      </c>
      <c r="JC42" s="29">
        <f t="shared" si="300"/>
        <v>6.275743997836873</v>
      </c>
      <c r="JD42" s="29">
        <f t="shared" si="301"/>
        <v>3.883789375068913</v>
      </c>
      <c r="JE42" s="29">
        <f t="shared" si="270"/>
        <v>2.1606209953045195</v>
      </c>
      <c r="JF42" s="29">
        <f t="shared" si="271"/>
        <v>0.86394746804653799</v>
      </c>
      <c r="JG42" s="29">
        <f t="shared" si="272"/>
        <v>0.23973456330798634</v>
      </c>
      <c r="JH42" s="29">
        <f t="shared" si="273"/>
        <v>-5.8439519934897682E-2</v>
      </c>
      <c r="JI42" s="29">
        <f t="shared" si="274"/>
        <v>0</v>
      </c>
      <c r="JJ42" s="29">
        <f t="shared" si="275"/>
        <v>0</v>
      </c>
      <c r="JK42" s="29">
        <f t="shared" si="276"/>
        <v>0</v>
      </c>
      <c r="JL42" s="29">
        <f t="shared" si="277"/>
        <v>0</v>
      </c>
      <c r="JM42" s="29">
        <f t="shared" si="278"/>
        <v>0</v>
      </c>
      <c r="JN42" s="29">
        <f t="shared" si="279"/>
        <v>0</v>
      </c>
      <c r="JO42" s="29">
        <f t="shared" si="280"/>
        <v>0</v>
      </c>
      <c r="JP42" s="29">
        <f t="shared" si="281"/>
        <v>0</v>
      </c>
      <c r="JQ42" s="29">
        <f t="shared" si="282"/>
        <v>0</v>
      </c>
      <c r="JR42" s="29">
        <f t="shared" si="283"/>
        <v>0</v>
      </c>
      <c r="JS42" s="29">
        <f t="shared" si="284"/>
        <v>0</v>
      </c>
      <c r="JT42" s="8"/>
      <c r="JU42" s="401">
        <f t="shared" si="201"/>
        <v>20</v>
      </c>
      <c r="JV42" s="29">
        <f t="shared" si="202"/>
        <v>0</v>
      </c>
      <c r="JW42" s="29">
        <f t="shared" si="203"/>
        <v>10.224339843732558</v>
      </c>
      <c r="JX42" s="29">
        <f t="shared" si="204"/>
        <v>9.33410254747014</v>
      </c>
      <c r="JY42" s="29">
        <f t="shared" si="205"/>
        <v>8.4541162804532739</v>
      </c>
      <c r="JZ42" s="29">
        <f t="shared" si="206"/>
        <v>7.6577767422124232</v>
      </c>
      <c r="KA42" s="29">
        <f t="shared" si="207"/>
        <v>6.8094598237981137</v>
      </c>
      <c r="KB42" s="29">
        <f t="shared" si="208"/>
        <v>6.0504735608055658</v>
      </c>
      <c r="KC42" s="29">
        <f t="shared" si="209"/>
        <v>5.3834403302875726</v>
      </c>
      <c r="KD42" s="29">
        <f t="shared" si="210"/>
        <v>4.680011787770936</v>
      </c>
      <c r="KE42" s="29">
        <f t="shared" si="211"/>
        <v>4.0732594310545736</v>
      </c>
      <c r="KF42" s="29">
        <f t="shared" si="212"/>
        <v>3.5023095487933724</v>
      </c>
      <c r="KG42" s="29">
        <f t="shared" si="213"/>
        <v>2.9689344296013829</v>
      </c>
      <c r="KH42" s="29">
        <f t="shared" si="214"/>
        <v>2.4745448218186463</v>
      </c>
      <c r="KI42" s="29">
        <f t="shared" si="215"/>
        <v>2.02149697593768</v>
      </c>
      <c r="KJ42" s="29">
        <f t="shared" si="216"/>
        <v>1.6110714273159237</v>
      </c>
      <c r="KK42" s="29">
        <f t="shared" si="217"/>
        <v>1.1875537825901625</v>
      </c>
      <c r="KL42" s="29">
        <f t="shared" si="218"/>
        <v>0.86584556507597066</v>
      </c>
      <c r="KM42" s="29">
        <f t="shared" si="219"/>
        <v>0.59106655614966541</v>
      </c>
      <c r="KN42" s="29">
        <f t="shared" si="220"/>
        <v>0.30931031861145319</v>
      </c>
      <c r="KO42" s="29">
        <f t="shared" si="221"/>
        <v>0.12635342655969861</v>
      </c>
      <c r="KP42" s="29">
        <f t="shared" si="222"/>
        <v>-6.0450309466013451E-2</v>
      </c>
      <c r="KQ42" s="29">
        <f t="shared" si="223"/>
        <v>0</v>
      </c>
      <c r="KR42" s="29">
        <f t="shared" si="224"/>
        <v>0</v>
      </c>
      <c r="KS42" s="29">
        <f t="shared" si="225"/>
        <v>0</v>
      </c>
      <c r="KT42" s="29">
        <f t="shared" si="226"/>
        <v>0</v>
      </c>
      <c r="KU42" s="29">
        <f t="shared" si="227"/>
        <v>0</v>
      </c>
      <c r="KV42" s="29">
        <f t="shared" si="228"/>
        <v>0</v>
      </c>
      <c r="KW42" s="29">
        <f t="shared" si="229"/>
        <v>0</v>
      </c>
      <c r="KX42" s="29">
        <f t="shared" si="230"/>
        <v>0</v>
      </c>
      <c r="KY42" s="29">
        <f t="shared" si="231"/>
        <v>0</v>
      </c>
      <c r="KZ42" s="29">
        <f t="shared" si="232"/>
        <v>0</v>
      </c>
      <c r="LA42" s="29">
        <f t="shared" si="233"/>
        <v>0</v>
      </c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39"/>
      <c r="LP42" s="39"/>
      <c r="LQ42" s="39"/>
      <c r="LR42" s="8"/>
      <c r="LS42" s="39"/>
      <c r="LT42" s="166">
        <v>8.8876666666666645E-2</v>
      </c>
      <c r="LX42" s="158"/>
      <c r="LY42" s="39"/>
      <c r="LZ42" s="39"/>
      <c r="MA42" s="39"/>
      <c r="MB42" s="381">
        <f t="shared" si="285"/>
        <v>6.7500000000000018E-2</v>
      </c>
      <c r="MC42" s="394">
        <f t="shared" si="177"/>
        <v>-1545.7066544478812</v>
      </c>
      <c r="MD42" s="157">
        <f t="shared" si="158"/>
        <v>-5269.8017573482557</v>
      </c>
      <c r="ME42" s="39"/>
      <c r="MF42" s="381">
        <f t="shared" si="286"/>
        <v>6.7500000000000018E-2</v>
      </c>
      <c r="MG42" s="394">
        <f t="shared" si="178"/>
        <v>-60.082122483818246</v>
      </c>
      <c r="MH42" s="157">
        <f t="shared" si="159"/>
        <v>-204.83891541732024</v>
      </c>
      <c r="MI42" s="39"/>
      <c r="MJ42" s="39"/>
      <c r="MK42" s="39"/>
      <c r="ML42" s="39"/>
      <c r="MM42" s="39"/>
      <c r="MN42" s="39"/>
      <c r="MO42" s="39"/>
      <c r="MP42" s="39"/>
      <c r="MQ42" s="39"/>
      <c r="MR42" s="39"/>
      <c r="MS42" s="39"/>
      <c r="MT42" s="39"/>
      <c r="MU42" s="39"/>
      <c r="MV42" s="39"/>
    </row>
    <row r="43" spans="1:360" ht="12.75" customHeight="1" x14ac:dyDescent="0.3">
      <c r="A43" s="305">
        <f t="shared" si="91"/>
        <v>2052</v>
      </c>
      <c r="B43" s="355">
        <f t="shared" si="1"/>
        <v>2050</v>
      </c>
      <c r="C43" s="26">
        <v>54970</v>
      </c>
      <c r="D43" s="96">
        <f t="shared" si="132"/>
        <v>2304.1668052000887</v>
      </c>
      <c r="E43" s="27">
        <f t="shared" si="133"/>
        <v>2304.1668052000887</v>
      </c>
      <c r="F43" s="111">
        <f t="shared" si="18"/>
        <v>24397.060290353893</v>
      </c>
      <c r="G43" s="27">
        <f t="shared" si="134"/>
        <v>26802.657476116448</v>
      </c>
      <c r="H43" s="27">
        <f>G43-L43</f>
        <v>2680.2657476116437</v>
      </c>
      <c r="I43" s="296">
        <f>H43-O43</f>
        <v>2278.2258854698971</v>
      </c>
      <c r="J43" s="273">
        <f>J42/J41*J42</f>
        <v>857.00578944452343</v>
      </c>
      <c r="K43" s="297">
        <f>I43-J43</f>
        <v>1421.2200960253736</v>
      </c>
      <c r="L43" s="297">
        <f>G43*S43</f>
        <v>24122.391728504805</v>
      </c>
      <c r="M43" s="297">
        <f>L43-P43</f>
        <v>20504.032969229083</v>
      </c>
      <c r="N43" s="27">
        <f t="shared" si="162"/>
        <v>0</v>
      </c>
      <c r="O43" s="297">
        <f t="shared" si="138"/>
        <v>402.03986214174654</v>
      </c>
      <c r="P43" s="297">
        <f t="shared" si="139"/>
        <v>3618.3587592757208</v>
      </c>
      <c r="Q43" s="297">
        <f t="shared" si="140"/>
        <v>1162.338325053651</v>
      </c>
      <c r="R43" s="260">
        <f t="shared" si="2"/>
        <v>9.9999999999999978E-2</v>
      </c>
      <c r="S43" s="257">
        <v>0.9</v>
      </c>
      <c r="T43" s="290">
        <f t="shared" si="163"/>
        <v>7.2499999999999995E-2</v>
      </c>
      <c r="U43" s="290">
        <f t="shared" si="164"/>
        <v>7.2499999999999995E-2</v>
      </c>
      <c r="V43" s="27">
        <f>W43+X43</f>
        <v>115723.99455573717</v>
      </c>
      <c r="W43" s="27">
        <f>W42*(1+T43)+(Y43+BP43+BR43)*(1+T43)^0.5</f>
        <v>92295.761038081779</v>
      </c>
      <c r="X43" s="27">
        <f t="shared" si="179"/>
        <v>23428.23351765539</v>
      </c>
      <c r="Y43" s="27">
        <f t="shared" si="142"/>
        <v>232.79840210966998</v>
      </c>
      <c r="Z43" s="27">
        <f t="shared" si="180"/>
        <v>1913.0262760290734</v>
      </c>
      <c r="AA43" s="115">
        <f t="shared" si="165"/>
        <v>7.0000000000000007E-2</v>
      </c>
      <c r="AB43" s="115">
        <f t="shared" si="166"/>
        <v>7.0000000000000007E-2</v>
      </c>
      <c r="AC43" s="96">
        <f>AD43+AE43</f>
        <v>118908.73105175007</v>
      </c>
      <c r="AD43" s="27">
        <f t="shared" si="143"/>
        <v>94835.750084724074</v>
      </c>
      <c r="AE43" s="27">
        <f t="shared" si="181"/>
        <v>24072.980967026</v>
      </c>
      <c r="AF43" s="150">
        <f t="shared" si="144"/>
        <v>245.02616583858008</v>
      </c>
      <c r="AG43" s="27">
        <f t="shared" si="234"/>
        <v>2013.5082084585772</v>
      </c>
      <c r="AH43" s="27">
        <f>SUM(AI43:AJ43)</f>
        <v>106628.33901021011</v>
      </c>
      <c r="AI43" s="27">
        <f t="shared" si="145"/>
        <v>83728.717150836252</v>
      </c>
      <c r="AJ43" s="27">
        <f t="shared" si="182"/>
        <v>22899.621859373859</v>
      </c>
      <c r="AK43" s="27">
        <f>AL43+AM43</f>
        <v>104717.05344455491</v>
      </c>
      <c r="AL43" s="27">
        <f t="shared" si="168"/>
        <v>82202.82911991213</v>
      </c>
      <c r="AM43" s="27">
        <f t="shared" si="235"/>
        <v>22514.224324642775</v>
      </c>
      <c r="AN43" s="417">
        <f>INDEX(Inv.Returns!$B$2:$E$32,MATCH(B43,Inv.Returns!$A$2:$A$32,0),MATCH(SCRS!$DT$52,Inv.Returns!$B$1:$E$1,0))</f>
        <v>0.06</v>
      </c>
      <c r="AO43" s="27">
        <f>AC43-AH43</f>
        <v>12280.392041539963</v>
      </c>
      <c r="AP43" s="229">
        <f>AC43-AK43</f>
        <v>14191.677607195161</v>
      </c>
      <c r="AQ43" s="68">
        <f>AH43/AC43</f>
        <v>0.8967242192148579</v>
      </c>
      <c r="AR43" s="151">
        <f>AK43/AC43</f>
        <v>0.88065066810763604</v>
      </c>
      <c r="AS43" s="353"/>
      <c r="AT43" s="289"/>
      <c r="AU43" s="397"/>
      <c r="AW43" s="303"/>
      <c r="AY43" s="115"/>
      <c r="AZ43" s="115"/>
      <c r="BA43" s="262"/>
      <c r="BB43" s="115"/>
      <c r="BI43" s="28"/>
      <c r="BJ43" s="104"/>
      <c r="BL43" s="27">
        <f t="shared" si="14"/>
        <v>20</v>
      </c>
      <c r="BP43" s="96">
        <f>MD43-MC43</f>
        <v>-3346.5173660806286</v>
      </c>
      <c r="BQ43" s="27">
        <f t="shared" si="183"/>
        <v>-1435.2823078460362</v>
      </c>
      <c r="BR43" s="27">
        <f>MH43-MG43</f>
        <v>-130.08022298700712</v>
      </c>
      <c r="BS43" s="27">
        <f>BQ43*BR43/BP43</f>
        <v>-55.789892066981835</v>
      </c>
      <c r="BT43" s="27">
        <f t="shared" si="150"/>
        <v>-2.7338710625638765</v>
      </c>
      <c r="BU43" s="27">
        <f t="shared" si="185"/>
        <v>-24.604839563074897</v>
      </c>
      <c r="BV43" s="304">
        <f>AX41*I43</f>
        <v>113.9112942734948</v>
      </c>
      <c r="BW43" s="304">
        <f>AY41*M43</f>
        <v>1025.2016484614537</v>
      </c>
      <c r="BX43" s="304">
        <f>AZ41*M43</f>
        <v>0</v>
      </c>
      <c r="BY43" s="304">
        <f>AX41*(N43+Q43)</f>
        <v>58.116916252682522</v>
      </c>
      <c r="BZ43" s="304">
        <f>AT41*I43-BV43</f>
        <v>133.84874262764916</v>
      </c>
      <c r="CA43" s="304">
        <f>AU41*M43-BW43</f>
        <v>1012.9113995601986</v>
      </c>
      <c r="CB43" s="304">
        <f t="shared" si="236"/>
        <v>1147.2626356386468</v>
      </c>
      <c r="CC43" s="304">
        <f t="shared" si="189"/>
        <v>0</v>
      </c>
      <c r="CD43" s="304">
        <f t="shared" si="190"/>
        <v>78.265016890573079</v>
      </c>
      <c r="CE43" s="304"/>
      <c r="CF43" s="304">
        <f t="shared" si="174"/>
        <v>0</v>
      </c>
      <c r="CG43" s="304">
        <f t="shared" si="153"/>
        <v>0</v>
      </c>
      <c r="CH43" s="304">
        <f t="shared" si="175"/>
        <v>0</v>
      </c>
      <c r="CI43" s="27"/>
      <c r="CJ43" s="27">
        <f t="shared" si="39"/>
        <v>0</v>
      </c>
      <c r="CK43" s="27">
        <f t="shared" si="40"/>
        <v>0</v>
      </c>
      <c r="CL43" s="27">
        <f t="shared" si="41"/>
        <v>0</v>
      </c>
      <c r="CM43" s="109">
        <f t="shared" si="42"/>
        <v>3569.5176537046987</v>
      </c>
      <c r="CN43" s="27">
        <f t="shared" si="43"/>
        <v>0</v>
      </c>
      <c r="CO43" s="96">
        <f>NB43-NA43</f>
        <v>0</v>
      </c>
      <c r="CP43" s="27">
        <f t="shared" si="154"/>
        <v>1225.5276525292199</v>
      </c>
      <c r="CQ43" s="27">
        <f t="shared" si="155"/>
        <v>0</v>
      </c>
      <c r="CR43" s="27">
        <f t="shared" si="176"/>
        <v>1225.5276525292199</v>
      </c>
      <c r="CS43" s="27">
        <f>SUM($CR$14:CR43)</f>
        <v>69749.329805635803</v>
      </c>
      <c r="CT43" s="229">
        <v>3763.8932687701727</v>
      </c>
      <c r="CU43" s="425">
        <v>760.8960461941665</v>
      </c>
      <c r="CV43" s="425">
        <v>4524.7893149643387</v>
      </c>
      <c r="CW43" s="425">
        <v>91831.166445735522</v>
      </c>
      <c r="CX43" s="107">
        <f t="shared" si="44"/>
        <v>201.01993107087338</v>
      </c>
      <c r="CY43" s="115">
        <f t="shared" si="92"/>
        <v>9.201888475449975E-2</v>
      </c>
      <c r="CZ43" s="96">
        <f t="shared" si="45"/>
        <v>2573.3077257879409</v>
      </c>
      <c r="DA43" s="418">
        <f t="shared" si="46"/>
        <v>1349.7568499640186</v>
      </c>
      <c r="DB43" s="315"/>
      <c r="DC43" s="315"/>
      <c r="DD43" s="315"/>
      <c r="DE43" s="315"/>
      <c r="DF43" s="315"/>
      <c r="DM43" s="39">
        <v>1554.8537665450581</v>
      </c>
      <c r="DO43" s="41">
        <v>1.2380368139888671</v>
      </c>
      <c r="DP43" s="8"/>
      <c r="DQ43" s="53" t="s">
        <v>332</v>
      </c>
      <c r="DT43" s="407" t="s">
        <v>53</v>
      </c>
      <c r="DU43" s="8"/>
      <c r="EI43" s="347"/>
      <c r="ES43" s="29">
        <f t="shared" si="79"/>
        <v>5495.332806302823</v>
      </c>
      <c r="ET43" s="29">
        <f t="shared" si="80"/>
        <v>4711.1706798263795</v>
      </c>
      <c r="EU43" s="29">
        <f>ET43-ES43</f>
        <v>-784.16212647644352</v>
      </c>
      <c r="EV43" s="29">
        <f>EU43*4/5</f>
        <v>-627.32970118115486</v>
      </c>
      <c r="EW43" s="29">
        <f>EV42*(3/4)</f>
        <v>-456.32895431419388</v>
      </c>
      <c r="EX43" s="29">
        <f>EW42*(2/3)</f>
        <v>-296.74581501552314</v>
      </c>
      <c r="EY43" s="29">
        <f>EX42*(1/2)</f>
        <v>-145.48356041324769</v>
      </c>
      <c r="EZ43" s="29">
        <f>SUM(EV43:EY43)</f>
        <v>-1525.8880309241194</v>
      </c>
      <c r="FA43" s="29"/>
      <c r="FB43" s="29">
        <f t="shared" si="237"/>
        <v>1466.9712657417551</v>
      </c>
      <c r="FC43" s="29">
        <f t="shared" si="238"/>
        <v>1257.1414441853499</v>
      </c>
      <c r="FD43" s="29">
        <f>FC43-FB43</f>
        <v>-209.82982155640525</v>
      </c>
      <c r="FE43" s="29">
        <f>FD43*4/5</f>
        <v>-167.86385724512419</v>
      </c>
      <c r="FF43" s="29">
        <f>FE42*(3/4)</f>
        <v>-115.35187914493609</v>
      </c>
      <c r="FG43" s="29">
        <f>FF42*(2/3)</f>
        <v>-70.2292178522559</v>
      </c>
      <c r="FH43" s="29">
        <f>FG42*(1/2)</f>
        <v>-31.952580488769058</v>
      </c>
      <c r="FI43" s="29">
        <f>SUM(FE43:FH43)</f>
        <v>-385.39753473108522</v>
      </c>
      <c r="FK43" s="8"/>
      <c r="FL43" s="27">
        <f t="shared" si="24"/>
        <v>11656.327835294171</v>
      </c>
      <c r="FM43" s="41"/>
      <c r="FN43" s="308">
        <f t="shared" si="156"/>
        <v>1147.2626356386468</v>
      </c>
      <c r="FO43" s="93">
        <f>SUM(JV42:LA42)</f>
        <v>78.265016890573079</v>
      </c>
      <c r="FP43" s="27">
        <f t="shared" si="82"/>
        <v>20</v>
      </c>
      <c r="FQ43" s="309">
        <f t="shared" si="27"/>
        <v>13.512970250241354</v>
      </c>
      <c r="FR43" s="93">
        <f>FL43/FQ43</f>
        <v>862.60293772836349</v>
      </c>
      <c r="FS43" s="93">
        <f t="shared" si="198"/>
        <v>1225.5276525292199</v>
      </c>
      <c r="FT43" s="29">
        <f>FP43</f>
        <v>20</v>
      </c>
      <c r="FU43" s="142">
        <f t="shared" si="28"/>
        <v>13.512970250241354</v>
      </c>
      <c r="FV43" s="48">
        <v>-2331.9164413709614</v>
      </c>
      <c r="FW43" s="29">
        <f t="shared" si="98"/>
        <v>911.42521400012811</v>
      </c>
      <c r="FX43" s="29">
        <f t="shared" si="157"/>
        <v>932.17532566632178</v>
      </c>
      <c r="FY43" s="29">
        <f t="shared" si="255"/>
        <v>891.78327597274256</v>
      </c>
      <c r="FZ43" s="29">
        <f t="shared" si="256"/>
        <v>855.50618217157205</v>
      </c>
      <c r="GA43" s="29">
        <f t="shared" si="257"/>
        <v>822.19826352764323</v>
      </c>
      <c r="GB43" s="29">
        <f t="shared" si="258"/>
        <v>786.80202656293602</v>
      </c>
      <c r="GC43" s="29">
        <f t="shared" si="259"/>
        <v>746.93864964506929</v>
      </c>
      <c r="GD43" s="29">
        <f t="shared" si="260"/>
        <v>700.6774230713537</v>
      </c>
      <c r="GE43" s="29">
        <f t="shared" si="261"/>
        <v>648.19075374979866</v>
      </c>
      <c r="GF43" s="29">
        <f t="shared" si="262"/>
        <v>594.66324066553148</v>
      </c>
      <c r="GG43" s="29">
        <f t="shared" si="263"/>
        <v>541.47296663297277</v>
      </c>
      <c r="GH43" s="29">
        <f t="shared" si="264"/>
        <v>490.2919209791765</v>
      </c>
      <c r="GI43" s="29">
        <f t="shared" si="265"/>
        <v>439.74594583357555</v>
      </c>
      <c r="GJ43" s="29">
        <f t="shared" si="266"/>
        <v>389.7211998299573</v>
      </c>
      <c r="GK43" s="29">
        <f t="shared" si="267"/>
        <v>340.1133921213862</v>
      </c>
      <c r="GL43" s="29">
        <f t="shared" si="268"/>
        <v>290.84224754361821</v>
      </c>
      <c r="GM43" s="29">
        <f t="shared" si="269"/>
        <v>242.11854260047059</v>
      </c>
      <c r="GN43" s="29">
        <f t="shared" si="240"/>
        <v>193.2960936572895</v>
      </c>
      <c r="GO43" s="29">
        <f t="shared" si="241"/>
        <v>144.66941323268304</v>
      </c>
      <c r="GP43" s="29">
        <f t="shared" si="242"/>
        <v>96.342659080240793</v>
      </c>
      <c r="GQ43" s="29">
        <f t="shared" si="243"/>
        <v>48.058197343355189</v>
      </c>
      <c r="GR43" s="29">
        <f t="shared" si="244"/>
        <v>0</v>
      </c>
      <c r="GS43" s="29">
        <f t="shared" si="245"/>
        <v>0</v>
      </c>
      <c r="GT43" s="29">
        <f t="shared" si="246"/>
        <v>0</v>
      </c>
      <c r="GU43" s="29">
        <f t="shared" si="247"/>
        <v>0</v>
      </c>
      <c r="GV43" s="29">
        <f t="shared" si="248"/>
        <v>0</v>
      </c>
      <c r="GW43" s="29">
        <f t="shared" si="249"/>
        <v>0</v>
      </c>
      <c r="GX43" s="29">
        <f t="shared" si="250"/>
        <v>0</v>
      </c>
      <c r="GY43" s="29">
        <f t="shared" si="251"/>
        <v>0</v>
      </c>
      <c r="GZ43" s="29">
        <f t="shared" si="252"/>
        <v>0</v>
      </c>
      <c r="HA43" s="29">
        <f t="shared" si="253"/>
        <v>0</v>
      </c>
      <c r="HB43" s="29">
        <f t="shared" si="254"/>
        <v>0</v>
      </c>
      <c r="HC43" s="29"/>
      <c r="HD43" s="29">
        <f>FT43</f>
        <v>20</v>
      </c>
      <c r="HE43" s="29">
        <f t="shared" si="100"/>
        <v>0</v>
      </c>
      <c r="HF43" s="29">
        <f t="shared" si="101"/>
        <v>67.596058711280136</v>
      </c>
      <c r="HG43" s="29">
        <f t="shared" si="102"/>
        <v>66.942409389582195</v>
      </c>
      <c r="HH43" s="29">
        <f t="shared" si="103"/>
        <v>66.655643820105794</v>
      </c>
      <c r="HI43" s="29">
        <f t="shared" si="104"/>
        <v>66.688854257657738</v>
      </c>
      <c r="HJ43" s="29">
        <f t="shared" si="105"/>
        <v>66.659031690401122</v>
      </c>
      <c r="HK43" s="29">
        <f t="shared" si="106"/>
        <v>66.350393858327507</v>
      </c>
      <c r="HL43" s="29">
        <f t="shared" si="107"/>
        <v>65.542733731548736</v>
      </c>
      <c r="HM43" s="29">
        <f t="shared" si="108"/>
        <v>64.169222605232932</v>
      </c>
      <c r="HN43" s="29">
        <f t="shared" si="109"/>
        <v>62.666881732080313</v>
      </c>
      <c r="HO43" s="29">
        <f t="shared" si="110"/>
        <v>61.159127480508005</v>
      </c>
      <c r="HP43" s="29">
        <f t="shared" si="111"/>
        <v>59.842371651192039</v>
      </c>
      <c r="HQ43" s="29">
        <f t="shared" si="112"/>
        <v>58.578481887413837</v>
      </c>
      <c r="HR43" s="29">
        <f t="shared" si="113"/>
        <v>57.36081483387057</v>
      </c>
      <c r="HS43" s="29">
        <f t="shared" si="114"/>
        <v>56.181995428390223</v>
      </c>
      <c r="HT43" s="29">
        <f t="shared" si="115"/>
        <v>55.035835006414807</v>
      </c>
      <c r="HU43" s="29">
        <f t="shared" si="116"/>
        <v>53.977506524682532</v>
      </c>
      <c r="HV43" s="29">
        <f t="shared" si="117"/>
        <v>52.878712482887217</v>
      </c>
      <c r="HW43" s="29">
        <f t="shared" si="118"/>
        <v>51.794517554998798</v>
      </c>
      <c r="HX43" s="29">
        <f t="shared" si="119"/>
        <v>50.777930936151144</v>
      </c>
      <c r="HY43" s="29">
        <f t="shared" si="120"/>
        <v>49.711785877449351</v>
      </c>
      <c r="HZ43" s="29">
        <f t="shared" si="121"/>
        <v>0</v>
      </c>
      <c r="IA43" s="29">
        <f t="shared" si="122"/>
        <v>0</v>
      </c>
      <c r="IB43" s="29">
        <f t="shared" si="123"/>
        <v>0</v>
      </c>
      <c r="IC43" s="29">
        <f t="shared" si="124"/>
        <v>0</v>
      </c>
      <c r="ID43" s="29">
        <f t="shared" si="125"/>
        <v>0</v>
      </c>
      <c r="IE43" s="29">
        <f t="shared" si="126"/>
        <v>0</v>
      </c>
      <c r="IF43" s="29">
        <f t="shared" si="127"/>
        <v>0</v>
      </c>
      <c r="IG43" s="29">
        <f t="shared" si="128"/>
        <v>0</v>
      </c>
      <c r="IH43" s="29">
        <f t="shared" si="129"/>
        <v>0</v>
      </c>
      <c r="II43" s="29">
        <f t="shared" si="130"/>
        <v>0</v>
      </c>
      <c r="IJ43" s="29">
        <f t="shared" si="131"/>
        <v>0</v>
      </c>
      <c r="IK43" s="8"/>
      <c r="IL43" s="8"/>
      <c r="IM43" s="8"/>
      <c r="IN43" s="29">
        <f t="shared" si="199"/>
        <v>164.39170481195083</v>
      </c>
      <c r="IO43" s="29">
        <f t="shared" si="239"/>
        <v>157.96831887072406</v>
      </c>
      <c r="IP43" s="29">
        <f t="shared" si="287"/>
        <v>140.29121784760653</v>
      </c>
      <c r="IQ43" s="29">
        <f t="shared" si="288"/>
        <v>123.39456100092009</v>
      </c>
      <c r="IR43" s="29">
        <f t="shared" si="289"/>
        <v>107.3565979938969</v>
      </c>
      <c r="IS43" s="29">
        <f t="shared" si="290"/>
        <v>93.099295476641004</v>
      </c>
      <c r="IT43" s="29">
        <f t="shared" si="291"/>
        <v>78.957122674421058</v>
      </c>
      <c r="IU43" s="29">
        <f t="shared" si="292"/>
        <v>66.622383306742492</v>
      </c>
      <c r="IV43" s="29">
        <f t="shared" si="293"/>
        <v>56.010981384816574</v>
      </c>
      <c r="IW43" s="29">
        <f t="shared" si="294"/>
        <v>45.742213847595842</v>
      </c>
      <c r="IX43" s="29">
        <f t="shared" si="295"/>
        <v>37.144523763241089</v>
      </c>
      <c r="IY43" s="29">
        <f t="shared" si="296"/>
        <v>29.555457947874174</v>
      </c>
      <c r="IZ43" s="29">
        <f t="shared" si="297"/>
        <v>22.95628261267294</v>
      </c>
      <c r="JA43" s="29">
        <f t="shared" si="298"/>
        <v>17.31694462811922</v>
      </c>
      <c r="JB43" s="29">
        <f t="shared" si="299"/>
        <v>12.604827116925669</v>
      </c>
      <c r="JC43" s="29">
        <f t="shared" si="300"/>
        <v>8.7692803037117724</v>
      </c>
      <c r="JD43" s="29">
        <f t="shared" si="301"/>
        <v>5.4866308931479555</v>
      </c>
      <c r="JE43" s="29">
        <f t="shared" si="270"/>
        <v>3.2600170145718237</v>
      </c>
      <c r="JF43" s="29">
        <f t="shared" si="271"/>
        <v>1.7004604651814861</v>
      </c>
      <c r="JG43" s="29">
        <f t="shared" si="272"/>
        <v>0.60447070936896163</v>
      </c>
      <c r="JH43" s="29">
        <f t="shared" si="273"/>
        <v>0.12581498201034841</v>
      </c>
      <c r="JI43" s="29">
        <f t="shared" si="274"/>
        <v>0</v>
      </c>
      <c r="JJ43" s="29">
        <f t="shared" si="275"/>
        <v>0</v>
      </c>
      <c r="JK43" s="29">
        <f t="shared" si="276"/>
        <v>0</v>
      </c>
      <c r="JL43" s="29">
        <f t="shared" si="277"/>
        <v>0</v>
      </c>
      <c r="JM43" s="29">
        <f t="shared" si="278"/>
        <v>0</v>
      </c>
      <c r="JN43" s="29">
        <f t="shared" si="279"/>
        <v>0</v>
      </c>
      <c r="JO43" s="29">
        <f t="shared" si="280"/>
        <v>0</v>
      </c>
      <c r="JP43" s="29">
        <f t="shared" si="281"/>
        <v>0</v>
      </c>
      <c r="JQ43" s="29">
        <f t="shared" si="282"/>
        <v>0</v>
      </c>
      <c r="JR43" s="29">
        <f t="shared" si="283"/>
        <v>0</v>
      </c>
      <c r="JS43" s="29">
        <f t="shared" si="284"/>
        <v>0</v>
      </c>
      <c r="JT43" s="8"/>
      <c r="JU43" s="401">
        <f t="shared" si="201"/>
        <v>20</v>
      </c>
      <c r="JV43" s="29">
        <f t="shared" si="202"/>
        <v>0</v>
      </c>
      <c r="JW43" s="29">
        <f t="shared" si="203"/>
        <v>11.454965029539903</v>
      </c>
      <c r="JX43" s="29">
        <f t="shared" si="204"/>
        <v>10.53107003904454</v>
      </c>
      <c r="JY43" s="29">
        <f t="shared" si="205"/>
        <v>9.6141256238942425</v>
      </c>
      <c r="JZ43" s="29">
        <f t="shared" si="206"/>
        <v>8.7077397688668707</v>
      </c>
      <c r="KA43" s="29">
        <f t="shared" si="207"/>
        <v>7.8875100444787964</v>
      </c>
      <c r="KB43" s="29">
        <f t="shared" si="208"/>
        <v>7.0137436185120574</v>
      </c>
      <c r="KC43" s="29">
        <f t="shared" si="209"/>
        <v>6.2319877676297351</v>
      </c>
      <c r="KD43" s="29">
        <f t="shared" si="210"/>
        <v>5.5449435401962006</v>
      </c>
      <c r="KE43" s="29">
        <f t="shared" si="211"/>
        <v>4.8204121414040637</v>
      </c>
      <c r="KF43" s="29">
        <f t="shared" si="212"/>
        <v>4.1954572139862112</v>
      </c>
      <c r="KG43" s="29">
        <f t="shared" si="213"/>
        <v>3.6073788352571738</v>
      </c>
      <c r="KH43" s="29">
        <f t="shared" si="214"/>
        <v>3.0580024624894242</v>
      </c>
      <c r="KI43" s="29">
        <f t="shared" si="215"/>
        <v>2.5487811664732067</v>
      </c>
      <c r="KJ43" s="29">
        <f t="shared" si="216"/>
        <v>2.08214188521581</v>
      </c>
      <c r="KK43" s="29">
        <f t="shared" si="217"/>
        <v>1.6594035701354015</v>
      </c>
      <c r="KL43" s="29">
        <f t="shared" si="218"/>
        <v>1.2231803960678675</v>
      </c>
      <c r="KM43" s="29">
        <f t="shared" si="219"/>
        <v>0.89182093202824997</v>
      </c>
      <c r="KN43" s="29">
        <f t="shared" si="220"/>
        <v>0.60879855283415574</v>
      </c>
      <c r="KO43" s="29">
        <f t="shared" si="221"/>
        <v>0.31858962816979697</v>
      </c>
      <c r="KP43" s="29">
        <f t="shared" si="222"/>
        <v>0.13014402935648947</v>
      </c>
      <c r="KQ43" s="29">
        <f t="shared" si="223"/>
        <v>0</v>
      </c>
      <c r="KR43" s="29">
        <f t="shared" si="224"/>
        <v>0</v>
      </c>
      <c r="KS43" s="29">
        <f t="shared" si="225"/>
        <v>0</v>
      </c>
      <c r="KT43" s="29">
        <f t="shared" si="226"/>
        <v>0</v>
      </c>
      <c r="KU43" s="29">
        <f t="shared" si="227"/>
        <v>0</v>
      </c>
      <c r="KV43" s="29">
        <f t="shared" si="228"/>
        <v>0</v>
      </c>
      <c r="KW43" s="29">
        <f t="shared" si="229"/>
        <v>0</v>
      </c>
      <c r="KX43" s="29">
        <f t="shared" si="230"/>
        <v>0</v>
      </c>
      <c r="KY43" s="29">
        <f t="shared" si="231"/>
        <v>0</v>
      </c>
      <c r="KZ43" s="29">
        <f t="shared" si="232"/>
        <v>0</v>
      </c>
      <c r="LA43" s="29">
        <f t="shared" si="233"/>
        <v>0</v>
      </c>
      <c r="LO43" s="39"/>
      <c r="LP43" s="39"/>
      <c r="LQ43" s="39"/>
      <c r="LS43" s="39"/>
      <c r="LT43" s="39"/>
      <c r="LX43" s="39"/>
      <c r="LY43" s="39"/>
      <c r="LZ43" s="39"/>
      <c r="MA43" s="39"/>
      <c r="MB43" s="381">
        <f t="shared" si="285"/>
        <v>7.0000000000000021E-2</v>
      </c>
      <c r="MC43" s="394">
        <f t="shared" si="177"/>
        <v>-1688.5674209953368</v>
      </c>
      <c r="MD43" s="157">
        <f t="shared" si="158"/>
        <v>-5035.0847870759653</v>
      </c>
      <c r="ME43" s="39"/>
      <c r="MF43" s="381">
        <f t="shared" si="286"/>
        <v>7.0000000000000021E-2</v>
      </c>
      <c r="MG43" s="394">
        <f t="shared" si="178"/>
        <v>-65.635167137625686</v>
      </c>
      <c r="MH43" s="157">
        <f t="shared" si="159"/>
        <v>-195.71539012463282</v>
      </c>
      <c r="MI43" s="39"/>
      <c r="MJ43" s="39"/>
      <c r="MK43" s="39"/>
      <c r="ML43" s="39"/>
      <c r="MM43" s="39"/>
      <c r="MN43" s="39"/>
      <c r="MO43" s="39"/>
      <c r="MP43" s="39"/>
      <c r="MQ43" s="39"/>
      <c r="MR43" s="39"/>
      <c r="MS43" s="39"/>
      <c r="MT43" s="39"/>
      <c r="MU43" s="39"/>
      <c r="MV43" s="39"/>
    </row>
    <row r="44" spans="1:360" ht="12.75" customHeight="1" x14ac:dyDescent="0.3">
      <c r="A44" s="305">
        <f t="shared" si="91"/>
        <v>2053</v>
      </c>
      <c r="B44" s="355">
        <f t="shared" si="1"/>
        <v>2051</v>
      </c>
      <c r="C44" s="26">
        <v>55335</v>
      </c>
      <c r="D44" s="96">
        <f t="shared" si="132"/>
        <v>1887.8457574423444</v>
      </c>
      <c r="E44" s="27">
        <f t="shared" si="133"/>
        <v>1887.8457574423444</v>
      </c>
      <c r="F44" s="111">
        <f t="shared" si="18"/>
        <v>25700.085101315974</v>
      </c>
      <c r="G44" s="27">
        <f t="shared" si="134"/>
        <v>27606.737200399941</v>
      </c>
      <c r="H44" s="27">
        <f>G44-L44</f>
        <v>2195.9904591227205</v>
      </c>
      <c r="I44" s="296">
        <f>H44-O44</f>
        <v>1866.5918902543124</v>
      </c>
      <c r="J44" s="273">
        <f>J43/J42*J43</f>
        <v>798.19376706259482</v>
      </c>
      <c r="K44" s="297">
        <f>I44-J44</f>
        <v>1068.3981231917176</v>
      </c>
      <c r="L44" s="297">
        <f>G44*S44</f>
        <v>25410.74674127722</v>
      </c>
      <c r="M44" s="297">
        <f>L44-P44</f>
        <v>21599.134730085636</v>
      </c>
      <c r="N44" s="27">
        <f t="shared" si="162"/>
        <v>0</v>
      </c>
      <c r="O44" s="297">
        <f t="shared" si="138"/>
        <v>329.39856886840806</v>
      </c>
      <c r="P44" s="297">
        <f t="shared" si="139"/>
        <v>3811.612011191583</v>
      </c>
      <c r="Q44" s="297">
        <f t="shared" si="140"/>
        <v>1197.2084748052605</v>
      </c>
      <c r="R44" s="260">
        <f t="shared" si="2"/>
        <v>7.9545454545454475E-2</v>
      </c>
      <c r="S44" s="257">
        <v>0.92045454545454553</v>
      </c>
      <c r="T44" s="290">
        <f t="shared" si="163"/>
        <v>7.2499999999999995E-2</v>
      </c>
      <c r="U44" s="290">
        <f t="shared" si="164"/>
        <v>7.2499999999999995E-2</v>
      </c>
      <c r="V44" s="27">
        <f>W44+X44</f>
        <v>121563.35533739989</v>
      </c>
      <c r="W44" s="27">
        <f>W43*(1+T44)+(Y44+BP44+BR44)*(1+T44)^0.5</f>
        <v>96034.348450794001</v>
      </c>
      <c r="X44" s="27">
        <f t="shared" si="179"/>
        <v>25529.006886605886</v>
      </c>
      <c r="Y44" s="27">
        <f t="shared" si="142"/>
        <v>193.0039853640815</v>
      </c>
      <c r="Z44" s="27">
        <f t="shared" si="180"/>
        <v>2015.1992703169897</v>
      </c>
      <c r="AA44" s="115">
        <f t="shared" si="165"/>
        <v>7.0000000000000007E-2</v>
      </c>
      <c r="AB44" s="115">
        <f t="shared" si="166"/>
        <v>7.0000000000000007E-2</v>
      </c>
      <c r="AC44" s="96">
        <f>AD44+AE44</f>
        <v>124908.79165600482</v>
      </c>
      <c r="AD44" s="27">
        <f t="shared" si="143"/>
        <v>98677.223816064579</v>
      </c>
      <c r="AE44" s="27">
        <f t="shared" si="181"/>
        <v>26231.567839940242</v>
      </c>
      <c r="AF44" s="150">
        <f t="shared" si="144"/>
        <v>203.14154262557091</v>
      </c>
      <c r="AG44" s="27">
        <f t="shared" si="234"/>
        <v>2121.047851410342</v>
      </c>
      <c r="AH44" s="27">
        <f>SUM(AI44:AJ44)</f>
        <v>111964.54249335776</v>
      </c>
      <c r="AI44" s="27">
        <f t="shared" si="145"/>
        <v>87075.179462865563</v>
      </c>
      <c r="AJ44" s="27">
        <f t="shared" si="182"/>
        <v>24889.363030492194</v>
      </c>
      <c r="AK44" s="27">
        <f>AL44+AM44</f>
        <v>109970.15393326808</v>
      </c>
      <c r="AL44" s="27">
        <f t="shared" si="168"/>
        <v>85501.368930280805</v>
      </c>
      <c r="AM44" s="27">
        <f t="shared" si="235"/>
        <v>24468.785002987282</v>
      </c>
      <c r="AN44" s="417">
        <f>INDEX(Inv.Returns!$B$2:$E$32,MATCH(B44,Inv.Returns!$A$2:$A$32,0),MATCH(SCRS!$DT$52,Inv.Returns!$B$1:$E$1,0))</f>
        <v>0.06</v>
      </c>
      <c r="AO44" s="27">
        <f>AC44-AH44</f>
        <v>12944.249162647058</v>
      </c>
      <c r="AP44" s="27">
        <f>AC44-AK44</f>
        <v>14938.637722736734</v>
      </c>
      <c r="AQ44" s="68">
        <f>AH44/AC44</f>
        <v>0.89637039161906917</v>
      </c>
      <c r="AR44" s="151">
        <f>AK44/AC44</f>
        <v>0.88040363272525035</v>
      </c>
      <c r="AS44" s="68"/>
      <c r="AT44" s="23"/>
      <c r="AU44" s="23"/>
      <c r="BI44" s="28"/>
      <c r="BJ44" s="104"/>
      <c r="BL44" s="27">
        <f t="shared" si="14"/>
        <v>20</v>
      </c>
      <c r="BP44" s="96">
        <f>MD44-MC44</f>
        <v>-2930.4022046549021</v>
      </c>
      <c r="BQ44" s="27">
        <f t="shared" si="183"/>
        <v>-1565.9372679312091</v>
      </c>
      <c r="BR44" s="27">
        <f>MH44-MG44</f>
        <v>-113.90569075981391</v>
      </c>
      <c r="BS44" s="27">
        <f>BQ44*BR44/BP44</f>
        <v>-60.868493037202633</v>
      </c>
      <c r="BT44" s="27">
        <f t="shared" si="150"/>
        <v>-2.2399102683051746</v>
      </c>
      <c r="BU44" s="27">
        <f t="shared" si="185"/>
        <v>-25.918961676102761</v>
      </c>
      <c r="BV44" s="304">
        <f>AX42*I44</f>
        <v>83.99663506144401</v>
      </c>
      <c r="BW44" s="304">
        <f>AY42*M44</f>
        <v>971.96106285385315</v>
      </c>
      <c r="BX44" s="304">
        <f>AZ42*M44</f>
        <v>0</v>
      </c>
      <c r="BY44" s="304">
        <f>AX42*(N44+Q44)</f>
        <v>53.874381366236697</v>
      </c>
      <c r="BZ44" s="304">
        <f>AT42*I44-BV44</f>
        <v>121.38481783243208</v>
      </c>
      <c r="CA44" s="304">
        <f>AU42*M44-BW44</f>
        <v>1175.0057502325922</v>
      </c>
      <c r="CB44" s="304">
        <f t="shared" si="236"/>
        <v>1200.5703094601749</v>
      </c>
      <c r="CC44" s="304">
        <f t="shared" si="189"/>
        <v>0</v>
      </c>
      <c r="CD44" s="304">
        <f t="shared" si="190"/>
        <v>92.130196245580208</v>
      </c>
      <c r="CE44" s="304"/>
      <c r="CF44" s="304">
        <f t="shared" si="174"/>
        <v>0</v>
      </c>
      <c r="CG44" s="304">
        <f t="shared" si="153"/>
        <v>0</v>
      </c>
      <c r="CH44" s="304">
        <f t="shared" si="175"/>
        <v>0</v>
      </c>
      <c r="CI44" s="27"/>
      <c r="CJ44" s="27">
        <f t="shared" si="39"/>
        <v>0</v>
      </c>
      <c r="CK44" s="27">
        <f t="shared" si="40"/>
        <v>0</v>
      </c>
      <c r="CL44" s="27">
        <f t="shared" si="41"/>
        <v>0</v>
      </c>
      <c r="CM44" s="109">
        <f t="shared" si="42"/>
        <v>3698.923153052313</v>
      </c>
      <c r="CN44" s="27">
        <f t="shared" si="43"/>
        <v>0</v>
      </c>
      <c r="CO44" s="96">
        <f>NB44-NA44</f>
        <v>0</v>
      </c>
      <c r="CP44" s="27">
        <f t="shared" si="154"/>
        <v>1292.7005057057552</v>
      </c>
      <c r="CQ44" s="27">
        <f t="shared" si="155"/>
        <v>0</v>
      </c>
      <c r="CR44" s="27">
        <f t="shared" si="176"/>
        <v>1292.7005057057552</v>
      </c>
      <c r="CS44" s="27">
        <f>SUM($CR$14:CR44)</f>
        <v>71042.030311341558</v>
      </c>
      <c r="CT44" s="229">
        <v>3878.8062296351118</v>
      </c>
      <c r="CU44" s="426">
        <v>783.72292757999139</v>
      </c>
      <c r="CV44" s="425">
        <v>4662.5291572151036</v>
      </c>
      <c r="CW44" s="425">
        <v>96493.695602950625</v>
      </c>
      <c r="CX44" s="107">
        <f t="shared" si="44"/>
        <v>207.05052900299958</v>
      </c>
      <c r="CY44" s="115">
        <f t="shared" si="92"/>
        <v>9.707495057459202E-2</v>
      </c>
      <c r="CZ44" s="96">
        <f t="shared" si="45"/>
        <v>2796.1416027737787</v>
      </c>
      <c r="DA44" s="224">
        <f t="shared" si="46"/>
        <v>1434.364938678797</v>
      </c>
      <c r="DM44" s="39">
        <v>1331.6803693416216</v>
      </c>
      <c r="DO44" s="41">
        <v>1.2377640762653876</v>
      </c>
      <c r="DP44" s="8"/>
      <c r="DQ44" s="50" t="s">
        <v>160</v>
      </c>
      <c r="DR44" s="34"/>
      <c r="DS44" s="34"/>
      <c r="DT44" s="154">
        <v>30</v>
      </c>
      <c r="DU44" s="8"/>
      <c r="EI44" s="347"/>
      <c r="ES44" s="29">
        <f t="shared" si="79"/>
        <v>5698.6627802251542</v>
      </c>
      <c r="ET44" s="29">
        <f t="shared" si="80"/>
        <v>4885.2614723314082</v>
      </c>
      <c r="EU44" s="29">
        <f>ET44-ES44</f>
        <v>-813.40130789374598</v>
      </c>
      <c r="EV44" s="29">
        <f>EU44*4/5</f>
        <v>-650.72104631499678</v>
      </c>
      <c r="EW44" s="29">
        <f>EV43*(3/4)</f>
        <v>-470.49727588586615</v>
      </c>
      <c r="EX44" s="29">
        <f>EW43*(2/3)</f>
        <v>-304.21930287612923</v>
      </c>
      <c r="EY44" s="29">
        <f>EX43*(1/2)</f>
        <v>-148.37290750776157</v>
      </c>
      <c r="EZ44" s="29">
        <f>SUM(EV44:EY44)</f>
        <v>-1573.8105325847537</v>
      </c>
      <c r="FB44" s="29">
        <f t="shared" si="237"/>
        <v>1596.5187327590572</v>
      </c>
      <c r="FC44" s="29">
        <f t="shared" si="238"/>
        <v>1368.1883916569964</v>
      </c>
      <c r="FD44" s="29">
        <f>FC44-FB44</f>
        <v>-228.33034110206086</v>
      </c>
      <c r="FE44" s="29">
        <f>FD44*4/5</f>
        <v>-182.66427288164869</v>
      </c>
      <c r="FF44" s="29">
        <f>FE43*(3/4)</f>
        <v>-125.89789293384314</v>
      </c>
      <c r="FG44" s="29">
        <f>FF43*(2/3)</f>
        <v>-76.901252763290728</v>
      </c>
      <c r="FH44" s="29">
        <f>FG43*(1/2)</f>
        <v>-35.11460892612795</v>
      </c>
      <c r="FI44" s="29">
        <f>SUM(FE44:FH44)</f>
        <v>-420.57802750491055</v>
      </c>
      <c r="FK44" s="8"/>
      <c r="FL44" s="27">
        <f t="shared" si="24"/>
        <v>12280.392041539963</v>
      </c>
      <c r="FM44" s="41"/>
      <c r="FN44" s="308">
        <f t="shared" si="156"/>
        <v>1200.5703094601749</v>
      </c>
      <c r="FO44" s="93">
        <f>SUM(JV43:LA43)</f>
        <v>92.130196245580208</v>
      </c>
      <c r="FP44" s="27">
        <f t="shared" si="82"/>
        <v>20</v>
      </c>
      <c r="FQ44" s="309">
        <f t="shared" si="27"/>
        <v>13.512970250241354</v>
      </c>
      <c r="FR44" s="93">
        <f>FL44/FQ44</f>
        <v>908.78554559983752</v>
      </c>
      <c r="FS44" s="93">
        <f t="shared" si="198"/>
        <v>1292.7005057057552</v>
      </c>
      <c r="FT44" s="29">
        <f>FP44</f>
        <v>20</v>
      </c>
      <c r="FU44" s="142">
        <f t="shared" si="28"/>
        <v>13.512970250241354</v>
      </c>
      <c r="FV44" s="48">
        <v>-2544.4750165339833</v>
      </c>
      <c r="FW44" s="29">
        <f t="shared" si="98"/>
        <v>959.39869856644327</v>
      </c>
      <c r="FX44" s="29">
        <f t="shared" si="157"/>
        <v>975.22497898013717</v>
      </c>
      <c r="FY44" s="29">
        <f t="shared" si="255"/>
        <v>927.5056916380662</v>
      </c>
      <c r="FZ44" s="29">
        <f t="shared" si="256"/>
        <v>884.96233858178448</v>
      </c>
      <c r="GA44" s="29">
        <f t="shared" si="257"/>
        <v>846.44248082613376</v>
      </c>
      <c r="GB44" s="29">
        <f t="shared" si="258"/>
        <v>810.76865473340547</v>
      </c>
      <c r="GC44" s="29">
        <f t="shared" si="259"/>
        <v>772.92552988461023</v>
      </c>
      <c r="GD44" s="29">
        <f t="shared" si="260"/>
        <v>730.59097403844999</v>
      </c>
      <c r="GE44" s="29">
        <f t="shared" si="261"/>
        <v>681.92691173594994</v>
      </c>
      <c r="GF44" s="29">
        <f t="shared" si="262"/>
        <v>627.18694651848</v>
      </c>
      <c r="GG44" s="29">
        <f t="shared" si="263"/>
        <v>571.46654100124977</v>
      </c>
      <c r="GH44" s="29">
        <f t="shared" si="264"/>
        <v>516.11258091152627</v>
      </c>
      <c r="GI44" s="29">
        <f t="shared" si="265"/>
        <v>462.71092488284296</v>
      </c>
      <c r="GJ44" s="29">
        <f t="shared" si="266"/>
        <v>409.93410921451994</v>
      </c>
      <c r="GK44" s="29">
        <f t="shared" si="267"/>
        <v>357.66719558486926</v>
      </c>
      <c r="GL44" s="29">
        <f t="shared" si="268"/>
        <v>305.80622161130026</v>
      </c>
      <c r="GM44" s="29">
        <f t="shared" si="269"/>
        <v>254.27169447246777</v>
      </c>
      <c r="GN44" s="29">
        <f t="shared" si="240"/>
        <v>203.23207367723481</v>
      </c>
      <c r="GO44" s="29">
        <f t="shared" si="241"/>
        <v>152.12865470277097</v>
      </c>
      <c r="GP44" s="29">
        <f t="shared" si="242"/>
        <v>101.21960660233198</v>
      </c>
      <c r="GQ44" s="29">
        <f t="shared" si="243"/>
        <v>50.561545034444457</v>
      </c>
      <c r="GR44" s="29">
        <f t="shared" si="244"/>
        <v>7.1054273576010019E-15</v>
      </c>
      <c r="GS44" s="29">
        <f t="shared" si="245"/>
        <v>0</v>
      </c>
      <c r="GT44" s="29">
        <f t="shared" si="246"/>
        <v>0</v>
      </c>
      <c r="GU44" s="29">
        <f t="shared" si="247"/>
        <v>0</v>
      </c>
      <c r="GV44" s="29">
        <f t="shared" si="248"/>
        <v>0</v>
      </c>
      <c r="GW44" s="29">
        <f t="shared" si="249"/>
        <v>0</v>
      </c>
      <c r="GX44" s="29">
        <f t="shared" si="250"/>
        <v>0</v>
      </c>
      <c r="GY44" s="29">
        <f t="shared" si="251"/>
        <v>0</v>
      </c>
      <c r="GZ44" s="29">
        <f t="shared" si="252"/>
        <v>0</v>
      </c>
      <c r="HA44" s="29">
        <f t="shared" si="253"/>
        <v>0</v>
      </c>
      <c r="HB44" s="29">
        <f t="shared" si="254"/>
        <v>0</v>
      </c>
      <c r="HC44" s="29"/>
      <c r="HD44" s="29">
        <f>FT44</f>
        <v>20</v>
      </c>
      <c r="HE44" s="29">
        <f t="shared" si="100"/>
        <v>0</v>
      </c>
      <c r="HF44" s="29">
        <f t="shared" si="101"/>
        <v>70.717774994449144</v>
      </c>
      <c r="HG44" s="29">
        <f t="shared" si="102"/>
        <v>69.623940472618571</v>
      </c>
      <c r="HH44" s="29">
        <f t="shared" si="103"/>
        <v>68.950681671269649</v>
      </c>
      <c r="HI44" s="29">
        <f t="shared" si="104"/>
        <v>68.655313134708948</v>
      </c>
      <c r="HJ44" s="29">
        <f t="shared" si="105"/>
        <v>68.689519885387483</v>
      </c>
      <c r="HK44" s="29">
        <f t="shared" si="106"/>
        <v>68.658802641113155</v>
      </c>
      <c r="HL44" s="29">
        <f t="shared" si="107"/>
        <v>68.340905674077334</v>
      </c>
      <c r="HM44" s="29">
        <f t="shared" si="108"/>
        <v>67.509015743495226</v>
      </c>
      <c r="HN44" s="29">
        <f t="shared" si="109"/>
        <v>66.094299283389915</v>
      </c>
      <c r="HO44" s="29">
        <f t="shared" si="110"/>
        <v>64.546888184042729</v>
      </c>
      <c r="HP44" s="29">
        <f t="shared" si="111"/>
        <v>62.993901304923256</v>
      </c>
      <c r="HQ44" s="29">
        <f t="shared" si="112"/>
        <v>61.637642800727789</v>
      </c>
      <c r="HR44" s="29">
        <f t="shared" si="113"/>
        <v>60.335836344036252</v>
      </c>
      <c r="HS44" s="29">
        <f t="shared" si="114"/>
        <v>59.081639278886676</v>
      </c>
      <c r="HT44" s="29">
        <f t="shared" si="115"/>
        <v>57.867455291241924</v>
      </c>
      <c r="HU44" s="29">
        <f t="shared" si="116"/>
        <v>56.686910056607267</v>
      </c>
      <c r="HV44" s="29">
        <f t="shared" si="117"/>
        <v>55.596831720423019</v>
      </c>
      <c r="HW44" s="29">
        <f t="shared" si="118"/>
        <v>54.465073857373859</v>
      </c>
      <c r="HX44" s="29">
        <f t="shared" si="119"/>
        <v>53.348353081648781</v>
      </c>
      <c r="HY44" s="29">
        <f t="shared" si="120"/>
        <v>52.301268864235652</v>
      </c>
      <c r="HZ44" s="29">
        <f t="shared" si="121"/>
        <v>7.3499112096361333E-15</v>
      </c>
      <c r="IA44" s="29">
        <f t="shared" si="122"/>
        <v>0</v>
      </c>
      <c r="IB44" s="29">
        <f t="shared" si="123"/>
        <v>0</v>
      </c>
      <c r="IC44" s="29">
        <f t="shared" si="124"/>
        <v>0</v>
      </c>
      <c r="ID44" s="29">
        <f t="shared" si="125"/>
        <v>0</v>
      </c>
      <c r="IE44" s="29">
        <f t="shared" si="126"/>
        <v>0</v>
      </c>
      <c r="IF44" s="29">
        <f t="shared" si="127"/>
        <v>0</v>
      </c>
      <c r="IG44" s="29">
        <f t="shared" si="128"/>
        <v>0</v>
      </c>
      <c r="IH44" s="29">
        <f t="shared" si="129"/>
        <v>0</v>
      </c>
      <c r="II44" s="29">
        <f t="shared" si="130"/>
        <v>0</v>
      </c>
      <c r="IJ44" s="29">
        <f t="shared" si="131"/>
        <v>0</v>
      </c>
      <c r="IK44" s="8"/>
      <c r="IL44" s="8"/>
      <c r="IM44" s="8"/>
      <c r="IN44" s="29">
        <f t="shared" si="199"/>
        <v>182.01078028554593</v>
      </c>
      <c r="IO44" s="29">
        <f t="shared" si="239"/>
        <v>175.89912414878739</v>
      </c>
      <c r="IP44" s="29">
        <f t="shared" si="287"/>
        <v>157.17699322964063</v>
      </c>
      <c r="IQ44" s="29">
        <f t="shared" si="288"/>
        <v>139.21817954421832</v>
      </c>
      <c r="IR44" s="29">
        <f t="shared" si="289"/>
        <v>122.08725139653491</v>
      </c>
      <c r="IS44" s="29">
        <f t="shared" si="290"/>
        <v>105.86420379777459</v>
      </c>
      <c r="IT44" s="29">
        <f t="shared" si="291"/>
        <v>91.457342328554219</v>
      </c>
      <c r="IU44" s="29">
        <f t="shared" si="292"/>
        <v>77.229048449145893</v>
      </c>
      <c r="IV44" s="29">
        <f t="shared" si="293"/>
        <v>64.839531865762808</v>
      </c>
      <c r="IW44" s="29">
        <f t="shared" si="294"/>
        <v>54.196015884247636</v>
      </c>
      <c r="IX44" s="29">
        <f t="shared" si="295"/>
        <v>43.957895725940112</v>
      </c>
      <c r="IY44" s="29">
        <f t="shared" si="296"/>
        <v>35.404825739288313</v>
      </c>
      <c r="IZ44" s="29">
        <f t="shared" si="297"/>
        <v>27.89283832188142</v>
      </c>
      <c r="JA44" s="29">
        <f t="shared" si="298"/>
        <v>21.400000051994425</v>
      </c>
      <c r="JB44" s="29">
        <f t="shared" si="299"/>
        <v>15.892651012930008</v>
      </c>
      <c r="JC44" s="29">
        <f t="shared" si="300"/>
        <v>11.333380701795424</v>
      </c>
      <c r="JD44" s="29">
        <f t="shared" si="301"/>
        <v>7.6666295249778811</v>
      </c>
      <c r="JE44" s="29">
        <f t="shared" si="270"/>
        <v>4.605427415594689</v>
      </c>
      <c r="JF44" s="29">
        <f t="shared" si="271"/>
        <v>2.5657114603373801</v>
      </c>
      <c r="JG44" s="29">
        <f t="shared" si="272"/>
        <v>1.1897465779560097</v>
      </c>
      <c r="JH44" s="29">
        <f t="shared" si="273"/>
        <v>0.3172319851407297</v>
      </c>
      <c r="JI44" s="29">
        <f t="shared" si="274"/>
        <v>2.7755575615628914E-17</v>
      </c>
      <c r="JJ44" s="29">
        <f t="shared" si="275"/>
        <v>0</v>
      </c>
      <c r="JK44" s="29">
        <f t="shared" si="276"/>
        <v>0</v>
      </c>
      <c r="JL44" s="29">
        <f t="shared" si="277"/>
        <v>0</v>
      </c>
      <c r="JM44" s="29">
        <f t="shared" si="278"/>
        <v>0</v>
      </c>
      <c r="JN44" s="29">
        <f t="shared" si="279"/>
        <v>0</v>
      </c>
      <c r="JO44" s="29">
        <f t="shared" si="280"/>
        <v>0</v>
      </c>
      <c r="JP44" s="29">
        <f t="shared" si="281"/>
        <v>0</v>
      </c>
      <c r="JQ44" s="29">
        <f t="shared" si="282"/>
        <v>0</v>
      </c>
      <c r="JR44" s="29">
        <f t="shared" si="283"/>
        <v>0</v>
      </c>
      <c r="JS44" s="29">
        <f t="shared" si="284"/>
        <v>0</v>
      </c>
      <c r="JT44" s="8"/>
      <c r="JU44" s="401">
        <f t="shared" si="201"/>
        <v>20</v>
      </c>
      <c r="JV44" s="29">
        <f t="shared" si="202"/>
        <v>0</v>
      </c>
      <c r="JW44" s="29">
        <f t="shared" si="203"/>
        <v>12.75520515920663</v>
      </c>
      <c r="JX44" s="29">
        <f t="shared" si="204"/>
        <v>11.798613980426106</v>
      </c>
      <c r="JY44" s="29">
        <f t="shared" si="205"/>
        <v>10.847002140215874</v>
      </c>
      <c r="JZ44" s="29">
        <f t="shared" si="206"/>
        <v>9.9025493926110677</v>
      </c>
      <c r="KA44" s="29">
        <f t="shared" si="207"/>
        <v>8.9689719619328763</v>
      </c>
      <c r="KB44" s="29">
        <f t="shared" si="208"/>
        <v>8.1241353458131602</v>
      </c>
      <c r="KC44" s="29">
        <f t="shared" si="209"/>
        <v>7.2241559270674207</v>
      </c>
      <c r="KD44" s="29">
        <f t="shared" si="210"/>
        <v>6.4189474006586282</v>
      </c>
      <c r="KE44" s="29">
        <f t="shared" si="211"/>
        <v>5.7112918464020881</v>
      </c>
      <c r="KF44" s="29">
        <f t="shared" si="212"/>
        <v>4.9650245056461859</v>
      </c>
      <c r="KG44" s="29">
        <f t="shared" si="213"/>
        <v>4.3213209304057987</v>
      </c>
      <c r="KH44" s="29">
        <f t="shared" si="214"/>
        <v>3.715600200314888</v>
      </c>
      <c r="KI44" s="29">
        <f t="shared" si="215"/>
        <v>3.1497425363641072</v>
      </c>
      <c r="KJ44" s="29">
        <f t="shared" si="216"/>
        <v>2.6252446014674029</v>
      </c>
      <c r="KK44" s="29">
        <f t="shared" si="217"/>
        <v>2.1446061417722841</v>
      </c>
      <c r="KL44" s="29">
        <f t="shared" si="218"/>
        <v>1.7091856772394638</v>
      </c>
      <c r="KM44" s="29">
        <f t="shared" si="219"/>
        <v>1.2598758079499039</v>
      </c>
      <c r="KN44" s="29">
        <f t="shared" si="220"/>
        <v>0.9185755599890979</v>
      </c>
      <c r="KO44" s="29">
        <f t="shared" si="221"/>
        <v>0.62706250941918085</v>
      </c>
      <c r="KP44" s="29">
        <f t="shared" si="222"/>
        <v>0.32814731701489064</v>
      </c>
      <c r="KQ44" s="29">
        <f t="shared" si="223"/>
        <v>2.8710590662641146E-17</v>
      </c>
      <c r="KR44" s="29">
        <f t="shared" si="224"/>
        <v>0</v>
      </c>
      <c r="KS44" s="29">
        <f t="shared" si="225"/>
        <v>0</v>
      </c>
      <c r="KT44" s="29">
        <f t="shared" si="226"/>
        <v>0</v>
      </c>
      <c r="KU44" s="29">
        <f t="shared" si="227"/>
        <v>0</v>
      </c>
      <c r="KV44" s="29">
        <f t="shared" si="228"/>
        <v>0</v>
      </c>
      <c r="KW44" s="29">
        <f t="shared" si="229"/>
        <v>0</v>
      </c>
      <c r="KX44" s="29">
        <f t="shared" si="230"/>
        <v>0</v>
      </c>
      <c r="KY44" s="29">
        <f t="shared" si="231"/>
        <v>0</v>
      </c>
      <c r="KZ44" s="29">
        <f t="shared" si="232"/>
        <v>0</v>
      </c>
      <c r="LA44" s="29">
        <f t="shared" si="233"/>
        <v>0</v>
      </c>
      <c r="LO44" s="39"/>
      <c r="LP44" s="39"/>
      <c r="LQ44" s="39"/>
      <c r="LS44" s="39"/>
      <c r="LT44" s="39"/>
      <c r="LX44" s="39"/>
      <c r="LY44" s="39"/>
      <c r="LZ44" s="39"/>
      <c r="MA44" s="39"/>
      <c r="MB44" s="381">
        <f t="shared" si="285"/>
        <v>7.2500000000000023E-2</v>
      </c>
      <c r="MC44" s="394">
        <f t="shared" si="177"/>
        <v>-1842.2791387425991</v>
      </c>
      <c r="MD44" s="157">
        <f t="shared" si="158"/>
        <v>-4772.6813433975012</v>
      </c>
      <c r="ME44" s="39"/>
      <c r="MF44" s="381">
        <f t="shared" si="286"/>
        <v>7.2500000000000023E-2</v>
      </c>
      <c r="MG44" s="394">
        <f t="shared" si="178"/>
        <v>-71.609991808473708</v>
      </c>
      <c r="MH44" s="157">
        <f t="shared" si="159"/>
        <v>-185.51568256828762</v>
      </c>
      <c r="MI44" s="39"/>
      <c r="MJ44" s="39"/>
      <c r="MK44" s="39"/>
      <c r="ML44" s="39"/>
      <c r="MM44" s="39"/>
      <c r="MN44" s="39"/>
      <c r="MO44" s="39"/>
      <c r="MP44" s="39"/>
      <c r="MQ44" s="39"/>
      <c r="MR44" s="39"/>
      <c r="MS44" s="39"/>
      <c r="MT44" s="39"/>
      <c r="MU44" s="39"/>
      <c r="MV44" s="39"/>
    </row>
    <row r="45" spans="1:360" ht="12.75" customHeight="1" x14ac:dyDescent="0.3">
      <c r="A45" s="127"/>
      <c r="B45"/>
      <c r="C45" s="54"/>
      <c r="D45" s="92"/>
      <c r="E45" s="3"/>
      <c r="F45" s="39"/>
      <c r="G45" s="27"/>
      <c r="H45" s="27"/>
      <c r="I45" s="170"/>
      <c r="K45" s="57"/>
      <c r="M45" s="297"/>
      <c r="P45" s="297">
        <f t="shared" si="139"/>
        <v>0</v>
      </c>
      <c r="S45" s="257">
        <v>0.94137396694214881</v>
      </c>
      <c r="T45" s="42"/>
      <c r="U45" s="290"/>
      <c r="X45" s="27"/>
      <c r="Y45" s="171"/>
      <c r="Z45" s="27"/>
      <c r="AA45" s="115"/>
      <c r="AB45" s="115"/>
      <c r="AC45" s="88"/>
      <c r="AD45" s="27"/>
      <c r="AE45" s="27"/>
      <c r="AF45" s="131"/>
      <c r="AG45" s="4"/>
      <c r="AI45" s="27"/>
      <c r="AJ45" s="27"/>
      <c r="AQ45" s="23"/>
      <c r="AR45" s="23"/>
      <c r="AS45" s="23"/>
      <c r="BI45" s="28"/>
      <c r="BJ45" s="104"/>
      <c r="BY45" s="6"/>
      <c r="BZ45" s="6"/>
      <c r="CA45" s="6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175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DO45" s="41"/>
      <c r="DP45" s="8"/>
      <c r="DQ45" s="50" t="s">
        <v>161</v>
      </c>
      <c r="DR45" s="42"/>
      <c r="DS45" s="42"/>
      <c r="DT45" s="154">
        <v>20</v>
      </c>
      <c r="DU45" s="8"/>
      <c r="EI45" s="347"/>
      <c r="ES45" s="8"/>
      <c r="ET45" s="8"/>
      <c r="FK45" s="8"/>
      <c r="FL45" s="90"/>
      <c r="FM45" s="8"/>
      <c r="FN45" s="90"/>
      <c r="FO45" s="90"/>
      <c r="FP45" s="90"/>
      <c r="FQ45" s="90"/>
      <c r="FR45" s="90"/>
      <c r="FS45" s="90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LO45" s="39"/>
      <c r="LP45" s="39"/>
      <c r="LQ45" s="39"/>
      <c r="LS45" s="39"/>
      <c r="LT45" s="39"/>
      <c r="LX45" s="39"/>
      <c r="LY45" s="39"/>
      <c r="LZ45" s="39"/>
      <c r="MA45" s="39"/>
      <c r="MB45" s="381">
        <f t="shared" si="285"/>
        <v>7.5000000000000025E-2</v>
      </c>
      <c r="MC45" s="394">
        <f t="shared" si="177"/>
        <v>0</v>
      </c>
      <c r="MD45" s="157">
        <f t="shared" si="158"/>
        <v>-4921.6367281249377</v>
      </c>
      <c r="ME45" s="39"/>
      <c r="MF45" s="381">
        <f t="shared" si="286"/>
        <v>7.5000000000000025E-2</v>
      </c>
      <c r="MG45" s="394">
        <f t="shared" si="178"/>
        <v>0</v>
      </c>
      <c r="MH45" s="157">
        <f t="shared" si="159"/>
        <v>-191.30562702124391</v>
      </c>
      <c r="MI45" s="39"/>
      <c r="MJ45" s="39"/>
      <c r="MK45" s="39"/>
      <c r="ML45" s="39"/>
      <c r="MM45" s="39"/>
      <c r="MN45" s="39"/>
      <c r="MO45" s="39"/>
      <c r="MP45" s="39"/>
      <c r="MQ45" s="39"/>
      <c r="MR45" s="39"/>
      <c r="MS45" s="39"/>
      <c r="MT45" s="39"/>
      <c r="MU45" s="39"/>
      <c r="MV45" s="39"/>
    </row>
    <row r="46" spans="1:360" ht="12.75" customHeight="1" x14ac:dyDescent="0.3">
      <c r="A46" s="132"/>
      <c r="B46"/>
      <c r="C46" s="3"/>
      <c r="D46" s="92"/>
      <c r="E46" s="92"/>
      <c r="F46" s="92"/>
      <c r="G46" s="27"/>
      <c r="H46" s="27"/>
      <c r="I46" s="170"/>
      <c r="J46" s="57"/>
      <c r="K46" s="57"/>
      <c r="L46" s="393"/>
      <c r="M46" s="297"/>
      <c r="O46" s="57"/>
      <c r="P46" s="297"/>
      <c r="S46" s="257">
        <v>0.96276882982719758</v>
      </c>
      <c r="T46" s="42"/>
      <c r="U46" s="290"/>
      <c r="X46" s="27"/>
      <c r="Z46" s="272"/>
      <c r="AA46" s="115"/>
      <c r="AB46" s="115"/>
      <c r="AC46" s="88"/>
      <c r="AD46" s="27"/>
      <c r="AE46" s="27"/>
      <c r="AF46" s="131"/>
      <c r="AG46" s="4"/>
      <c r="AI46" s="27"/>
      <c r="AJ46" s="27"/>
      <c r="AQ46" s="23"/>
      <c r="AR46" s="23"/>
      <c r="AS46" s="23"/>
      <c r="BI46" s="28"/>
      <c r="BJ46" s="104"/>
      <c r="BY46" s="6"/>
      <c r="BZ46" s="6"/>
      <c r="CA46" s="23" t="s">
        <v>207</v>
      </c>
      <c r="CC46" s="393">
        <f>SUM(CB14:CC44)</f>
        <v>70556.744984595687</v>
      </c>
      <c r="CD46" s="55"/>
      <c r="CE46" s="184"/>
      <c r="CF46" s="4"/>
      <c r="CG46" s="4"/>
      <c r="CH46" s="4">
        <f>SUM(CF14:CH44)</f>
        <v>0</v>
      </c>
      <c r="CI46" s="4">
        <f>SUM(CH46,CC46)</f>
        <v>70556.744984595687</v>
      </c>
      <c r="CJ46" s="4"/>
      <c r="CK46" s="4"/>
      <c r="CL46" s="4"/>
      <c r="CM46" s="4"/>
      <c r="CN46" s="175"/>
      <c r="DO46" s="41"/>
      <c r="DP46" s="8"/>
      <c r="DQ46" s="53" t="s">
        <v>40</v>
      </c>
      <c r="DR46" s="34"/>
      <c r="DS46" s="34"/>
      <c r="DT46" s="269">
        <v>0.05</v>
      </c>
      <c r="DU46" s="8"/>
      <c r="EI46" s="347"/>
      <c r="ES46" s="8"/>
      <c r="ET46" s="8"/>
      <c r="FK46" s="8"/>
      <c r="FL46" s="8"/>
      <c r="FM46" s="8"/>
      <c r="FN46" s="8"/>
      <c r="FO46" s="8"/>
      <c r="FP46" s="8"/>
      <c r="FQ46" s="8"/>
      <c r="FR46" s="8"/>
      <c r="FS46" s="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393"/>
      <c r="HF46" s="393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LO46" s="39"/>
      <c r="LP46" s="39"/>
      <c r="LQ46" s="39"/>
      <c r="LS46" s="39"/>
      <c r="LT46" s="39"/>
      <c r="LX46" s="39"/>
      <c r="LY46" s="39"/>
      <c r="LZ46" s="39"/>
      <c r="MA46" s="39"/>
      <c r="MB46" s="381">
        <f t="shared" si="285"/>
        <v>7.7500000000000027E-2</v>
      </c>
      <c r="MC46" s="394">
        <f t="shared" si="177"/>
        <v>0</v>
      </c>
      <c r="MD46" s="157">
        <f t="shared" si="158"/>
        <v>-5075.2410104097171</v>
      </c>
      <c r="ME46" s="39"/>
      <c r="MF46" s="381">
        <f t="shared" si="286"/>
        <v>7.7500000000000027E-2</v>
      </c>
      <c r="MG46" s="394">
        <f t="shared" si="178"/>
        <v>0</v>
      </c>
      <c r="MH46" s="157">
        <f t="shared" si="159"/>
        <v>-197.27627564057696</v>
      </c>
      <c r="MI46" s="39"/>
      <c r="MJ46" s="39"/>
      <c r="MK46" s="39"/>
      <c r="ML46" s="39"/>
      <c r="MM46" s="39"/>
      <c r="MN46" s="39"/>
      <c r="MO46" s="39"/>
      <c r="MP46" s="39"/>
      <c r="MQ46" s="39"/>
      <c r="MR46" s="39"/>
      <c r="MS46" s="39"/>
      <c r="MT46" s="39"/>
      <c r="MU46" s="39"/>
      <c r="MV46" s="39"/>
    </row>
    <row r="47" spans="1:360" ht="12.75" customHeight="1" x14ac:dyDescent="0.3">
      <c r="A47" s="2"/>
      <c r="B47"/>
      <c r="C47" s="3"/>
      <c r="D47" s="92"/>
      <c r="E47" s="92"/>
      <c r="F47" s="92"/>
      <c r="G47" s="27"/>
      <c r="H47" s="27"/>
      <c r="I47" s="170"/>
      <c r="J47" s="57"/>
      <c r="L47" s="393"/>
      <c r="M47" s="297"/>
      <c r="P47" s="297"/>
      <c r="S47" s="257">
        <v>0.98464993959599745</v>
      </c>
      <c r="T47" s="42"/>
      <c r="U47" s="290"/>
      <c r="X47" s="27"/>
      <c r="Z47" s="276"/>
      <c r="AA47" s="115"/>
      <c r="AB47" s="115"/>
      <c r="AC47" s="89"/>
      <c r="AD47" s="27"/>
      <c r="AE47" s="27"/>
      <c r="AF47" s="131"/>
      <c r="AG47" s="4"/>
      <c r="AI47" s="27"/>
      <c r="AJ47" s="27"/>
      <c r="AQ47" s="42"/>
      <c r="AR47" s="23"/>
      <c r="AS47" s="23"/>
      <c r="AT47" s="23" t="s">
        <v>106</v>
      </c>
      <c r="AU47" s="23"/>
      <c r="AV47" s="23" t="s">
        <v>106</v>
      </c>
      <c r="AW47" s="23"/>
      <c r="BI47" s="28"/>
      <c r="BJ47" s="104"/>
      <c r="BY47" s="6"/>
      <c r="BZ47" s="6"/>
      <c r="CA47" s="23" t="s">
        <v>209</v>
      </c>
      <c r="CC47" s="423">
        <v>40627.700684137213</v>
      </c>
      <c r="CD47" s="55"/>
      <c r="CE47" s="55"/>
      <c r="CF47" s="4"/>
      <c r="CG47" s="4"/>
      <c r="CH47" s="424">
        <v>7863.9730969622979</v>
      </c>
      <c r="CI47" s="4">
        <f>SUM(CH47,CC47)</f>
        <v>48491.673781099511</v>
      </c>
      <c r="CJ47" s="4"/>
      <c r="CK47" s="4"/>
      <c r="CL47" s="4"/>
      <c r="CM47" s="4"/>
      <c r="CN47" s="175"/>
      <c r="DO47" s="41"/>
      <c r="DP47" s="8"/>
      <c r="DQ47" s="53" t="s">
        <v>174</v>
      </c>
      <c r="DR47" s="34"/>
      <c r="DS47" s="34"/>
      <c r="DT47" s="287" t="s">
        <v>37</v>
      </c>
      <c r="DU47" s="8"/>
      <c r="EI47" s="347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93"/>
      <c r="FP47" s="8"/>
      <c r="FQ47" s="8"/>
      <c r="FR47" s="8"/>
      <c r="FS47" s="8"/>
      <c r="FT47" s="116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LO47" s="39"/>
      <c r="LP47" s="39"/>
      <c r="LQ47" s="39"/>
      <c r="LS47" s="39"/>
      <c r="LT47" s="39"/>
      <c r="LX47" s="39"/>
      <c r="LY47" s="39"/>
      <c r="LZ47" s="39"/>
      <c r="MA47" s="39"/>
      <c r="MB47" s="381">
        <f t="shared" si="285"/>
        <v>8.0000000000000029E-2</v>
      </c>
      <c r="MC47" s="39"/>
      <c r="MD47" s="39"/>
      <c r="ME47" s="39"/>
      <c r="MF47" s="381">
        <f t="shared" si="286"/>
        <v>8.0000000000000029E-2</v>
      </c>
      <c r="MG47" s="394" t="e">
        <f t="shared" si="178"/>
        <v>#DIV/0!</v>
      </c>
      <c r="MH47" s="157">
        <f t="shared" si="159"/>
        <v>-203.43326820331939</v>
      </c>
      <c r="MI47" s="39"/>
      <c r="MJ47" s="39"/>
      <c r="MK47" s="39"/>
      <c r="ML47" s="39"/>
      <c r="MM47" s="39"/>
      <c r="MN47" s="39"/>
      <c r="MO47" s="39"/>
      <c r="MP47" s="39"/>
      <c r="MQ47" s="39"/>
      <c r="MR47" s="39"/>
      <c r="MS47" s="39"/>
      <c r="MT47" s="39"/>
      <c r="MU47" s="39"/>
      <c r="MV47" s="39"/>
    </row>
    <row r="48" spans="1:360" ht="12.75" customHeight="1" x14ac:dyDescent="0.3">
      <c r="A48" s="2"/>
      <c r="B48"/>
      <c r="C48" s="9"/>
      <c r="D48" s="92"/>
      <c r="E48" s="92"/>
      <c r="F48" s="92"/>
      <c r="G48" s="27"/>
      <c r="H48" s="27"/>
      <c r="I48" s="170"/>
      <c r="K48" s="379"/>
      <c r="L48" s="393"/>
      <c r="M48" s="297"/>
      <c r="P48" s="297"/>
      <c r="S48" s="257">
        <v>1</v>
      </c>
      <c r="U48" s="290"/>
      <c r="X48" s="27"/>
      <c r="AA48" s="115"/>
      <c r="AB48" s="115"/>
      <c r="AC48" s="42"/>
      <c r="AD48" s="27"/>
      <c r="AE48" s="27"/>
      <c r="AF48" s="131"/>
      <c r="AG48" s="26"/>
      <c r="AH48" s="40"/>
      <c r="AI48" s="27"/>
      <c r="AJ48" s="27"/>
      <c r="AK48" s="40"/>
      <c r="AL48" s="40"/>
      <c r="AM48" s="40"/>
      <c r="AN48" s="10"/>
      <c r="AO48" s="10"/>
      <c r="AP48" s="10"/>
      <c r="AQ48" s="23"/>
      <c r="AR48" s="231" t="s">
        <v>178</v>
      </c>
      <c r="AS48" s="23"/>
      <c r="AT48" s="23" t="s">
        <v>213</v>
      </c>
      <c r="AU48" s="23"/>
      <c r="AV48" s="23" t="s">
        <v>213</v>
      </c>
      <c r="AW48" s="23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28"/>
      <c r="BJ48" s="104"/>
      <c r="BK48" s="68"/>
      <c r="BL48" s="68"/>
      <c r="BM48" s="68"/>
      <c r="BN48" s="68"/>
      <c r="BO48" s="68"/>
      <c r="BP48" s="64"/>
      <c r="BQ48" s="64"/>
      <c r="BR48" s="64"/>
      <c r="BS48" s="64"/>
      <c r="BT48" s="64"/>
      <c r="BU48" s="64"/>
      <c r="BV48" s="64"/>
      <c r="BW48" s="64"/>
      <c r="BX48" s="64"/>
      <c r="BY48" s="6"/>
      <c r="BZ48" s="6"/>
      <c r="CA48" s="23"/>
      <c r="CB48" s="23"/>
      <c r="CC48" s="23"/>
      <c r="CD48" s="55"/>
      <c r="CE48" s="23"/>
      <c r="CF48" s="4"/>
      <c r="CG48" s="4"/>
      <c r="CH48" s="4"/>
      <c r="CI48" s="4"/>
      <c r="CJ48" s="4"/>
      <c r="CK48" s="4"/>
      <c r="CL48" s="4"/>
      <c r="CM48" s="37"/>
      <c r="CN48" s="175"/>
      <c r="DO48" s="41"/>
      <c r="DP48" s="8"/>
      <c r="DQ48" s="53" t="s">
        <v>41</v>
      </c>
      <c r="DR48" s="34"/>
      <c r="DS48" s="34"/>
      <c r="DT48" s="284">
        <v>1</v>
      </c>
      <c r="DU48" s="8"/>
      <c r="EI48" s="347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LO48" s="39"/>
      <c r="LP48" s="39"/>
      <c r="LQ48" s="39"/>
      <c r="LS48" s="39"/>
      <c r="LT48" s="39"/>
      <c r="LU48" s="57"/>
      <c r="LV48" s="57"/>
      <c r="LW48" s="57"/>
      <c r="LX48" s="39"/>
      <c r="LY48" s="39"/>
      <c r="LZ48" s="39"/>
      <c r="MA48" s="39"/>
      <c r="MB48" s="381">
        <f t="shared" si="285"/>
        <v>8.2500000000000032E-2</v>
      </c>
      <c r="MC48" s="39"/>
      <c r="MD48" s="39"/>
      <c r="ME48" s="39"/>
      <c r="MF48" s="381">
        <f t="shared" si="286"/>
        <v>8.2500000000000032E-2</v>
      </c>
      <c r="MG48" s="39"/>
      <c r="MH48" s="39"/>
      <c r="MI48" s="39"/>
      <c r="MJ48" s="39"/>
      <c r="MK48" s="39"/>
      <c r="ML48" s="39"/>
      <c r="MM48" s="39"/>
      <c r="MN48" s="39"/>
      <c r="MO48" s="39"/>
      <c r="MP48" s="39"/>
      <c r="MQ48" s="39"/>
      <c r="MR48" s="39"/>
      <c r="MS48" s="39"/>
      <c r="MT48" s="39"/>
      <c r="MU48" s="39"/>
      <c r="MV48" s="39"/>
    </row>
    <row r="49" spans="1:360" x14ac:dyDescent="0.3">
      <c r="A49" s="11"/>
      <c r="B49"/>
      <c r="C49" s="9"/>
      <c r="D49" s="92"/>
      <c r="E49" s="92"/>
      <c r="F49" s="92"/>
      <c r="G49" s="115"/>
      <c r="H49" s="27"/>
      <c r="I49" s="170"/>
      <c r="J49" s="57"/>
      <c r="K49" s="379"/>
      <c r="L49" s="393"/>
      <c r="M49" s="297"/>
      <c r="O49" s="57"/>
      <c r="P49" s="297"/>
      <c r="Q49" s="57"/>
      <c r="R49" s="57"/>
      <c r="S49" s="57"/>
      <c r="T49" s="57"/>
      <c r="U49" s="290"/>
      <c r="V49" s="57"/>
      <c r="W49" s="57"/>
      <c r="X49" s="27"/>
      <c r="AA49" s="115"/>
      <c r="AB49" s="115"/>
      <c r="AC49" s="42"/>
      <c r="AD49" s="27"/>
      <c r="AE49" s="27"/>
      <c r="AF49" s="131"/>
      <c r="AG49" s="26"/>
      <c r="AH49" s="40"/>
      <c r="AI49" s="27"/>
      <c r="AJ49" s="27"/>
      <c r="AK49" s="40"/>
      <c r="AL49" s="40"/>
      <c r="AM49" s="40"/>
      <c r="AN49" s="91"/>
      <c r="AO49" s="42"/>
      <c r="AP49" s="42"/>
      <c r="AQ49" s="42"/>
      <c r="AR49" s="234" t="s">
        <v>179</v>
      </c>
      <c r="AS49" s="23"/>
      <c r="AT49" s="23"/>
      <c r="AU49" s="23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28"/>
      <c r="BJ49" s="104"/>
      <c r="BK49" s="12"/>
      <c r="BL49" s="12"/>
      <c r="BM49" s="12"/>
      <c r="BN49" s="12"/>
      <c r="BO49" s="12"/>
      <c r="BW49" s="6"/>
      <c r="BX49" s="6"/>
      <c r="BY49" s="6"/>
      <c r="BZ49" s="6"/>
      <c r="CA49" s="57"/>
      <c r="CB49" s="57"/>
      <c r="CC49" s="57"/>
      <c r="CD49" s="42"/>
      <c r="CE49" s="42"/>
      <c r="CF49" s="4"/>
      <c r="CG49" s="4"/>
      <c r="CH49" s="4"/>
      <c r="CI49" s="4"/>
      <c r="CJ49" s="4"/>
      <c r="CK49" s="4"/>
      <c r="CL49" s="4"/>
      <c r="CM49" s="37"/>
      <c r="CN49" s="175"/>
      <c r="DQ49" s="51" t="s">
        <v>56</v>
      </c>
      <c r="DR49" s="52"/>
      <c r="DS49" s="52"/>
      <c r="DT49" s="285" t="s">
        <v>52</v>
      </c>
      <c r="DU49" s="352" t="s">
        <v>226</v>
      </c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U49" s="12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LO49" s="39"/>
      <c r="LP49" s="39"/>
      <c r="LQ49" s="39"/>
      <c r="LS49" s="39"/>
      <c r="LT49" s="39"/>
      <c r="LU49" s="57"/>
      <c r="LV49" s="57"/>
      <c r="LW49" s="57"/>
      <c r="LX49" s="39"/>
      <c r="LY49" s="39"/>
      <c r="LZ49" s="39"/>
      <c r="MA49" s="39"/>
      <c r="MB49" s="39"/>
      <c r="MC49" s="39"/>
      <c r="MD49" s="39"/>
      <c r="ME49" s="39"/>
      <c r="MF49" s="39"/>
      <c r="MG49" s="39"/>
      <c r="MH49" s="39"/>
      <c r="MI49" s="39"/>
      <c r="MJ49" s="39"/>
      <c r="MK49" s="39"/>
      <c r="ML49" s="39"/>
      <c r="MM49" s="39"/>
      <c r="MN49" s="39"/>
      <c r="MO49" s="39"/>
      <c r="MP49" s="39"/>
      <c r="MQ49" s="39"/>
      <c r="MR49" s="39"/>
      <c r="MS49" s="39"/>
      <c r="MT49" s="39"/>
      <c r="MU49" s="39"/>
      <c r="MV49" s="39"/>
    </row>
    <row r="50" spans="1:360" x14ac:dyDescent="0.3">
      <c r="A50" s="20"/>
      <c r="B50"/>
      <c r="C50" s="20"/>
      <c r="D50" s="20"/>
      <c r="E50" s="20"/>
      <c r="F50" s="392"/>
      <c r="G50" s="115"/>
      <c r="H50" s="27"/>
      <c r="I50" s="170"/>
      <c r="J50" s="6"/>
      <c r="K50" s="379"/>
      <c r="L50" s="393"/>
      <c r="M50" s="297"/>
      <c r="O50" s="57"/>
      <c r="P50" s="297"/>
      <c r="Q50" s="6"/>
      <c r="R50" s="6"/>
      <c r="S50" s="6"/>
      <c r="T50" s="6"/>
      <c r="U50" s="290"/>
      <c r="V50" s="6"/>
      <c r="W50" s="6"/>
      <c r="X50" s="27"/>
      <c r="Y50" s="6"/>
      <c r="Z50" s="6"/>
      <c r="AA50" s="115"/>
      <c r="AB50" s="115"/>
      <c r="AD50" s="27"/>
      <c r="AE50" s="27"/>
      <c r="AI50" s="27"/>
      <c r="AJ50" s="27"/>
      <c r="AN50" s="4"/>
      <c r="AO50" s="43"/>
      <c r="AP50" s="43"/>
      <c r="AQ50" s="4"/>
      <c r="AR50" s="233" t="s">
        <v>180</v>
      </c>
      <c r="AS50" s="23"/>
      <c r="AT50" s="23"/>
      <c r="AU50" s="23"/>
      <c r="AV50" s="68"/>
      <c r="AW50" s="68"/>
      <c r="AX50" s="12"/>
      <c r="AY50" s="12"/>
      <c r="AZ50" s="12"/>
      <c r="BA50" s="12"/>
      <c r="BB50" s="12"/>
      <c r="BC50" s="23"/>
      <c r="BD50" s="23"/>
      <c r="BE50" s="23"/>
      <c r="BF50" s="23"/>
      <c r="BG50" s="23"/>
      <c r="BH50" s="12"/>
      <c r="BI50" s="28"/>
      <c r="BJ50" s="104"/>
      <c r="BK50" s="23"/>
      <c r="BL50" s="12"/>
      <c r="BM50" s="12"/>
      <c r="BN50" s="12"/>
      <c r="BO50" s="12"/>
      <c r="BP50" s="4"/>
      <c r="BQ50" s="4"/>
      <c r="BR50" s="4"/>
      <c r="BS50" s="4"/>
      <c r="BT50" s="4"/>
      <c r="BU50" s="4"/>
      <c r="BV50" s="212"/>
      <c r="BW50" s="6"/>
      <c r="BX50" s="6"/>
      <c r="BY50" s="37"/>
      <c r="BZ50" s="37"/>
      <c r="CA50" s="37"/>
      <c r="CB50" s="37" t="s">
        <v>314</v>
      </c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175"/>
      <c r="DO50" s="37"/>
      <c r="DU50" s="102"/>
      <c r="EI50" s="348"/>
      <c r="ES50" s="102"/>
      <c r="ET50" s="102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U50" s="12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LO50" s="39"/>
      <c r="LP50" s="39"/>
      <c r="LQ50" s="39"/>
      <c r="LS50" s="39"/>
      <c r="LT50" s="39"/>
      <c r="LU50" s="6"/>
      <c r="LV50" s="6"/>
      <c r="LW50" s="6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</row>
    <row r="51" spans="1:360" x14ac:dyDescent="0.3">
      <c r="A51" s="20"/>
      <c r="B51"/>
      <c r="C51" s="20"/>
      <c r="D51" s="20"/>
      <c r="E51" s="20"/>
      <c r="F51" s="20"/>
      <c r="G51" s="115"/>
      <c r="H51" s="27"/>
      <c r="I51" s="170"/>
      <c r="J51" s="57"/>
      <c r="K51" s="379"/>
      <c r="L51" s="393"/>
      <c r="M51" s="297"/>
      <c r="O51" s="57"/>
      <c r="P51" s="297"/>
      <c r="Q51" s="4"/>
      <c r="R51" s="4"/>
      <c r="S51" s="6"/>
      <c r="T51" s="6"/>
      <c r="U51" s="290"/>
      <c r="V51" s="6"/>
      <c r="W51" s="6"/>
      <c r="X51" s="27"/>
      <c r="Y51" s="6"/>
      <c r="Z51" s="6"/>
      <c r="AA51" s="115"/>
      <c r="AB51" s="115"/>
      <c r="AD51" s="27"/>
      <c r="AE51" s="27"/>
      <c r="AI51" s="27"/>
      <c r="AJ51" s="27"/>
      <c r="AN51" s="4"/>
      <c r="AO51" s="43"/>
      <c r="AP51" s="43"/>
      <c r="AQ51" s="4"/>
      <c r="AR51" s="232" t="s">
        <v>181</v>
      </c>
      <c r="AS51" s="23"/>
      <c r="AT51" s="23"/>
      <c r="AU51" s="23"/>
      <c r="AV51" s="23"/>
      <c r="AW51" s="23"/>
      <c r="AX51" s="12"/>
      <c r="AY51" s="12"/>
      <c r="AZ51" s="12"/>
      <c r="BA51" s="12"/>
      <c r="BB51" s="12"/>
      <c r="BC51" s="23"/>
      <c r="BD51" s="23"/>
      <c r="BE51" s="23"/>
      <c r="BF51" s="23"/>
      <c r="BG51" s="23"/>
      <c r="BH51" s="12"/>
      <c r="BI51" s="28"/>
      <c r="BJ51" s="104"/>
      <c r="BK51" s="23"/>
      <c r="BL51" s="12"/>
      <c r="BM51" s="12"/>
      <c r="BN51" s="12"/>
      <c r="BO51" s="12"/>
      <c r="BP51" s="4"/>
      <c r="BQ51" s="4"/>
      <c r="BR51" s="4"/>
      <c r="BS51" s="4"/>
      <c r="BT51" s="4"/>
      <c r="BU51" s="4"/>
      <c r="BV51" s="6"/>
      <c r="BW51" s="6"/>
      <c r="BX51" s="6"/>
      <c r="BY51" s="37"/>
      <c r="BZ51" s="37"/>
      <c r="CA51" s="37" t="s">
        <v>316</v>
      </c>
      <c r="CB51" s="37" t="s">
        <v>315</v>
      </c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175"/>
      <c r="DN51" s="39" t="s">
        <v>296</v>
      </c>
      <c r="DO51" s="393">
        <f>SUM(DA14:DA43)</f>
        <v>61861.922987678678</v>
      </c>
      <c r="DQ51" s="77" t="s">
        <v>30</v>
      </c>
      <c r="DR51" s="78"/>
      <c r="DS51" s="78"/>
      <c r="DT51" s="237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U51" s="12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LO51" s="39"/>
      <c r="LP51" s="39"/>
      <c r="LQ51" s="39"/>
      <c r="LS51" s="39"/>
      <c r="LT51" s="39"/>
      <c r="LU51" s="6"/>
      <c r="LV51" s="6"/>
      <c r="LW51" s="6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</row>
    <row r="52" spans="1:360" x14ac:dyDescent="0.3">
      <c r="A52" s="20"/>
      <c r="B52" s="20"/>
      <c r="C52" s="9"/>
      <c r="D52" s="9"/>
      <c r="E52" s="9"/>
      <c r="F52" s="9"/>
      <c r="G52" s="9"/>
      <c r="H52" s="9"/>
      <c r="I52" s="170"/>
      <c r="J52" s="57"/>
      <c r="L52" s="393"/>
      <c r="M52" s="297"/>
      <c r="O52" s="57"/>
      <c r="P52" s="57"/>
      <c r="Q52" s="4"/>
      <c r="R52" s="4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4"/>
      <c r="AO52" s="40"/>
      <c r="AP52" s="40"/>
      <c r="AQ52" s="4"/>
      <c r="AR52" s="4"/>
      <c r="AS52" s="4"/>
      <c r="AT52" s="23"/>
      <c r="AU52" s="23"/>
      <c r="AV52" s="23"/>
      <c r="AW52" s="23"/>
      <c r="AX52" s="12"/>
      <c r="AY52" s="12"/>
      <c r="AZ52" s="12"/>
      <c r="BA52" s="12"/>
      <c r="BB52" s="12"/>
      <c r="BC52" s="23"/>
      <c r="BD52" s="23"/>
      <c r="BE52" s="23"/>
      <c r="BF52" s="23"/>
      <c r="BG52" s="23"/>
      <c r="BH52" s="12"/>
      <c r="BK52" s="23"/>
      <c r="BL52" s="12"/>
      <c r="BM52" s="12"/>
      <c r="BN52" s="12"/>
      <c r="BO52" s="12"/>
      <c r="BP52" s="4"/>
      <c r="BQ52" s="4"/>
      <c r="BR52" s="4"/>
      <c r="BS52" s="4"/>
      <c r="BT52" s="4"/>
      <c r="BU52" s="4"/>
      <c r="BV52" s="37"/>
      <c r="BW52" s="37"/>
      <c r="BX52" s="37"/>
      <c r="BY52" s="37"/>
      <c r="BZ52" s="37"/>
      <c r="CA52" s="37"/>
      <c r="CB52" s="37" t="s">
        <v>313</v>
      </c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175"/>
      <c r="DN52" s="39" t="s">
        <v>297</v>
      </c>
      <c r="DO52" s="393">
        <f>AP43/(1+DT27)^(B43-B14)</f>
        <v>7443.8489694921072</v>
      </c>
      <c r="DQ52" s="50" t="s">
        <v>288</v>
      </c>
      <c r="DR52" s="34"/>
      <c r="DS52" s="34"/>
      <c r="DT52" s="250" t="s">
        <v>284</v>
      </c>
      <c r="EO52" s="38">
        <v>0.13919473544364294</v>
      </c>
      <c r="EP52" s="38">
        <v>0.14644827505296137</v>
      </c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LO52" s="39"/>
      <c r="LP52" s="39"/>
      <c r="LQ52" s="39"/>
      <c r="LS52" s="39"/>
      <c r="LT52" s="39"/>
      <c r="LU52" s="40"/>
      <c r="LV52" s="40"/>
      <c r="LW52" s="40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</row>
    <row r="53" spans="1:360" x14ac:dyDescent="0.3">
      <c r="A53" s="20"/>
      <c r="B53" s="20"/>
      <c r="C53" s="19"/>
      <c r="D53" s="19"/>
      <c r="E53" s="19"/>
      <c r="F53" s="19"/>
      <c r="G53" s="19"/>
      <c r="H53" s="19"/>
      <c r="I53" s="170"/>
      <c r="J53" s="42"/>
      <c r="L53" s="393"/>
      <c r="O53" s="57"/>
      <c r="P53" s="57"/>
      <c r="Q53" s="4"/>
      <c r="R53" s="4"/>
      <c r="S53" s="57"/>
      <c r="T53" s="57"/>
      <c r="U53" s="57"/>
      <c r="V53" s="57"/>
      <c r="W53" s="57"/>
      <c r="X53" s="57"/>
      <c r="Y53" s="57"/>
      <c r="Z53" s="57"/>
      <c r="AA53" s="57"/>
      <c r="AB53" s="57"/>
      <c r="AN53" s="4"/>
      <c r="AO53" s="40"/>
      <c r="AP53" s="40"/>
      <c r="AQ53" s="4"/>
      <c r="AR53" s="4"/>
      <c r="AS53" s="4"/>
      <c r="AT53" s="23"/>
      <c r="AU53" s="23"/>
      <c r="AV53" s="23"/>
      <c r="AW53" s="23"/>
      <c r="AX53" s="12"/>
      <c r="AY53" s="12"/>
      <c r="AZ53" s="12"/>
      <c r="BA53" s="12"/>
      <c r="BB53" s="12"/>
      <c r="BC53" s="23"/>
      <c r="BD53" s="23"/>
      <c r="BE53" s="23"/>
      <c r="BF53" s="23"/>
      <c r="BG53" s="23"/>
      <c r="BH53" s="12"/>
      <c r="BK53" s="23"/>
      <c r="BL53" s="12"/>
      <c r="BM53" s="12"/>
      <c r="BN53" s="12"/>
      <c r="BO53" s="12"/>
      <c r="BP53" s="4"/>
      <c r="BQ53" s="4"/>
      <c r="BR53" s="4"/>
      <c r="BS53" s="4"/>
      <c r="BT53" s="4"/>
      <c r="BU53" s="4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175"/>
      <c r="DN53" s="39" t="s">
        <v>298</v>
      </c>
      <c r="DO53" s="393">
        <f>SUM(DO51:DO52)</f>
        <v>69305.771957170786</v>
      </c>
      <c r="DQ53" s="50" t="s">
        <v>287</v>
      </c>
      <c r="DR53" s="34"/>
      <c r="DS53" s="34"/>
      <c r="DT53" s="291">
        <v>0.06</v>
      </c>
      <c r="EO53" s="38">
        <v>0.14441113135963379</v>
      </c>
      <c r="EP53" s="38">
        <v>0.14561794598676497</v>
      </c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LO53" s="39"/>
      <c r="LP53" s="39"/>
      <c r="LQ53" s="39"/>
      <c r="LS53" s="39"/>
      <c r="LT53" s="39"/>
      <c r="LU53" s="57"/>
      <c r="LV53" s="57"/>
      <c r="LW53" s="57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</row>
    <row r="54" spans="1:360" x14ac:dyDescent="0.3">
      <c r="A54" s="20"/>
      <c r="B54" s="20"/>
      <c r="C54" s="19"/>
      <c r="D54" s="19"/>
      <c r="E54" s="19"/>
      <c r="F54" s="19"/>
      <c r="G54" s="19"/>
      <c r="H54" s="19"/>
      <c r="I54" s="170"/>
      <c r="J54" s="42"/>
      <c r="K54" s="42"/>
      <c r="L54" s="393"/>
      <c r="M54" s="4"/>
      <c r="N54" s="4"/>
      <c r="O54" s="57"/>
      <c r="P54" s="57"/>
      <c r="Q54" s="4"/>
      <c r="R54" s="4"/>
      <c r="S54" s="57"/>
      <c r="T54" s="57"/>
      <c r="U54" s="57"/>
      <c r="V54" s="57"/>
      <c r="W54" s="57"/>
      <c r="X54" s="57"/>
      <c r="Y54" s="57"/>
      <c r="Z54" s="57"/>
      <c r="AA54" s="57"/>
      <c r="AB54" s="57"/>
      <c r="AN54" s="4"/>
      <c r="AO54" s="40"/>
      <c r="AP54" s="40"/>
      <c r="AQ54" s="4"/>
      <c r="AR54" s="4"/>
      <c r="AS54" s="4"/>
      <c r="AT54" s="23"/>
      <c r="AU54" s="23"/>
      <c r="AV54" s="23"/>
      <c r="AW54" s="23"/>
      <c r="AX54" s="12"/>
      <c r="AY54" s="12"/>
      <c r="AZ54" s="12"/>
      <c r="BA54" s="12"/>
      <c r="BB54" s="12"/>
      <c r="BC54" s="23"/>
      <c r="BD54" s="23"/>
      <c r="BE54" s="23"/>
      <c r="BF54" s="23"/>
      <c r="BG54" s="23"/>
      <c r="BH54" s="12"/>
      <c r="BK54" s="23"/>
      <c r="BL54" s="12"/>
      <c r="BM54" s="12"/>
      <c r="BN54" s="12"/>
      <c r="BO54" s="12"/>
      <c r="BP54" s="4"/>
      <c r="BQ54" s="4"/>
      <c r="BR54" s="4"/>
      <c r="BS54" s="4"/>
      <c r="BT54" s="4"/>
      <c r="BU54" s="4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175"/>
      <c r="DO54" s="37"/>
      <c r="DQ54" s="293" t="s">
        <v>210</v>
      </c>
      <c r="DR54" s="42"/>
      <c r="DS54" s="42"/>
      <c r="DT54" s="251">
        <v>0.03</v>
      </c>
      <c r="EO54" s="38">
        <v>0.14644827505296137</v>
      </c>
      <c r="EP54" s="38">
        <v>0.15208585280461628</v>
      </c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LO54" s="39"/>
      <c r="LP54" s="39"/>
      <c r="LQ54" s="39"/>
      <c r="LS54" s="39"/>
      <c r="LT54" s="39"/>
      <c r="LU54" s="57"/>
      <c r="LV54" s="57"/>
      <c r="LW54" s="57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</row>
    <row r="55" spans="1:360" x14ac:dyDescent="0.3">
      <c r="A55" s="20"/>
      <c r="B55" s="20"/>
      <c r="C55" s="19"/>
      <c r="D55" s="19"/>
      <c r="E55" s="19"/>
      <c r="F55" s="19"/>
      <c r="G55" s="19"/>
      <c r="H55" s="19"/>
      <c r="I55" s="170"/>
      <c r="J55" s="42"/>
      <c r="K55" s="42"/>
      <c r="L55" s="4"/>
      <c r="M55" s="4"/>
      <c r="N55" s="4"/>
      <c r="O55" s="57"/>
      <c r="P55" s="57"/>
      <c r="Q55" s="4"/>
      <c r="R55" s="4"/>
      <c r="S55" s="57"/>
      <c r="T55" s="57"/>
      <c r="U55" s="57"/>
      <c r="V55" s="57"/>
      <c r="W55" s="57"/>
      <c r="X55" s="57"/>
      <c r="Y55" s="57"/>
      <c r="Z55" s="57"/>
      <c r="AA55" s="57"/>
      <c r="AB55" s="57"/>
      <c r="AN55" s="4"/>
      <c r="AO55" s="40"/>
      <c r="AP55" s="40"/>
      <c r="AQ55" s="4"/>
      <c r="AR55" s="4"/>
      <c r="AS55" s="4"/>
      <c r="AT55" s="23"/>
      <c r="AU55" s="23"/>
      <c r="AV55" s="23"/>
      <c r="AW55" s="23"/>
      <c r="AX55" s="12"/>
      <c r="AY55" s="12"/>
      <c r="AZ55" s="12"/>
      <c r="BA55" s="12"/>
      <c r="BB55" s="12"/>
      <c r="BC55" s="23"/>
      <c r="BD55" s="23"/>
      <c r="BE55" s="23"/>
      <c r="BF55" s="23"/>
      <c r="BG55" s="23"/>
      <c r="BH55" s="12"/>
      <c r="BK55" s="23"/>
      <c r="BL55" s="12"/>
      <c r="BM55" s="12"/>
      <c r="BN55" s="12"/>
      <c r="BO55" s="12"/>
      <c r="BP55" s="4"/>
      <c r="BQ55" s="4"/>
      <c r="BR55" s="4"/>
      <c r="BS55" s="4"/>
      <c r="BT55" s="4"/>
      <c r="BU55" s="4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175"/>
      <c r="DO55" s="37"/>
      <c r="DQ55" s="293" t="s">
        <v>211</v>
      </c>
      <c r="DR55" s="294"/>
      <c r="DS55" s="294"/>
      <c r="DT55" s="295">
        <v>0.03</v>
      </c>
      <c r="EO55" s="38">
        <v>0.14561794598676497</v>
      </c>
      <c r="EP55" s="38">
        <v>0.15111503711983915</v>
      </c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LO55" s="39"/>
      <c r="LP55" s="39"/>
      <c r="LQ55" s="39"/>
      <c r="LS55" s="39"/>
      <c r="LT55" s="39"/>
      <c r="LU55" s="57"/>
      <c r="LV55" s="57"/>
      <c r="LW55" s="57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</row>
    <row r="56" spans="1:360" x14ac:dyDescent="0.3">
      <c r="A56" s="20"/>
      <c r="B56" s="20"/>
      <c r="C56" s="19"/>
      <c r="D56" s="19"/>
      <c r="E56" s="19"/>
      <c r="F56" s="19"/>
      <c r="G56" s="19"/>
      <c r="H56" s="19"/>
      <c r="I56" s="170"/>
      <c r="J56" s="42"/>
      <c r="K56" s="42"/>
      <c r="L56" s="4"/>
      <c r="M56" s="4"/>
      <c r="N56" s="4"/>
      <c r="O56" s="4"/>
      <c r="P56" s="4"/>
      <c r="Q56" s="4"/>
      <c r="R56" s="4"/>
      <c r="S56" s="57"/>
      <c r="T56" s="57"/>
      <c r="U56" s="57"/>
      <c r="V56" s="57"/>
      <c r="W56" s="57"/>
      <c r="X56" s="57"/>
      <c r="Y56" s="57"/>
      <c r="Z56" s="57"/>
      <c r="AA56" s="57"/>
      <c r="AB56" s="57"/>
      <c r="AN56" s="4"/>
      <c r="AO56" s="40"/>
      <c r="AP56" s="40"/>
      <c r="AQ56" s="4"/>
      <c r="AR56" s="4"/>
      <c r="AS56" s="4"/>
      <c r="AT56" s="23"/>
      <c r="AU56" s="23"/>
      <c r="AV56" s="23"/>
      <c r="AW56" s="23"/>
      <c r="AX56" s="12"/>
      <c r="AY56" s="12"/>
      <c r="AZ56" s="12"/>
      <c r="BA56" s="12"/>
      <c r="BB56" s="12"/>
      <c r="BC56" s="23"/>
      <c r="BD56" s="23"/>
      <c r="BE56" s="23"/>
      <c r="BF56" s="23"/>
      <c r="BG56" s="23"/>
      <c r="BH56" s="12"/>
      <c r="BK56" s="23"/>
      <c r="BL56" s="12"/>
      <c r="BM56" s="12"/>
      <c r="BN56" s="12"/>
      <c r="BO56" s="12"/>
      <c r="BP56" s="6"/>
      <c r="BQ56" s="6"/>
      <c r="BR56" s="6"/>
      <c r="BS56" s="6"/>
      <c r="BT56" s="6"/>
      <c r="BU56" s="6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175"/>
      <c r="DO56" s="37">
        <v>73245.842473222656</v>
      </c>
      <c r="DQ56" s="53" t="s">
        <v>84</v>
      </c>
      <c r="DR56" s="42"/>
      <c r="DS56" s="42"/>
      <c r="DT56" s="253">
        <f>MM35</f>
        <v>11.362052951411172</v>
      </c>
      <c r="EJ56" s="38" t="s">
        <v>226</v>
      </c>
      <c r="EO56" s="38">
        <v>0.15208585280461628</v>
      </c>
      <c r="EP56" s="38">
        <v>0.15087244101547864</v>
      </c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LO56" s="39"/>
      <c r="LP56" s="39"/>
      <c r="LQ56" s="39"/>
      <c r="LS56" s="39"/>
      <c r="LT56" s="39"/>
      <c r="LU56" s="57"/>
      <c r="LV56" s="57"/>
      <c r="LW56" s="57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</row>
    <row r="57" spans="1:360" x14ac:dyDescent="0.3">
      <c r="A57" s="20"/>
      <c r="B57" s="20"/>
      <c r="C57" s="19"/>
      <c r="D57" s="19"/>
      <c r="E57" s="19"/>
      <c r="F57" s="19"/>
      <c r="G57" s="19"/>
      <c r="H57" s="19"/>
      <c r="I57" s="170"/>
      <c r="J57" s="42"/>
      <c r="K57" s="42"/>
      <c r="L57" s="4"/>
      <c r="M57" s="4"/>
      <c r="N57" s="4"/>
      <c r="O57" s="4"/>
      <c r="P57" s="4"/>
      <c r="Q57" s="4"/>
      <c r="R57" s="4"/>
      <c r="S57" s="57"/>
      <c r="T57" s="57"/>
      <c r="U57" s="57"/>
      <c r="V57" s="57"/>
      <c r="W57" s="57"/>
      <c r="X57" s="57"/>
      <c r="Y57" s="57"/>
      <c r="Z57" s="57"/>
      <c r="AA57" s="57"/>
      <c r="AB57" s="57"/>
      <c r="AF57" s="131"/>
      <c r="AN57" s="4"/>
      <c r="AO57" s="40"/>
      <c r="AP57" s="40"/>
      <c r="AQ57" s="4"/>
      <c r="AR57" s="4"/>
      <c r="AS57" s="4"/>
      <c r="AT57" s="23"/>
      <c r="AU57" s="23"/>
      <c r="AV57" s="23"/>
      <c r="AW57" s="23"/>
      <c r="AX57" s="12"/>
      <c r="AY57" s="12"/>
      <c r="AZ57" s="12"/>
      <c r="BA57" s="12"/>
      <c r="BB57" s="12"/>
      <c r="BC57" s="23"/>
      <c r="BD57" s="23"/>
      <c r="BE57" s="23"/>
      <c r="BF57" s="23"/>
      <c r="BG57" s="23"/>
      <c r="BH57" s="12"/>
      <c r="BK57" s="23"/>
      <c r="BL57" s="12"/>
      <c r="BM57" s="12"/>
      <c r="BN57" s="12"/>
      <c r="BO57" s="12"/>
      <c r="BP57" s="6"/>
      <c r="BQ57" s="6"/>
      <c r="BR57" s="6"/>
      <c r="BS57" s="6"/>
      <c r="BT57" s="6"/>
      <c r="BU57" s="6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175"/>
      <c r="DO57" s="37">
        <v>7270.0757169220315</v>
      </c>
      <c r="DQ57" s="53" t="s">
        <v>85</v>
      </c>
      <c r="DR57" s="42"/>
      <c r="DS57" s="42"/>
      <c r="DT57" s="254">
        <f>DT56*2</f>
        <v>22.724105902822345</v>
      </c>
      <c r="EJ57" s="38" t="s">
        <v>227</v>
      </c>
      <c r="EO57" s="38">
        <v>0.15111503711983915</v>
      </c>
      <c r="EP57" s="38">
        <v>0.15036851340602203</v>
      </c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LO57" s="39"/>
      <c r="LP57" s="39"/>
      <c r="LQ57" s="39"/>
      <c r="LS57" s="39"/>
      <c r="LT57" s="39"/>
      <c r="LU57" s="57"/>
      <c r="LV57" s="57"/>
      <c r="LW57" s="57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</row>
    <row r="58" spans="1:360" x14ac:dyDescent="0.3">
      <c r="A58" s="20"/>
      <c r="B58" s="20"/>
      <c r="C58" s="19"/>
      <c r="D58" s="19"/>
      <c r="E58" s="19"/>
      <c r="F58" s="19"/>
      <c r="G58" s="19"/>
      <c r="H58" s="19"/>
      <c r="I58" s="170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N58" s="4"/>
      <c r="AO58" s="40"/>
      <c r="AP58" s="40"/>
      <c r="AQ58" s="4"/>
      <c r="AR58" s="4"/>
      <c r="AS58" s="4"/>
      <c r="AT58" s="23"/>
      <c r="AU58" s="23"/>
      <c r="AV58" s="23"/>
      <c r="AW58" s="23"/>
      <c r="AX58" s="12"/>
      <c r="AY58" s="12"/>
      <c r="AZ58" s="12"/>
      <c r="BA58" s="12"/>
      <c r="BB58" s="12"/>
      <c r="BC58" s="23"/>
      <c r="BD58" s="23"/>
      <c r="BE58" s="23"/>
      <c r="BF58" s="23"/>
      <c r="BG58" s="23"/>
      <c r="BH58" s="12"/>
      <c r="BK58" s="23"/>
      <c r="BL58" s="12"/>
      <c r="BM58" s="12"/>
      <c r="BN58" s="12"/>
      <c r="BO58" s="12"/>
      <c r="BP58" s="6"/>
      <c r="BQ58" s="6"/>
      <c r="BR58" s="6"/>
      <c r="BS58" s="6"/>
      <c r="BT58" s="6"/>
      <c r="BU58" s="6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175"/>
      <c r="DO58" s="37">
        <v>80515.918190144686</v>
      </c>
      <c r="DQ58" s="53" t="s">
        <v>86</v>
      </c>
      <c r="DR58" s="42"/>
      <c r="DS58" s="42"/>
      <c r="DT58" s="254">
        <f>DT56*2</f>
        <v>22.724105902822345</v>
      </c>
      <c r="EJ58" s="38" t="s">
        <v>228</v>
      </c>
      <c r="EO58" s="38">
        <v>0.15087244101547864</v>
      </c>
      <c r="EP58" s="38">
        <v>0.15001201000079967</v>
      </c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LO58" s="39"/>
      <c r="LP58" s="39"/>
      <c r="LQ58" s="39"/>
      <c r="LS58" s="39"/>
      <c r="LT58" s="39"/>
      <c r="LU58" s="42"/>
      <c r="LV58" s="42"/>
      <c r="LW58" s="42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</row>
    <row r="59" spans="1:360" x14ac:dyDescent="0.3">
      <c r="A59" s="20"/>
      <c r="B59" s="20"/>
      <c r="C59" s="19"/>
      <c r="D59" s="19"/>
      <c r="E59" s="19"/>
      <c r="F59" s="19"/>
      <c r="G59" s="19"/>
      <c r="H59" s="19"/>
      <c r="I59" s="170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26"/>
      <c r="AG59" s="26"/>
      <c r="AH59" s="40"/>
      <c r="AI59" s="40"/>
      <c r="AJ59" s="40"/>
      <c r="AK59" s="40"/>
      <c r="AL59" s="40"/>
      <c r="AM59" s="40"/>
      <c r="AN59" s="4"/>
      <c r="AO59" s="40"/>
      <c r="AP59" s="40"/>
      <c r="AQ59" s="4"/>
      <c r="AR59" s="4"/>
      <c r="AS59" s="4"/>
      <c r="AT59" s="23"/>
      <c r="AU59" s="23"/>
      <c r="AV59" s="23"/>
      <c r="AW59" s="23"/>
      <c r="AX59" s="12"/>
      <c r="AY59" s="12"/>
      <c r="AZ59" s="12"/>
      <c r="BA59" s="12"/>
      <c r="BB59" s="12"/>
      <c r="BC59" s="23"/>
      <c r="BD59" s="23"/>
      <c r="BE59" s="23"/>
      <c r="BF59" s="23"/>
      <c r="BG59" s="23"/>
      <c r="BH59" s="12"/>
      <c r="BK59" s="23"/>
      <c r="BL59" s="12"/>
      <c r="BM59" s="12"/>
      <c r="BN59" s="12"/>
      <c r="BO59" s="12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175"/>
      <c r="DO59" s="37"/>
      <c r="DQ59" s="53" t="s">
        <v>149</v>
      </c>
      <c r="DT59" s="255">
        <f>MM36</f>
        <v>0.78425225741758364</v>
      </c>
      <c r="EO59" s="38">
        <v>0.15036851340602203</v>
      </c>
      <c r="EP59" s="38">
        <v>0.14961702432319526</v>
      </c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LO59" s="39"/>
      <c r="LP59" s="39"/>
      <c r="LQ59" s="39"/>
      <c r="LS59" s="39"/>
      <c r="LT59" s="39"/>
      <c r="LU59" s="42"/>
      <c r="LV59" s="42"/>
      <c r="LW59" s="42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</row>
    <row r="60" spans="1:360" x14ac:dyDescent="0.3">
      <c r="A60" s="20"/>
      <c r="B60" s="20"/>
      <c r="C60" s="14"/>
      <c r="D60" s="14"/>
      <c r="E60" s="14"/>
      <c r="F60" s="14"/>
      <c r="G60" s="14"/>
      <c r="H60" s="14"/>
      <c r="I60" s="17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6"/>
      <c r="AG60" s="26"/>
      <c r="AH60" s="40"/>
      <c r="AI60" s="40"/>
      <c r="AJ60" s="40"/>
      <c r="AK60" s="40"/>
      <c r="AL60" s="40"/>
      <c r="AM60" s="40"/>
      <c r="AN60" s="4"/>
      <c r="AO60" s="40"/>
      <c r="AP60" s="40"/>
      <c r="AQ60" s="4"/>
      <c r="AR60" s="4"/>
      <c r="AS60" s="4"/>
      <c r="AT60" s="23"/>
      <c r="AU60" s="23"/>
      <c r="AV60" s="23"/>
      <c r="AW60" s="23"/>
      <c r="AX60" s="12"/>
      <c r="AY60" s="12"/>
      <c r="AZ60" s="12"/>
      <c r="BA60" s="12"/>
      <c r="BB60" s="12"/>
      <c r="BC60" s="23"/>
      <c r="BD60" s="23"/>
      <c r="BE60" s="23"/>
      <c r="BF60" s="23"/>
      <c r="BG60" s="23"/>
      <c r="BH60" s="12"/>
      <c r="BK60" s="23"/>
      <c r="BL60" s="12"/>
      <c r="BM60" s="12"/>
      <c r="BN60" s="12"/>
      <c r="BO60" s="12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175"/>
      <c r="DQ60" s="165" t="s">
        <v>97</v>
      </c>
      <c r="DR60" s="108"/>
      <c r="DS60" s="108"/>
      <c r="DT60" s="256">
        <v>1.1386456406995427E-2</v>
      </c>
      <c r="EO60" s="38">
        <v>0.15001201000079967</v>
      </c>
      <c r="EP60" s="38">
        <v>0.14913082589908561</v>
      </c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LO60" s="39"/>
      <c r="LP60" s="39"/>
      <c r="LQ60" s="39"/>
      <c r="LS60" s="39"/>
      <c r="LT60" s="39"/>
      <c r="LU60" s="19"/>
      <c r="LV60" s="19"/>
      <c r="LW60" s="1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</row>
    <row r="61" spans="1:360" x14ac:dyDescent="0.3">
      <c r="A61" s="15"/>
      <c r="B61" s="15"/>
      <c r="C61" s="14"/>
      <c r="D61" s="14"/>
      <c r="E61" s="14"/>
      <c r="F61" s="14"/>
      <c r="G61" s="14"/>
      <c r="H61" s="14"/>
      <c r="I61" s="170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26"/>
      <c r="AG61" s="26"/>
      <c r="AH61" s="40"/>
      <c r="AI61" s="40"/>
      <c r="AJ61" s="40"/>
      <c r="AK61" s="40"/>
      <c r="AL61" s="40"/>
      <c r="AM61" s="40"/>
      <c r="AN61" s="4"/>
      <c r="AO61" s="40"/>
      <c r="AP61" s="40"/>
      <c r="AQ61" s="4"/>
      <c r="AR61" s="4"/>
      <c r="AS61" s="4"/>
      <c r="AT61" s="23"/>
      <c r="AU61" s="23"/>
      <c r="AV61" s="23"/>
      <c r="AW61" s="23"/>
      <c r="AX61" s="12"/>
      <c r="AY61" s="12"/>
      <c r="AZ61" s="12"/>
      <c r="BA61" s="12"/>
      <c r="BB61" s="12"/>
      <c r="BC61" s="23"/>
      <c r="BD61" s="23"/>
      <c r="BE61" s="23"/>
      <c r="BF61" s="23"/>
      <c r="BG61" s="23"/>
      <c r="BH61" s="12"/>
      <c r="BK61" s="23"/>
      <c r="BL61" s="12"/>
      <c r="BM61" s="12"/>
      <c r="BN61" s="12"/>
      <c r="BO61" s="12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175"/>
      <c r="DO61" s="37"/>
      <c r="EO61" s="38">
        <v>0.14961702432319526</v>
      </c>
      <c r="EP61" s="38">
        <v>0.14878371111218719</v>
      </c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LO61" s="39"/>
      <c r="LP61" s="39"/>
      <c r="LQ61" s="39"/>
      <c r="LS61" s="39"/>
      <c r="LT61" s="39"/>
      <c r="LU61" s="42"/>
      <c r="LV61" s="42"/>
      <c r="LW61" s="42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</row>
    <row r="62" spans="1:360" x14ac:dyDescent="0.3">
      <c r="A62" s="20"/>
      <c r="B62" s="20"/>
      <c r="C62" s="19"/>
      <c r="D62" s="19"/>
      <c r="E62" s="19"/>
      <c r="F62" s="19"/>
      <c r="G62" s="19"/>
      <c r="H62" s="19"/>
      <c r="I62" s="170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26"/>
      <c r="AG62" s="26"/>
      <c r="AH62" s="40"/>
      <c r="AI62" s="40"/>
      <c r="AJ62" s="40"/>
      <c r="AK62" s="40"/>
      <c r="AL62" s="40"/>
      <c r="AM62" s="40"/>
      <c r="AN62" s="4"/>
      <c r="AO62" s="40"/>
      <c r="AP62" s="40"/>
      <c r="AQ62" s="4"/>
      <c r="AR62" s="4"/>
      <c r="AS62" s="4"/>
      <c r="AT62" s="23"/>
      <c r="AU62" s="23"/>
      <c r="AV62" s="23"/>
      <c r="AW62" s="23"/>
      <c r="AX62" s="12"/>
      <c r="AY62" s="12"/>
      <c r="AZ62" s="12"/>
      <c r="BA62" s="12"/>
      <c r="BB62" s="12"/>
      <c r="BC62" s="23"/>
      <c r="BD62" s="23"/>
      <c r="BE62" s="23"/>
      <c r="BF62" s="23"/>
      <c r="BG62" s="23"/>
      <c r="BH62" s="12"/>
      <c r="BK62" s="23"/>
      <c r="BL62" s="12"/>
      <c r="BM62" s="12"/>
      <c r="BN62" s="12"/>
      <c r="BO62" s="12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175"/>
      <c r="DO62" s="37"/>
      <c r="DQ62" s="77" t="s">
        <v>29</v>
      </c>
      <c r="DR62" s="78"/>
      <c r="DS62" s="78"/>
      <c r="DT62" s="237"/>
      <c r="EO62" s="38">
        <v>0.14913082589908561</v>
      </c>
      <c r="EP62" s="38">
        <v>0.14836793068126636</v>
      </c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LO62" s="39"/>
      <c r="LP62" s="39"/>
      <c r="LQ62" s="39"/>
      <c r="LS62" s="39"/>
      <c r="LT62" s="39"/>
      <c r="LU62" s="42"/>
      <c r="LV62" s="42"/>
      <c r="LW62" s="42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</row>
    <row r="63" spans="1:360" x14ac:dyDescent="0.3">
      <c r="A63" s="20"/>
      <c r="B63" s="20"/>
      <c r="C63" s="7"/>
      <c r="D63" s="7"/>
      <c r="E63" s="7"/>
      <c r="F63" s="7"/>
      <c r="G63" s="7"/>
      <c r="H63" s="7"/>
      <c r="I63" s="170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26"/>
      <c r="AG63" s="26"/>
      <c r="AH63" s="18"/>
      <c r="AI63" s="18"/>
      <c r="AJ63" s="18"/>
      <c r="AK63" s="18"/>
      <c r="AL63" s="18"/>
      <c r="AM63" s="18"/>
      <c r="AN63" s="16"/>
      <c r="AO63" s="16"/>
      <c r="AP63" s="16"/>
      <c r="AQ63" s="16"/>
      <c r="AR63" s="16"/>
      <c r="AS63" s="16"/>
      <c r="AT63" s="277"/>
      <c r="AU63" s="277"/>
      <c r="AV63" s="277"/>
      <c r="AW63" s="277"/>
      <c r="AX63" s="12"/>
      <c r="AY63" s="12"/>
      <c r="AZ63" s="12"/>
      <c r="BA63" s="12"/>
      <c r="BB63" s="12"/>
      <c r="BC63" s="277"/>
      <c r="BD63" s="277"/>
      <c r="BE63" s="277"/>
      <c r="BF63" s="277"/>
      <c r="BG63" s="277"/>
      <c r="BH63" s="12"/>
      <c r="BK63" s="277"/>
      <c r="BL63" s="12"/>
      <c r="BM63" s="12"/>
      <c r="BN63" s="12"/>
      <c r="BO63" s="12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175"/>
      <c r="DQ63" s="408" t="s">
        <v>275</v>
      </c>
      <c r="DR63" s="188"/>
      <c r="DS63" s="188"/>
      <c r="DT63" s="409" t="s">
        <v>53</v>
      </c>
      <c r="EO63" s="38">
        <v>0.14878371111218719</v>
      </c>
      <c r="EP63" s="38">
        <v>0.14797773225750099</v>
      </c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LO63" s="39"/>
      <c r="LP63" s="39"/>
      <c r="LQ63" s="39"/>
      <c r="LS63" s="39"/>
      <c r="LT63" s="39"/>
      <c r="LU63" s="18"/>
      <c r="LV63" s="18"/>
      <c r="LW63" s="18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</row>
    <row r="64" spans="1:360" x14ac:dyDescent="0.3">
      <c r="A64" s="20"/>
      <c r="B64" s="20"/>
      <c r="C64" s="14"/>
      <c r="D64" s="14"/>
      <c r="E64" s="14"/>
      <c r="F64" s="14"/>
      <c r="G64" s="14"/>
      <c r="H64" s="14"/>
      <c r="I64" s="170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278"/>
      <c r="AU64" s="278"/>
      <c r="AV64" s="278"/>
      <c r="AW64" s="278"/>
      <c r="AX64" s="12"/>
      <c r="AY64" s="12"/>
      <c r="AZ64" s="12"/>
      <c r="BA64" s="12"/>
      <c r="BB64" s="12"/>
      <c r="BC64" s="278"/>
      <c r="BD64" s="278"/>
      <c r="BE64" s="278"/>
      <c r="BF64" s="278"/>
      <c r="BG64" s="278"/>
      <c r="BH64" s="12"/>
      <c r="BK64" s="278"/>
      <c r="BL64" s="12"/>
      <c r="BM64" s="12"/>
      <c r="BN64" s="12"/>
      <c r="BO64" s="12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175"/>
      <c r="DQ64" s="282" t="s">
        <v>276</v>
      </c>
      <c r="DR64" s="14"/>
      <c r="DS64" s="14"/>
      <c r="DT64" s="407" t="s">
        <v>53</v>
      </c>
      <c r="EO64" s="38">
        <v>0.14836793068126636</v>
      </c>
      <c r="EP64" s="38">
        <v>0.14767126975694481</v>
      </c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LO64" s="39"/>
      <c r="LP64" s="39"/>
      <c r="LQ64" s="39"/>
      <c r="LS64" s="39"/>
      <c r="LT64" s="39"/>
      <c r="LU64" s="42"/>
      <c r="LV64" s="42"/>
      <c r="LW64" s="42"/>
      <c r="LX64" s="39"/>
      <c r="LY64" s="39"/>
      <c r="LZ64" s="39"/>
      <c r="MA64" s="39"/>
      <c r="MB64" s="39"/>
      <c r="MC64" s="39"/>
      <c r="MD64" s="39"/>
      <c r="ME64" s="39"/>
      <c r="MF64" s="39"/>
      <c r="MG64" s="39"/>
      <c r="MH64" s="39"/>
      <c r="MI64" s="39"/>
      <c r="MJ64" s="39"/>
      <c r="MK64" s="39"/>
      <c r="ML64" s="39"/>
      <c r="MM64" s="39"/>
      <c r="MN64" s="39"/>
      <c r="MO64" s="39"/>
      <c r="MP64" s="39"/>
      <c r="MQ64" s="39"/>
      <c r="MR64" s="39"/>
      <c r="MS64" s="39"/>
      <c r="MT64" s="39"/>
      <c r="MU64" s="39"/>
      <c r="MV64" s="39"/>
    </row>
    <row r="65" spans="1:360" x14ac:dyDescent="0.3">
      <c r="A65" s="20"/>
      <c r="B65" s="20"/>
      <c r="C65" s="14"/>
      <c r="D65" s="14"/>
      <c r="E65" s="14"/>
      <c r="F65" s="14"/>
      <c r="G65" s="14"/>
      <c r="H65" s="14"/>
      <c r="I65" s="170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278"/>
      <c r="AU65" s="278"/>
      <c r="AV65" s="278"/>
      <c r="AW65" s="278"/>
      <c r="AX65" s="12"/>
      <c r="AY65" s="12"/>
      <c r="AZ65" s="12"/>
      <c r="BA65" s="12"/>
      <c r="BB65" s="12"/>
      <c r="BC65" s="278"/>
      <c r="BD65" s="278"/>
      <c r="BE65" s="278"/>
      <c r="BF65" s="278"/>
      <c r="BG65" s="278"/>
      <c r="BH65" s="12"/>
      <c r="BK65" s="278"/>
      <c r="BL65" s="12"/>
      <c r="BM65" s="12"/>
      <c r="BN65" s="12"/>
      <c r="BO65" s="12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175"/>
      <c r="DQ65" s="50" t="s">
        <v>270</v>
      </c>
      <c r="DR65" s="34"/>
      <c r="DS65" s="34"/>
      <c r="DT65" s="268">
        <v>20</v>
      </c>
      <c r="EK65" s="38" t="s">
        <v>229</v>
      </c>
      <c r="EO65" s="38">
        <v>0.14797773225750099</v>
      </c>
      <c r="EP65" s="38">
        <v>0.14721796552821831</v>
      </c>
      <c r="GY65" s="48"/>
      <c r="GZ65" s="48"/>
      <c r="HA65" s="48"/>
      <c r="HB65" s="48"/>
      <c r="HC65" s="48"/>
      <c r="LO65" s="39"/>
      <c r="LP65" s="39"/>
      <c r="LQ65" s="39"/>
      <c r="LS65" s="39"/>
      <c r="LT65" s="39"/>
      <c r="LU65" s="42"/>
      <c r="LV65" s="42"/>
      <c r="LW65" s="42"/>
      <c r="LX65" s="39"/>
      <c r="LY65" s="39"/>
      <c r="LZ65" s="39"/>
      <c r="MA65" s="39"/>
      <c r="MB65" s="39"/>
      <c r="MC65" s="39"/>
      <c r="MD65" s="39"/>
      <c r="ME65" s="39"/>
      <c r="MF65" s="39"/>
      <c r="MG65" s="39"/>
      <c r="MH65" s="39"/>
      <c r="MI65" s="39"/>
      <c r="MJ65" s="39"/>
      <c r="MK65" s="39"/>
      <c r="ML65" s="39"/>
      <c r="MM65" s="39"/>
      <c r="MN65" s="39"/>
      <c r="MO65" s="39"/>
      <c r="MP65" s="39"/>
      <c r="MQ65" s="39"/>
      <c r="MR65" s="39"/>
      <c r="MS65" s="39"/>
      <c r="MT65" s="39"/>
      <c r="MU65" s="39"/>
      <c r="MV65" s="39"/>
    </row>
    <row r="66" spans="1:360" x14ac:dyDescent="0.3"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K66" s="12"/>
      <c r="BL66" s="12"/>
      <c r="BM66" s="12"/>
      <c r="BN66" s="12"/>
      <c r="BO66" s="12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175"/>
      <c r="DQ66" s="50" t="s">
        <v>271</v>
      </c>
      <c r="DT66" s="268">
        <v>20</v>
      </c>
      <c r="EK66" s="38" t="s">
        <v>230</v>
      </c>
      <c r="EO66" s="38">
        <v>0.14767126975694481</v>
      </c>
      <c r="EP66" s="38">
        <v>0.14692704999100956</v>
      </c>
      <c r="GZ66" s="48"/>
      <c r="HA66" s="48"/>
      <c r="HB66" s="48"/>
      <c r="HC66" s="48"/>
      <c r="LO66" s="39"/>
      <c r="LP66" s="39"/>
      <c r="LQ66" s="39"/>
      <c r="LS66" s="39"/>
      <c r="LT66" s="39"/>
      <c r="LX66" s="39"/>
      <c r="LY66" s="39"/>
      <c r="LZ66" s="39"/>
      <c r="MA66" s="39"/>
      <c r="MB66" s="39"/>
      <c r="MC66" s="39"/>
      <c r="MD66" s="39"/>
      <c r="ME66" s="39"/>
      <c r="MF66" s="39"/>
      <c r="MG66" s="39"/>
      <c r="MH66" s="39"/>
      <c r="MI66" s="39"/>
      <c r="MJ66" s="39"/>
      <c r="MK66" s="39"/>
      <c r="ML66" s="39"/>
      <c r="MM66" s="39"/>
      <c r="MN66" s="39"/>
      <c r="MO66" s="39"/>
      <c r="MP66" s="39"/>
      <c r="MQ66" s="39"/>
      <c r="MR66" s="39"/>
      <c r="MS66" s="39"/>
      <c r="MT66" s="39"/>
      <c r="MU66" s="39"/>
      <c r="MV66" s="39"/>
    </row>
    <row r="67" spans="1:360" x14ac:dyDescent="0.3"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K67" s="12"/>
      <c r="BL67" s="12"/>
      <c r="BM67" s="12"/>
      <c r="BN67" s="12"/>
      <c r="BO67" s="12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175"/>
      <c r="DQ67" s="50" t="s">
        <v>321</v>
      </c>
      <c r="DR67" s="34"/>
      <c r="DS67" s="34"/>
      <c r="DT67" s="250">
        <v>0.03</v>
      </c>
      <c r="EK67" s="38" t="s">
        <v>49</v>
      </c>
      <c r="EO67" s="38">
        <v>0.14721796552821831</v>
      </c>
      <c r="EP67" s="38">
        <v>0.14655477058478084</v>
      </c>
      <c r="ES67" s="4"/>
      <c r="HB67" s="48"/>
      <c r="HC67" s="48"/>
      <c r="LO67" s="39"/>
      <c r="LP67" s="39"/>
      <c r="LQ67" s="39"/>
      <c r="LS67" s="39"/>
      <c r="LT67" s="39"/>
      <c r="LX67" s="39"/>
      <c r="LY67" s="39"/>
      <c r="LZ67" s="39"/>
      <c r="MA67" s="39"/>
      <c r="MB67" s="39"/>
      <c r="MC67" s="39"/>
      <c r="MD67" s="39"/>
      <c r="ME67" s="39"/>
      <c r="MF67" s="39"/>
      <c r="MG67" s="39"/>
      <c r="MH67" s="39"/>
      <c r="MI67" s="39"/>
      <c r="MJ67" s="39"/>
      <c r="MK67" s="39"/>
      <c r="ML67" s="39"/>
      <c r="MM67" s="39"/>
      <c r="MN67" s="39"/>
      <c r="MO67" s="39"/>
      <c r="MP67" s="39"/>
      <c r="MQ67" s="39"/>
      <c r="MR67" s="39"/>
      <c r="MS67" s="39"/>
      <c r="MT67" s="39"/>
      <c r="MU67" s="39"/>
      <c r="MV67" s="39"/>
    </row>
    <row r="68" spans="1:360" x14ac:dyDescent="0.3"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K68" s="12"/>
      <c r="BL68" s="12"/>
      <c r="BM68" s="12"/>
      <c r="BN68" s="12"/>
      <c r="BO68" s="12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175"/>
      <c r="DQ68" s="50" t="s">
        <v>322</v>
      </c>
      <c r="DT68" s="250">
        <v>0.03</v>
      </c>
      <c r="EO68" s="38">
        <v>0.14692704999100956</v>
      </c>
      <c r="EP68" s="38">
        <v>0.14621120021188189</v>
      </c>
      <c r="LO68" s="39"/>
      <c r="LP68" s="39"/>
      <c r="LQ68" s="39"/>
      <c r="LS68" s="39"/>
      <c r="LT68" s="39"/>
      <c r="LX68" s="39"/>
      <c r="LY68" s="39"/>
      <c r="LZ68" s="39"/>
      <c r="MA68" s="39"/>
      <c r="MB68" s="39"/>
      <c r="MC68" s="39"/>
      <c r="MD68" s="39"/>
      <c r="ME68" s="39"/>
      <c r="MF68" s="39"/>
      <c r="MG68" s="39"/>
      <c r="MH68" s="39"/>
      <c r="MI68" s="39"/>
      <c r="MJ68" s="39"/>
      <c r="MK68" s="39"/>
      <c r="ML68" s="39"/>
      <c r="MM68" s="39"/>
      <c r="MN68" s="39"/>
      <c r="MO68" s="39"/>
      <c r="MP68" s="39"/>
      <c r="MQ68" s="39"/>
      <c r="MR68" s="39"/>
      <c r="MS68" s="39"/>
      <c r="MT68" s="39"/>
      <c r="MU68" s="39"/>
      <c r="MV68" s="39"/>
    </row>
    <row r="69" spans="1:360" x14ac:dyDescent="0.3"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K69" s="12"/>
      <c r="BL69" s="12"/>
      <c r="BM69" s="12"/>
      <c r="BN69" s="12"/>
      <c r="BO69" s="12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175"/>
      <c r="DQ69" s="50" t="s">
        <v>328</v>
      </c>
      <c r="DT69" s="269" t="s">
        <v>73</v>
      </c>
      <c r="EO69" s="38">
        <v>0.14655477058478084</v>
      </c>
      <c r="EP69" s="38">
        <v>0.14584694197056447</v>
      </c>
      <c r="LO69" s="39"/>
      <c r="LP69" s="39"/>
      <c r="LQ69" s="39"/>
      <c r="LS69" s="39"/>
      <c r="LT69" s="39"/>
      <c r="LX69" s="39"/>
      <c r="LY69" s="39"/>
      <c r="LZ69" s="39"/>
      <c r="MA69" s="39"/>
      <c r="MB69" s="39"/>
      <c r="MC69" s="39"/>
      <c r="MD69" s="39"/>
      <c r="ME69" s="39"/>
      <c r="MF69" s="39"/>
      <c r="MG69" s="39"/>
      <c r="MH69" s="39"/>
      <c r="MI69" s="39"/>
      <c r="MJ69" s="39"/>
      <c r="MK69" s="39"/>
      <c r="ML69" s="39"/>
      <c r="MM69" s="39"/>
      <c r="MN69" s="39"/>
      <c r="MO69" s="39"/>
      <c r="MP69" s="39"/>
      <c r="MQ69" s="39"/>
      <c r="MR69" s="39"/>
      <c r="MS69" s="39"/>
      <c r="MT69" s="39"/>
      <c r="MU69" s="39"/>
      <c r="MV69" s="39"/>
    </row>
    <row r="70" spans="1:360" x14ac:dyDescent="0.3"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K70" s="12"/>
      <c r="BL70" s="12"/>
      <c r="BM70" s="12"/>
      <c r="BN70" s="12"/>
      <c r="BO70" s="12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175"/>
      <c r="DQ70" s="50" t="s">
        <v>327</v>
      </c>
      <c r="DR70" s="34"/>
      <c r="DS70" s="34"/>
      <c r="DT70" s="269" t="s">
        <v>73</v>
      </c>
      <c r="DU70" s="166"/>
      <c r="EO70" s="38">
        <v>0.14621120021188189</v>
      </c>
      <c r="EP70" s="38">
        <v>0.14558454355797928</v>
      </c>
      <c r="LO70" s="39"/>
      <c r="LP70" s="39"/>
      <c r="LQ70" s="39"/>
      <c r="LS70" s="39"/>
      <c r="LT70" s="39"/>
      <c r="LX70" s="39"/>
      <c r="LY70" s="39"/>
      <c r="LZ70" s="39"/>
      <c r="MA70" s="39"/>
      <c r="MB70" s="39"/>
      <c r="MC70" s="39"/>
      <c r="MD70" s="39"/>
      <c r="ME70" s="39"/>
      <c r="MF70" s="39"/>
      <c r="MG70" s="39"/>
      <c r="MH70" s="39"/>
      <c r="MI70" s="39"/>
      <c r="MJ70" s="39"/>
      <c r="MK70" s="39"/>
      <c r="ML70" s="39"/>
      <c r="MM70" s="39"/>
      <c r="MN70" s="39"/>
      <c r="MO70" s="39"/>
      <c r="MP70" s="39"/>
      <c r="MQ70" s="39"/>
      <c r="MR70" s="39"/>
      <c r="MS70" s="39"/>
      <c r="MT70" s="39"/>
      <c r="MU70" s="39"/>
      <c r="MV70" s="39"/>
    </row>
    <row r="71" spans="1:360" x14ac:dyDescent="0.3"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K71" s="12"/>
      <c r="BL71" s="12"/>
      <c r="BM71" s="12"/>
      <c r="BN71" s="12"/>
      <c r="BO71" s="12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175"/>
      <c r="DQ71" s="50" t="s">
        <v>312</v>
      </c>
      <c r="DT71" s="409" t="s">
        <v>53</v>
      </c>
      <c r="EO71" s="38">
        <v>0.14584694197056447</v>
      </c>
      <c r="EP71" s="38">
        <v>0.14516797470638748</v>
      </c>
      <c r="LO71" s="39"/>
      <c r="LP71" s="39"/>
      <c r="LQ71" s="39"/>
      <c r="LS71" s="39"/>
      <c r="LT71" s="39"/>
      <c r="LX71" s="39"/>
      <c r="LY71" s="39"/>
      <c r="LZ71" s="39"/>
      <c r="MA71" s="39"/>
      <c r="MB71" s="39"/>
      <c r="MC71" s="39"/>
      <c r="MD71" s="39"/>
      <c r="ME71" s="39"/>
      <c r="MF71" s="39"/>
      <c r="MG71" s="39"/>
      <c r="MH71" s="39"/>
      <c r="MI71" s="39"/>
      <c r="MJ71" s="39"/>
      <c r="MK71" s="39"/>
      <c r="ML71" s="39"/>
      <c r="MM71" s="39"/>
      <c r="MN71" s="39"/>
      <c r="MO71" s="39"/>
      <c r="MP71" s="39"/>
      <c r="MQ71" s="39"/>
      <c r="MR71" s="39"/>
      <c r="MS71" s="39"/>
      <c r="MT71" s="39"/>
      <c r="MU71" s="39"/>
      <c r="MV71" s="39"/>
    </row>
    <row r="72" spans="1:360" x14ac:dyDescent="0.3"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K72" s="12"/>
      <c r="BL72" s="12"/>
      <c r="BM72" s="12"/>
      <c r="BN72" s="12"/>
      <c r="BO72" s="12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175"/>
      <c r="DQ72" s="50" t="s">
        <v>79</v>
      </c>
      <c r="DR72" s="34"/>
      <c r="DS72" s="34"/>
      <c r="DT72" s="266">
        <v>99.99</v>
      </c>
      <c r="EO72" s="38">
        <v>0.14558454355797928</v>
      </c>
      <c r="EP72" s="38">
        <v>0.14492199990237131</v>
      </c>
      <c r="LO72" s="39"/>
      <c r="LP72" s="39"/>
      <c r="LQ72" s="39"/>
      <c r="LS72" s="39"/>
      <c r="LT72" s="39"/>
      <c r="LX72" s="39"/>
      <c r="LY72" s="39"/>
      <c r="LZ72" s="39"/>
      <c r="MA72" s="39"/>
      <c r="MB72" s="39"/>
      <c r="MC72" s="39"/>
      <c r="MD72" s="39"/>
      <c r="ME72" s="39"/>
      <c r="MF72" s="39"/>
      <c r="MG72" s="39"/>
      <c r="MH72" s="39"/>
      <c r="MI72" s="39"/>
      <c r="MJ72" s="39"/>
      <c r="MK72" s="39"/>
      <c r="ML72" s="39"/>
      <c r="MM72" s="39"/>
      <c r="MN72" s="39"/>
      <c r="MO72" s="39"/>
      <c r="MP72" s="39"/>
      <c r="MQ72" s="39"/>
      <c r="MR72" s="39"/>
      <c r="MS72" s="39"/>
      <c r="MT72" s="39"/>
      <c r="MU72" s="39"/>
      <c r="MV72" s="39"/>
    </row>
    <row r="73" spans="1:360" x14ac:dyDescent="0.3"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K73" s="12"/>
      <c r="BL73" s="12"/>
      <c r="BM73" s="12"/>
      <c r="BN73" s="12"/>
      <c r="BO73" s="12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175"/>
      <c r="DQ73" s="51" t="s">
        <v>205</v>
      </c>
      <c r="DR73" s="108"/>
      <c r="DS73" s="108"/>
      <c r="DT73" s="267">
        <v>9.99</v>
      </c>
      <c r="EO73" s="38">
        <v>0.14516797470638748</v>
      </c>
      <c r="EP73" s="38">
        <v>0.14460009562723541</v>
      </c>
    </row>
    <row r="74" spans="1:360" x14ac:dyDescent="0.3"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K74" s="12"/>
      <c r="BL74" s="12"/>
      <c r="BM74" s="12"/>
      <c r="BN74" s="12"/>
      <c r="BO74" s="12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175"/>
      <c r="EO74" s="38">
        <v>0.14492199990237131</v>
      </c>
      <c r="EP74" s="38">
        <v>0.14421816042371446</v>
      </c>
    </row>
    <row r="75" spans="1:360" x14ac:dyDescent="0.3"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K75" s="12"/>
      <c r="BL75" s="12"/>
      <c r="BM75" s="12"/>
      <c r="BN75" s="12"/>
      <c r="BO75" s="12"/>
      <c r="DQ75" s="79" t="s">
        <v>203</v>
      </c>
      <c r="DR75" s="279" t="s">
        <v>37</v>
      </c>
      <c r="DS75" s="279" t="s">
        <v>62</v>
      </c>
      <c r="DT75" s="280" t="s">
        <v>206</v>
      </c>
      <c r="EO75" s="38">
        <v>0.14460009562723541</v>
      </c>
      <c r="EP75" s="38">
        <v>0.1439788008272706</v>
      </c>
    </row>
    <row r="76" spans="1:360" x14ac:dyDescent="0.3"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K76" s="12"/>
      <c r="BL76" s="12"/>
      <c r="BM76" s="12"/>
      <c r="BN76" s="12"/>
      <c r="BO76" s="12"/>
      <c r="DQ76" s="50" t="s">
        <v>185</v>
      </c>
      <c r="DR76" s="213">
        <v>0.01</v>
      </c>
      <c r="DS76" s="387">
        <v>0.01</v>
      </c>
      <c r="DT76" s="383">
        <f t="shared" ref="DT76:DT81" si="302">DR76</f>
        <v>0.01</v>
      </c>
      <c r="EO76" s="38">
        <v>0.14421816042371446</v>
      </c>
      <c r="EP76" s="38">
        <v>0.14369079844627314</v>
      </c>
    </row>
    <row r="77" spans="1:360" x14ac:dyDescent="0.3"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K77" s="12"/>
      <c r="BL77" s="12"/>
      <c r="BM77" s="12"/>
      <c r="BN77" s="12"/>
      <c r="BO77" s="12"/>
      <c r="DQ77" s="50" t="s">
        <v>186</v>
      </c>
      <c r="DR77" s="292">
        <v>0.03</v>
      </c>
      <c r="DS77" s="387">
        <v>0.03</v>
      </c>
      <c r="DT77" s="383">
        <f t="shared" si="302"/>
        <v>0.03</v>
      </c>
      <c r="EO77" s="38">
        <v>0.1439788008272706</v>
      </c>
      <c r="EP77" s="38">
        <v>0.14344509077636353</v>
      </c>
    </row>
    <row r="78" spans="1:360" x14ac:dyDescent="0.3">
      <c r="DQ78" s="50" t="s">
        <v>187</v>
      </c>
      <c r="DR78" s="213">
        <v>8.9999999999999993E-3</v>
      </c>
      <c r="DS78" s="387">
        <v>0.01</v>
      </c>
      <c r="DT78" s="383">
        <f t="shared" si="302"/>
        <v>8.9999999999999993E-3</v>
      </c>
      <c r="EO78" s="38">
        <v>0.14369079844627314</v>
      </c>
      <c r="EP78" s="38">
        <v>0.14330498767576727</v>
      </c>
    </row>
    <row r="79" spans="1:360" x14ac:dyDescent="0.3">
      <c r="DQ79" s="50" t="s">
        <v>188</v>
      </c>
      <c r="DR79" s="275">
        <v>0</v>
      </c>
      <c r="DS79" s="388">
        <v>0</v>
      </c>
      <c r="DT79" s="384">
        <f t="shared" si="302"/>
        <v>0</v>
      </c>
      <c r="EO79" s="38">
        <v>0.14344509077636353</v>
      </c>
      <c r="EP79" s="38">
        <v>0.14304146722243882</v>
      </c>
    </row>
    <row r="80" spans="1:360" x14ac:dyDescent="0.3">
      <c r="DQ80" s="50" t="s">
        <v>189</v>
      </c>
      <c r="DR80" s="274">
        <v>7.4999999999999997E-3</v>
      </c>
      <c r="DS80" s="389">
        <v>7.4999999999999997E-3</v>
      </c>
      <c r="DT80" s="385">
        <f t="shared" si="302"/>
        <v>7.4999999999999997E-3</v>
      </c>
      <c r="EO80" s="38">
        <v>0.14330498767576727</v>
      </c>
      <c r="EP80" s="38">
        <v>2.4647249465779036E-2</v>
      </c>
    </row>
    <row r="81" spans="121:146" x14ac:dyDescent="0.3">
      <c r="DQ81" s="51" t="s">
        <v>190</v>
      </c>
      <c r="DR81" s="281">
        <v>20</v>
      </c>
      <c r="DS81" s="390">
        <v>20</v>
      </c>
      <c r="DT81" s="386">
        <f t="shared" si="302"/>
        <v>20</v>
      </c>
      <c r="EO81" s="38">
        <v>0.14304146722243882</v>
      </c>
      <c r="EP81" s="38">
        <v>-9.3746968290881194E-2</v>
      </c>
    </row>
    <row r="82" spans="121:146" x14ac:dyDescent="0.3">
      <c r="EO82" s="38">
        <v>2.4647249465779036E-2</v>
      </c>
      <c r="EP82" s="38">
        <v>-0.21214118604754001</v>
      </c>
    </row>
    <row r="83" spans="121:146" x14ac:dyDescent="0.3">
      <c r="DQ83" s="75" t="s">
        <v>170</v>
      </c>
      <c r="DR83" s="80"/>
      <c r="DS83" s="80"/>
      <c r="DT83" s="81"/>
    </row>
    <row r="84" spans="121:146" x14ac:dyDescent="0.3">
      <c r="DQ84" s="82" t="s">
        <v>19</v>
      </c>
      <c r="DR84" s="42"/>
      <c r="DS84" s="83">
        <f>$DT$24</f>
        <v>7.0000000000000007E-2</v>
      </c>
      <c r="DT84" s="84">
        <f>$DT$27</f>
        <v>2.2499999999999999E-2</v>
      </c>
    </row>
    <row r="85" spans="121:146" x14ac:dyDescent="0.3">
      <c r="DQ85" s="85" t="s">
        <v>20</v>
      </c>
      <c r="DR85" s="42"/>
      <c r="DS85" s="159">
        <f>SUMPRODUCT($BZ$10:$BZ$39,LO$6:LO$35)+SUMPRODUCT($CA$10:$CA$39,LO$6:LO$35)</f>
        <v>2239.2695583302839</v>
      </c>
      <c r="DT85" s="160">
        <f>SUMPRODUCT($BZ$10:$BZ$39,LP$6:LP$35)+SUMPRODUCT($CA$10:$CA$39,LP$6:LP$35)</f>
        <v>4407.5179622263213</v>
      </c>
    </row>
    <row r="86" spans="121:146" x14ac:dyDescent="0.3">
      <c r="DQ86" s="85" t="s">
        <v>10</v>
      </c>
      <c r="DR86" s="42"/>
      <c r="DS86" s="159">
        <f>SUMPRODUCT($CB$10:$CB$39,LO$6:LO$35)+SUMPRODUCT($CD$10:$CD$39,LO$6:LO$35)</f>
        <v>27345.005907061426</v>
      </c>
      <c r="DT86" s="160">
        <f>SUMPRODUCT($CB$10:$CB$39,LP$6:LP$35)+SUMPRODUCT($CD$10:$CD$39,LP$6:LP$35)</f>
        <v>50231.541385667508</v>
      </c>
    </row>
    <row r="87" spans="121:146" x14ac:dyDescent="0.3">
      <c r="DQ87" s="85" t="s">
        <v>168</v>
      </c>
      <c r="DR87" s="42"/>
      <c r="DS87" s="159">
        <f>SUMPRODUCT($CH$10:$CH$39,LO$6:LO$35)+SUMPRODUCT($CF$10:$CF$39,LO$6:LO$35)+SUMPRODUCT($CE$10:$CE$39,LO$6:LO$35)</f>
        <v>0</v>
      </c>
      <c r="DT87" s="160">
        <f>SUMPRODUCT($CH$10:$CH$39,LP$6:LP$35)+SUMPRODUCT($CF$10:$CF$39,LP$6:LP$35)+SUMPRODUCT($CE$10:$CE$39,LP$6:LP$35)</f>
        <v>0</v>
      </c>
    </row>
    <row r="88" spans="121:146" x14ac:dyDescent="0.3">
      <c r="DQ88" s="85" t="s">
        <v>80</v>
      </c>
      <c r="DR88" s="42"/>
      <c r="DS88" s="159">
        <f>SUMPRODUCT($CJ$10:$CJ$39,LO$6:LO$35)</f>
        <v>0</v>
      </c>
      <c r="DT88" s="160">
        <f>SUMPRODUCT($CJ$10:$CJ$39,LP$6:LP$35)</f>
        <v>0</v>
      </c>
    </row>
    <row r="89" spans="121:146" x14ac:dyDescent="0.3">
      <c r="DQ89" s="85" t="s">
        <v>114</v>
      </c>
      <c r="DR89" s="42"/>
      <c r="DS89" s="161">
        <f>($AC$39-$AK$39)*LO$36</f>
        <v>1528.1835052992028</v>
      </c>
      <c r="DT89" s="162">
        <f>($AC$39-$AK$39)*LP$36</f>
        <v>5967.4575447517927</v>
      </c>
    </row>
    <row r="90" spans="121:146" x14ac:dyDescent="0.3">
      <c r="DQ90" s="85" t="s">
        <v>21</v>
      </c>
      <c r="DR90" s="42"/>
      <c r="DS90" s="159">
        <f>SUM(DS85:DS89)</f>
        <v>31112.458970690914</v>
      </c>
      <c r="DT90" s="160">
        <f>SUM(DT85:DT89)</f>
        <v>60606.516892645624</v>
      </c>
    </row>
    <row r="91" spans="121:146" x14ac:dyDescent="0.3">
      <c r="DQ91" s="85" t="s">
        <v>44</v>
      </c>
      <c r="DR91" s="42"/>
      <c r="DS91" s="159">
        <f>SUMPRODUCT($DG$10:$DG$39,LO$6:LO$35)</f>
        <v>1323.197517866236</v>
      </c>
      <c r="DT91" s="160">
        <f>SUMPRODUCT($DG$10:$DG$39,LP$6:LP$35)</f>
        <v>2492.6002303136861</v>
      </c>
    </row>
    <row r="92" spans="121:146" x14ac:dyDescent="0.3">
      <c r="DQ92" s="85" t="s">
        <v>45</v>
      </c>
      <c r="DR92" s="42"/>
      <c r="DS92" s="159">
        <f>DS90+DS91</f>
        <v>32435.65648855715</v>
      </c>
      <c r="DT92" s="160">
        <f>DT90+DT91</f>
        <v>63099.117122959309</v>
      </c>
    </row>
    <row r="93" spans="121:146" x14ac:dyDescent="0.3">
      <c r="DQ93" s="85" t="s">
        <v>22</v>
      </c>
      <c r="DR93" s="42"/>
      <c r="DS93" s="159">
        <f>SUMPRODUCT($BV$10:$BV$39,LO$6:LO$35)+SUMPRODUCT($BW10:$BW39,LO$6:LO$35)</f>
        <v>13703.559299210912</v>
      </c>
      <c r="DT93" s="160">
        <f>SUMPRODUCT($BV$10:$BV$39,LP$6:LP$35)+SUMPRODUCT($BW10:$BW39,LP$6:LP$35)</f>
        <v>25280.980698314201</v>
      </c>
    </row>
    <row r="94" spans="121:146" x14ac:dyDescent="0.3">
      <c r="DQ94" s="85" t="s">
        <v>55</v>
      </c>
      <c r="DR94" s="42"/>
      <c r="DS94" s="159">
        <f>SUMPRODUCT($CN$10:$CN$39,LO$6:LO$35)</f>
        <v>0</v>
      </c>
      <c r="DT94" s="160">
        <f>SUMPRODUCT($CN$10:$CN$39,LP$6:LP$35)</f>
        <v>0</v>
      </c>
    </row>
    <row r="95" spans="121:146" x14ac:dyDescent="0.3">
      <c r="DQ95" s="86" t="s">
        <v>8</v>
      </c>
      <c r="DR95" s="108"/>
      <c r="DS95" s="153">
        <f>DS92+DS93+DS94</f>
        <v>46139.215787768058</v>
      </c>
      <c r="DT95" s="152">
        <f>DT92+DT93+DT94</f>
        <v>88380.097821273506</v>
      </c>
    </row>
    <row r="96" spans="121:146" x14ac:dyDescent="0.3">
      <c r="DQ96" s="87" t="s">
        <v>169</v>
      </c>
      <c r="DR96" s="95"/>
      <c r="DS96" s="163">
        <f>AO11</f>
        <v>22073.825999999997</v>
      </c>
      <c r="DT96" s="164"/>
    </row>
  </sheetData>
  <mergeCells count="7">
    <mergeCell ref="A1:S1"/>
    <mergeCell ref="DQ1:DT3"/>
    <mergeCell ref="DM1:DO1"/>
    <mergeCell ref="AC1:AR1"/>
    <mergeCell ref="BP1:CO1"/>
    <mergeCell ref="V3:Z3"/>
    <mergeCell ref="G2:Q2"/>
  </mergeCells>
  <dataValidations count="8">
    <dataValidation type="list" allowBlank="1" showInputMessage="1" showErrorMessage="1" sqref="DT49 DT63:DT64 DT71 DT43" xr:uid="{00000000-0002-0000-0000-000000000000}">
      <formula1>$LS$25:$LS$26</formula1>
    </dataValidation>
    <dataValidation type="list" allowBlank="1" showInputMessage="1" showErrorMessage="1" sqref="DT69:DT70" xr:uid="{00000000-0002-0000-0000-000001000000}">
      <formula1>$LS$9:$LS$11</formula1>
    </dataValidation>
    <dataValidation type="list" allowBlank="1" showInputMessage="1" showErrorMessage="1" sqref="DT30" xr:uid="{00000000-0002-0000-0000-000002000000}">
      <formula1>$LS$16:$LS$17</formula1>
    </dataValidation>
    <dataValidation type="list" allowBlank="1" showInputMessage="1" showErrorMessage="1" sqref="DT33" xr:uid="{00000000-0002-0000-0000-000003000000}">
      <formula1>$MJ$17</formula1>
    </dataValidation>
    <dataValidation type="list" allowBlank="1" showInputMessage="1" showErrorMessage="1" sqref="DT34" xr:uid="{00000000-0002-0000-0000-000004000000}">
      <formula1>$MM$6</formula1>
    </dataValidation>
    <dataValidation type="list" allowBlank="1" showInputMessage="1" showErrorMessage="1" sqref="DT47" xr:uid="{00000000-0002-0000-0000-000005000000}">
      <formula1>$LS$20:$LS$21</formula1>
    </dataValidation>
    <dataValidation type="list" allowBlank="1" showInputMessage="1" showErrorMessage="1" sqref="DU49" xr:uid="{00000000-0002-0000-0000-000006000000}">
      <formula1>$EJ$56:$EJ$58</formula1>
    </dataValidation>
    <dataValidation type="list" allowBlank="1" showInputMessage="1" showErrorMessage="1" sqref="DT52" xr:uid="{00000000-0002-0000-0000-000007000000}">
      <formula1>$LS$29:$LS$32</formula1>
    </dataValidation>
  </dataValidations>
  <pageMargins left="0.5" right="0.5" top="0.75" bottom="0.75" header="0.3" footer="0.3"/>
  <pageSetup paperSize="3" scale="71" fitToWidth="5" orientation="landscape" r:id="rId1"/>
  <colBreaks count="4" manualBreakCount="4">
    <brk id="67" max="75" man="1"/>
    <brk id="103" max="75" man="1"/>
    <brk id="171" max="75" man="1"/>
    <brk id="332" max="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9"/>
  <sheetViews>
    <sheetView topLeftCell="I186" zoomScale="119" zoomScaleNormal="119" workbookViewId="0">
      <selection activeCell="AK103" sqref="AK103"/>
    </sheetView>
  </sheetViews>
  <sheetFormatPr defaultColWidth="11.5546875" defaultRowHeight="14.4" x14ac:dyDescent="0.3"/>
  <cols>
    <col min="1" max="1" width="26.6640625" customWidth="1"/>
    <col min="2" max="2" width="21.109375" customWidth="1"/>
    <col min="4" max="4" width="23" customWidth="1"/>
    <col min="5" max="5" width="35.33203125" style="38" customWidth="1"/>
    <col min="6" max="6" width="35" style="38" customWidth="1"/>
    <col min="7" max="7" width="20.33203125" customWidth="1"/>
    <col min="9" max="9" width="26.109375" bestFit="1" customWidth="1"/>
    <col min="10" max="10" width="35.109375" style="38" customWidth="1"/>
    <col min="11" max="11" width="35" customWidth="1"/>
    <col min="12" max="12" width="22.6640625" style="38" customWidth="1"/>
  </cols>
  <sheetData>
    <row r="1" spans="1:14" s="38" customFormat="1" ht="15" thickBot="1" x14ac:dyDescent="0.35">
      <c r="D1" s="444" t="s">
        <v>309</v>
      </c>
      <c r="E1" s="445"/>
      <c r="F1" s="445"/>
      <c r="G1" s="446"/>
      <c r="I1" s="444" t="s">
        <v>311</v>
      </c>
      <c r="J1" s="445"/>
      <c r="K1" s="445"/>
      <c r="L1" s="446"/>
      <c r="M1" s="420"/>
      <c r="N1" s="420"/>
    </row>
    <row r="2" spans="1:14" x14ac:dyDescent="0.3">
      <c r="A2" s="38"/>
      <c r="B2" s="38" t="s">
        <v>299</v>
      </c>
      <c r="D2" s="422" t="s">
        <v>310</v>
      </c>
      <c r="E2" s="422" t="s">
        <v>326</v>
      </c>
      <c r="F2" s="422" t="s">
        <v>334</v>
      </c>
      <c r="G2" s="422" t="s">
        <v>333</v>
      </c>
      <c r="I2" s="422" t="s">
        <v>310</v>
      </c>
      <c r="J2" s="422" t="s">
        <v>326</v>
      </c>
      <c r="K2" s="422" t="s">
        <v>334</v>
      </c>
      <c r="L2" s="422" t="s">
        <v>333</v>
      </c>
    </row>
    <row r="3" spans="1:14" x14ac:dyDescent="0.3">
      <c r="A3" s="38" t="s">
        <v>155</v>
      </c>
      <c r="B3" s="38" t="s">
        <v>300</v>
      </c>
      <c r="D3" s="38" t="s">
        <v>300</v>
      </c>
      <c r="E3" s="38" t="s">
        <v>300</v>
      </c>
      <c r="F3" s="38" t="s">
        <v>300</v>
      </c>
      <c r="G3" s="38" t="s">
        <v>300</v>
      </c>
      <c r="I3" s="38" t="s">
        <v>300</v>
      </c>
      <c r="J3" s="38" t="s">
        <v>300</v>
      </c>
      <c r="K3" s="38" t="s">
        <v>300</v>
      </c>
      <c r="L3" s="38" t="s">
        <v>300</v>
      </c>
    </row>
    <row r="4" spans="1:14" x14ac:dyDescent="0.3">
      <c r="A4" s="38">
        <v>2020</v>
      </c>
      <c r="B4" s="147">
        <f>SCRS!CY13</f>
        <v>0.15805160795638792</v>
      </c>
      <c r="D4" s="147">
        <v>0.15805160795638792</v>
      </c>
      <c r="E4" s="147">
        <v>0.15805160795638792</v>
      </c>
      <c r="F4" s="147">
        <v>0.16097461568266105</v>
      </c>
      <c r="G4" s="147">
        <v>0.16097461568266105</v>
      </c>
      <c r="I4" s="147">
        <v>0.15805160795638792</v>
      </c>
      <c r="J4" s="147">
        <v>0.15805160795638792</v>
      </c>
      <c r="K4" s="147">
        <v>0.16097461568266105</v>
      </c>
      <c r="L4" s="147">
        <v>0.16097461568266105</v>
      </c>
    </row>
    <row r="5" spans="1:14" x14ac:dyDescent="0.3">
      <c r="A5" s="38">
        <v>2021</v>
      </c>
      <c r="B5" s="147">
        <f>SCRS!CY14</f>
        <v>0.13395100916501121</v>
      </c>
      <c r="D5" s="147">
        <v>0.15560000000000004</v>
      </c>
      <c r="E5" s="147">
        <v>0.15560000000000004</v>
      </c>
      <c r="F5" s="147">
        <v>0.15560000000000004</v>
      </c>
      <c r="G5" s="147">
        <v>0.15560000000000004</v>
      </c>
      <c r="I5" s="147">
        <v>0.15560000000000004</v>
      </c>
      <c r="J5" s="147">
        <v>0.15560000000000004</v>
      </c>
      <c r="K5" s="147">
        <v>0.15560000000000004</v>
      </c>
      <c r="L5" s="147">
        <v>0.15560000000000004</v>
      </c>
    </row>
    <row r="6" spans="1:14" x14ac:dyDescent="0.3">
      <c r="A6" s="38">
        <v>2022</v>
      </c>
      <c r="B6" s="147">
        <f>SCRS!CY15</f>
        <v>0.17696753278037869</v>
      </c>
      <c r="D6" s="147">
        <v>0.16560000000000005</v>
      </c>
      <c r="E6" s="147">
        <v>0.16560000000000005</v>
      </c>
      <c r="F6" s="147">
        <v>0.16560000000000005</v>
      </c>
      <c r="G6" s="147">
        <v>0.17984284064740097</v>
      </c>
      <c r="I6" s="147">
        <v>0.16560000000000005</v>
      </c>
      <c r="J6" s="147">
        <v>0.16560000000000005</v>
      </c>
      <c r="K6" s="147">
        <v>0.16560000000000005</v>
      </c>
      <c r="L6" s="147">
        <v>0.17984284064740097</v>
      </c>
    </row>
    <row r="7" spans="1:14" x14ac:dyDescent="0.3">
      <c r="A7" s="38">
        <v>2023</v>
      </c>
      <c r="B7" s="147">
        <f>SCRS!CY16</f>
        <v>0.17963951522995297</v>
      </c>
      <c r="D7" s="147">
        <v>0.17560000000000006</v>
      </c>
      <c r="E7" s="147">
        <v>0.17560000000000006</v>
      </c>
      <c r="F7" s="147">
        <v>0.17560000000000001</v>
      </c>
      <c r="G7" s="147">
        <v>0.18220845359621912</v>
      </c>
      <c r="I7" s="147">
        <v>0.17560000000000006</v>
      </c>
      <c r="J7" s="147">
        <v>0.17560000000000006</v>
      </c>
      <c r="K7" s="147">
        <v>0.17560000000000001</v>
      </c>
      <c r="L7" s="147">
        <v>0.19213111753310019</v>
      </c>
    </row>
    <row r="8" spans="1:14" x14ac:dyDescent="0.3">
      <c r="A8" s="38">
        <v>2024</v>
      </c>
      <c r="B8" s="147">
        <f>SCRS!CY17</f>
        <v>0.18330076734487211</v>
      </c>
      <c r="D8" s="147">
        <v>0.18560000000000007</v>
      </c>
      <c r="E8" s="147">
        <v>0.18560000000000007</v>
      </c>
      <c r="F8" s="147">
        <v>0.1856000000000001</v>
      </c>
      <c r="G8" s="147">
        <v>0.18703983738215715</v>
      </c>
      <c r="I8" s="147">
        <v>0.18560000000000007</v>
      </c>
      <c r="J8" s="147">
        <v>0.18560000000000007</v>
      </c>
      <c r="K8" s="147">
        <v>0.1856000000000001</v>
      </c>
      <c r="L8" s="147">
        <v>0.20837076153185971</v>
      </c>
    </row>
    <row r="9" spans="1:14" x14ac:dyDescent="0.3">
      <c r="A9" s="38">
        <v>2025</v>
      </c>
      <c r="B9" s="147">
        <f>SCRS!CY18</f>
        <v>0.18724847591919755</v>
      </c>
      <c r="D9" s="147">
        <v>0.18560000000000004</v>
      </c>
      <c r="E9" s="147">
        <v>0.18560000000000004</v>
      </c>
      <c r="F9" s="147">
        <v>0.18558885067673878</v>
      </c>
      <c r="G9" s="147">
        <v>0.19130711149595053</v>
      </c>
      <c r="I9" s="147">
        <v>0.19560000000000005</v>
      </c>
      <c r="J9" s="147">
        <v>0.19560000000000005</v>
      </c>
      <c r="K9" s="147">
        <v>0.19558847598391696</v>
      </c>
      <c r="L9" s="147">
        <v>0.22182717981450237</v>
      </c>
    </row>
    <row r="10" spans="1:14" x14ac:dyDescent="0.3">
      <c r="A10" s="38">
        <v>2026</v>
      </c>
      <c r="B10" s="147">
        <f>SCRS!CY19</f>
        <v>0.19081523616240834</v>
      </c>
      <c r="D10" s="147">
        <v>0.18559999999999999</v>
      </c>
      <c r="E10" s="147">
        <v>0.18559999999999999</v>
      </c>
      <c r="F10" s="147">
        <v>0.18556313859358817</v>
      </c>
      <c r="G10" s="147">
        <v>0.19483639986447332</v>
      </c>
      <c r="I10" s="147">
        <v>0.20560000000000006</v>
      </c>
      <c r="J10" s="147">
        <v>0.20560000000000006</v>
      </c>
      <c r="K10" s="147">
        <v>0.20556066481481217</v>
      </c>
      <c r="L10" s="147">
        <v>0.23593014154342656</v>
      </c>
    </row>
    <row r="11" spans="1:14" x14ac:dyDescent="0.3">
      <c r="A11" s="38">
        <v>2027</v>
      </c>
      <c r="B11" s="147">
        <f>SCRS!CY20</f>
        <v>0.19184989804917382</v>
      </c>
      <c r="D11" s="147">
        <v>0.18560000000000007</v>
      </c>
      <c r="E11" s="147">
        <v>0.18560000000000007</v>
      </c>
      <c r="F11" s="147">
        <v>0.18552711429486388</v>
      </c>
      <c r="G11" s="147">
        <v>0.19550118714596754</v>
      </c>
      <c r="I11" s="147">
        <v>0.21560000000000007</v>
      </c>
      <c r="J11" s="147">
        <v>0.21560000000000007</v>
      </c>
      <c r="K11" s="147">
        <v>0.21552325150745566</v>
      </c>
      <c r="L11" s="147">
        <v>0.24280190742347785</v>
      </c>
    </row>
    <row r="12" spans="1:14" x14ac:dyDescent="0.3">
      <c r="A12" s="38">
        <v>2028</v>
      </c>
      <c r="B12" s="147">
        <f>SCRS!CY21</f>
        <v>0.19288041412495974</v>
      </c>
      <c r="D12" s="147">
        <v>0.18560000000000007</v>
      </c>
      <c r="E12" s="147">
        <v>0.18560000000000007</v>
      </c>
      <c r="F12" s="147">
        <v>0.18548064551752125</v>
      </c>
      <c r="G12" s="147">
        <v>0.19612433086706554</v>
      </c>
      <c r="I12" s="147">
        <v>0.18560000000000007</v>
      </c>
      <c r="J12" s="147">
        <v>0.18560000000000007</v>
      </c>
      <c r="K12" s="147">
        <v>0.22547749259564173</v>
      </c>
      <c r="L12" s="147">
        <v>0.24086361650881796</v>
      </c>
    </row>
    <row r="13" spans="1:14" x14ac:dyDescent="0.3">
      <c r="A13" s="38">
        <v>2029</v>
      </c>
      <c r="B13" s="147">
        <f>SCRS!CY22</f>
        <v>0.19398536406172859</v>
      </c>
      <c r="D13" s="147">
        <v>0.18560000000000001</v>
      </c>
      <c r="E13" s="147">
        <v>0.18560000000000001</v>
      </c>
      <c r="F13" s="147">
        <v>0.18542341149614361</v>
      </c>
      <c r="G13" s="147">
        <v>0.19677846957153466</v>
      </c>
      <c r="I13" s="147">
        <v>0.18560000000000001</v>
      </c>
      <c r="J13" s="147">
        <v>0.18560000000000001</v>
      </c>
      <c r="K13" s="147">
        <v>0.18542396668322927</v>
      </c>
      <c r="L13" s="147">
        <v>0.2403717331693577</v>
      </c>
    </row>
    <row r="14" spans="1:14" x14ac:dyDescent="0.3">
      <c r="A14" s="38">
        <v>2030</v>
      </c>
      <c r="B14" s="147">
        <f>SCRS!CY23</f>
        <v>0.19516497276997335</v>
      </c>
      <c r="D14" s="147">
        <v>0.18560000000000007</v>
      </c>
      <c r="E14" s="147">
        <v>0.18560000000000007</v>
      </c>
      <c r="F14" s="147">
        <v>0.18535500224844495</v>
      </c>
      <c r="G14" s="147">
        <v>0.19746025213608887</v>
      </c>
      <c r="I14" s="147">
        <v>0.19560000000000008</v>
      </c>
      <c r="J14" s="147">
        <v>0.19560000000000008</v>
      </c>
      <c r="K14" s="147">
        <v>0.18536361288238529</v>
      </c>
      <c r="L14" s="147">
        <v>0.24126777546278147</v>
      </c>
    </row>
    <row r="15" spans="1:14" x14ac:dyDescent="0.3">
      <c r="A15" s="38">
        <v>2031</v>
      </c>
      <c r="B15" s="147">
        <f>SCRS!CY24</f>
        <v>0.19641930784775119</v>
      </c>
      <c r="D15" s="147">
        <v>0.18560000000000001</v>
      </c>
      <c r="E15" s="147">
        <v>0.18560000000000001</v>
      </c>
      <c r="F15" s="147">
        <v>0.18527504885926721</v>
      </c>
      <c r="G15" s="147">
        <v>0.19863827198408968</v>
      </c>
      <c r="I15" s="147">
        <v>0.20560000000000006</v>
      </c>
      <c r="J15" s="147">
        <v>0.20560000000000006</v>
      </c>
      <c r="K15" s="147">
        <v>0.19529826225965799</v>
      </c>
      <c r="L15" s="147">
        <v>0.24393314581461009</v>
      </c>
    </row>
    <row r="16" spans="1:14" x14ac:dyDescent="0.3">
      <c r="A16" s="38">
        <v>2032</v>
      </c>
      <c r="B16" s="147">
        <f>SCRS!CY25</f>
        <v>0.19774824119867029</v>
      </c>
      <c r="D16" s="147">
        <v>0.18560000000000004</v>
      </c>
      <c r="E16" s="147">
        <v>0.18560000000000004</v>
      </c>
      <c r="F16" s="147">
        <v>0.18518322753250682</v>
      </c>
      <c r="G16" s="147">
        <v>0.19936595576721119</v>
      </c>
      <c r="I16" s="147">
        <v>0.18560000000000004</v>
      </c>
      <c r="J16" s="147">
        <v>0.18560000000000004</v>
      </c>
      <c r="K16" s="147">
        <v>0.20522638651214301</v>
      </c>
      <c r="L16" s="147">
        <v>0.24624599781167153</v>
      </c>
    </row>
    <row r="17" spans="1:12" x14ac:dyDescent="0.3">
      <c r="A17" s="38">
        <v>2033</v>
      </c>
      <c r="B17" s="147">
        <f>SCRS!CY26</f>
        <v>0.19915157166838571</v>
      </c>
      <c r="D17" s="147">
        <v>0.18560000000000004</v>
      </c>
      <c r="E17" s="147">
        <v>0.18560000000000004</v>
      </c>
      <c r="F17" s="147">
        <v>0.1850745838911097</v>
      </c>
      <c r="G17" s="147">
        <v>0.20058123270197636</v>
      </c>
      <c r="I17" s="147">
        <v>0.18560000000000004</v>
      </c>
      <c r="J17" s="147">
        <v>0.18560000000000004</v>
      </c>
      <c r="K17" s="147">
        <v>0.21514381512166789</v>
      </c>
      <c r="L17" s="147">
        <v>0.24906419933620969</v>
      </c>
    </row>
    <row r="18" spans="1:12" x14ac:dyDescent="0.3">
      <c r="A18" s="38">
        <v>2034</v>
      </c>
      <c r="B18" s="147">
        <f>SCRS!CY27</f>
        <v>0.20062905541580317</v>
      </c>
      <c r="D18" s="147">
        <v>0.1856000000000001</v>
      </c>
      <c r="E18" s="147">
        <v>0.1856000000000001</v>
      </c>
      <c r="F18" s="147">
        <v>0.18495367454581341</v>
      </c>
      <c r="G18" s="147">
        <v>0.20181254548960861</v>
      </c>
      <c r="I18" s="147">
        <v>0.1856000000000001</v>
      </c>
      <c r="J18" s="147">
        <v>0.1856000000000001</v>
      </c>
      <c r="K18" s="147">
        <v>0.18505587388009243</v>
      </c>
      <c r="L18" s="147">
        <v>0.25195766253379742</v>
      </c>
    </row>
    <row r="19" spans="1:12" x14ac:dyDescent="0.3">
      <c r="A19" s="38">
        <v>2035</v>
      </c>
      <c r="B19" s="147">
        <f>SCRS!CY28</f>
        <v>0.20218084272645628</v>
      </c>
      <c r="D19" s="147">
        <v>0.1856000000000001</v>
      </c>
      <c r="E19" s="147">
        <v>0.1856000000000001</v>
      </c>
      <c r="F19" s="147">
        <v>0.1848235644683292</v>
      </c>
      <c r="G19" s="147">
        <v>0.20259088012689155</v>
      </c>
      <c r="I19" s="147">
        <v>0.18560000000000007</v>
      </c>
      <c r="J19" s="147">
        <v>0.18560000000000007</v>
      </c>
      <c r="K19" s="147">
        <v>0.18496665529069253</v>
      </c>
      <c r="L19" s="147">
        <v>0.25449931295448452</v>
      </c>
    </row>
    <row r="20" spans="1:12" x14ac:dyDescent="0.3">
      <c r="A20" s="38">
        <v>2036</v>
      </c>
      <c r="B20" s="147">
        <f>SCRS!CY29</f>
        <v>0.20380727674054522</v>
      </c>
      <c r="D20" s="147">
        <v>0.18560000000000004</v>
      </c>
      <c r="E20" s="147">
        <v>0.18560000000000004</v>
      </c>
      <c r="F20" s="147">
        <v>0.18468654498191545</v>
      </c>
      <c r="G20" s="147">
        <v>0.20385993433745353</v>
      </c>
      <c r="I20" s="147">
        <v>0.18560000000000004</v>
      </c>
      <c r="J20" s="147">
        <v>0.18560000000000004</v>
      </c>
      <c r="K20" s="147">
        <v>0.1948802039168937</v>
      </c>
      <c r="L20" s="147">
        <v>0.25755389805310125</v>
      </c>
    </row>
    <row r="21" spans="1:12" x14ac:dyDescent="0.3">
      <c r="A21" s="38">
        <v>2037</v>
      </c>
      <c r="B21" s="147">
        <f>SCRS!CY30</f>
        <v>0.20550885348021053</v>
      </c>
      <c r="D21" s="147">
        <v>0.18560000000000001</v>
      </c>
      <c r="E21" s="147">
        <v>0.18560000000000001</v>
      </c>
      <c r="F21" s="147">
        <v>0.1845442569804244</v>
      </c>
      <c r="G21" s="147">
        <v>0.20514544685660022</v>
      </c>
      <c r="I21" s="147">
        <v>0.18560000000000007</v>
      </c>
      <c r="J21" s="147">
        <v>0.18560000000000007</v>
      </c>
      <c r="K21" s="147">
        <v>0.20479707605764758</v>
      </c>
      <c r="L21" s="147">
        <v>0.26068799812123294</v>
      </c>
    </row>
    <row r="22" spans="1:12" x14ac:dyDescent="0.3">
      <c r="A22" s="38">
        <v>2038</v>
      </c>
      <c r="B22" s="147">
        <f>SCRS!CY31</f>
        <v>0.20728651298092404</v>
      </c>
      <c r="D22" s="147">
        <v>0.18560000000000004</v>
      </c>
      <c r="E22" s="147">
        <v>0.18560000000000004</v>
      </c>
      <c r="F22" s="147">
        <v>0.1843911701012293</v>
      </c>
      <c r="G22" s="147">
        <v>0.20644209816466369</v>
      </c>
      <c r="I22" s="147">
        <v>0.18560000000000004</v>
      </c>
      <c r="J22" s="147">
        <v>0.18560000000000004</v>
      </c>
      <c r="K22" s="147">
        <v>0.21525712564350674</v>
      </c>
      <c r="L22" s="147">
        <v>0.27618487347249737</v>
      </c>
    </row>
    <row r="23" spans="1:12" x14ac:dyDescent="0.3">
      <c r="A23" s="38">
        <v>2039</v>
      </c>
      <c r="B23" s="147">
        <f>SCRS!CY32</f>
        <v>0.20914136711912065</v>
      </c>
      <c r="D23" s="147">
        <v>0.18560000000000004</v>
      </c>
      <c r="E23" s="147">
        <v>0.18560000000000004</v>
      </c>
      <c r="F23" s="147">
        <v>0.18422723930379098</v>
      </c>
      <c r="G23" s="147">
        <v>0.20774803802969039</v>
      </c>
      <c r="I23" s="147">
        <v>0.18560000000000001</v>
      </c>
      <c r="J23" s="147">
        <v>0.18560000000000001</v>
      </c>
      <c r="K23" s="147">
        <v>0.18573320371259205</v>
      </c>
      <c r="L23" s="147">
        <v>0.29306739563758505</v>
      </c>
    </row>
    <row r="24" spans="1:12" x14ac:dyDescent="0.3">
      <c r="A24" s="38">
        <v>2040</v>
      </c>
      <c r="B24" s="147">
        <f>SCRS!CY33</f>
        <v>0.21107478820714581</v>
      </c>
      <c r="D24" s="147">
        <v>0.17560000000000006</v>
      </c>
      <c r="E24" s="147">
        <v>0.17560000000000006</v>
      </c>
      <c r="F24" s="147">
        <v>0.18405245725689667</v>
      </c>
      <c r="G24" s="147">
        <v>0.21056870835424951</v>
      </c>
      <c r="I24" s="147">
        <v>0.18560000000000007</v>
      </c>
      <c r="J24" s="147">
        <v>0.18560000000000007</v>
      </c>
      <c r="K24" s="147">
        <v>0.18603065673076752</v>
      </c>
      <c r="L24" s="147">
        <v>0.30660742244943345</v>
      </c>
    </row>
    <row r="25" spans="1:12" x14ac:dyDescent="0.3">
      <c r="A25" s="38">
        <v>2041</v>
      </c>
      <c r="B25" s="147">
        <f>SCRS!CY34</f>
        <v>0.21308840804495088</v>
      </c>
      <c r="D25" s="147">
        <v>0.16560000000000002</v>
      </c>
      <c r="E25" s="147">
        <v>0.16560000000000002</v>
      </c>
      <c r="F25" s="147">
        <v>0.18386678336530185</v>
      </c>
      <c r="G25" s="147">
        <v>0.21306947421915662</v>
      </c>
      <c r="I25" s="147">
        <v>0.18560000000000001</v>
      </c>
      <c r="J25" s="147">
        <v>0.18560000000000001</v>
      </c>
      <c r="K25" s="147">
        <v>0.19614029251942922</v>
      </c>
      <c r="L25" s="147">
        <v>0.31686658834769549</v>
      </c>
    </row>
    <row r="26" spans="1:12" x14ac:dyDescent="0.3">
      <c r="A26" s="38">
        <v>2042</v>
      </c>
      <c r="B26" s="147">
        <f>SCRS!CY35</f>
        <v>6.3181288912681682E-2</v>
      </c>
      <c r="D26" s="147">
        <v>0.15560000000000002</v>
      </c>
      <c r="E26" s="147">
        <v>2.8762328092903865E-2</v>
      </c>
      <c r="F26" s="147">
        <v>0.18367012257047741</v>
      </c>
      <c r="G26" s="147">
        <v>5.6108211309029023E-2</v>
      </c>
      <c r="I26" s="147">
        <v>0.18560000000000004</v>
      </c>
      <c r="J26" s="147">
        <v>0.18560000000000004</v>
      </c>
      <c r="K26" s="147">
        <v>0.20618805278246194</v>
      </c>
      <c r="L26" s="147">
        <v>0.17344143162158518</v>
      </c>
    </row>
    <row r="27" spans="1:12" x14ac:dyDescent="0.3">
      <c r="A27" s="38">
        <v>2043</v>
      </c>
      <c r="B27" s="147">
        <f>SCRS!CY36</f>
        <v>6.5976275387196942E-2</v>
      </c>
      <c r="D27" s="147">
        <v>0.14560000000000001</v>
      </c>
      <c r="E27" s="147">
        <v>2.9097480565371439E-2</v>
      </c>
      <c r="F27" s="147">
        <v>0.17346580275194981</v>
      </c>
      <c r="G27" s="147">
        <v>5.6484333621948012E-2</v>
      </c>
      <c r="I27" s="147">
        <v>0.18560000000000001</v>
      </c>
      <c r="J27" s="147">
        <v>0.18560000000000001</v>
      </c>
      <c r="K27" s="147">
        <v>0.21574289485326259</v>
      </c>
      <c r="L27" s="147">
        <v>0.15962192481320781</v>
      </c>
    </row>
    <row r="28" spans="1:12" x14ac:dyDescent="0.3">
      <c r="A28" s="38">
        <v>2044</v>
      </c>
      <c r="B28" s="147">
        <f>SCRS!CY37</f>
        <v>6.7927630324222305E-2</v>
      </c>
      <c r="D28" s="147">
        <v>0.1356</v>
      </c>
      <c r="E28" s="147">
        <v>3.2812206857198947E-2</v>
      </c>
      <c r="F28" s="147">
        <v>0.16325599214806813</v>
      </c>
      <c r="G28" s="147">
        <v>5.7748846705615531E-2</v>
      </c>
      <c r="I28" s="147">
        <v>0.18560000000000001</v>
      </c>
      <c r="J28" s="147">
        <v>0.18560000000000001</v>
      </c>
      <c r="K28" s="147">
        <v>0.18540019057049009</v>
      </c>
      <c r="L28" s="147">
        <v>0.14387208523769754</v>
      </c>
    </row>
    <row r="29" spans="1:12" x14ac:dyDescent="0.3">
      <c r="A29" s="38">
        <v>2045</v>
      </c>
      <c r="B29" s="147">
        <f>SCRS!CY38</f>
        <v>6.9728190623285669E-2</v>
      </c>
      <c r="D29" s="147">
        <v>0.12559999999999999</v>
      </c>
      <c r="E29" s="147">
        <v>3.6561823959373935E-2</v>
      </c>
      <c r="F29" s="147">
        <v>0.1530381530220889</v>
      </c>
      <c r="G29" s="147">
        <v>5.8560385636584222E-2</v>
      </c>
      <c r="I29" s="147">
        <v>0.18560000000000004</v>
      </c>
      <c r="J29" s="147">
        <v>0.18560000000000004</v>
      </c>
      <c r="K29" s="147">
        <v>0.18516187153754857</v>
      </c>
      <c r="L29" s="147">
        <v>0.13189933545481669</v>
      </c>
    </row>
    <row r="30" spans="1:12" x14ac:dyDescent="0.3">
      <c r="A30" s="38">
        <v>2046</v>
      </c>
      <c r="B30" s="147">
        <f>SCRS!CY39</f>
        <v>7.2024999604543727E-2</v>
      </c>
      <c r="D30" s="147">
        <v>0.11560000000000001</v>
      </c>
      <c r="E30" s="147">
        <v>4.035016442197488E-2</v>
      </c>
      <c r="F30" s="147">
        <v>6.0480160164612953E-2</v>
      </c>
      <c r="G30" s="147">
        <v>5.9421728656223749E-2</v>
      </c>
      <c r="I30" s="147">
        <v>0.18560000000000001</v>
      </c>
      <c r="J30" s="147">
        <v>0.18560000000000001</v>
      </c>
      <c r="K30" s="147">
        <v>0.19503931354874784</v>
      </c>
      <c r="L30" s="147">
        <v>0.12509332698420941</v>
      </c>
    </row>
    <row r="31" spans="1:12" x14ac:dyDescent="0.3">
      <c r="A31" s="38">
        <v>2047</v>
      </c>
      <c r="B31" s="147">
        <f>SCRS!CY40</f>
        <v>7.6952136553228925E-2</v>
      </c>
      <c r="D31" s="147">
        <v>0.1056</v>
      </c>
      <c r="E31" s="147">
        <v>4.4182305205808042E-2</v>
      </c>
      <c r="F31" s="147">
        <v>5.6467912388881582E-2</v>
      </c>
      <c r="G31" s="147">
        <v>5.9927331116083803E-2</v>
      </c>
      <c r="I31" s="147">
        <v>0.18560000000000001</v>
      </c>
      <c r="J31" s="147">
        <v>0.18560000000000001</v>
      </c>
      <c r="K31" s="147">
        <v>0.20492518661437209</v>
      </c>
      <c r="L31" s="147">
        <v>0.12150836567785021</v>
      </c>
    </row>
    <row r="32" spans="1:12" x14ac:dyDescent="0.3">
      <c r="A32" s="38">
        <v>2048</v>
      </c>
      <c r="B32" s="147">
        <f>SCRS!CY41</f>
        <v>8.1966236100862219E-2</v>
      </c>
      <c r="D32" s="147">
        <v>9.5600000000000004E-2</v>
      </c>
      <c r="E32" s="147">
        <v>4.8062574471430156E-2</v>
      </c>
      <c r="F32" s="147">
        <v>5.7028256831143653E-2</v>
      </c>
      <c r="G32" s="147">
        <v>6.0304633443923082E-2</v>
      </c>
      <c r="I32" s="147">
        <v>0.18560000000000007</v>
      </c>
      <c r="J32" s="147">
        <v>0.18560000000000007</v>
      </c>
      <c r="K32" s="147">
        <v>0.18441043015322939</v>
      </c>
      <c r="L32" s="147">
        <v>0.12639443293513763</v>
      </c>
    </row>
    <row r="33" spans="1:15" x14ac:dyDescent="0.3">
      <c r="A33" s="38">
        <v>2049</v>
      </c>
      <c r="B33" s="147">
        <f>SCRS!CY42</f>
        <v>8.6985877287782717E-2</v>
      </c>
      <c r="D33" s="147">
        <v>8.5600000000000023E-2</v>
      </c>
      <c r="E33" s="147">
        <v>5.1995881738351055E-2</v>
      </c>
      <c r="F33" s="147">
        <v>5.746856846607349E-2</v>
      </c>
      <c r="G33" s="147">
        <v>6.0562791728197667E-2</v>
      </c>
      <c r="I33" s="147">
        <v>0.18560000000000004</v>
      </c>
      <c r="J33" s="147">
        <v>0.18560000000000004</v>
      </c>
      <c r="K33" s="147">
        <v>0.18389321693671931</v>
      </c>
      <c r="L33" s="147">
        <v>0.12988203127992382</v>
      </c>
      <c r="O33" t="s">
        <v>317</v>
      </c>
    </row>
    <row r="34" spans="1:15" x14ac:dyDescent="0.3">
      <c r="A34" s="38">
        <v>2050</v>
      </c>
      <c r="B34" s="147">
        <f>SCRS!CY43</f>
        <v>9.201888475449975E-2</v>
      </c>
      <c r="D34" s="147">
        <v>7.5600000000000014E-2</v>
      </c>
      <c r="E34" s="147">
        <v>5.5986097549609155E-2</v>
      </c>
      <c r="F34" s="147">
        <v>5.7792260243789681E-2</v>
      </c>
      <c r="G34" s="147">
        <v>6.0705846269913606E-2</v>
      </c>
      <c r="I34" s="147">
        <v>0.18560000000000007</v>
      </c>
      <c r="J34" s="147">
        <v>0.18560000000000007</v>
      </c>
      <c r="K34" s="147">
        <v>0.19351754884731079</v>
      </c>
      <c r="L34" s="147">
        <v>0.13217680603098902</v>
      </c>
      <c r="O34" s="192" t="s">
        <v>318</v>
      </c>
    </row>
    <row r="35" spans="1:15" x14ac:dyDescent="0.3">
      <c r="A35" s="38"/>
      <c r="B35" s="38"/>
      <c r="D35" s="38"/>
      <c r="G35" s="38"/>
      <c r="I35" s="38"/>
      <c r="K35" s="38"/>
      <c r="O35" s="192" t="s">
        <v>319</v>
      </c>
    </row>
    <row r="36" spans="1:15" x14ac:dyDescent="0.3">
      <c r="A36" s="38"/>
      <c r="B36" s="38" t="s">
        <v>301</v>
      </c>
      <c r="D36" s="38" t="s">
        <v>301</v>
      </c>
      <c r="E36" s="38" t="s">
        <v>301</v>
      </c>
      <c r="F36" s="38" t="s">
        <v>301</v>
      </c>
      <c r="G36" s="38" t="s">
        <v>301</v>
      </c>
      <c r="I36" s="38" t="s">
        <v>301</v>
      </c>
      <c r="J36" s="38" t="s">
        <v>301</v>
      </c>
      <c r="K36" s="38" t="s">
        <v>301</v>
      </c>
      <c r="L36" s="38" t="s">
        <v>301</v>
      </c>
      <c r="O36" s="192" t="s">
        <v>320</v>
      </c>
    </row>
    <row r="37" spans="1:15" x14ac:dyDescent="0.3">
      <c r="A37" s="38">
        <v>2020</v>
      </c>
      <c r="B37" s="172">
        <f>SCRS!DA14</f>
        <v>1589.5757615520006</v>
      </c>
      <c r="D37" s="196">
        <v>1846.4809637440005</v>
      </c>
      <c r="E37" s="196">
        <v>1846.4809637440005</v>
      </c>
      <c r="F37" s="196">
        <v>1846.4809637440005</v>
      </c>
      <c r="G37" s="196">
        <v>1846.4809637440005</v>
      </c>
      <c r="I37" s="196">
        <v>1846.4809637440005</v>
      </c>
      <c r="J37" s="196">
        <v>1846.4809637440005</v>
      </c>
      <c r="K37" s="196">
        <v>1846.4809637440005</v>
      </c>
      <c r="L37" s="196">
        <v>1846.4809637440005</v>
      </c>
      <c r="O37" s="192" t="s">
        <v>323</v>
      </c>
    </row>
    <row r="38" spans="1:15" x14ac:dyDescent="0.3">
      <c r="A38" s="38">
        <v>2021</v>
      </c>
      <c r="B38" s="172">
        <f>SCRS!DA15</f>
        <v>2115.4499085115926</v>
      </c>
      <c r="D38" s="196">
        <v>1979.5637049665729</v>
      </c>
      <c r="E38" s="196">
        <v>1979.5637049665729</v>
      </c>
      <c r="F38" s="196">
        <v>1979.5637049665731</v>
      </c>
      <c r="G38" s="196">
        <v>2149.8210141526688</v>
      </c>
      <c r="I38" s="196">
        <v>1979.5637049665729</v>
      </c>
      <c r="J38" s="196">
        <v>1979.5637049665729</v>
      </c>
      <c r="K38" s="196">
        <v>1979.5637049665731</v>
      </c>
      <c r="L38" s="196">
        <v>2149.8210141526688</v>
      </c>
      <c r="O38" s="192" t="s">
        <v>324</v>
      </c>
    </row>
    <row r="39" spans="1:15" x14ac:dyDescent="0.3">
      <c r="A39" s="38">
        <v>2022</v>
      </c>
      <c r="B39" s="172">
        <f>SCRS!DA16</f>
        <v>2163.141515519264</v>
      </c>
      <c r="D39" s="196">
        <v>2114.499416450481</v>
      </c>
      <c r="E39" s="196">
        <v>2114.499416450481</v>
      </c>
      <c r="F39" s="196">
        <v>2114.4994164504806</v>
      </c>
      <c r="G39" s="196">
        <v>2194.0755626511946</v>
      </c>
      <c r="I39" s="196">
        <v>2114.499416450481</v>
      </c>
      <c r="J39" s="196">
        <v>2114.499416450481</v>
      </c>
      <c r="K39" s="196">
        <v>2114.4994164504806</v>
      </c>
      <c r="L39" s="196">
        <v>2313.5599994630925</v>
      </c>
      <c r="O39" s="192" t="s">
        <v>325</v>
      </c>
    </row>
    <row r="40" spans="1:15" x14ac:dyDescent="0.3">
      <c r="A40" s="38">
        <v>2023</v>
      </c>
      <c r="B40" s="172">
        <f>SCRS!DA17</f>
        <v>2223.4186752133214</v>
      </c>
      <c r="D40" s="196">
        <v>2251.3081210575583</v>
      </c>
      <c r="E40" s="196">
        <v>2251.3081210575583</v>
      </c>
      <c r="F40" s="196">
        <v>2251.3081210575583</v>
      </c>
      <c r="G40" s="196">
        <v>2268.773194287367</v>
      </c>
      <c r="I40" s="196">
        <v>2251.3081210575583</v>
      </c>
      <c r="J40" s="196">
        <v>2251.3081210575583</v>
      </c>
      <c r="K40" s="196">
        <v>2251.3081210575583</v>
      </c>
      <c r="L40" s="196">
        <v>2527.5150195453848</v>
      </c>
    </row>
    <row r="41" spans="1:15" x14ac:dyDescent="0.3">
      <c r="A41" s="38">
        <v>2024</v>
      </c>
      <c r="B41" s="172">
        <f>SCRS!DA18</f>
        <v>2287.9638886229877</v>
      </c>
      <c r="D41" s="196">
        <v>2267.8213835592028</v>
      </c>
      <c r="E41" s="196">
        <v>2267.8213835592028</v>
      </c>
      <c r="F41" s="196">
        <v>2267.6851514810555</v>
      </c>
      <c r="G41" s="196">
        <v>2337.5558096845962</v>
      </c>
      <c r="I41" s="196">
        <v>2390.0100356906255</v>
      </c>
      <c r="J41" s="196">
        <v>2390.0100356906255</v>
      </c>
      <c r="K41" s="196">
        <v>2389.869225291392</v>
      </c>
      <c r="L41" s="196">
        <v>2710.4764107648743</v>
      </c>
    </row>
    <row r="42" spans="1:15" x14ac:dyDescent="0.3">
      <c r="A42" s="38">
        <v>2025</v>
      </c>
      <c r="B42" s="172">
        <f>SCRS!DA19</f>
        <v>2348.6474531255217</v>
      </c>
      <c r="D42" s="196">
        <v>2284.4557702356756</v>
      </c>
      <c r="E42" s="196">
        <v>2284.4557702356756</v>
      </c>
      <c r="F42" s="196">
        <v>2284.002061978259</v>
      </c>
      <c r="G42" s="196">
        <v>2398.1419069091671</v>
      </c>
      <c r="I42" s="196">
        <v>2530.6255730627968</v>
      </c>
      <c r="J42" s="196">
        <v>2530.6255730627968</v>
      </c>
      <c r="K42" s="196">
        <v>2530.1414163237032</v>
      </c>
      <c r="L42" s="196">
        <v>2903.9438212359937</v>
      </c>
    </row>
    <row r="43" spans="1:15" x14ac:dyDescent="0.3">
      <c r="A43" s="38">
        <v>2026</v>
      </c>
      <c r="B43" s="172">
        <f>SCRS!DA20</f>
        <v>2378.7032333703314</v>
      </c>
      <c r="D43" s="196">
        <v>2301.2121695283586</v>
      </c>
      <c r="E43" s="196">
        <v>2301.2121695283586</v>
      </c>
      <c r="F43" s="196">
        <v>2300.308476254414</v>
      </c>
      <c r="G43" s="196">
        <v>2423.9747360858914</v>
      </c>
      <c r="I43" s="196">
        <v>2673.1753434822958</v>
      </c>
      <c r="J43" s="196">
        <v>2673.1753434822958</v>
      </c>
      <c r="K43" s="196">
        <v>2672.2237563861954</v>
      </c>
      <c r="L43" s="196">
        <v>3010.4456042435609</v>
      </c>
    </row>
    <row r="44" spans="1:15" x14ac:dyDescent="0.3">
      <c r="A44" s="38">
        <v>2027</v>
      </c>
      <c r="B44" s="172">
        <f>SCRS!DA21</f>
        <v>2409.0217885057518</v>
      </c>
      <c r="D44" s="196">
        <v>2318.0914763953151</v>
      </c>
      <c r="E44" s="196">
        <v>2318.0914763953151</v>
      </c>
      <c r="F44" s="196">
        <v>2316.6007726857042</v>
      </c>
      <c r="G44" s="196">
        <v>2449.5373906071068</v>
      </c>
      <c r="I44" s="196">
        <v>2318.0914763953151</v>
      </c>
      <c r="J44" s="196">
        <v>2318.0914763953151</v>
      </c>
      <c r="K44" s="196">
        <v>2816.1500738412965</v>
      </c>
      <c r="L44" s="196">
        <v>3008.3184073428911</v>
      </c>
    </row>
    <row r="45" spans="1:15" x14ac:dyDescent="0.3">
      <c r="A45" s="38">
        <v>2028</v>
      </c>
      <c r="B45" s="172">
        <f>SCRS!DA22</f>
        <v>2440.5936132400466</v>
      </c>
      <c r="D45" s="196">
        <v>2335.0945923590948</v>
      </c>
      <c r="E45" s="196">
        <v>2335.0945923590948</v>
      </c>
      <c r="F45" s="196">
        <v>2332.8728743610995</v>
      </c>
      <c r="G45" s="196">
        <v>2475.73459153658</v>
      </c>
      <c r="I45" s="196">
        <v>2335.0945923590948</v>
      </c>
      <c r="J45" s="196">
        <v>2335.0945923590948</v>
      </c>
      <c r="K45" s="196">
        <v>2332.8798593522715</v>
      </c>
      <c r="L45" s="196">
        <v>3024.1957665934824</v>
      </c>
    </row>
    <row r="46" spans="1:15" x14ac:dyDescent="0.3">
      <c r="A46" s="38">
        <v>2029</v>
      </c>
      <c r="B46" s="172">
        <f>SCRS!DA23</f>
        <v>2473.445181208725</v>
      </c>
      <c r="D46" s="196">
        <v>2352.2224255548836</v>
      </c>
      <c r="E46" s="196">
        <v>2352.2224255548836</v>
      </c>
      <c r="F46" s="196">
        <v>2349.1174190601719</v>
      </c>
      <c r="G46" s="196">
        <v>2502.5346618008061</v>
      </c>
      <c r="I46" s="196">
        <v>2478.9585476214183</v>
      </c>
      <c r="J46" s="196">
        <v>2478.9585476214183</v>
      </c>
      <c r="K46" s="196">
        <v>2349.2265468955848</v>
      </c>
      <c r="L46" s="196">
        <v>3057.734224177234</v>
      </c>
    </row>
    <row r="47" spans="1:15" x14ac:dyDescent="0.3">
      <c r="A47" s="38">
        <v>2030</v>
      </c>
      <c r="B47" s="172">
        <f>SCRS!DA24</f>
        <v>2507.6013708445325</v>
      </c>
      <c r="D47" s="196">
        <v>2369.4758907790019</v>
      </c>
      <c r="E47" s="196">
        <v>2369.4758907790019</v>
      </c>
      <c r="F47" s="196">
        <v>2365.3273784209873</v>
      </c>
      <c r="G47" s="196">
        <v>2535.9299377818024</v>
      </c>
      <c r="I47" s="196">
        <v>2624.8073445267401</v>
      </c>
      <c r="J47" s="196">
        <v>2624.8073445267401</v>
      </c>
      <c r="K47" s="196">
        <v>2493.2894608582665</v>
      </c>
      <c r="L47" s="196">
        <v>3114.1902369051586</v>
      </c>
    </row>
    <row r="48" spans="1:15" x14ac:dyDescent="0.3">
      <c r="A48" s="38">
        <v>2031</v>
      </c>
      <c r="B48" s="172">
        <f>SCRS!DA25</f>
        <v>2543.0849035869987</v>
      </c>
      <c r="D48" s="196">
        <v>2386.8559095377727</v>
      </c>
      <c r="E48" s="196">
        <v>2386.8559095377727</v>
      </c>
      <c r="F48" s="196">
        <v>2381.4961259872944</v>
      </c>
      <c r="G48" s="196">
        <v>2563.8890607953349</v>
      </c>
      <c r="I48" s="196">
        <v>2386.8559095377727</v>
      </c>
      <c r="J48" s="196">
        <v>2386.8559095377727</v>
      </c>
      <c r="K48" s="196">
        <v>2639.2554603426265</v>
      </c>
      <c r="L48" s="196">
        <v>3166.7764820949005</v>
      </c>
    </row>
    <row r="49" spans="1:12" x14ac:dyDescent="0.3">
      <c r="A49" s="38">
        <v>2032</v>
      </c>
      <c r="B49" s="172">
        <f>SCRS!DA26</f>
        <v>2579.9178447344989</v>
      </c>
      <c r="D49" s="196">
        <v>2404.3634100967297</v>
      </c>
      <c r="E49" s="196">
        <v>2404.3634100967297</v>
      </c>
      <c r="F49" s="196">
        <v>2397.5568838720997</v>
      </c>
      <c r="G49" s="196">
        <v>2598.4384518358265</v>
      </c>
      <c r="I49" s="196">
        <v>2404.3634100967297</v>
      </c>
      <c r="J49" s="196">
        <v>2404.3634100967297</v>
      </c>
      <c r="K49" s="196">
        <v>2787.0900699738881</v>
      </c>
      <c r="L49" s="196">
        <v>3226.5131877641197</v>
      </c>
    </row>
    <row r="50" spans="1:12" x14ac:dyDescent="0.3">
      <c r="A50" s="38">
        <v>2033</v>
      </c>
      <c r="B50" s="172">
        <f>SCRS!DA27</f>
        <v>2618.1219682117176</v>
      </c>
      <c r="D50" s="196">
        <v>2421.9993275302027</v>
      </c>
      <c r="E50" s="196">
        <v>2421.9993275302027</v>
      </c>
      <c r="F50" s="196">
        <v>2413.5650612834042</v>
      </c>
      <c r="G50" s="196">
        <v>2633.5659992618007</v>
      </c>
      <c r="I50" s="196">
        <v>2421.9993275302027</v>
      </c>
      <c r="J50" s="196">
        <v>2421.9993275302027</v>
      </c>
      <c r="K50" s="196">
        <v>2414.8987181740176</v>
      </c>
      <c r="L50" s="196">
        <v>3287.9379807270407</v>
      </c>
    </row>
    <row r="51" spans="1:12" x14ac:dyDescent="0.3">
      <c r="A51" s="38">
        <v>2034</v>
      </c>
      <c r="B51" s="172">
        <f>SCRS!DA28</f>
        <v>2657.7244808440241</v>
      </c>
      <c r="D51" s="196">
        <v>2439.7646037712552</v>
      </c>
      <c r="E51" s="196">
        <v>2439.7646037712552</v>
      </c>
      <c r="F51" s="196">
        <v>2429.5581386458193</v>
      </c>
      <c r="G51" s="196">
        <v>2663.1145386877979</v>
      </c>
      <c r="I51" s="196">
        <v>2439.7646037712552</v>
      </c>
      <c r="J51" s="196">
        <v>2439.7646037712552</v>
      </c>
      <c r="K51" s="196">
        <v>2431.4391080613718</v>
      </c>
      <c r="L51" s="196">
        <v>3345.4656003796031</v>
      </c>
    </row>
    <row r="52" spans="1:12" x14ac:dyDescent="0.3">
      <c r="A52" s="38">
        <v>2035</v>
      </c>
      <c r="B52" s="172">
        <f>SCRS!DA29</f>
        <v>2698.7555495746169</v>
      </c>
      <c r="D52" s="196">
        <v>2457.6601876619975</v>
      </c>
      <c r="E52" s="196">
        <v>2457.6601876619975</v>
      </c>
      <c r="F52" s="196">
        <v>2445.5644870630395</v>
      </c>
      <c r="G52" s="196">
        <v>2699.4528258650234</v>
      </c>
      <c r="I52" s="196">
        <v>2457.6601876619975</v>
      </c>
      <c r="J52" s="196">
        <v>2457.6601876619975</v>
      </c>
      <c r="K52" s="196">
        <v>2580.5458972521615</v>
      </c>
      <c r="L52" s="196">
        <v>3410.4523783527134</v>
      </c>
    </row>
    <row r="53" spans="1:12" x14ac:dyDescent="0.3">
      <c r="A53" s="38">
        <v>2036</v>
      </c>
      <c r="B53" s="172">
        <f>SCRS!DA30</f>
        <v>2741.2478671311833</v>
      </c>
      <c r="D53" s="196">
        <v>2475.6870350042618</v>
      </c>
      <c r="E53" s="196">
        <v>2475.6870350042618</v>
      </c>
      <c r="F53" s="196">
        <v>2461.604657278725</v>
      </c>
      <c r="G53" s="196">
        <v>2736.400447591815</v>
      </c>
      <c r="I53" s="196">
        <v>2475.6870350042623</v>
      </c>
      <c r="J53" s="196">
        <v>2475.6870350042623</v>
      </c>
      <c r="K53" s="196">
        <v>2731.753588376615</v>
      </c>
      <c r="L53" s="196">
        <v>3477.2731526398261</v>
      </c>
    </row>
    <row r="54" spans="1:12" x14ac:dyDescent="0.3">
      <c r="A54" s="38">
        <v>2037</v>
      </c>
      <c r="B54" s="172">
        <f>SCRS!DA31</f>
        <v>2785.2406452852824</v>
      </c>
      <c r="D54" s="196">
        <v>2493.8461086106504</v>
      </c>
      <c r="E54" s="196">
        <v>2493.8461086106504</v>
      </c>
      <c r="F54" s="196">
        <v>2477.603459154715</v>
      </c>
      <c r="G54" s="196">
        <v>2773.8945213435577</v>
      </c>
      <c r="I54" s="196">
        <v>2493.8461086106504</v>
      </c>
      <c r="J54" s="196">
        <v>2493.8461086106504</v>
      </c>
      <c r="K54" s="196">
        <v>2892.3391440558889</v>
      </c>
      <c r="L54" s="196">
        <v>3711.0052368885363</v>
      </c>
    </row>
    <row r="55" spans="1:12" x14ac:dyDescent="0.3">
      <c r="A55" s="38">
        <v>2038</v>
      </c>
      <c r="B55" s="172">
        <f>SCRS!DA32</f>
        <v>2830.7761575526747</v>
      </c>
      <c r="D55" s="196">
        <v>2512.1383783559613</v>
      </c>
      <c r="E55" s="196">
        <v>2512.1383783559613</v>
      </c>
      <c r="F55" s="196">
        <v>2493.5577488880444</v>
      </c>
      <c r="G55" s="196">
        <v>2811.9171301860933</v>
      </c>
      <c r="I55" s="196">
        <v>2512.1383783559609</v>
      </c>
      <c r="J55" s="196">
        <v>2512.1383783559609</v>
      </c>
      <c r="K55" s="196">
        <v>2513.9413210205189</v>
      </c>
      <c r="L55" s="196">
        <v>3966.734116519438</v>
      </c>
    </row>
    <row r="56" spans="1:12" x14ac:dyDescent="0.3">
      <c r="A56" s="38">
        <v>2039</v>
      </c>
      <c r="B56" s="172">
        <f>SCRS!DA33</f>
        <v>2877.9010435633745</v>
      </c>
      <c r="D56" s="196">
        <v>2394.2197338782885</v>
      </c>
      <c r="E56" s="196">
        <v>2394.2197338782885</v>
      </c>
      <c r="F56" s="196">
        <v>2509.464836180251</v>
      </c>
      <c r="G56" s="196">
        <v>2871.0008933884169</v>
      </c>
      <c r="I56" s="196">
        <v>2530.564821228988</v>
      </c>
      <c r="J56" s="196">
        <v>2530.564821228988</v>
      </c>
      <c r="K56" s="196">
        <v>2536.4366141864534</v>
      </c>
      <c r="L56" s="196">
        <v>4180.4415796240901</v>
      </c>
    </row>
    <row r="57" spans="1:12" x14ac:dyDescent="0.3">
      <c r="A57" s="38">
        <v>2040</v>
      </c>
      <c r="B57" s="172">
        <f>SCRS!DA34</f>
        <v>2926.6664387833439</v>
      </c>
      <c r="D57" s="196">
        <v>2274.4360742527292</v>
      </c>
      <c r="E57" s="196">
        <v>2274.4360742527292</v>
      </c>
      <c r="F57" s="196">
        <v>2525.321527432694</v>
      </c>
      <c r="G57" s="196">
        <v>2926.4063918243455</v>
      </c>
      <c r="I57" s="196">
        <v>2549.1264213847012</v>
      </c>
      <c r="J57" s="196">
        <v>2549.1264213847012</v>
      </c>
      <c r="K57" s="196">
        <v>2693.8922519364282</v>
      </c>
      <c r="L57" s="196">
        <v>4352.009657387609</v>
      </c>
    </row>
    <row r="58" spans="1:12" x14ac:dyDescent="0.3">
      <c r="A58" s="38">
        <v>2041</v>
      </c>
      <c r="B58" s="172">
        <f>SCRS!DA35</f>
        <v>874.12953003325424</v>
      </c>
      <c r="D58" s="196">
        <v>2152.7663840658633</v>
      </c>
      <c r="E58" s="196">
        <v>397.93427407375736</v>
      </c>
      <c r="F58" s="196">
        <v>2541.1238150834224</v>
      </c>
      <c r="G58" s="196">
        <v>776.27166565643813</v>
      </c>
      <c r="I58" s="196">
        <v>2567.8241701968141</v>
      </c>
      <c r="J58" s="196">
        <v>2567.8241701968141</v>
      </c>
      <c r="K58" s="196">
        <v>2852.6652238180072</v>
      </c>
      <c r="L58" s="196">
        <v>2399.6072210745924</v>
      </c>
    </row>
    <row r="59" spans="1:12" x14ac:dyDescent="0.3">
      <c r="A59" s="38">
        <v>2042</v>
      </c>
      <c r="B59" s="172">
        <f>SCRS!DA36</f>
        <v>919.4942397182449</v>
      </c>
      <c r="D59" s="196">
        <v>2029.1894399506566</v>
      </c>
      <c r="E59" s="196">
        <v>405.52404046992575</v>
      </c>
      <c r="F59" s="196">
        <v>2417.5479061594788</v>
      </c>
      <c r="G59" s="196">
        <v>787.20750898562324</v>
      </c>
      <c r="I59" s="196">
        <v>2586.6590663107277</v>
      </c>
      <c r="J59" s="196">
        <v>2586.6590663107277</v>
      </c>
      <c r="K59" s="196">
        <v>3006.7527745922071</v>
      </c>
      <c r="L59" s="196">
        <v>2224.6093696123553</v>
      </c>
    </row>
    <row r="60" spans="1:12" x14ac:dyDescent="0.3">
      <c r="A60" s="38">
        <v>2043</v>
      </c>
      <c r="B60" s="172">
        <f>SCRS!DA37</f>
        <v>953.63370213350333</v>
      </c>
      <c r="D60" s="196">
        <v>1903.6838086664629</v>
      </c>
      <c r="E60" s="196">
        <v>460.64946106684613</v>
      </c>
      <c r="F60" s="196">
        <v>2291.9453460181162</v>
      </c>
      <c r="G60" s="196">
        <v>810.73410355930605</v>
      </c>
      <c r="I60" s="196">
        <v>2605.6321156968702</v>
      </c>
      <c r="J60" s="196">
        <v>2605.6321156968702</v>
      </c>
      <c r="K60" s="196">
        <v>2602.826997881406</v>
      </c>
      <c r="L60" s="196">
        <v>2019.8153332307231</v>
      </c>
    </row>
    <row r="61" spans="1:12" x14ac:dyDescent="0.3">
      <c r="A61" s="38">
        <v>2044</v>
      </c>
      <c r="B61" s="172">
        <f>SCRS!DA38</f>
        <v>986.09198867712723</v>
      </c>
      <c r="D61" s="196">
        <v>1776.2278451620473</v>
      </c>
      <c r="E61" s="196">
        <v>517.05517345981593</v>
      </c>
      <c r="F61" s="196">
        <v>2164.2565984872981</v>
      </c>
      <c r="G61" s="196">
        <v>828.15754451535429</v>
      </c>
      <c r="I61" s="196">
        <v>2624.7443317044272</v>
      </c>
      <c r="J61" s="196">
        <v>2624.7443317044272</v>
      </c>
      <c r="K61" s="196">
        <v>2618.5483446442017</v>
      </c>
      <c r="L61" s="196">
        <v>1865.312678289929</v>
      </c>
    </row>
    <row r="62" spans="1:12" x14ac:dyDescent="0.3">
      <c r="A62" s="38">
        <v>2045</v>
      </c>
      <c r="B62" s="172">
        <f>SCRS!DA39</f>
        <v>1026.0445247904422</v>
      </c>
      <c r="D62" s="196">
        <v>1646.7996906214842</v>
      </c>
      <c r="E62" s="196">
        <v>574.81521009199173</v>
      </c>
      <c r="F62" s="196">
        <v>861.58052809534956</v>
      </c>
      <c r="G62" s="196">
        <v>846.5024599244208</v>
      </c>
      <c r="I62" s="196">
        <v>2643.9967351154623</v>
      </c>
      <c r="J62" s="196">
        <v>2643.9967351154623</v>
      </c>
      <c r="K62" s="196">
        <v>2778.4661004420814</v>
      </c>
      <c r="L62" s="196">
        <v>1782.0385136367493</v>
      </c>
    </row>
    <row r="63" spans="1:12" x14ac:dyDescent="0.3">
      <c r="A63" s="38">
        <v>2046</v>
      </c>
      <c r="B63" s="172">
        <f>SCRS!DA40</f>
        <v>1104.2757447785987</v>
      </c>
      <c r="D63" s="196">
        <v>1515.377270492784</v>
      </c>
      <c r="E63" s="196">
        <v>634.0233055573533</v>
      </c>
      <c r="F63" s="196">
        <v>810.32377790046428</v>
      </c>
      <c r="G63" s="196">
        <v>859.96700241106396</v>
      </c>
      <c r="I63" s="196">
        <v>2663.3903541994387</v>
      </c>
      <c r="J63" s="196">
        <v>2663.3903541994387</v>
      </c>
      <c r="K63" s="196">
        <v>2940.7099426790865</v>
      </c>
      <c r="L63" s="196">
        <v>1743.664919724808</v>
      </c>
    </row>
    <row r="64" spans="1:12" x14ac:dyDescent="0.3">
      <c r="A64" s="38">
        <v>2047</v>
      </c>
      <c r="B64" s="172">
        <f>SCRS!DA41</f>
        <v>1184.85648911929</v>
      </c>
      <c r="D64" s="196">
        <v>1381.9382924991062</v>
      </c>
      <c r="E64" s="196">
        <v>694.76477090124808</v>
      </c>
      <c r="F64" s="196">
        <v>824.36748817396597</v>
      </c>
      <c r="G64" s="196">
        <v>871.72889300501629</v>
      </c>
      <c r="I64" s="196">
        <v>2682.9262247681404</v>
      </c>
      <c r="J64" s="196">
        <v>2682.9262247681404</v>
      </c>
      <c r="K64" s="196">
        <v>2665.7304912654758</v>
      </c>
      <c r="L64" s="196">
        <v>1827.0847994955741</v>
      </c>
    </row>
    <row r="65" spans="1:12" x14ac:dyDescent="0.3">
      <c r="A65" s="38">
        <v>2048</v>
      </c>
      <c r="B65" s="172">
        <f>SCRS!DA42</f>
        <v>1266.640629482396</v>
      </c>
      <c r="D65" s="196">
        <v>1246.4602446323947</v>
      </c>
      <c r="E65" s="196">
        <v>757.13550784418351</v>
      </c>
      <c r="F65" s="196">
        <v>836.82576996373223</v>
      </c>
      <c r="G65" s="196">
        <v>881.88215178913572</v>
      </c>
      <c r="I65" s="196">
        <v>2702.6053902309868</v>
      </c>
      <c r="J65" s="196">
        <v>2702.6053902309868</v>
      </c>
      <c r="K65" s="196">
        <v>2677.7521515091257</v>
      </c>
      <c r="L65" s="196">
        <v>1891.2708934874552</v>
      </c>
    </row>
    <row r="66" spans="1:12" x14ac:dyDescent="0.3">
      <c r="A66" s="38">
        <v>2049</v>
      </c>
      <c r="B66" s="172">
        <f>SCRS!DA43</f>
        <v>1349.7568499640186</v>
      </c>
      <c r="D66" s="196">
        <v>1108.9203931293023</v>
      </c>
      <c r="E66" s="196">
        <v>821.21858868370418</v>
      </c>
      <c r="F66" s="196">
        <v>847.71185118219819</v>
      </c>
      <c r="G66" s="196">
        <v>890.44908612274571</v>
      </c>
      <c r="I66" s="196">
        <v>2722.4289016507742</v>
      </c>
      <c r="J66" s="196">
        <v>2722.4289016507742</v>
      </c>
      <c r="K66" s="196">
        <v>2838.5655601214125</v>
      </c>
      <c r="L66" s="196">
        <v>1938.8036469108447</v>
      </c>
    </row>
    <row r="67" spans="1:12" x14ac:dyDescent="0.3">
      <c r="A67" s="38">
        <v>2050</v>
      </c>
      <c r="B67" s="172">
        <f>SCRS!DA44</f>
        <v>1434.364938678797</v>
      </c>
      <c r="D67" s="196">
        <v>969.29578042924027</v>
      </c>
      <c r="E67" s="196">
        <v>887.09656485538494</v>
      </c>
      <c r="F67" s="196">
        <v>857.11500810084431</v>
      </c>
      <c r="G67" s="196">
        <v>897.4380296488506</v>
      </c>
      <c r="I67" s="196">
        <v>2742.3978177998019</v>
      </c>
      <c r="J67" s="196">
        <v>2742.3978177998019</v>
      </c>
      <c r="K67" s="196">
        <v>3003.7661952153353</v>
      </c>
      <c r="L67" s="196">
        <v>1970.5423239862148</v>
      </c>
    </row>
    <row r="68" spans="1:12" x14ac:dyDescent="0.3">
      <c r="A68" s="38"/>
      <c r="B68" s="38"/>
      <c r="D68" s="38"/>
      <c r="G68" s="38"/>
      <c r="I68" s="38"/>
      <c r="K68" s="38"/>
    </row>
    <row r="69" spans="1:12" x14ac:dyDescent="0.3">
      <c r="A69" s="38"/>
      <c r="B69" s="38" t="s">
        <v>302</v>
      </c>
      <c r="D69" s="38" t="s">
        <v>302</v>
      </c>
      <c r="E69" s="38" t="s">
        <v>302</v>
      </c>
      <c r="F69" s="38" t="s">
        <v>302</v>
      </c>
      <c r="G69" s="38" t="s">
        <v>302</v>
      </c>
      <c r="I69" s="38" t="s">
        <v>302</v>
      </c>
      <c r="J69" s="38" t="s">
        <v>302</v>
      </c>
      <c r="K69" s="38" t="s">
        <v>302</v>
      </c>
      <c r="L69" s="38" t="s">
        <v>302</v>
      </c>
    </row>
    <row r="70" spans="1:12" x14ac:dyDescent="0.3">
      <c r="A70" s="38">
        <v>2020</v>
      </c>
      <c r="B70" s="183">
        <f>SCRS!AR13</f>
        <v>0.50502860621178003</v>
      </c>
      <c r="D70" s="415">
        <v>0.50502860621178003</v>
      </c>
      <c r="E70" s="415">
        <v>0.50502860621178003</v>
      </c>
      <c r="F70" s="415">
        <v>0.50502860621178003</v>
      </c>
      <c r="G70" s="415">
        <v>0.50502860621178003</v>
      </c>
      <c r="I70" s="415">
        <v>0.50502860621178003</v>
      </c>
      <c r="J70" s="415">
        <v>0.50502860621178003</v>
      </c>
      <c r="K70" s="415">
        <v>0.50502860621178003</v>
      </c>
      <c r="L70" s="415">
        <v>0.50502860621178003</v>
      </c>
    </row>
    <row r="71" spans="1:12" x14ac:dyDescent="0.3">
      <c r="A71" s="38">
        <v>2021</v>
      </c>
      <c r="B71" s="183">
        <f>SCRS!AR14</f>
        <v>0.49091721616740186</v>
      </c>
      <c r="D71" s="415">
        <v>0.50042503368811031</v>
      </c>
      <c r="E71" s="415">
        <v>0.50042503368811031</v>
      </c>
      <c r="F71" s="415">
        <v>0.49978342905740286</v>
      </c>
      <c r="G71" s="415">
        <v>0.49978342905740286</v>
      </c>
      <c r="I71" s="415">
        <v>0.35398639039373803</v>
      </c>
      <c r="J71" s="415">
        <v>0.35398639039373803</v>
      </c>
      <c r="K71" s="415">
        <v>0.35344565798835242</v>
      </c>
      <c r="L71" s="415">
        <v>0.35344565798835242</v>
      </c>
    </row>
    <row r="72" spans="1:12" x14ac:dyDescent="0.3">
      <c r="A72" s="38">
        <v>2022</v>
      </c>
      <c r="B72" s="183">
        <f>SCRS!AR15</f>
        <v>0.49995206226362365</v>
      </c>
      <c r="D72" s="415">
        <v>0.51205246972500129</v>
      </c>
      <c r="E72" s="415">
        <v>0.51205246972500129</v>
      </c>
      <c r="F72" s="415">
        <v>0.51074173271756007</v>
      </c>
      <c r="G72" s="415">
        <v>0.51392626572142075</v>
      </c>
      <c r="I72" s="415">
        <v>0.37323392970000002</v>
      </c>
      <c r="J72" s="415">
        <v>0.37323392970000002</v>
      </c>
      <c r="K72" s="415">
        <v>0.37199524392250194</v>
      </c>
      <c r="L72" s="415">
        <v>0.37523875477019963</v>
      </c>
    </row>
    <row r="73" spans="1:12" x14ac:dyDescent="0.3">
      <c r="A73" s="38">
        <v>2023</v>
      </c>
      <c r="B73" s="183">
        <f>SCRS!AR16</f>
        <v>0.50995167592572221</v>
      </c>
      <c r="D73" s="415">
        <v>0.5264830703607104</v>
      </c>
      <c r="E73" s="415">
        <v>0.5264830703607104</v>
      </c>
      <c r="F73" s="415">
        <v>0.52400257841207776</v>
      </c>
      <c r="G73" s="415">
        <v>0.52880114197853711</v>
      </c>
      <c r="I73" s="415">
        <v>0.39634208835286966</v>
      </c>
      <c r="J73" s="415">
        <v>0.39634208835286966</v>
      </c>
      <c r="K73" s="415">
        <v>0.39381980278695827</v>
      </c>
      <c r="L73" s="415">
        <v>0.40109925196143953</v>
      </c>
    </row>
    <row r="74" spans="1:12" x14ac:dyDescent="0.3">
      <c r="A74" s="38">
        <v>2024</v>
      </c>
      <c r="B74" s="183">
        <f>SCRS!AR17</f>
        <v>0.52118003553245595</v>
      </c>
      <c r="D74" s="415">
        <v>0.54385509526441544</v>
      </c>
      <c r="E74" s="415">
        <v>0.54385509526441544</v>
      </c>
      <c r="F74" s="415">
        <v>0.53955228142721767</v>
      </c>
      <c r="G74" s="415">
        <v>0.54487832182852525</v>
      </c>
      <c r="I74" s="415">
        <v>0.42364981993392703</v>
      </c>
      <c r="J74" s="415">
        <v>0.42364981993392703</v>
      </c>
      <c r="K74" s="415">
        <v>0.41906980614433781</v>
      </c>
      <c r="L74" s="415">
        <v>0.43215912889738634</v>
      </c>
    </row>
    <row r="75" spans="1:12" x14ac:dyDescent="0.3">
      <c r="A75" s="38">
        <v>2025</v>
      </c>
      <c r="B75" s="183">
        <f>SCRS!AR18</f>
        <v>0.53375469570401035</v>
      </c>
      <c r="D75" s="415">
        <v>0.56206319999946086</v>
      </c>
      <c r="E75" s="415">
        <v>0.56206319999946086</v>
      </c>
      <c r="F75" s="415">
        <v>0.55543639564177361</v>
      </c>
      <c r="G75" s="415">
        <v>0.5622837919290431</v>
      </c>
      <c r="I75" s="415">
        <v>0.43495611502167364</v>
      </c>
      <c r="J75" s="415">
        <v>0.43495611502167364</v>
      </c>
      <c r="K75" s="415">
        <v>0.42795588067820051</v>
      </c>
      <c r="L75" s="415">
        <v>0.44738128700993524</v>
      </c>
    </row>
    <row r="76" spans="1:12" x14ac:dyDescent="0.3">
      <c r="A76" s="38">
        <v>2026</v>
      </c>
      <c r="B76" s="183">
        <f>SCRS!AR19</f>
        <v>0.54765037166777042</v>
      </c>
      <c r="D76" s="415">
        <v>0.58115798044933609</v>
      </c>
      <c r="E76" s="415">
        <v>0.58115798044933609</v>
      </c>
      <c r="F76" s="415">
        <v>0.57170187132114159</v>
      </c>
      <c r="G76" s="415">
        <v>0.58095409504438156</v>
      </c>
      <c r="I76" s="415">
        <v>0.44896295278565507</v>
      </c>
      <c r="J76" s="415">
        <v>0.44896295278565507</v>
      </c>
      <c r="K76" s="415">
        <v>0.43901566041842033</v>
      </c>
      <c r="L76" s="415">
        <v>0.46511600457923846</v>
      </c>
    </row>
    <row r="77" spans="1:12" x14ac:dyDescent="0.3">
      <c r="A77" s="38">
        <v>2027</v>
      </c>
      <c r="B77" s="183">
        <f>SCRS!AR20</f>
        <v>0.5623568168306422</v>
      </c>
      <c r="D77" s="415">
        <v>0.6011935665657151</v>
      </c>
      <c r="E77" s="415">
        <v>0.6011935665657151</v>
      </c>
      <c r="F77" s="415">
        <v>0.58839936548806482</v>
      </c>
      <c r="G77" s="415">
        <v>0.60033973093048199</v>
      </c>
      <c r="I77" s="415">
        <v>0.46578764292651653</v>
      </c>
      <c r="J77" s="415">
        <v>0.46578764292651653</v>
      </c>
      <c r="K77" s="415">
        <v>0.4523746630215833</v>
      </c>
      <c r="L77" s="415">
        <v>0.48475403466932776</v>
      </c>
    </row>
    <row r="78" spans="1:12" x14ac:dyDescent="0.3">
      <c r="A78" s="38">
        <v>2028</v>
      </c>
      <c r="B78" s="183">
        <f>SCRS!AR21</f>
        <v>0.57791606566244402</v>
      </c>
      <c r="D78" s="415">
        <v>0.62222792618096912</v>
      </c>
      <c r="E78" s="415">
        <v>0.62222792618096912</v>
      </c>
      <c r="F78" s="415">
        <v>0.60558256237482533</v>
      </c>
      <c r="G78" s="415">
        <v>0.62050690589152335</v>
      </c>
      <c r="I78" s="415">
        <v>0.4735728579460497</v>
      </c>
      <c r="J78" s="415">
        <v>0.4735728579460497</v>
      </c>
      <c r="K78" s="415">
        <v>0.46817227855248295</v>
      </c>
      <c r="L78" s="415">
        <v>0.5044145204573629</v>
      </c>
    </row>
    <row r="79" spans="1:12" x14ac:dyDescent="0.3">
      <c r="A79" s="38">
        <v>2029</v>
      </c>
      <c r="B79" s="183">
        <f>SCRS!AR22</f>
        <v>0.59439114473200405</v>
      </c>
      <c r="D79" s="415">
        <v>0.64432320039608015</v>
      </c>
      <c r="E79" s="415">
        <v>0.64432320039608015</v>
      </c>
      <c r="F79" s="415">
        <v>0.62330855977850774</v>
      </c>
      <c r="G79" s="415">
        <v>0.64154357028774545</v>
      </c>
      <c r="I79" s="415">
        <v>0.4817078835426083</v>
      </c>
      <c r="J79" s="415">
        <v>0.4817078835426083</v>
      </c>
      <c r="K79" s="415">
        <v>0.47194191904277771</v>
      </c>
      <c r="L79" s="415">
        <v>0.52447506479610506</v>
      </c>
    </row>
    <row r="80" spans="1:12" x14ac:dyDescent="0.3">
      <c r="A80" s="38">
        <v>2030</v>
      </c>
      <c r="B80" s="183">
        <f>SCRS!AR23</f>
        <v>0.61184933703442734</v>
      </c>
      <c r="D80" s="415">
        <v>0.66754607452970938</v>
      </c>
      <c r="E80" s="415">
        <v>0.66754607452970938</v>
      </c>
      <c r="F80" s="415">
        <v>0.64163831925246817</v>
      </c>
      <c r="G80" s="415">
        <v>0.66354360414012203</v>
      </c>
      <c r="I80" s="415">
        <v>0.49348175733972999</v>
      </c>
      <c r="J80" s="415">
        <v>0.49348175733972999</v>
      </c>
      <c r="K80" s="415">
        <v>0.47562100696787213</v>
      </c>
      <c r="L80" s="415">
        <v>0.54532077378428789</v>
      </c>
    </row>
    <row r="81" spans="1:12" x14ac:dyDescent="0.3">
      <c r="A81" s="38">
        <v>2031</v>
      </c>
      <c r="B81" s="183">
        <f>SCRS!AR24</f>
        <v>0.63036522006704698</v>
      </c>
      <c r="D81" s="415">
        <v>0.69197042658099817</v>
      </c>
      <c r="E81" s="415">
        <v>0.69197042658099817</v>
      </c>
      <c r="F81" s="415">
        <v>0.66050139171118649</v>
      </c>
      <c r="G81" s="415">
        <v>0.68658482527819131</v>
      </c>
      <c r="I81" s="415">
        <v>0.50906562232652353</v>
      </c>
      <c r="J81" s="415">
        <v>0.50906562232652353</v>
      </c>
      <c r="K81" s="415">
        <v>0.48217281586599647</v>
      </c>
      <c r="L81" s="415">
        <v>0.56731649349794655</v>
      </c>
    </row>
    <row r="82" spans="1:12" x14ac:dyDescent="0.3">
      <c r="A82" s="38">
        <v>2032</v>
      </c>
      <c r="B82" s="183">
        <f>SCRS!AR25</f>
        <v>0.65001296831368949</v>
      </c>
      <c r="D82" s="415">
        <v>0.71767097511592204</v>
      </c>
      <c r="E82" s="415">
        <v>0.71767097511592204</v>
      </c>
      <c r="F82" s="415">
        <v>0.68010116687179401</v>
      </c>
      <c r="G82" s="415">
        <v>0.71080271782564386</v>
      </c>
      <c r="I82" s="415">
        <v>0.51873207825546264</v>
      </c>
      <c r="J82" s="415">
        <v>0.51873207825546264</v>
      </c>
      <c r="K82" s="415">
        <v>0.49183583857186836</v>
      </c>
      <c r="L82" s="415">
        <v>0.59062659392392336</v>
      </c>
    </row>
    <row r="83" spans="1:12" x14ac:dyDescent="0.3">
      <c r="A83" s="38">
        <v>2033</v>
      </c>
      <c r="B83" s="183">
        <f>SCRS!AR26</f>
        <v>0.67087768784009405</v>
      </c>
      <c r="D83" s="415">
        <v>0.74473281184630891</v>
      </c>
      <c r="E83" s="415">
        <v>0.74473281184630891</v>
      </c>
      <c r="F83" s="415">
        <v>0.70037982666145859</v>
      </c>
      <c r="G83" s="415">
        <v>0.73629728864187793</v>
      </c>
      <c r="I83" s="415">
        <v>0.52886348158717278</v>
      </c>
      <c r="J83" s="415">
        <v>0.52886348158717278</v>
      </c>
      <c r="K83" s="415">
        <v>0.50461784912476448</v>
      </c>
      <c r="L83" s="415">
        <v>0.61536246923393678</v>
      </c>
    </row>
    <row r="84" spans="1:12" x14ac:dyDescent="0.3">
      <c r="A84" s="38">
        <v>2034</v>
      </c>
      <c r="B84" s="183">
        <f>SCRS!AR27</f>
        <v>0.69304734952724145</v>
      </c>
      <c r="D84" s="415">
        <v>0.77324485627940742</v>
      </c>
      <c r="E84" s="415">
        <v>0.77324485627940742</v>
      </c>
      <c r="F84" s="415">
        <v>0.72141771725469139</v>
      </c>
      <c r="G84" s="415">
        <v>0.76320336343430972</v>
      </c>
      <c r="I84" s="415">
        <v>0.53948975760966167</v>
      </c>
      <c r="J84" s="415">
        <v>0.53948975760966167</v>
      </c>
      <c r="K84" s="415">
        <v>0.50848286077565397</v>
      </c>
      <c r="L84" s="415">
        <v>0.64168192748731334</v>
      </c>
    </row>
    <row r="85" spans="1:12" x14ac:dyDescent="0.3">
      <c r="A85" s="38">
        <v>2035</v>
      </c>
      <c r="B85" s="183">
        <f>SCRS!AR28</f>
        <v>0.71661323602179783</v>
      </c>
      <c r="D85" s="415">
        <v>0.80330076977616094</v>
      </c>
      <c r="E85" s="415">
        <v>0.80330076977616094</v>
      </c>
      <c r="F85" s="415">
        <v>0.74343183827494286</v>
      </c>
      <c r="G85" s="415">
        <v>0.79167936585542942</v>
      </c>
      <c r="I85" s="415">
        <v>0.55063814517103415</v>
      </c>
      <c r="J85" s="415">
        <v>0.55063814517103415</v>
      </c>
      <c r="K85" s="415">
        <v>0.51236497543774684</v>
      </c>
      <c r="L85" s="415">
        <v>0.66977665165753997</v>
      </c>
    </row>
    <row r="86" spans="1:12" x14ac:dyDescent="0.3">
      <c r="A86" s="38">
        <v>2036</v>
      </c>
      <c r="B86" s="183">
        <f>SCRS!AR29</f>
        <v>0.74167983559354345</v>
      </c>
      <c r="D86" s="415">
        <v>0.83500612696971643</v>
      </c>
      <c r="E86" s="415">
        <v>0.83500612696971643</v>
      </c>
      <c r="F86" s="415">
        <v>0.76639230413840254</v>
      </c>
      <c r="G86" s="415">
        <v>0.82187190504795249</v>
      </c>
      <c r="I86" s="415">
        <v>0.40213222641820007</v>
      </c>
      <c r="J86" s="415">
        <v>0.40213222641820007</v>
      </c>
      <c r="K86" s="415">
        <v>0.37039681712806161</v>
      </c>
      <c r="L86" s="415">
        <v>0.50202697011997388</v>
      </c>
    </row>
    <row r="87" spans="1:12" x14ac:dyDescent="0.3">
      <c r="A87" s="38">
        <v>2037</v>
      </c>
      <c r="B87" s="183">
        <f>SCRS!AR30</f>
        <v>0.76835606248006316</v>
      </c>
      <c r="D87" s="415">
        <v>0.86847222436131211</v>
      </c>
      <c r="E87" s="415">
        <v>0.86847222436131211</v>
      </c>
      <c r="F87" s="415">
        <v>0.79040426400095631</v>
      </c>
      <c r="G87" s="415">
        <v>0.85395752114351764</v>
      </c>
      <c r="I87" s="415">
        <v>0.42806283607095325</v>
      </c>
      <c r="J87" s="415">
        <v>0.42806283607095325</v>
      </c>
      <c r="K87" s="415">
        <v>0.39199143360619254</v>
      </c>
      <c r="L87" s="415">
        <v>0.55053702642616309</v>
      </c>
    </row>
    <row r="88" spans="1:12" x14ac:dyDescent="0.3">
      <c r="A88" s="38">
        <v>2038</v>
      </c>
      <c r="B88" s="183">
        <f>SCRS!AR31</f>
        <v>0.79675927795129697</v>
      </c>
      <c r="D88" s="415">
        <v>0.9038192411758682</v>
      </c>
      <c r="E88" s="415">
        <v>0.9038192411758682</v>
      </c>
      <c r="F88" s="415">
        <v>0.81558094770368494</v>
      </c>
      <c r="G88" s="415">
        <v>0.8881287909036828</v>
      </c>
      <c r="I88" s="415">
        <v>0.45634649791310561</v>
      </c>
      <c r="J88" s="415">
        <v>0.45634649791310561</v>
      </c>
      <c r="K88" s="415">
        <v>0.41855354855960708</v>
      </c>
      <c r="L88" s="415">
        <v>0.60757241376203242</v>
      </c>
    </row>
    <row r="89" spans="1:12" x14ac:dyDescent="0.3">
      <c r="A89" s="38">
        <v>2039</v>
      </c>
      <c r="B89" s="183">
        <f>SCRS!AR32</f>
        <v>0.8270161536352002</v>
      </c>
      <c r="D89" s="415">
        <v>0.94117711887562727</v>
      </c>
      <c r="E89" s="415">
        <v>0.94117711887562727</v>
      </c>
      <c r="F89" s="415">
        <v>0.84204640842348555</v>
      </c>
      <c r="G89" s="415">
        <v>0.92459755551847256</v>
      </c>
      <c r="I89" s="415">
        <v>0.48721640828359625</v>
      </c>
      <c r="J89" s="415">
        <v>0.48721640828359625</v>
      </c>
      <c r="K89" s="415">
        <v>0.43813713887968608</v>
      </c>
      <c r="L89" s="415">
        <v>0.67454638444888282</v>
      </c>
    </row>
    <row r="90" spans="1:12" x14ac:dyDescent="0.3">
      <c r="A90" s="38">
        <v>2040</v>
      </c>
      <c r="B90" s="183">
        <f>SCRS!AR33</f>
        <v>0.85926365907377367</v>
      </c>
      <c r="D90" s="415">
        <v>0.97717904161063607</v>
      </c>
      <c r="E90" s="415">
        <v>0.97717904161063607</v>
      </c>
      <c r="F90" s="415">
        <v>0.86993699912810352</v>
      </c>
      <c r="G90" s="415">
        <v>0.96354304984896244</v>
      </c>
      <c r="I90" s="415">
        <v>0.49727570841468921</v>
      </c>
      <c r="J90" s="415">
        <v>0.49727570841468921</v>
      </c>
      <c r="K90" s="415">
        <v>0.43831228625187452</v>
      </c>
      <c r="L90" s="415">
        <v>0.71823170739947162</v>
      </c>
    </row>
    <row r="91" spans="1:12" x14ac:dyDescent="0.3">
      <c r="A91" s="38">
        <v>2041</v>
      </c>
      <c r="B91" s="183">
        <f>SCRS!AR34</f>
        <v>0.89368891462378675</v>
      </c>
      <c r="D91" s="415">
        <v>1.0117271366962937</v>
      </c>
      <c r="E91" s="415">
        <v>1.0117271366962937</v>
      </c>
      <c r="F91" s="415">
        <v>0.89944403485441515</v>
      </c>
      <c r="G91" s="415">
        <v>1.0052002550974277</v>
      </c>
      <c r="I91" s="415">
        <v>0.50814326800108567</v>
      </c>
      <c r="J91" s="415">
        <v>0.50814326800108567</v>
      </c>
      <c r="K91" s="415">
        <v>0.44171518643885643</v>
      </c>
      <c r="L91" s="415">
        <v>0.7672468089717509</v>
      </c>
    </row>
    <row r="92" spans="1:12" x14ac:dyDescent="0.3">
      <c r="A92" s="38">
        <v>2042</v>
      </c>
      <c r="B92" s="183">
        <f>SCRS!AR35</f>
        <v>0.89265527936467803</v>
      </c>
      <c r="D92" s="415">
        <v>1.0446439318275824</v>
      </c>
      <c r="E92" s="415">
        <v>1.0129971605307331</v>
      </c>
      <c r="F92" s="415">
        <v>0.93083091826812758</v>
      </c>
      <c r="G92" s="415">
        <v>1.00683312065262</v>
      </c>
      <c r="I92" s="415">
        <v>0.52007753066054774</v>
      </c>
      <c r="J92" s="415">
        <v>0.52007753066054774</v>
      </c>
      <c r="K92" s="415">
        <v>0.44893222420275652</v>
      </c>
      <c r="L92" s="415">
        <v>0.78080626625855132</v>
      </c>
    </row>
    <row r="93" spans="1:12" x14ac:dyDescent="0.3">
      <c r="A93" s="38">
        <v>2043</v>
      </c>
      <c r="B93" s="183">
        <f>SCRS!AR36</f>
        <v>0.89144471863724906</v>
      </c>
      <c r="D93" s="415">
        <v>1.0756739283920655</v>
      </c>
      <c r="E93" s="415">
        <v>1.0133356919451852</v>
      </c>
      <c r="F93" s="415">
        <v>0.96095102144842792</v>
      </c>
      <c r="G93" s="415">
        <v>1.0079334888815119</v>
      </c>
      <c r="I93" s="415">
        <v>0.53332885464981528</v>
      </c>
      <c r="J93" s="415">
        <v>0.53332885464981528</v>
      </c>
      <c r="K93" s="415">
        <v>0.46018437317039396</v>
      </c>
      <c r="L93" s="415">
        <v>0.79148253561482185</v>
      </c>
    </row>
    <row r="94" spans="1:12" x14ac:dyDescent="0.3">
      <c r="A94" s="38">
        <v>2044</v>
      </c>
      <c r="B94" s="183">
        <f>SCRS!AR37</f>
        <v>0.88986143148386532</v>
      </c>
      <c r="D94" s="415">
        <v>1.1044978193874571</v>
      </c>
      <c r="E94" s="415">
        <v>1.0135134370349475</v>
      </c>
      <c r="F94" s="415">
        <v>0.98973171787513181</v>
      </c>
      <c r="G94" s="415">
        <v>1.0088883868711254</v>
      </c>
      <c r="I94" s="415">
        <v>0.54809027868141369</v>
      </c>
      <c r="J94" s="415">
        <v>0.54809027868141369</v>
      </c>
      <c r="K94" s="415">
        <v>0.46374242397674881</v>
      </c>
      <c r="L94" s="415">
        <v>0.79868473740847901</v>
      </c>
    </row>
    <row r="95" spans="1:12" x14ac:dyDescent="0.3">
      <c r="A95" s="38">
        <v>2045</v>
      </c>
      <c r="B95" s="183">
        <f>SCRS!AR38</f>
        <v>0.88787236040646966</v>
      </c>
      <c r="D95" s="415">
        <v>1.1307492537247037</v>
      </c>
      <c r="E95" s="415">
        <v>1.0135043091196128</v>
      </c>
      <c r="F95" s="415">
        <v>1.0170009411749816</v>
      </c>
      <c r="G95" s="415">
        <v>1.0096522773585739</v>
      </c>
      <c r="I95" s="415">
        <v>0.56449879456063379</v>
      </c>
      <c r="J95" s="415">
        <v>0.56449879456063379</v>
      </c>
      <c r="K95" s="415">
        <v>0.46888997065536719</v>
      </c>
      <c r="L95" s="415">
        <v>0.80337173727922484</v>
      </c>
    </row>
    <row r="96" spans="1:12" x14ac:dyDescent="0.3">
      <c r="A96" s="38">
        <v>2046</v>
      </c>
      <c r="B96" s="183">
        <f>SCRS!AR39</f>
        <v>0.88560943036897333</v>
      </c>
      <c r="D96" s="415">
        <v>1.1540295672785357</v>
      </c>
      <c r="E96" s="415">
        <v>1.0132835816212042</v>
      </c>
      <c r="F96" s="415">
        <v>1.01909982134529</v>
      </c>
      <c r="G96" s="415">
        <v>1.0101907804121197</v>
      </c>
      <c r="I96" s="415">
        <v>0.58263915630054819</v>
      </c>
      <c r="J96" s="415">
        <v>0.58263915630054819</v>
      </c>
      <c r="K96" s="415">
        <v>0.47893066624266128</v>
      </c>
      <c r="L96" s="415">
        <v>0.80673720159249485</v>
      </c>
    </row>
    <row r="97" spans="1:15" x14ac:dyDescent="0.3">
      <c r="A97" s="38">
        <v>2047</v>
      </c>
      <c r="B97" s="183">
        <f>SCRS!AR40</f>
        <v>0.88373822486820197</v>
      </c>
      <c r="D97" s="415">
        <v>1.1739488194285059</v>
      </c>
      <c r="E97" s="415">
        <v>1.0128335059206464</v>
      </c>
      <c r="F97" s="415">
        <v>1.0195387252851154</v>
      </c>
      <c r="G97" s="415">
        <v>1.010462615360926</v>
      </c>
      <c r="I97" s="415">
        <v>0.60249575010188894</v>
      </c>
      <c r="J97" s="415">
        <v>0.60249575010188894</v>
      </c>
      <c r="K97" s="415">
        <v>0.49425721040418169</v>
      </c>
      <c r="L97" s="415">
        <v>0.80974533426089501</v>
      </c>
    </row>
    <row r="98" spans="1:15" x14ac:dyDescent="0.3">
      <c r="A98" s="38">
        <v>2048</v>
      </c>
      <c r="B98" s="183">
        <f>SCRS!AR41</f>
        <v>0.88229240438510637</v>
      </c>
      <c r="D98" s="415">
        <v>1.1901478888866492</v>
      </c>
      <c r="E98" s="415">
        <v>1.0121425991555493</v>
      </c>
      <c r="F98" s="415">
        <v>1.0196297513155435</v>
      </c>
      <c r="G98" s="415">
        <v>1.0104359858795515</v>
      </c>
      <c r="I98" s="415">
        <v>0.62397415015442925</v>
      </c>
      <c r="J98" s="415">
        <v>0.62397415015442925</v>
      </c>
      <c r="K98" s="415">
        <v>0.50570353519823263</v>
      </c>
      <c r="L98" s="415">
        <v>0.8147489124975581</v>
      </c>
    </row>
    <row r="99" spans="1:15" x14ac:dyDescent="0.3">
      <c r="A99" s="38">
        <v>2049</v>
      </c>
      <c r="B99" s="183">
        <f>SCRS!AR42</f>
        <v>0.88126930248143187</v>
      </c>
      <c r="D99" s="415">
        <v>1.2023324450866673</v>
      </c>
      <c r="E99" s="415">
        <v>1.0112080216755066</v>
      </c>
      <c r="F99" s="415">
        <v>1.0193453149261305</v>
      </c>
      <c r="G99" s="415">
        <v>1.0100895648095911</v>
      </c>
      <c r="I99" s="415">
        <v>0.64689279833773794</v>
      </c>
      <c r="J99" s="415">
        <v>0.64689279833773794</v>
      </c>
      <c r="K99" s="415">
        <v>0.51923721845583226</v>
      </c>
      <c r="L99" s="415">
        <v>0.82134735846206575</v>
      </c>
    </row>
    <row r="100" spans="1:15" x14ac:dyDescent="0.3">
      <c r="A100" s="38">
        <v>2050</v>
      </c>
      <c r="B100" s="183">
        <f>SCRS!AR43</f>
        <v>0.88065066810763604</v>
      </c>
      <c r="D100" s="415">
        <v>1.210299680894354</v>
      </c>
      <c r="E100" s="415">
        <v>1.0100360402350026</v>
      </c>
      <c r="F100" s="415">
        <v>1.0186707912188995</v>
      </c>
      <c r="G100" s="415">
        <v>1.0094133204681499</v>
      </c>
      <c r="I100" s="415">
        <v>0.67099183962244957</v>
      </c>
      <c r="J100" s="415">
        <v>0.67099183962244957</v>
      </c>
      <c r="K100" s="415">
        <v>0.53778061755720563</v>
      </c>
      <c r="L100" s="415">
        <v>0.82912983120778061</v>
      </c>
    </row>
    <row r="101" spans="1:15" x14ac:dyDescent="0.3">
      <c r="A101" s="38"/>
      <c r="B101" s="38"/>
      <c r="D101" s="38"/>
      <c r="G101" s="38"/>
      <c r="I101" s="38"/>
      <c r="K101" s="38"/>
    </row>
    <row r="102" spans="1:15" x14ac:dyDescent="0.3">
      <c r="A102" s="38"/>
      <c r="B102" s="38" t="s">
        <v>303</v>
      </c>
      <c r="D102" s="38" t="s">
        <v>303</v>
      </c>
      <c r="E102" s="38" t="s">
        <v>303</v>
      </c>
      <c r="F102" s="38" t="s">
        <v>303</v>
      </c>
      <c r="G102" s="38" t="s">
        <v>303</v>
      </c>
      <c r="I102" s="38" t="s">
        <v>303</v>
      </c>
      <c r="J102" s="38" t="s">
        <v>303</v>
      </c>
      <c r="K102" s="38" t="s">
        <v>303</v>
      </c>
      <c r="L102" s="38" t="s">
        <v>303</v>
      </c>
    </row>
    <row r="103" spans="1:15" x14ac:dyDescent="0.3">
      <c r="A103" s="38">
        <v>2020</v>
      </c>
      <c r="B103" s="172">
        <f>SCRS!AP13/(1+SCRS!$DT$27)^MAX(Outputs!A103-2021,0)</f>
        <v>25768.827000000001</v>
      </c>
      <c r="D103" s="196">
        <v>25768.827000000001</v>
      </c>
      <c r="E103" s="196">
        <v>25768.827000000001</v>
      </c>
      <c r="F103" s="196">
        <v>25768.827000000001</v>
      </c>
      <c r="G103" s="196">
        <v>25768.827000000001</v>
      </c>
      <c r="I103" s="196">
        <v>25768.827000000001</v>
      </c>
      <c r="J103" s="196">
        <v>25768.827000000001</v>
      </c>
      <c r="K103" s="196">
        <v>25768.827000000001</v>
      </c>
      <c r="L103" s="196">
        <v>25768.827000000001</v>
      </c>
      <c r="M103" s="196">
        <f>E136-E169</f>
        <v>25768.827000000001</v>
      </c>
      <c r="N103" s="196">
        <f>I136-I169</f>
        <v>25768.827000000001</v>
      </c>
      <c r="O103" s="196">
        <f>L136-L169</f>
        <v>25768.827000000001</v>
      </c>
    </row>
    <row r="104" spans="1:15" x14ac:dyDescent="0.3">
      <c r="A104" s="38">
        <v>2021</v>
      </c>
      <c r="B104" s="172">
        <f>SCRS!AP14/(1+SCRS!$DT$27)^MAX(Outputs!A104-2021,0)</f>
        <v>28003.171783219594</v>
      </c>
      <c r="D104" s="196">
        <v>27481.767523016861</v>
      </c>
      <c r="E104" s="196">
        <v>27481.767523016861</v>
      </c>
      <c r="F104" s="196">
        <v>27517.062384632856</v>
      </c>
      <c r="G104" s="196">
        <v>27517.062384632856</v>
      </c>
      <c r="I104" s="196">
        <v>35537.40085691266</v>
      </c>
      <c r="J104" s="196">
        <v>35537.40085691266</v>
      </c>
      <c r="K104" s="196">
        <v>35567.146707403677</v>
      </c>
      <c r="L104" s="196">
        <v>35567.146707403677</v>
      </c>
      <c r="M104" s="196">
        <f t="shared" ref="M104:M133" si="0">E137-E170</f>
        <v>27481.767523016861</v>
      </c>
      <c r="N104" s="196">
        <f t="shared" ref="N104:N133" si="1">I137-I170</f>
        <v>35537.40085691266</v>
      </c>
      <c r="O104" s="196">
        <f t="shared" ref="O104:O133" si="2">L137-L170</f>
        <v>35567.146707403677</v>
      </c>
    </row>
    <row r="105" spans="1:15" x14ac:dyDescent="0.3">
      <c r="A105" s="38">
        <v>2022</v>
      </c>
      <c r="B105" s="172">
        <f>SCRS!AP15/(1+SCRS!$DT$27)^MAX(Outputs!A105-2021,0)</f>
        <v>27652.682660996641</v>
      </c>
      <c r="D105" s="196">
        <v>26985.161663062692</v>
      </c>
      <c r="E105" s="196">
        <v>26985.161663062692</v>
      </c>
      <c r="F105" s="196">
        <v>27057.649887408505</v>
      </c>
      <c r="G105" s="196">
        <v>26881.534357359389</v>
      </c>
      <c r="I105" s="196">
        <v>34662.300109267751</v>
      </c>
      <c r="J105" s="196">
        <v>34662.300109267751</v>
      </c>
      <c r="K105" s="196">
        <v>34730.803655000804</v>
      </c>
      <c r="L105" s="196">
        <v>34551.426449153092</v>
      </c>
      <c r="M105" s="196">
        <f t="shared" si="0"/>
        <v>26985.161663062689</v>
      </c>
      <c r="N105" s="196">
        <f t="shared" si="1"/>
        <v>34662.300109267744</v>
      </c>
      <c r="O105" s="196">
        <f t="shared" si="2"/>
        <v>34551.426449153085</v>
      </c>
    </row>
    <row r="106" spans="1:15" x14ac:dyDescent="0.3">
      <c r="A106" s="38">
        <v>2023</v>
      </c>
      <c r="B106" s="172">
        <f>SCRS!AP16/(1+SCRS!$DT$27)^MAX(Outputs!A106-2021,0)</f>
        <v>27235.000486229626</v>
      </c>
      <c r="D106" s="196">
        <v>26317.910671491558</v>
      </c>
      <c r="E106" s="196">
        <v>26317.910671491558</v>
      </c>
      <c r="F106" s="196">
        <v>26446.709373179357</v>
      </c>
      <c r="G106" s="196">
        <v>26180.098231405686</v>
      </c>
      <c r="I106" s="196">
        <v>33551.102400859367</v>
      </c>
      <c r="J106" s="196">
        <v>33551.102400859367</v>
      </c>
      <c r="K106" s="196">
        <v>33679.744419600094</v>
      </c>
      <c r="L106" s="196">
        <v>33275.29374826642</v>
      </c>
      <c r="M106" s="196">
        <f t="shared" si="0"/>
        <v>26289.505584420098</v>
      </c>
      <c r="N106" s="196">
        <f t="shared" si="1"/>
        <v>33522.697313787896</v>
      </c>
      <c r="O106" s="196">
        <f t="shared" si="2"/>
        <v>33265.935405566721</v>
      </c>
    </row>
    <row r="107" spans="1:15" x14ac:dyDescent="0.3">
      <c r="A107" s="38">
        <v>2024</v>
      </c>
      <c r="B107" s="172">
        <f>SCRS!AP17/(1+SCRS!$DT$27)^MAX(Outputs!A107-2021,0)</f>
        <v>26735.043973174408</v>
      </c>
      <c r="D107" s="196">
        <v>25470.654594082895</v>
      </c>
      <c r="E107" s="196">
        <v>25470.654594082895</v>
      </c>
      <c r="F107" s="196">
        <v>25681.697081335646</v>
      </c>
      <c r="G107" s="196">
        <v>25384.6345686723</v>
      </c>
      <c r="I107" s="196">
        <v>32182.791497386232</v>
      </c>
      <c r="J107" s="196">
        <v>32182.791497386232</v>
      </c>
      <c r="K107" s="196">
        <v>32401.666165806928</v>
      </c>
      <c r="L107" s="196">
        <v>31671.602776665619</v>
      </c>
      <c r="M107" s="196">
        <f t="shared" si="0"/>
        <v>25376.00755160032</v>
      </c>
      <c r="N107" s="196">
        <f t="shared" si="1"/>
        <v>32088.144454903657</v>
      </c>
      <c r="O107" s="196">
        <f t="shared" si="2"/>
        <v>31640.420353009016</v>
      </c>
    </row>
    <row r="108" spans="1:15" x14ac:dyDescent="0.3">
      <c r="A108" s="38">
        <v>2025</v>
      </c>
      <c r="B108" s="172">
        <f>SCRS!AP18/(1+SCRS!$DT$27)^MAX(Outputs!A108-2021,0)</f>
        <v>26145.710747182056</v>
      </c>
      <c r="D108" s="196">
        <v>24559.940930131255</v>
      </c>
      <c r="E108" s="196">
        <v>24559.940930131255</v>
      </c>
      <c r="F108" s="196">
        <v>24874.984774475932</v>
      </c>
      <c r="G108" s="196">
        <v>24491.847520951727</v>
      </c>
      <c r="I108" s="196">
        <v>31688.235466812766</v>
      </c>
      <c r="J108" s="196">
        <v>31688.235466812766</v>
      </c>
      <c r="K108" s="196">
        <v>32007.993049723762</v>
      </c>
      <c r="L108" s="196">
        <v>30921.069419442625</v>
      </c>
      <c r="M108" s="196">
        <f t="shared" si="0"/>
        <v>24370.090110979658</v>
      </c>
      <c r="N108" s="196">
        <f t="shared" si="1"/>
        <v>31498.384647661172</v>
      </c>
      <c r="O108" s="196">
        <f t="shared" si="2"/>
        <v>30858.521150431163</v>
      </c>
    </row>
    <row r="109" spans="1:15" x14ac:dyDescent="0.3">
      <c r="A109" s="38">
        <v>2026</v>
      </c>
      <c r="B109" s="172">
        <f>SCRS!AP19/(1+SCRS!$DT$27)^MAX(Outputs!A109-2021,0)</f>
        <v>25467.981418361174</v>
      </c>
      <c r="D109" s="196">
        <v>23583.147340472879</v>
      </c>
      <c r="E109" s="196">
        <v>23583.147340472879</v>
      </c>
      <c r="F109" s="196">
        <v>24025.359898527538</v>
      </c>
      <c r="G109" s="196">
        <v>23506.356919228492</v>
      </c>
      <c r="I109" s="196">
        <v>31026.466466894413</v>
      </c>
      <c r="J109" s="196">
        <v>31026.466466894413</v>
      </c>
      <c r="K109" s="196">
        <v>31468.385578660902</v>
      </c>
      <c r="L109" s="196">
        <v>30004.288212946583</v>
      </c>
      <c r="M109" s="196">
        <f t="shared" si="0"/>
        <v>23269.003593343255</v>
      </c>
      <c r="N109" s="196">
        <f t="shared" si="1"/>
        <v>30712.32271976479</v>
      </c>
      <c r="O109" s="196">
        <f t="shared" si="2"/>
        <v>29900.790384011532</v>
      </c>
    </row>
    <row r="110" spans="1:15" x14ac:dyDescent="0.3">
      <c r="A110" s="38">
        <v>2027</v>
      </c>
      <c r="B110" s="172">
        <f>SCRS!AP20/(1+SCRS!$DT$27)^MAX(Outputs!A110-2021,0)</f>
        <v>24730.402711959021</v>
      </c>
      <c r="D110" s="196">
        <v>22537.503970564838</v>
      </c>
      <c r="E110" s="196">
        <v>22537.503970564838</v>
      </c>
      <c r="F110" s="196">
        <v>23131.472306974956</v>
      </c>
      <c r="G110" s="196">
        <v>22460.437790971493</v>
      </c>
      <c r="I110" s="196">
        <v>30189.61608765609</v>
      </c>
      <c r="J110" s="196">
        <v>30189.61608765609</v>
      </c>
      <c r="K110" s="196">
        <v>30775.900848488025</v>
      </c>
      <c r="L110" s="196">
        <v>28956.218185765269</v>
      </c>
      <c r="M110" s="196">
        <f t="shared" si="0"/>
        <v>22069.877075867407</v>
      </c>
      <c r="N110" s="196">
        <f t="shared" si="1"/>
        <v>29721.989192958659</v>
      </c>
      <c r="O110" s="196">
        <f t="shared" si="2"/>
        <v>28802.153784372451</v>
      </c>
    </row>
    <row r="111" spans="1:15" x14ac:dyDescent="0.3">
      <c r="A111" s="38">
        <v>2028</v>
      </c>
      <c r="B111" s="172">
        <f>SCRS!AP21/(1+SCRS!$DT$27)^MAX(Outputs!A111-2021,0)</f>
        <v>23930.737569212048</v>
      </c>
      <c r="D111" s="196">
        <v>21420.087223557341</v>
      </c>
      <c r="E111" s="196">
        <v>21420.087223557341</v>
      </c>
      <c r="F111" s="196">
        <v>22191.891510431291</v>
      </c>
      <c r="G111" s="196">
        <v>21352.173535026464</v>
      </c>
      <c r="I111" s="196">
        <v>29848.991180447534</v>
      </c>
      <c r="J111" s="196">
        <v>29848.991180447534</v>
      </c>
      <c r="K111" s="196">
        <v>29923.279172608938</v>
      </c>
      <c r="L111" s="196">
        <v>27884.109948016398</v>
      </c>
      <c r="M111" s="196">
        <f t="shared" si="0"/>
        <v>20769.713936099506</v>
      </c>
      <c r="N111" s="196">
        <f t="shared" si="1"/>
        <v>29198.617892989696</v>
      </c>
      <c r="O111" s="196">
        <f t="shared" si="2"/>
        <v>27669.837902609543</v>
      </c>
    </row>
    <row r="112" spans="1:15" x14ac:dyDescent="0.3">
      <c r="A112" s="38">
        <v>2029</v>
      </c>
      <c r="B112" s="172">
        <f>SCRS!AP22/(1+SCRS!$DT$27)^MAX(Outputs!A112-2021,0)</f>
        <v>23065.620488305936</v>
      </c>
      <c r="D112" s="196">
        <v>20227.813263013519</v>
      </c>
      <c r="E112" s="196">
        <v>20227.813263013519</v>
      </c>
      <c r="F112" s="196">
        <v>21205.106564765851</v>
      </c>
      <c r="G112" s="196">
        <v>20178.602376535164</v>
      </c>
      <c r="I112" s="196">
        <v>29475.96289402913</v>
      </c>
      <c r="J112" s="196">
        <v>29475.96289402913</v>
      </c>
      <c r="K112" s="196">
        <v>29725.995027918794</v>
      </c>
      <c r="L112" s="196">
        <v>26768.744517456773</v>
      </c>
      <c r="M112" s="196">
        <f t="shared" si="0"/>
        <v>19365.38722886637</v>
      </c>
      <c r="N112" s="196">
        <f t="shared" si="1"/>
        <v>28613.536859881977</v>
      </c>
      <c r="O112" s="196">
        <f t="shared" si="2"/>
        <v>26484.60955387124</v>
      </c>
    </row>
    <row r="113" spans="1:15" x14ac:dyDescent="0.3">
      <c r="A113" s="38">
        <v>2030</v>
      </c>
      <c r="B113" s="172">
        <f>SCRS!AP23/(1+SCRS!$DT$27)^MAX(Outputs!A113-2021,0)</f>
        <v>22131.508996735538</v>
      </c>
      <c r="D113" s="196">
        <v>18957.431228787551</v>
      </c>
      <c r="E113" s="196">
        <v>18957.431228787551</v>
      </c>
      <c r="F113" s="196">
        <v>20169.524589178272</v>
      </c>
      <c r="G113" s="196">
        <v>18936.638357444826</v>
      </c>
      <c r="I113" s="196">
        <v>28883.054209015474</v>
      </c>
      <c r="J113" s="196">
        <v>28883.054209015474</v>
      </c>
      <c r="K113" s="196">
        <v>29513.409391171052</v>
      </c>
      <c r="L113" s="196">
        <v>25590.525790080635</v>
      </c>
      <c r="M113" s="196">
        <f t="shared" si="0"/>
        <v>17853.634874252326</v>
      </c>
      <c r="N113" s="196">
        <f t="shared" si="1"/>
        <v>27779.257854480249</v>
      </c>
      <c r="O113" s="196">
        <f t="shared" si="2"/>
        <v>25226.868937685351</v>
      </c>
    </row>
    <row r="114" spans="1:15" x14ac:dyDescent="0.3">
      <c r="A114" s="38">
        <v>2031</v>
      </c>
      <c r="B114" s="172">
        <f>SCRS!AP24/(1+SCRS!$DT$27)^MAX(Outputs!A114-2021,0)</f>
        <v>21124.693966794046</v>
      </c>
      <c r="D114" s="196">
        <v>17605.52889325222</v>
      </c>
      <c r="E114" s="196">
        <v>17605.52889325222</v>
      </c>
      <c r="F114" s="196">
        <v>19089.497373113762</v>
      </c>
      <c r="G114" s="196">
        <v>17622.865038245571</v>
      </c>
      <c r="I114" s="196">
        <v>28059.511542627752</v>
      </c>
      <c r="J114" s="196">
        <v>28059.511542627752</v>
      </c>
      <c r="K114" s="196">
        <v>29116.645635388519</v>
      </c>
      <c r="L114" s="196">
        <v>24329.144388521374</v>
      </c>
      <c r="M114" s="196">
        <f t="shared" si="0"/>
        <v>16223.328468046915</v>
      </c>
      <c r="N114" s="196">
        <f t="shared" si="1"/>
        <v>26677.31111742245</v>
      </c>
      <c r="O114" s="196">
        <f t="shared" si="2"/>
        <v>23873.764504411101</v>
      </c>
    </row>
    <row r="115" spans="1:15" x14ac:dyDescent="0.3">
      <c r="A115" s="38">
        <v>2032</v>
      </c>
      <c r="B115" s="172">
        <f>SCRS!AP25/(1+SCRS!$DT$27)^MAX(Outputs!A115-2021,0)</f>
        <v>20041.258940232354</v>
      </c>
      <c r="D115" s="196">
        <v>16168.490242664333</v>
      </c>
      <c r="E115" s="196">
        <v>16168.490242664333</v>
      </c>
      <c r="F115" s="196">
        <v>17957.537203642452</v>
      </c>
      <c r="G115" s="196">
        <v>16234.10408551561</v>
      </c>
      <c r="I115" s="196">
        <v>27561.373472064606</v>
      </c>
      <c r="J115" s="196">
        <v>27561.373472064606</v>
      </c>
      <c r="K115" s="196">
        <v>28525.820945230713</v>
      </c>
      <c r="L115" s="196">
        <v>22980.196888829465</v>
      </c>
      <c r="M115" s="196">
        <f t="shared" si="0"/>
        <v>14478.504159771859</v>
      </c>
      <c r="N115" s="196">
        <f t="shared" si="1"/>
        <v>25871.387389172134</v>
      </c>
      <c r="O115" s="196">
        <f t="shared" si="2"/>
        <v>22423.413912539152</v>
      </c>
    </row>
    <row r="116" spans="1:15" x14ac:dyDescent="0.3">
      <c r="A116" s="38">
        <v>2033</v>
      </c>
      <c r="B116" s="172">
        <f>SCRS!AP26/(1+SCRS!$DT$27)^MAX(Outputs!A116-2021,0)</f>
        <v>18877.122654529172</v>
      </c>
      <c r="D116" s="196">
        <v>14642.535669299094</v>
      </c>
      <c r="E116" s="196">
        <v>14642.535669299094</v>
      </c>
      <c r="F116" s="196">
        <v>16777.982622884752</v>
      </c>
      <c r="G116" s="196">
        <v>14766.694309915605</v>
      </c>
      <c r="I116" s="196">
        <v>27025.146968029778</v>
      </c>
      <c r="J116" s="196">
        <v>27025.146968029778</v>
      </c>
      <c r="K116" s="196">
        <v>27740.165244750664</v>
      </c>
      <c r="L116" s="196">
        <v>21538.742653387872</v>
      </c>
      <c r="M116" s="196">
        <f t="shared" si="0"/>
        <v>12608.206861229599</v>
      </c>
      <c r="N116" s="196">
        <f t="shared" si="1"/>
        <v>24990.818159960283</v>
      </c>
      <c r="O116" s="196">
        <f t="shared" si="2"/>
        <v>20868.512489970526</v>
      </c>
    </row>
    <row r="117" spans="1:15" x14ac:dyDescent="0.3">
      <c r="A117" s="38">
        <v>2034</v>
      </c>
      <c r="B117" s="172">
        <f>SCRS!AP27/(1+SCRS!$DT$27)^MAX(Outputs!A117-2021,0)</f>
        <v>17627.999028281833</v>
      </c>
      <c r="D117" s="196">
        <v>13023.677641806335</v>
      </c>
      <c r="E117" s="196">
        <v>13023.677641806335</v>
      </c>
      <c r="F117" s="196">
        <v>15549.251069687009</v>
      </c>
      <c r="G117" s="196">
        <v>13216.958085534789</v>
      </c>
      <c r="I117" s="196">
        <v>26449.397571470403</v>
      </c>
      <c r="J117" s="196">
        <v>26449.397571470403</v>
      </c>
      <c r="K117" s="196">
        <v>27434.348399826111</v>
      </c>
      <c r="L117" s="196">
        <v>19999.755969405447</v>
      </c>
      <c r="M117" s="196">
        <f t="shared" si="0"/>
        <v>10608.709324596937</v>
      </c>
      <c r="N117" s="196">
        <f t="shared" si="1"/>
        <v>24034.429254261009</v>
      </c>
      <c r="O117" s="196">
        <f t="shared" si="2"/>
        <v>19204.120276949747</v>
      </c>
    </row>
    <row r="118" spans="1:15" x14ac:dyDescent="0.3">
      <c r="A118" s="38">
        <v>2035</v>
      </c>
      <c r="B118" s="172">
        <f>SCRS!AP28/(1+SCRS!$DT$27)^MAX(Outputs!A118-2021,0)</f>
        <v>16289.371932818722</v>
      </c>
      <c r="D118" s="196">
        <v>11307.704469877583</v>
      </c>
      <c r="E118" s="196">
        <v>11307.704469877583</v>
      </c>
      <c r="F118" s="196">
        <v>14263.430671987186</v>
      </c>
      <c r="G118" s="196">
        <v>11581.198940224143</v>
      </c>
      <c r="I118" s="196">
        <v>25832.592474610279</v>
      </c>
      <c r="J118" s="196">
        <v>25832.592474610279</v>
      </c>
      <c r="K118" s="196">
        <v>27109.163971521681</v>
      </c>
      <c r="L118" s="196">
        <v>18358.154042517548</v>
      </c>
      <c r="M118" s="196">
        <f t="shared" si="0"/>
        <v>8482.9059360641259</v>
      </c>
      <c r="N118" s="196">
        <f t="shared" si="1"/>
        <v>23007.793940796826</v>
      </c>
      <c r="O118" s="196">
        <f t="shared" si="2"/>
        <v>17427.495647754171</v>
      </c>
    </row>
    <row r="119" spans="1:15" x14ac:dyDescent="0.3">
      <c r="A119" s="38">
        <v>2036</v>
      </c>
      <c r="B119" s="172">
        <f>SCRS!AP29/(1+SCRS!$DT$27)^MAX(Outputs!A119-2021,0)</f>
        <v>14856.540089327986</v>
      </c>
      <c r="D119" s="196">
        <v>9490.2241834296747</v>
      </c>
      <c r="E119" s="196">
        <v>9490.2241834296747</v>
      </c>
      <c r="F119" s="196">
        <v>12924.5537957047</v>
      </c>
      <c r="G119" s="196">
        <v>9855.0954721033831</v>
      </c>
      <c r="I119" s="196">
        <v>34388.54485401314</v>
      </c>
      <c r="J119" s="196">
        <v>34388.54485401314</v>
      </c>
      <c r="K119" s="196">
        <v>34833.356739224466</v>
      </c>
      <c r="L119" s="196">
        <v>27550.801311389863</v>
      </c>
      <c r="M119" s="196">
        <f t="shared" si="0"/>
        <v>6220.089833561593</v>
      </c>
      <c r="N119" s="196">
        <f t="shared" si="1"/>
        <v>31118.410504145057</v>
      </c>
      <c r="O119" s="196">
        <f t="shared" si="2"/>
        <v>26473.422536132457</v>
      </c>
    </row>
    <row r="120" spans="1:15" x14ac:dyDescent="0.3">
      <c r="A120" s="38">
        <v>2037</v>
      </c>
      <c r="B120" s="172">
        <f>SCRS!AP30/(1+SCRS!$DT$27)^MAX(Outputs!A120-2021,0)</f>
        <v>13324.561138021387</v>
      </c>
      <c r="D120" s="196">
        <v>7566.6062664492283</v>
      </c>
      <c r="E120" s="196">
        <v>7566.6062664492283</v>
      </c>
      <c r="F120" s="196">
        <v>11530.638426812618</v>
      </c>
      <c r="G120" s="196">
        <v>8034.3381539842403</v>
      </c>
      <c r="I120" s="196">
        <v>32902.733339677856</v>
      </c>
      <c r="J120" s="196">
        <v>32902.733339677856</v>
      </c>
      <c r="K120" s="196">
        <v>33448.805177619048</v>
      </c>
      <c r="L120" s="196">
        <v>24726.624374379426</v>
      </c>
      <c r="M120" s="196">
        <f t="shared" si="0"/>
        <v>3816.0857040020564</v>
      </c>
      <c r="N120" s="196">
        <f t="shared" si="1"/>
        <v>29152.212777230681</v>
      </c>
      <c r="O120" s="196">
        <f t="shared" si="2"/>
        <v>23490.977511641195</v>
      </c>
    </row>
    <row r="121" spans="1:15" x14ac:dyDescent="0.3">
      <c r="A121" s="38">
        <v>2038</v>
      </c>
      <c r="B121" s="172">
        <f>SCRS!AP31/(1+SCRS!$DT$27)^MAX(Outputs!A121-2021,0)</f>
        <v>11688.249413612333</v>
      </c>
      <c r="D121" s="196">
        <v>5531.9871687793739</v>
      </c>
      <c r="E121" s="196">
        <v>5531.9871687793739</v>
      </c>
      <c r="F121" s="196">
        <v>10079.686601212865</v>
      </c>
      <c r="G121" s="196">
        <v>6114.4806534295494</v>
      </c>
      <c r="I121" s="196">
        <v>31269.083697976504</v>
      </c>
      <c r="J121" s="196">
        <v>31269.083697976504</v>
      </c>
      <c r="K121" s="196">
        <v>31779.785943643528</v>
      </c>
      <c r="L121" s="196">
        <v>21448.690000822571</v>
      </c>
      <c r="M121" s="196">
        <f t="shared" si="0"/>
        <v>1266.5580623795177</v>
      </c>
      <c r="N121" s="196">
        <f t="shared" si="1"/>
        <v>27003.654591576644</v>
      </c>
      <c r="O121" s="196">
        <f t="shared" si="2"/>
        <v>20043.401320011726</v>
      </c>
    </row>
    <row r="122" spans="1:15" x14ac:dyDescent="0.3">
      <c r="A122" s="38">
        <v>2039</v>
      </c>
      <c r="B122" s="172">
        <f>SCRS!AP32/(1+SCRS!$DT$27)^MAX(Outputs!A122-2021,0)</f>
        <v>9942.1642279835251</v>
      </c>
      <c r="D122" s="196">
        <v>3381.2601410240591</v>
      </c>
      <c r="E122" s="196">
        <v>3381.2601410240591</v>
      </c>
      <c r="F122" s="196">
        <v>8569.5993079528962</v>
      </c>
      <c r="G122" s="196">
        <v>4090.8771342109253</v>
      </c>
      <c r="I122" s="196">
        <v>29475.855083939856</v>
      </c>
      <c r="J122" s="196">
        <v>29475.855083939856</v>
      </c>
      <c r="K122" s="196">
        <v>30483.254845703617</v>
      </c>
      <c r="L122" s="196">
        <v>17657.129861758127</v>
      </c>
      <c r="M122" s="196">
        <v>0</v>
      </c>
      <c r="N122" s="196">
        <f t="shared" si="1"/>
        <v>24661.600346236879</v>
      </c>
      <c r="O122" s="196">
        <f t="shared" si="2"/>
        <v>16071.025036036575</v>
      </c>
    </row>
    <row r="123" spans="1:15" x14ac:dyDescent="0.3">
      <c r="A123" s="38">
        <v>2040</v>
      </c>
      <c r="B123" s="172">
        <f>SCRS!AP33/(1+SCRS!$DT$27)^MAX(Outputs!A123-2021,0)</f>
        <v>8080.5963585559357</v>
      </c>
      <c r="D123" s="196">
        <v>1310.4811840177078</v>
      </c>
      <c r="E123" s="196">
        <v>1310.4811840177078</v>
      </c>
      <c r="F123" s="196">
        <v>6998.1720672747051</v>
      </c>
      <c r="G123" s="196">
        <v>1961.6032883656542</v>
      </c>
      <c r="I123" s="196">
        <v>28868.670352522615</v>
      </c>
      <c r="J123" s="196">
        <v>28868.670352522615</v>
      </c>
      <c r="K123" s="196">
        <v>30222.178809753044</v>
      </c>
      <c r="L123" s="196">
        <v>15160.829609512537</v>
      </c>
      <c r="M123" s="196">
        <f t="shared" si="0"/>
        <v>-4085.82931243044</v>
      </c>
      <c r="N123" s="196">
        <f t="shared" si="1"/>
        <v>23472.359856074469</v>
      </c>
      <c r="O123" s="196">
        <f t="shared" si="2"/>
        <v>13382.960637919219</v>
      </c>
    </row>
    <row r="124" spans="1:15" x14ac:dyDescent="0.3">
      <c r="A124" s="38">
        <v>2041</v>
      </c>
      <c r="B124" s="172">
        <f>SCRS!AP34/(1+SCRS!$DT$27)^MAX(Outputs!A124-2021,0)</f>
        <v>6098.5307923489199</v>
      </c>
      <c r="D124" s="196">
        <v>-672.82386427173572</v>
      </c>
      <c r="E124" s="196">
        <v>-672.82386427173572</v>
      </c>
      <c r="F124" s="196">
        <v>5363.9313515617732</v>
      </c>
      <c r="G124" s="196">
        <v>-277.39588907358382</v>
      </c>
      <c r="I124" s="196">
        <v>28219.415843951836</v>
      </c>
      <c r="J124" s="196">
        <v>28219.415843951836</v>
      </c>
      <c r="K124" s="196">
        <v>29780.44524982537</v>
      </c>
      <c r="L124" s="196">
        <v>12415.694451591558</v>
      </c>
      <c r="M124" s="196">
        <f t="shared" si="0"/>
        <v>-6683.6468028568124</v>
      </c>
      <c r="N124" s="196">
        <f t="shared" si="1"/>
        <v>22208.592905366764</v>
      </c>
      <c r="O124" s="196">
        <f t="shared" si="2"/>
        <v>10435.368152116098</v>
      </c>
    </row>
    <row r="125" spans="1:15" x14ac:dyDescent="0.3">
      <c r="A125" s="38">
        <v>2042</v>
      </c>
      <c r="B125" s="172">
        <f>SCRS!AP35/(1+SCRS!$DT$27)^MAX(Outputs!A125-2021,0)</f>
        <v>6156.2029368554968</v>
      </c>
      <c r="D125" s="196">
        <v>-2560.7105405356897</v>
      </c>
      <c r="E125" s="196">
        <v>-745.49809135583735</v>
      </c>
      <c r="F125" s="196">
        <v>3658.9148058705123</v>
      </c>
      <c r="G125" s="196">
        <v>-361.4592777606573</v>
      </c>
      <c r="I125" s="196">
        <v>27527.649908249594</v>
      </c>
      <c r="J125" s="196">
        <v>27527.649908249594</v>
      </c>
      <c r="K125" s="196">
        <v>29150.452679402428</v>
      </c>
      <c r="L125" s="196">
        <v>11594.937762070458</v>
      </c>
      <c r="M125" s="196">
        <f t="shared" si="0"/>
        <v>-7397.4649851772192</v>
      </c>
      <c r="N125" s="196">
        <f t="shared" si="1"/>
        <v>20875.68301442821</v>
      </c>
      <c r="O125" s="196">
        <f t="shared" si="2"/>
        <v>9403.3801138634008</v>
      </c>
    </row>
    <row r="126" spans="1:15" x14ac:dyDescent="0.3">
      <c r="A126" s="38">
        <v>2043</v>
      </c>
      <c r="B126" s="172">
        <f>SCRS!AP36/(1+SCRS!$DT$27)^MAX(Outputs!A126-2021,0)</f>
        <v>6231.5732347904177</v>
      </c>
      <c r="D126" s="196">
        <v>-4344.722000688208</v>
      </c>
      <c r="E126" s="196">
        <v>-765.65172999161575</v>
      </c>
      <c r="F126" s="196">
        <v>2050.1822578631941</v>
      </c>
      <c r="G126" s="196">
        <v>-416.53069430098247</v>
      </c>
      <c r="I126" s="196">
        <v>26793.328103499174</v>
      </c>
      <c r="J126" s="196">
        <v>26793.328103499174</v>
      </c>
      <c r="K126" s="196">
        <v>28341.853274899597</v>
      </c>
      <c r="L126" s="196">
        <v>10947.7589886894</v>
      </c>
      <c r="M126" s="196">
        <f t="shared" si="0"/>
        <v>-8089.4274724412026</v>
      </c>
      <c r="N126" s="196">
        <f t="shared" si="1"/>
        <v>19469.552361049591</v>
      </c>
      <c r="O126" s="196">
        <f t="shared" si="2"/>
        <v>8534.867133044856</v>
      </c>
    </row>
    <row r="127" spans="1:15" x14ac:dyDescent="0.3">
      <c r="A127" s="38">
        <v>2044</v>
      </c>
      <c r="B127" s="172">
        <f>SCRS!AP37/(1+SCRS!$DT$27)^MAX(Outputs!A127-2021,0)</f>
        <v>6339.6854242803765</v>
      </c>
      <c r="D127" s="196">
        <v>-6015.9975690468918</v>
      </c>
      <c r="E127" s="196">
        <v>-777.97608436477958</v>
      </c>
      <c r="F127" s="196">
        <v>535.92522008454239</v>
      </c>
      <c r="G127" s="196">
        <v>-463.90531855059527</v>
      </c>
      <c r="I127" s="196">
        <v>26016.693944597268</v>
      </c>
      <c r="J127" s="196">
        <v>26016.693944597268</v>
      </c>
      <c r="K127" s="196">
        <v>27988.514140670133</v>
      </c>
      <c r="L127" s="196">
        <v>10507.105774727936</v>
      </c>
      <c r="M127" s="196">
        <f t="shared" si="0"/>
        <v>-8798.7665272189624</v>
      </c>
      <c r="N127" s="196">
        <f t="shared" si="1"/>
        <v>17995.903501743083</v>
      </c>
      <c r="O127" s="196">
        <f t="shared" si="2"/>
        <v>7864.5753893121</v>
      </c>
    </row>
    <row r="128" spans="1:15" x14ac:dyDescent="0.3">
      <c r="A128" s="38">
        <v>2045</v>
      </c>
      <c r="B128" s="172">
        <f>SCRS!AP38/(1+SCRS!$DT$27)^MAX(Outputs!A128-2021,0)</f>
        <v>6486.6364175479657</v>
      </c>
      <c r="D128" s="196">
        <v>-7565.2169478587148</v>
      </c>
      <c r="E128" s="196">
        <v>-781.36605227533812</v>
      </c>
      <c r="F128" s="196">
        <v>-884.07039374565784</v>
      </c>
      <c r="G128" s="196">
        <v>-501.93060237713911</v>
      </c>
      <c r="I128" s="196">
        <v>25198.316673682883</v>
      </c>
      <c r="J128" s="196">
        <v>25198.316673682883</v>
      </c>
      <c r="K128" s="196">
        <v>27618.391707392486</v>
      </c>
      <c r="L128" s="196">
        <v>10224.917776957673</v>
      </c>
      <c r="M128" s="196">
        <f t="shared" si="0"/>
        <v>-9519.4534040327053</v>
      </c>
      <c r="N128" s="196">
        <f t="shared" si="1"/>
        <v>16460.229321925515</v>
      </c>
      <c r="O128" s="196">
        <f t="shared" si="2"/>
        <v>7346.0666834213262</v>
      </c>
    </row>
    <row r="129" spans="1:15" x14ac:dyDescent="0.3">
      <c r="A129" s="38">
        <v>2046</v>
      </c>
      <c r="B129" s="172">
        <f>SCRS!AP39/(1+SCRS!$DT$27)^MAX(Outputs!A129-2021,0)</f>
        <v>6669.6941844495013</v>
      </c>
      <c r="D129" s="196">
        <v>-8982.5191141600917</v>
      </c>
      <c r="E129" s="196">
        <v>-774.65663200366259</v>
      </c>
      <c r="F129" s="196">
        <v>-992.44230177189627</v>
      </c>
      <c r="G129" s="196">
        <v>-529.52126547246371</v>
      </c>
      <c r="I129" s="196">
        <v>24339.169565106822</v>
      </c>
      <c r="J129" s="196">
        <v>24339.169565106822</v>
      </c>
      <c r="K129" s="196">
        <v>27075.187753230188</v>
      </c>
      <c r="L129" s="196">
        <v>10042.092699768635</v>
      </c>
      <c r="M129" s="196">
        <f t="shared" si="0"/>
        <v>-10253.635634507969</v>
      </c>
      <c r="N129" s="196">
        <f t="shared" si="1"/>
        <v>14860.190562602518</v>
      </c>
      <c r="O129" s="196">
        <f t="shared" si="2"/>
        <v>6919.1473722102528</v>
      </c>
    </row>
    <row r="130" spans="1:15" x14ac:dyDescent="0.3">
      <c r="A130" s="38">
        <v>2047</v>
      </c>
      <c r="B130" s="172">
        <f>SCRS!AP40/(1+SCRS!$DT$27)^MAX(Outputs!A130-2021,0)</f>
        <v>6854.5775250807037</v>
      </c>
      <c r="D130" s="196">
        <v>-10257.617661538401</v>
      </c>
      <c r="E130" s="196">
        <v>-756.78120394019288</v>
      </c>
      <c r="F130" s="196">
        <v>-1018.0366776735752</v>
      </c>
      <c r="G130" s="196">
        <v>-545.1392568545823</v>
      </c>
      <c r="I130" s="196">
        <v>23440.496047558947</v>
      </c>
      <c r="J130" s="196">
        <v>23440.496047558947</v>
      </c>
      <c r="K130" s="196">
        <v>26350.987680333343</v>
      </c>
      <c r="L130" s="196">
        <v>9912.9408390057797</v>
      </c>
      <c r="M130" s="196">
        <f t="shared" si="0"/>
        <v>-10995.746532863064</v>
      </c>
      <c r="N130" s="196">
        <f t="shared" si="1"/>
        <v>13201.530718636081</v>
      </c>
      <c r="O130" s="196">
        <f t="shared" si="2"/>
        <v>6539.6103437547572</v>
      </c>
    </row>
    <row r="131" spans="1:15" x14ac:dyDescent="0.3">
      <c r="A131" s="38">
        <v>2048</v>
      </c>
      <c r="B131" s="172">
        <f>SCRS!AP41/(1+SCRS!$DT$27)^MAX(Outputs!A131-2021,0)</f>
        <v>7043.0383160066385</v>
      </c>
      <c r="D131" s="196">
        <v>-11379.706841037356</v>
      </c>
      <c r="E131" s="196">
        <v>-726.69341472809526</v>
      </c>
      <c r="F131" s="196">
        <v>-1029.7570951101677</v>
      </c>
      <c r="G131" s="196">
        <v>-547.46136775702723</v>
      </c>
      <c r="I131" s="196">
        <v>22503.872964087219</v>
      </c>
      <c r="J131" s="196">
        <v>22503.872964087219</v>
      </c>
      <c r="K131" s="196">
        <v>25930.297512961566</v>
      </c>
      <c r="L131" s="196">
        <v>9718.0865241762094</v>
      </c>
      <c r="M131" s="196">
        <f t="shared" si="0"/>
        <v>-11744.103376521467</v>
      </c>
      <c r="N131" s="196">
        <f t="shared" si="1"/>
        <v>11486.463002293851</v>
      </c>
      <c r="O131" s="196">
        <f t="shared" si="2"/>
        <v>6088.2895858258271</v>
      </c>
    </row>
    <row r="132" spans="1:15" x14ac:dyDescent="0.3">
      <c r="A132" s="38">
        <v>2049</v>
      </c>
      <c r="B132" s="172">
        <f>SCRS!AP42/(1+SCRS!$DT$27)^MAX(Outputs!A132-2021,0)</f>
        <v>7238.3158828626138</v>
      </c>
      <c r="D132" s="196">
        <v>-12337.481706282062</v>
      </c>
      <c r="E132" s="196">
        <v>-683.42357216088294</v>
      </c>
      <c r="F132" s="196">
        <v>-1026.3616182162359</v>
      </c>
      <c r="G132" s="196">
        <v>-535.29974076988537</v>
      </c>
      <c r="I132" s="196">
        <v>21531.166882298894</v>
      </c>
      <c r="J132" s="196">
        <v>21531.166882298894</v>
      </c>
      <c r="K132" s="196">
        <v>25506.768348201353</v>
      </c>
      <c r="L132" s="196">
        <v>9478.3783550509852</v>
      </c>
      <c r="M132" s="196">
        <f t="shared" si="0"/>
        <v>-12497.03732539995</v>
      </c>
      <c r="N132" s="196">
        <f t="shared" si="1"/>
        <v>9717.5531290598301</v>
      </c>
      <c r="O132" s="196">
        <f t="shared" si="2"/>
        <v>5586.2640395207782</v>
      </c>
    </row>
    <row r="133" spans="1:15" x14ac:dyDescent="0.3">
      <c r="A133" s="38">
        <v>2050</v>
      </c>
      <c r="B133" s="172">
        <f>SCRS!AP43/(1+SCRS!$DT$27)^MAX(Outputs!A133-2021,0)</f>
        <v>7443.8489694921072</v>
      </c>
      <c r="D133" s="196">
        <v>-13119.124009423616</v>
      </c>
      <c r="E133" s="196">
        <v>-626.07825103028836</v>
      </c>
      <c r="F133" s="196">
        <v>-1006.6583843879772</v>
      </c>
      <c r="G133" s="196">
        <v>-507.53060559115403</v>
      </c>
      <c r="I133" s="196">
        <v>20524.514529690365</v>
      </c>
      <c r="J133" s="196">
        <v>20524.514529690365</v>
      </c>
      <c r="K133" s="196">
        <v>24921.119373434922</v>
      </c>
      <c r="L133" s="196">
        <v>9212.6726735802604</v>
      </c>
      <c r="M133" s="196">
        <f t="shared" si="0"/>
        <v>-13252.889507871951</v>
      </c>
      <c r="N133" s="196">
        <f t="shared" si="1"/>
        <v>7897.7032728487029</v>
      </c>
      <c r="O133" s="196">
        <f t="shared" si="2"/>
        <v>5052.6422308398323</v>
      </c>
    </row>
    <row r="134" spans="1:15" x14ac:dyDescent="0.3">
      <c r="A134" s="38"/>
      <c r="B134" s="38"/>
      <c r="D134" s="38"/>
      <c r="G134" s="38"/>
      <c r="I134" s="38"/>
      <c r="K134" s="38"/>
    </row>
    <row r="135" spans="1:15" x14ac:dyDescent="0.3">
      <c r="A135" s="38"/>
      <c r="B135" s="38" t="s">
        <v>304</v>
      </c>
      <c r="D135" s="38" t="s">
        <v>304</v>
      </c>
      <c r="E135" s="38" t="s">
        <v>304</v>
      </c>
      <c r="F135" s="38" t="s">
        <v>304</v>
      </c>
      <c r="G135" s="38" t="s">
        <v>304</v>
      </c>
      <c r="I135" s="38" t="s">
        <v>304</v>
      </c>
      <c r="J135" s="38" t="s">
        <v>304</v>
      </c>
      <c r="K135" s="38" t="s">
        <v>304</v>
      </c>
      <c r="L135" s="38" t="s">
        <v>304</v>
      </c>
    </row>
    <row r="136" spans="1:15" x14ac:dyDescent="0.3">
      <c r="A136" s="38">
        <v>2020</v>
      </c>
      <c r="B136" s="172">
        <f>SCRS!AD13/(1+SCRS!$DT$27)^MAX(Outputs!A136-2021,0)</f>
        <v>52061.245000000003</v>
      </c>
      <c r="D136" s="196">
        <v>52061.245000000003</v>
      </c>
      <c r="E136" s="196">
        <v>52061.245000000003</v>
      </c>
      <c r="F136" s="196">
        <v>52061.245000000003</v>
      </c>
      <c r="G136" s="196">
        <v>52061.245000000003</v>
      </c>
      <c r="I136" s="196">
        <v>52061.245000000003</v>
      </c>
      <c r="J136" s="196">
        <v>52061.245000000003</v>
      </c>
      <c r="K136" s="196">
        <v>52061.245000000003</v>
      </c>
      <c r="L136" s="196">
        <v>52061.245000000003</v>
      </c>
    </row>
    <row r="137" spans="1:15" x14ac:dyDescent="0.3">
      <c r="A137" s="38">
        <v>2021</v>
      </c>
      <c r="B137" s="172">
        <f>SCRS!AD14/(1+SCRS!$DT$27)^MAX(Outputs!A137-2021,0)</f>
        <v>55007.108220001966</v>
      </c>
      <c r="D137" s="196">
        <v>55010.297505299168</v>
      </c>
      <c r="E137" s="196">
        <v>55010.297505299168</v>
      </c>
      <c r="F137" s="196">
        <v>55010.297505299168</v>
      </c>
      <c r="G137" s="196">
        <v>55010.297505299168</v>
      </c>
      <c r="I137" s="196">
        <v>55010.297505299168</v>
      </c>
      <c r="J137" s="196">
        <v>55010.297505299168</v>
      </c>
      <c r="K137" s="196">
        <v>55010.297505299168</v>
      </c>
      <c r="L137" s="196">
        <v>55010.297505299168</v>
      </c>
    </row>
    <row r="138" spans="1:15" x14ac:dyDescent="0.3">
      <c r="A138" s="38">
        <v>2022</v>
      </c>
      <c r="B138" s="172">
        <f>SCRS!AD15/(1+SCRS!$DT$27)^MAX(Outputs!A138-2021,0)</f>
        <v>55300.063402271335</v>
      </c>
      <c r="D138" s="196">
        <v>55303.408642839786</v>
      </c>
      <c r="E138" s="196">
        <v>55303.408642839786</v>
      </c>
      <c r="F138" s="196">
        <v>55303.408642839786</v>
      </c>
      <c r="G138" s="196">
        <v>55303.408642839786</v>
      </c>
      <c r="I138" s="196">
        <v>55303.408642839786</v>
      </c>
      <c r="J138" s="196">
        <v>55303.408642839786</v>
      </c>
      <c r="K138" s="196">
        <v>55303.408642839786</v>
      </c>
      <c r="L138" s="196">
        <v>55303.408642839786</v>
      </c>
    </row>
    <row r="139" spans="1:15" x14ac:dyDescent="0.3">
      <c r="A139" s="38">
        <v>2023</v>
      </c>
      <c r="B139" s="172">
        <f>SCRS!AD16/(1+SCRS!$DT$27)^MAX(Outputs!A139-2021,0)</f>
        <v>55547.747607007652</v>
      </c>
      <c r="D139" s="196">
        <v>55551.256429022003</v>
      </c>
      <c r="E139" s="196">
        <v>55551.256429022003</v>
      </c>
      <c r="F139" s="196">
        <v>55551.256429022003</v>
      </c>
      <c r="G139" s="196">
        <v>55551.256429022003</v>
      </c>
      <c r="I139" s="196">
        <v>55551.256429022003</v>
      </c>
      <c r="J139" s="196">
        <v>55551.256429022003</v>
      </c>
      <c r="K139" s="196">
        <v>55551.256429022003</v>
      </c>
      <c r="L139" s="196">
        <v>55551.256429022003</v>
      </c>
    </row>
    <row r="140" spans="1:15" x14ac:dyDescent="0.3">
      <c r="A140" s="38">
        <v>2024</v>
      </c>
      <c r="B140" s="172">
        <f>SCRS!AD17/(1+SCRS!$DT$27)^MAX(Outputs!A140-2021,0)</f>
        <v>55740.627083783722</v>
      </c>
      <c r="D140" s="196">
        <v>55744.307486336671</v>
      </c>
      <c r="E140" s="196">
        <v>55744.307486336671</v>
      </c>
      <c r="F140" s="196">
        <v>55744.307486336671</v>
      </c>
      <c r="G140" s="196">
        <v>55744.307486336671</v>
      </c>
      <c r="I140" s="196">
        <v>55744.307486336671</v>
      </c>
      <c r="J140" s="196">
        <v>55744.307486336671</v>
      </c>
      <c r="K140" s="196">
        <v>55744.307486336671</v>
      </c>
      <c r="L140" s="196">
        <v>55744.307486336671</v>
      </c>
    </row>
    <row r="141" spans="1:15" x14ac:dyDescent="0.3">
      <c r="A141" s="38">
        <v>2025</v>
      </c>
      <c r="B141" s="172">
        <f>SCRS!AD18/(1+SCRS!$DT$27)^MAX(Outputs!A141-2021,0)</f>
        <v>55887.305360814549</v>
      </c>
      <c r="D141" s="196">
        <v>55891.165734152484</v>
      </c>
      <c r="E141" s="196">
        <v>55891.165734152484</v>
      </c>
      <c r="F141" s="196">
        <v>55891.165734152484</v>
      </c>
      <c r="G141" s="196">
        <v>55891.165734152484</v>
      </c>
      <c r="I141" s="196">
        <v>55891.165734152484</v>
      </c>
      <c r="J141" s="196">
        <v>55891.165734152484</v>
      </c>
      <c r="K141" s="196">
        <v>55891.165734152484</v>
      </c>
      <c r="L141" s="196">
        <v>55891.165734152484</v>
      </c>
    </row>
    <row r="142" spans="1:15" x14ac:dyDescent="0.3">
      <c r="A142" s="38">
        <v>2026</v>
      </c>
      <c r="B142" s="172">
        <f>SCRS!AD19/(1+SCRS!$DT$27)^MAX(Outputs!A142-2021,0)</f>
        <v>55987.397855234936</v>
      </c>
      <c r="D142" s="196">
        <v>55991.446999885244</v>
      </c>
      <c r="E142" s="196">
        <v>55991.446999885244</v>
      </c>
      <c r="F142" s="196">
        <v>55991.446999885244</v>
      </c>
      <c r="G142" s="196">
        <v>55991.446999885244</v>
      </c>
      <c r="I142" s="196">
        <v>55991.446999885244</v>
      </c>
      <c r="J142" s="196">
        <v>55991.446999885244</v>
      </c>
      <c r="K142" s="196">
        <v>55991.446999885244</v>
      </c>
      <c r="L142" s="196">
        <v>55991.446999885244</v>
      </c>
    </row>
    <row r="143" spans="1:15" x14ac:dyDescent="0.3">
      <c r="A143" s="38">
        <v>2027</v>
      </c>
      <c r="B143" s="172">
        <f>SCRS!AD20/(1+SCRS!$DT$27)^MAX(Outputs!A143-2021,0)</f>
        <v>56040.514127549279</v>
      </c>
      <c r="D143" s="196">
        <v>56044.761274382981</v>
      </c>
      <c r="E143" s="196">
        <v>56044.761274382981</v>
      </c>
      <c r="F143" s="196">
        <v>56044.761274382981</v>
      </c>
      <c r="G143" s="196">
        <v>56044.761274382981</v>
      </c>
      <c r="I143" s="196">
        <v>56044.761274382981</v>
      </c>
      <c r="J143" s="196">
        <v>56044.761274382981</v>
      </c>
      <c r="K143" s="196">
        <v>56044.761274382981</v>
      </c>
      <c r="L143" s="196">
        <v>56044.761274382981</v>
      </c>
    </row>
    <row r="144" spans="1:15" x14ac:dyDescent="0.3">
      <c r="A144" s="38">
        <v>2028</v>
      </c>
      <c r="B144" s="172">
        <f>SCRS!AD21/(1+SCRS!$DT$27)^MAX(Outputs!A144-2021,0)</f>
        <v>56046.258880668604</v>
      </c>
      <c r="D144" s="196">
        <v>56050.713711944052</v>
      </c>
      <c r="E144" s="196">
        <v>56050.713711944052</v>
      </c>
      <c r="F144" s="196">
        <v>56050.713711944052</v>
      </c>
      <c r="G144" s="196">
        <v>56050.713711944052</v>
      </c>
      <c r="I144" s="196">
        <v>56050.713711944052</v>
      </c>
      <c r="J144" s="196">
        <v>56050.713711944052</v>
      </c>
      <c r="K144" s="196">
        <v>56050.713711944052</v>
      </c>
      <c r="L144" s="196">
        <v>56050.713711944052</v>
      </c>
    </row>
    <row r="145" spans="1:12" x14ac:dyDescent="0.3">
      <c r="A145" s="38">
        <v>2029</v>
      </c>
      <c r="B145" s="172">
        <f>SCRS!AD22/(1+SCRS!$DT$27)^MAX(Outputs!A145-2021,0)</f>
        <v>56004.233035872174</v>
      </c>
      <c r="D145" s="196">
        <v>56008.9057073078</v>
      </c>
      <c r="E145" s="196">
        <v>56008.9057073078</v>
      </c>
      <c r="F145" s="196">
        <v>56008.9057073078</v>
      </c>
      <c r="G145" s="196">
        <v>56008.9057073078</v>
      </c>
      <c r="I145" s="196">
        <v>56008.9057073078</v>
      </c>
      <c r="J145" s="196">
        <v>56008.9057073078</v>
      </c>
      <c r="K145" s="196">
        <v>56008.9057073078</v>
      </c>
      <c r="L145" s="196">
        <v>56008.9057073078</v>
      </c>
    </row>
    <row r="146" spans="1:12" x14ac:dyDescent="0.3">
      <c r="A146" s="38">
        <v>2030</v>
      </c>
      <c r="B146" s="172">
        <f>SCRS!AD23/(1+SCRS!$DT$27)^MAX(Outputs!A146-2021,0)</f>
        <v>55914.034885646135</v>
      </c>
      <c r="D146" s="196">
        <v>55918.93604957249</v>
      </c>
      <c r="E146" s="196">
        <v>55918.93604957249</v>
      </c>
      <c r="F146" s="196">
        <v>55918.93604957249</v>
      </c>
      <c r="G146" s="196">
        <v>55918.93604957249</v>
      </c>
      <c r="I146" s="196">
        <v>55918.93604957249</v>
      </c>
      <c r="J146" s="196">
        <v>55918.93604957249</v>
      </c>
      <c r="K146" s="196">
        <v>55918.93604957249</v>
      </c>
      <c r="L146" s="196">
        <v>55918.93604957249</v>
      </c>
    </row>
    <row r="147" spans="1:12" x14ac:dyDescent="0.3">
      <c r="A147" s="38">
        <v>2031</v>
      </c>
      <c r="B147" s="172">
        <f>SCRS!AD24/(1+SCRS!$DT$27)^MAX(Outputs!A147-2021,0)</f>
        <v>55767.978923788294</v>
      </c>
      <c r="D147" s="196">
        <v>55773.119753432322</v>
      </c>
      <c r="E147" s="196">
        <v>55773.119753432322</v>
      </c>
      <c r="F147" s="196">
        <v>55773.119753432322</v>
      </c>
      <c r="G147" s="196">
        <v>55773.119753432322</v>
      </c>
      <c r="I147" s="196">
        <v>55773.119753432322</v>
      </c>
      <c r="J147" s="196">
        <v>55773.119753432322</v>
      </c>
      <c r="K147" s="196">
        <v>55773.119753432322</v>
      </c>
      <c r="L147" s="196">
        <v>55773.119753432322</v>
      </c>
    </row>
    <row r="148" spans="1:12" x14ac:dyDescent="0.3">
      <c r="A148" s="38">
        <v>2032</v>
      </c>
      <c r="B148" s="172">
        <f>SCRS!AD25/(1+SCRS!$DT$27)^MAX(Outputs!A148-2021,0)</f>
        <v>55572.875468489554</v>
      </c>
      <c r="D148" s="196">
        <v>55578.26768344624</v>
      </c>
      <c r="E148" s="196">
        <v>55578.26768344624</v>
      </c>
      <c r="F148" s="196">
        <v>55578.26768344624</v>
      </c>
      <c r="G148" s="196">
        <v>55578.26768344624</v>
      </c>
      <c r="I148" s="196">
        <v>55578.26768344624</v>
      </c>
      <c r="J148" s="196">
        <v>55578.26768344624</v>
      </c>
      <c r="K148" s="196">
        <v>55578.26768344624</v>
      </c>
      <c r="L148" s="196">
        <v>55578.26768344624</v>
      </c>
    </row>
    <row r="149" spans="1:12" x14ac:dyDescent="0.3">
      <c r="A149" s="38">
        <v>2033</v>
      </c>
      <c r="B149" s="172">
        <f>SCRS!AD26/(1+SCRS!$DT$27)^MAX(Outputs!A149-2021,0)</f>
        <v>55321.620506474726</v>
      </c>
      <c r="D149" s="196">
        <v>55327.276399424401</v>
      </c>
      <c r="E149" s="196">
        <v>55327.276399424401</v>
      </c>
      <c r="F149" s="196">
        <v>55327.276399424401</v>
      </c>
      <c r="G149" s="196">
        <v>55327.276399424401</v>
      </c>
      <c r="I149" s="196">
        <v>55327.276399424401</v>
      </c>
      <c r="J149" s="196">
        <v>55327.276399424401</v>
      </c>
      <c r="K149" s="196">
        <v>55327.276399424401</v>
      </c>
      <c r="L149" s="196">
        <v>55327.276399424401</v>
      </c>
    </row>
    <row r="150" spans="1:12" x14ac:dyDescent="0.3">
      <c r="A150" s="38">
        <v>2034</v>
      </c>
      <c r="B150" s="172">
        <f>SCRS!AD27/(1+SCRS!$DT$27)^MAX(Outputs!A150-2021,0)</f>
        <v>55014.081411247935</v>
      </c>
      <c r="D150" s="196">
        <v>55020.013875979981</v>
      </c>
      <c r="E150" s="196">
        <v>55020.013875979981</v>
      </c>
      <c r="F150" s="196">
        <v>55020.013875979981</v>
      </c>
      <c r="G150" s="196">
        <v>55020.013875979981</v>
      </c>
      <c r="I150" s="196">
        <v>55020.013875979981</v>
      </c>
      <c r="J150" s="196">
        <v>55020.013875979981</v>
      </c>
      <c r="K150" s="196">
        <v>55020.013875979981</v>
      </c>
      <c r="L150" s="196">
        <v>55020.013875979981</v>
      </c>
    </row>
    <row r="151" spans="1:12" x14ac:dyDescent="0.3">
      <c r="A151" s="38">
        <v>2035</v>
      </c>
      <c r="B151" s="172">
        <f>SCRS!AD28/(1+SCRS!$DT$27)^MAX(Outputs!A151-2021,0)</f>
        <v>54656.262699066443</v>
      </c>
      <c r="D151" s="196">
        <v>54662.485259873407</v>
      </c>
      <c r="E151" s="196">
        <v>54662.485259873407</v>
      </c>
      <c r="F151" s="196">
        <v>54662.485259873407</v>
      </c>
      <c r="G151" s="196">
        <v>54662.485259873407</v>
      </c>
      <c r="I151" s="196">
        <v>54662.485259873407</v>
      </c>
      <c r="J151" s="196">
        <v>54662.485259873407</v>
      </c>
      <c r="K151" s="196">
        <v>54662.485259873407</v>
      </c>
      <c r="L151" s="196">
        <v>54662.485259873407</v>
      </c>
    </row>
    <row r="152" spans="1:12" x14ac:dyDescent="0.3">
      <c r="A152" s="38">
        <v>2036</v>
      </c>
      <c r="B152" s="172">
        <f>SCRS!AD29/(1+SCRS!$DT$27)^MAX(Outputs!A152-2021,0)</f>
        <v>54241.984858726901</v>
      </c>
      <c r="D152" s="196">
        <v>54248.511701235919</v>
      </c>
      <c r="E152" s="196">
        <v>54248.511701235919</v>
      </c>
      <c r="F152" s="196">
        <v>54248.511701235919</v>
      </c>
      <c r="G152" s="196">
        <v>54248.511701235919</v>
      </c>
      <c r="I152" s="196">
        <v>54248.511701235919</v>
      </c>
      <c r="J152" s="196">
        <v>54248.511701235919</v>
      </c>
      <c r="K152" s="196">
        <v>54248.511701235919</v>
      </c>
      <c r="L152" s="196">
        <v>54248.511701235919</v>
      </c>
    </row>
    <row r="153" spans="1:12" x14ac:dyDescent="0.3">
      <c r="A153" s="38">
        <v>2037</v>
      </c>
      <c r="B153" s="172">
        <f>SCRS!AD30/(1+SCRS!$DT$27)^MAX(Outputs!A153-2021,0)</f>
        <v>53771.214220163252</v>
      </c>
      <c r="D153" s="196">
        <v>53778.060223675158</v>
      </c>
      <c r="E153" s="196">
        <v>53778.060223675158</v>
      </c>
      <c r="F153" s="196">
        <v>53778.060223675158</v>
      </c>
      <c r="G153" s="196">
        <v>53778.060223675158</v>
      </c>
      <c r="I153" s="196">
        <v>53778.060223675158</v>
      </c>
      <c r="J153" s="196">
        <v>53778.060223675158</v>
      </c>
      <c r="K153" s="196">
        <v>53778.060223675158</v>
      </c>
      <c r="L153" s="196">
        <v>53778.060223675158</v>
      </c>
    </row>
    <row r="154" spans="1:12" x14ac:dyDescent="0.3">
      <c r="A154" s="38">
        <v>2038</v>
      </c>
      <c r="B154" s="172">
        <f>SCRS!AD31/(1+SCRS!$DT$27)^MAX(Outputs!A154-2021,0)</f>
        <v>53243.958263378605</v>
      </c>
      <c r="D154" s="196">
        <v>53251.139034788415</v>
      </c>
      <c r="E154" s="196">
        <v>53251.139034788415</v>
      </c>
      <c r="F154" s="196">
        <v>53251.139034788415</v>
      </c>
      <c r="G154" s="196">
        <v>53251.139034788415</v>
      </c>
      <c r="I154" s="196">
        <v>53251.139034788415</v>
      </c>
      <c r="J154" s="196">
        <v>53251.139034788415</v>
      </c>
      <c r="K154" s="196">
        <v>53251.139034788415</v>
      </c>
      <c r="L154" s="196">
        <v>53251.139034788415</v>
      </c>
    </row>
    <row r="155" spans="1:12" x14ac:dyDescent="0.3">
      <c r="A155" s="38">
        <v>2039</v>
      </c>
      <c r="B155" s="172">
        <f>SCRS!AD32/(1+SCRS!$DT$27)^MAX(Outputs!A155-2021,0)</f>
        <v>52660.26925349579</v>
      </c>
      <c r="D155" s="196">
        <v>52667.801162871845</v>
      </c>
      <c r="E155" s="196">
        <v>52667.801162871845</v>
      </c>
      <c r="F155" s="196">
        <v>52667.801162871845</v>
      </c>
      <c r="G155" s="196">
        <v>52667.801162871845</v>
      </c>
      <c r="I155" s="196">
        <v>52667.801162871845</v>
      </c>
      <c r="J155" s="196">
        <v>52667.801162871845</v>
      </c>
      <c r="K155" s="196">
        <v>52667.801162871845</v>
      </c>
      <c r="L155" s="196">
        <v>52667.801162871845</v>
      </c>
    </row>
    <row r="156" spans="1:12" x14ac:dyDescent="0.3">
      <c r="A156" s="38">
        <v>2040</v>
      </c>
      <c r="B156" s="172">
        <f>SCRS!AD33/(1+SCRS!$DT$27)^MAX(Outputs!A156-2021,0)</f>
        <v>52020.248051082679</v>
      </c>
      <c r="D156" s="196">
        <v>52028.148268985686</v>
      </c>
      <c r="E156" s="196">
        <v>52028.148268985686</v>
      </c>
      <c r="F156" s="196">
        <v>52028.148268985686</v>
      </c>
      <c r="G156" s="196">
        <v>52028.148268985686</v>
      </c>
      <c r="I156" s="196">
        <v>52028.148268985686</v>
      </c>
      <c r="J156" s="196">
        <v>52028.148268985686</v>
      </c>
      <c r="K156" s="196">
        <v>52028.148268985686</v>
      </c>
      <c r="L156" s="196">
        <v>52028.148268985686</v>
      </c>
    </row>
    <row r="157" spans="1:12" x14ac:dyDescent="0.3">
      <c r="A157" s="38">
        <v>2041</v>
      </c>
      <c r="B157" s="172">
        <f>SCRS!AD34/(1+SCRS!$DT$27)^MAX(Outputs!A157-2021,0)</f>
        <v>51354.133601623944</v>
      </c>
      <c r="D157" s="196">
        <v>51362.420138250818</v>
      </c>
      <c r="E157" s="196">
        <v>51362.420138250818</v>
      </c>
      <c r="F157" s="196">
        <v>51362.420138250818</v>
      </c>
      <c r="G157" s="196">
        <v>51362.420138250818</v>
      </c>
      <c r="I157" s="196">
        <v>51362.420138250818</v>
      </c>
      <c r="J157" s="196">
        <v>51362.420138250818</v>
      </c>
      <c r="K157" s="196">
        <v>51362.420138250818</v>
      </c>
      <c r="L157" s="196">
        <v>51362.420138250818</v>
      </c>
    </row>
    <row r="158" spans="1:12" x14ac:dyDescent="0.3">
      <c r="A158" s="38">
        <v>2042</v>
      </c>
      <c r="B158" s="172">
        <f>SCRS!AD35/(1+SCRS!$DT$27)^MAX(Outputs!A158-2021,0)</f>
        <v>50697.876679480418</v>
      </c>
      <c r="D158" s="196">
        <v>50706.568425722304</v>
      </c>
      <c r="E158" s="196">
        <v>50706.568425722304</v>
      </c>
      <c r="F158" s="196">
        <v>50706.568425722304</v>
      </c>
      <c r="G158" s="196">
        <v>50706.568425722304</v>
      </c>
      <c r="I158" s="196">
        <v>50706.568425722304</v>
      </c>
      <c r="J158" s="196">
        <v>50706.568425722304</v>
      </c>
      <c r="K158" s="196">
        <v>50706.568425722304</v>
      </c>
      <c r="L158" s="196">
        <v>50706.568425722304</v>
      </c>
    </row>
    <row r="159" spans="1:12" x14ac:dyDescent="0.3">
      <c r="A159" s="38">
        <v>2043</v>
      </c>
      <c r="B159" s="172">
        <f>SCRS!AD36/(1+SCRS!$DT$27)^MAX(Outputs!A159-2021,0)</f>
        <v>50080.830984761073</v>
      </c>
      <c r="D159" s="196">
        <v>50089.947755269066</v>
      </c>
      <c r="E159" s="196">
        <v>50089.947755269066</v>
      </c>
      <c r="F159" s="196">
        <v>50089.947755269066</v>
      </c>
      <c r="G159" s="196">
        <v>50089.947755269066</v>
      </c>
      <c r="I159" s="196">
        <v>50089.947755269066</v>
      </c>
      <c r="J159" s="196">
        <v>50089.947755269066</v>
      </c>
      <c r="K159" s="196">
        <v>50089.947755269066</v>
      </c>
      <c r="L159" s="196">
        <v>50089.947755269066</v>
      </c>
    </row>
    <row r="160" spans="1:12" x14ac:dyDescent="0.3">
      <c r="A160" s="38">
        <v>2044</v>
      </c>
      <c r="B160" s="172">
        <f>SCRS!AD37/(1+SCRS!$DT$27)^MAX(Outputs!A160-2021,0)</f>
        <v>49540.203037387451</v>
      </c>
      <c r="D160" s="196">
        <v>49549.765615744247</v>
      </c>
      <c r="E160" s="196">
        <v>49549.765615744247</v>
      </c>
      <c r="F160" s="196">
        <v>49549.765615744247</v>
      </c>
      <c r="G160" s="196">
        <v>49549.765615744247</v>
      </c>
      <c r="I160" s="196">
        <v>49549.765615744247</v>
      </c>
      <c r="J160" s="196">
        <v>49549.765615744247</v>
      </c>
      <c r="K160" s="196">
        <v>49549.765615744247</v>
      </c>
      <c r="L160" s="196">
        <v>49549.765615744247</v>
      </c>
    </row>
    <row r="161" spans="1:12" x14ac:dyDescent="0.3">
      <c r="A161" s="38">
        <v>2045</v>
      </c>
      <c r="B161" s="172">
        <f>SCRS!AD38/(1+SCRS!$DT$27)^MAX(Outputs!A161-2021,0)</f>
        <v>49112.380570892434</v>
      </c>
      <c r="D161" s="196">
        <v>49122.410756992831</v>
      </c>
      <c r="E161" s="196">
        <v>49122.410756992831</v>
      </c>
      <c r="F161" s="196">
        <v>49122.410756992831</v>
      </c>
      <c r="G161" s="196">
        <v>49122.410756992831</v>
      </c>
      <c r="I161" s="196">
        <v>49122.410756992831</v>
      </c>
      <c r="J161" s="196">
        <v>49122.410756992831</v>
      </c>
      <c r="K161" s="196">
        <v>49122.410756992831</v>
      </c>
      <c r="L161" s="196">
        <v>49122.410756992831</v>
      </c>
    </row>
    <row r="162" spans="1:12" x14ac:dyDescent="0.3">
      <c r="A162" s="38">
        <v>2046</v>
      </c>
      <c r="B162" s="172">
        <f>SCRS!AD39/(1+SCRS!$DT$27)^MAX(Outputs!A162-2021,0)</f>
        <v>48827.349971667107</v>
      </c>
      <c r="D162" s="196">
        <v>48837.870631415455</v>
      </c>
      <c r="E162" s="196">
        <v>48837.870631415455</v>
      </c>
      <c r="F162" s="196">
        <v>48837.870631415455</v>
      </c>
      <c r="G162" s="196">
        <v>48837.870631415455</v>
      </c>
      <c r="I162" s="196">
        <v>48837.870631415455</v>
      </c>
      <c r="J162" s="196">
        <v>48837.870631415455</v>
      </c>
      <c r="K162" s="196">
        <v>48837.870631415455</v>
      </c>
      <c r="L162" s="196">
        <v>48837.870631415455</v>
      </c>
    </row>
    <row r="163" spans="1:12" x14ac:dyDescent="0.3">
      <c r="A163" s="38">
        <v>2047</v>
      </c>
      <c r="B163" s="172">
        <f>SCRS!AD40/(1+SCRS!$DT$27)^MAX(Outputs!A163-2021,0)</f>
        <v>48719.170458270608</v>
      </c>
      <c r="D163" s="196">
        <v>48730.205575708358</v>
      </c>
      <c r="E163" s="196">
        <v>48730.205575708358</v>
      </c>
      <c r="F163" s="196">
        <v>48730.205575708358</v>
      </c>
      <c r="G163" s="196">
        <v>48730.205575708358</v>
      </c>
      <c r="I163" s="196">
        <v>48730.205575708358</v>
      </c>
      <c r="J163" s="196">
        <v>48730.205575708358</v>
      </c>
      <c r="K163" s="196">
        <v>48730.205575708358</v>
      </c>
      <c r="L163" s="196">
        <v>48730.205575708358</v>
      </c>
    </row>
    <row r="164" spans="1:12" x14ac:dyDescent="0.3">
      <c r="A164" s="38">
        <v>2048</v>
      </c>
      <c r="B164" s="172">
        <f>SCRS!AD41/(1+SCRS!$DT$27)^MAX(Outputs!A164-2021,0)</f>
        <v>48817.626844578008</v>
      </c>
      <c r="D164" s="196">
        <v>48829.201576560408</v>
      </c>
      <c r="E164" s="196">
        <v>48829.201576560408</v>
      </c>
      <c r="F164" s="196">
        <v>48829.201576560408</v>
      </c>
      <c r="G164" s="196">
        <v>48829.201576560408</v>
      </c>
      <c r="I164" s="196">
        <v>48829.201576560408</v>
      </c>
      <c r="J164" s="196">
        <v>48829.201576560408</v>
      </c>
      <c r="K164" s="196">
        <v>48829.201576560408</v>
      </c>
      <c r="L164" s="196">
        <v>48829.201576560408</v>
      </c>
    </row>
    <row r="165" spans="1:12" x14ac:dyDescent="0.3">
      <c r="A165" s="38">
        <v>2049</v>
      </c>
      <c r="B165" s="172">
        <f>SCRS!AD42/(1+SCRS!$DT$27)^MAX(Outputs!A165-2021,0)</f>
        <v>49150.534812725695</v>
      </c>
      <c r="D165" s="196">
        <v>49162.675546272025</v>
      </c>
      <c r="E165" s="196">
        <v>49162.675546272025</v>
      </c>
      <c r="F165" s="196">
        <v>49162.675546272025</v>
      </c>
      <c r="G165" s="196">
        <v>49162.675546272025</v>
      </c>
      <c r="I165" s="196">
        <v>49162.675546272025</v>
      </c>
      <c r="J165" s="196">
        <v>49162.675546272025</v>
      </c>
      <c r="K165" s="196">
        <v>49162.675546272025</v>
      </c>
      <c r="L165" s="196">
        <v>49162.675546272025</v>
      </c>
    </row>
    <row r="166" spans="1:12" x14ac:dyDescent="0.3">
      <c r="A166" s="38">
        <v>2050</v>
      </c>
      <c r="B166" s="172">
        <f>SCRS!AD43/(1+SCRS!$DT$27)^MAX(Outputs!A166-2021,0)</f>
        <v>49743.449652581752</v>
      </c>
      <c r="D166" s="196">
        <v>49756.184065030102</v>
      </c>
      <c r="E166" s="196">
        <v>49756.184065030102</v>
      </c>
      <c r="F166" s="196">
        <v>49756.184065030102</v>
      </c>
      <c r="G166" s="196">
        <v>49756.184065030102</v>
      </c>
      <c r="I166" s="196">
        <v>49756.184065030102</v>
      </c>
      <c r="J166" s="196">
        <v>49756.184065030102</v>
      </c>
      <c r="K166" s="196">
        <v>49756.184065030102</v>
      </c>
      <c r="L166" s="196">
        <v>49756.184065030102</v>
      </c>
    </row>
    <row r="167" spans="1:12" x14ac:dyDescent="0.3">
      <c r="A167" s="38"/>
      <c r="B167" s="38"/>
      <c r="D167" s="38"/>
      <c r="G167" s="38"/>
      <c r="I167" s="38"/>
      <c r="K167" s="38"/>
    </row>
    <row r="168" spans="1:12" x14ac:dyDescent="0.3">
      <c r="A168" s="38"/>
      <c r="B168" s="38" t="s">
        <v>305</v>
      </c>
      <c r="D168" s="38" t="s">
        <v>305</v>
      </c>
      <c r="E168" s="38" t="s">
        <v>305</v>
      </c>
      <c r="F168" s="38" t="s">
        <v>305</v>
      </c>
      <c r="G168" s="38" t="s">
        <v>305</v>
      </c>
      <c r="I168" s="38" t="s">
        <v>305</v>
      </c>
      <c r="J168" s="38" t="s">
        <v>305</v>
      </c>
      <c r="K168" s="38" t="s">
        <v>305</v>
      </c>
      <c r="L168" s="38" t="s">
        <v>305</v>
      </c>
    </row>
    <row r="169" spans="1:12" x14ac:dyDescent="0.3">
      <c r="A169" s="38">
        <v>2020</v>
      </c>
      <c r="B169" s="172">
        <f>SCRS!AK13/(1+SCRS!$DT$27)^MAX(Outputs!A169-2021,0)</f>
        <v>26292.418000000001</v>
      </c>
      <c r="D169" s="196">
        <v>26292.418000000001</v>
      </c>
      <c r="E169" s="196">
        <v>26292.418000000001</v>
      </c>
      <c r="F169" s="196">
        <v>26292.418000000001</v>
      </c>
      <c r="G169" s="196">
        <v>26292.418000000001</v>
      </c>
      <c r="I169" s="196">
        <v>26292.418000000001</v>
      </c>
      <c r="J169" s="196">
        <v>26292.418000000001</v>
      </c>
      <c r="K169" s="196">
        <v>26292.418000000001</v>
      </c>
      <c r="L169" s="196">
        <v>26292.418000000001</v>
      </c>
    </row>
    <row r="170" spans="1:12" x14ac:dyDescent="0.3">
      <c r="A170" s="38">
        <v>2021</v>
      </c>
      <c r="B170" s="172">
        <f>SCRS!AK14/(1+SCRS!$DT$27)^MAX(Outputs!A170-2021,0)</f>
        <v>27003.936436782373</v>
      </c>
      <c r="D170" s="196">
        <v>27528.529982282307</v>
      </c>
      <c r="E170" s="196">
        <v>27528.529982282307</v>
      </c>
      <c r="F170" s="196">
        <v>27493.235120666312</v>
      </c>
      <c r="G170" s="196">
        <v>27493.235120666312</v>
      </c>
      <c r="I170" s="196">
        <v>19472.896648386504</v>
      </c>
      <c r="J170" s="196">
        <v>19472.896648386504</v>
      </c>
      <c r="K170" s="196">
        <v>19443.150797895487</v>
      </c>
      <c r="L170" s="196">
        <v>19443.150797895487</v>
      </c>
    </row>
    <row r="171" spans="1:12" x14ac:dyDescent="0.3">
      <c r="A171" s="38">
        <v>2022</v>
      </c>
      <c r="B171" s="172">
        <f>SCRS!AK15/(1+SCRS!$DT$27)^MAX(Outputs!A171-2021,0)</f>
        <v>27647.380741274697</v>
      </c>
      <c r="D171" s="196">
        <v>28318.246979777097</v>
      </c>
      <c r="E171" s="196">
        <v>28318.246979777097</v>
      </c>
      <c r="F171" s="196">
        <v>28245.758755431285</v>
      </c>
      <c r="G171" s="196">
        <v>28421.874285480397</v>
      </c>
      <c r="I171" s="196">
        <v>20641.108533572038</v>
      </c>
      <c r="J171" s="196">
        <v>20641.108533572038</v>
      </c>
      <c r="K171" s="196">
        <v>20572.604987838989</v>
      </c>
      <c r="L171" s="196">
        <v>20751.982193686701</v>
      </c>
    </row>
    <row r="172" spans="1:12" x14ac:dyDescent="0.3">
      <c r="A172" s="38">
        <v>2023</v>
      </c>
      <c r="B172" s="172">
        <f>SCRS!AK16/(1+SCRS!$DT$27)^MAX(Outputs!A172-2021,0)</f>
        <v>28341.152207849485</v>
      </c>
      <c r="D172" s="196">
        <v>29261.750844601906</v>
      </c>
      <c r="E172" s="196">
        <v>29261.750844601906</v>
      </c>
      <c r="F172" s="196">
        <v>29113.905398542345</v>
      </c>
      <c r="G172" s="196">
        <v>29380.516540316014</v>
      </c>
      <c r="I172" s="196">
        <v>22028.559115234104</v>
      </c>
      <c r="J172" s="196">
        <v>22028.559115234104</v>
      </c>
      <c r="K172" s="196">
        <v>21880.870352121601</v>
      </c>
      <c r="L172" s="196">
        <v>22285.321023455283</v>
      </c>
    </row>
    <row r="173" spans="1:12" x14ac:dyDescent="0.3">
      <c r="A173" s="38">
        <v>2024</v>
      </c>
      <c r="B173" s="172">
        <f>SCRS!AK17/(1+SCRS!$DT$27)^MAX(Outputs!A173-2021,0)</f>
        <v>29100.230153091888</v>
      </c>
      <c r="D173" s="196">
        <v>30368.299934736351</v>
      </c>
      <c r="E173" s="196">
        <v>30368.299934736351</v>
      </c>
      <c r="F173" s="196">
        <v>30093.792828657632</v>
      </c>
      <c r="G173" s="196">
        <v>30390.855341320977</v>
      </c>
      <c r="I173" s="196">
        <v>23656.163031433014</v>
      </c>
      <c r="J173" s="196">
        <v>23656.163031433014</v>
      </c>
      <c r="K173" s="196">
        <v>23373.823744186353</v>
      </c>
      <c r="L173" s="196">
        <v>24103.887133327655</v>
      </c>
    </row>
    <row r="174" spans="1:12" x14ac:dyDescent="0.3">
      <c r="A174" s="38">
        <v>2025</v>
      </c>
      <c r="B174" s="172">
        <f>SCRS!AK18/(1+SCRS!$DT$27)^MAX(Outputs!A174-2021,0)</f>
        <v>29931.44543278409</v>
      </c>
      <c r="D174" s="196">
        <v>31521.075623172826</v>
      </c>
      <c r="E174" s="196">
        <v>31521.075623172826</v>
      </c>
      <c r="F174" s="196">
        <v>31078.729228688018</v>
      </c>
      <c r="G174" s="196">
        <v>31461.866482212219</v>
      </c>
      <c r="I174" s="196">
        <v>24392.781086491312</v>
      </c>
      <c r="J174" s="196">
        <v>24392.781086491312</v>
      </c>
      <c r="K174" s="196">
        <v>23945.720953440188</v>
      </c>
      <c r="L174" s="196">
        <v>25032.644583721321</v>
      </c>
    </row>
    <row r="175" spans="1:12" x14ac:dyDescent="0.3">
      <c r="A175" s="38">
        <v>2026</v>
      </c>
      <c r="B175" s="172">
        <f>SCRS!AK19/(1+SCRS!$DT$27)^MAX(Outputs!A175-2021,0)</f>
        <v>30833.560184003389</v>
      </c>
      <c r="D175" s="196">
        <v>32722.443406541988</v>
      </c>
      <c r="E175" s="196">
        <v>32722.443406541988</v>
      </c>
      <c r="F175" s="196">
        <v>32069.58493029276</v>
      </c>
      <c r="G175" s="196">
        <v>32588.587909591806</v>
      </c>
      <c r="I175" s="196">
        <v>25279.124280120453</v>
      </c>
      <c r="J175" s="196">
        <v>25279.124280120453</v>
      </c>
      <c r="K175" s="196">
        <v>24626.559250159393</v>
      </c>
      <c r="L175" s="196">
        <v>26090.656615873711</v>
      </c>
    </row>
    <row r="176" spans="1:12" x14ac:dyDescent="0.3">
      <c r="A176" s="38">
        <v>2027</v>
      </c>
      <c r="B176" s="172">
        <f>SCRS!AK20/(1+SCRS!$DT$27)^MAX(Outputs!A176-2021,0)</f>
        <v>31777.738310287688</v>
      </c>
      <c r="D176" s="196">
        <v>33974.884198515574</v>
      </c>
      <c r="E176" s="196">
        <v>33974.884198515574</v>
      </c>
      <c r="F176" s="196">
        <v>33067.353368800847</v>
      </c>
      <c r="G176" s="196">
        <v>33738.38788480431</v>
      </c>
      <c r="I176" s="196">
        <v>26322.772081424322</v>
      </c>
      <c r="J176" s="196">
        <v>26322.772081424322</v>
      </c>
      <c r="K176" s="196">
        <v>25422.924827287781</v>
      </c>
      <c r="L176" s="196">
        <v>27242.60749001053</v>
      </c>
    </row>
    <row r="177" spans="1:12" x14ac:dyDescent="0.3">
      <c r="A177" s="38">
        <v>2028</v>
      </c>
      <c r="B177" s="172">
        <f>SCRS!AK21/(1+SCRS!$DT$27)^MAX(Outputs!A177-2021,0)</f>
        <v>32765.894598914394</v>
      </c>
      <c r="D177" s="196">
        <v>35280.999775844546</v>
      </c>
      <c r="E177" s="196">
        <v>35280.999775844546</v>
      </c>
      <c r="F177" s="196">
        <v>34073.094246919616</v>
      </c>
      <c r="G177" s="196">
        <v>34912.812222324443</v>
      </c>
      <c r="I177" s="196">
        <v>26852.095818954356</v>
      </c>
      <c r="J177" s="196">
        <v>26852.095818954356</v>
      </c>
      <c r="K177" s="196">
        <v>26341.706584741973</v>
      </c>
      <c r="L177" s="196">
        <v>28380.87580933451</v>
      </c>
    </row>
    <row r="178" spans="1:12" x14ac:dyDescent="0.3">
      <c r="A178" s="38">
        <v>2029</v>
      </c>
      <c r="B178" s="172">
        <f>SCRS!AK22/(1+SCRS!$DT$27)^MAX(Outputs!A178-2021,0)</f>
        <v>33801.038581713387</v>
      </c>
      <c r="D178" s="196">
        <v>36643.51847844143</v>
      </c>
      <c r="E178" s="196">
        <v>36643.51847844143</v>
      </c>
      <c r="F178" s="196">
        <v>35087.934106127483</v>
      </c>
      <c r="G178" s="196">
        <v>36114.438294358166</v>
      </c>
      <c r="I178" s="196">
        <v>27395.368847425823</v>
      </c>
      <c r="J178" s="196">
        <v>27395.368847425823</v>
      </c>
      <c r="K178" s="196">
        <v>26567.045642974532</v>
      </c>
      <c r="L178" s="196">
        <v>29524.29615343656</v>
      </c>
    </row>
    <row r="179" spans="1:12" x14ac:dyDescent="0.3">
      <c r="A179" s="38">
        <v>2030</v>
      </c>
      <c r="B179" s="172">
        <f>SCRS!AK23/(1+SCRS!$DT$27)^MAX(Outputs!A179-2021,0)</f>
        <v>34886.322243445829</v>
      </c>
      <c r="D179" s="196">
        <v>38065.301175320164</v>
      </c>
      <c r="E179" s="196">
        <v>38065.301175320164</v>
      </c>
      <c r="F179" s="196">
        <v>36113.068312789503</v>
      </c>
      <c r="G179" s="196">
        <v>37345.954544522952</v>
      </c>
      <c r="I179" s="196">
        <v>28139.678195092241</v>
      </c>
      <c r="J179" s="196">
        <v>28139.678195092241</v>
      </c>
      <c r="K179" s="196">
        <v>26769.183510796724</v>
      </c>
      <c r="L179" s="196">
        <v>30692.06711188714</v>
      </c>
    </row>
    <row r="180" spans="1:12" x14ac:dyDescent="0.3">
      <c r="A180" s="38">
        <v>2031</v>
      </c>
      <c r="B180" s="172">
        <f>SCRS!AK24/(1+SCRS!$DT$27)^MAX(Outputs!A180-2021,0)</f>
        <v>36025.485382199557</v>
      </c>
      <c r="D180" s="196">
        <v>39549.791285385407</v>
      </c>
      <c r="E180" s="196">
        <v>39549.791285385407</v>
      </c>
      <c r="F180" s="196">
        <v>37139.002264428833</v>
      </c>
      <c r="G180" s="196">
        <v>38605.634599297024</v>
      </c>
      <c r="I180" s="196">
        <v>29095.808636009871</v>
      </c>
      <c r="J180" s="196">
        <v>29095.808636009871</v>
      </c>
      <c r="K180" s="196">
        <v>27111.854002154076</v>
      </c>
      <c r="L180" s="196">
        <v>31899.355249021221</v>
      </c>
    </row>
    <row r="181" spans="1:12" x14ac:dyDescent="0.3">
      <c r="A181" s="38">
        <v>2032</v>
      </c>
      <c r="B181" s="172">
        <f>SCRS!AK25/(1+SCRS!$DT$27)^MAX(Outputs!A181-2021,0)</f>
        <v>37221.602611149669</v>
      </c>
      <c r="D181" s="196">
        <v>41099.763523674381</v>
      </c>
      <c r="E181" s="196">
        <v>41099.763523674381</v>
      </c>
      <c r="F181" s="196">
        <v>38177.513456094101</v>
      </c>
      <c r="G181" s="196">
        <v>39900.946574220943</v>
      </c>
      <c r="I181" s="196">
        <v>29706.880294274106</v>
      </c>
      <c r="J181" s="196">
        <v>29706.880294274106</v>
      </c>
      <c r="K181" s="196">
        <v>27609.229714505836</v>
      </c>
      <c r="L181" s="196">
        <v>33154.853770907088</v>
      </c>
    </row>
    <row r="182" spans="1:12" x14ac:dyDescent="0.3">
      <c r="A182" s="38">
        <v>2033</v>
      </c>
      <c r="B182" s="172">
        <f>SCRS!AK26/(1+SCRS!$DT$27)^MAX(Outputs!A182-2021,0)</f>
        <v>38478.82666001506</v>
      </c>
      <c r="D182" s="196">
        <v>42719.069538194803</v>
      </c>
      <c r="E182" s="196">
        <v>42719.069538194803</v>
      </c>
      <c r="F182" s="196">
        <v>39219.523939956991</v>
      </c>
      <c r="G182" s="196">
        <v>41230.812252926138</v>
      </c>
      <c r="I182" s="196">
        <v>30336.458239464118</v>
      </c>
      <c r="J182" s="196">
        <v>30336.458239464118</v>
      </c>
      <c r="K182" s="196">
        <v>28257.341318091083</v>
      </c>
      <c r="L182" s="196">
        <v>34458.763909453875</v>
      </c>
    </row>
    <row r="183" spans="1:12" x14ac:dyDescent="0.3">
      <c r="A183" s="38">
        <v>2034</v>
      </c>
      <c r="B183" s="172">
        <f>SCRS!AK27/(1+SCRS!$DT$27)^MAX(Outputs!A183-2021,0)</f>
        <v>39801.050700175496</v>
      </c>
      <c r="D183" s="196">
        <v>44411.304551383044</v>
      </c>
      <c r="E183" s="196">
        <v>44411.304551383044</v>
      </c>
      <c r="F183" s="196">
        <v>40266.398498748669</v>
      </c>
      <c r="G183" s="196">
        <v>42598.691482900889</v>
      </c>
      <c r="I183" s="196">
        <v>30985.584621718972</v>
      </c>
      <c r="J183" s="196">
        <v>30985.584621718972</v>
      </c>
      <c r="K183" s="196">
        <v>28381.301168609571</v>
      </c>
      <c r="L183" s="196">
        <v>35815.893599030234</v>
      </c>
    </row>
    <row r="184" spans="1:12" x14ac:dyDescent="0.3">
      <c r="A184" s="38">
        <v>2035</v>
      </c>
      <c r="B184" s="172">
        <f>SCRS!AK28/(1+SCRS!$DT$27)^MAX(Outputs!A184-2021,0)</f>
        <v>41191.689300061174</v>
      </c>
      <c r="D184" s="196">
        <v>46179.579323809281</v>
      </c>
      <c r="E184" s="196">
        <v>46179.579323809281</v>
      </c>
      <c r="F184" s="196">
        <v>41329.712982649602</v>
      </c>
      <c r="G184" s="196">
        <v>44011.944714412646</v>
      </c>
      <c r="I184" s="196">
        <v>31654.691319076581</v>
      </c>
      <c r="J184" s="196">
        <v>31654.691319076581</v>
      </c>
      <c r="K184" s="196">
        <v>28483.979683115107</v>
      </c>
      <c r="L184" s="196">
        <v>37234.989612119236</v>
      </c>
    </row>
    <row r="185" spans="1:12" x14ac:dyDescent="0.3">
      <c r="A185" s="38">
        <v>2036</v>
      </c>
      <c r="B185" s="172">
        <f>SCRS!AK29/(1+SCRS!$DT$27)^MAX(Outputs!A185-2021,0)</f>
        <v>42655.579119267</v>
      </c>
      <c r="D185" s="196">
        <v>48028.421867674326</v>
      </c>
      <c r="E185" s="196">
        <v>48028.421867674326</v>
      </c>
      <c r="F185" s="196">
        <v>42401.33668078862</v>
      </c>
      <c r="G185" s="196">
        <v>45470.79500438994</v>
      </c>
      <c r="I185" s="196">
        <v>23130.101197090862</v>
      </c>
      <c r="J185" s="196">
        <v>23130.101197090862</v>
      </c>
      <c r="K185" s="196">
        <v>20492.533737268863</v>
      </c>
      <c r="L185" s="196">
        <v>27775.089165103462</v>
      </c>
    </row>
    <row r="186" spans="1:12" x14ac:dyDescent="0.3">
      <c r="A186" s="38">
        <v>2037</v>
      </c>
      <c r="B186" s="172">
        <f>SCRS!AK30/(1+SCRS!$DT$27)^MAX(Outputs!A186-2021,0)</f>
        <v>44197.173644589049</v>
      </c>
      <c r="D186" s="196">
        <v>49961.974519673102</v>
      </c>
      <c r="E186" s="196">
        <v>49961.974519673102</v>
      </c>
      <c r="F186" s="196">
        <v>43483.068659600765</v>
      </c>
      <c r="G186" s="196">
        <v>46979.368932429148</v>
      </c>
      <c r="I186" s="196">
        <v>24625.847446444477</v>
      </c>
      <c r="J186" s="196">
        <v>24625.847446444477</v>
      </c>
      <c r="K186" s="196">
        <v>21564.901908794338</v>
      </c>
      <c r="L186" s="196">
        <v>30287.082712033964</v>
      </c>
    </row>
    <row r="187" spans="1:12" x14ac:dyDescent="0.3">
      <c r="A187" s="38">
        <v>2038</v>
      </c>
      <c r="B187" s="172">
        <f>SCRS!AK31/(1+SCRS!$DT$27)^MAX(Outputs!A187-2021,0)</f>
        <v>45821.137956166131</v>
      </c>
      <c r="D187" s="196">
        <v>51984.580972408898</v>
      </c>
      <c r="E187" s="196">
        <v>51984.580972408898</v>
      </c>
      <c r="F187" s="196">
        <v>44576.741114386394</v>
      </c>
      <c r="G187" s="196">
        <v>48541.947062169704</v>
      </c>
      <c r="I187" s="196">
        <v>26247.484443211772</v>
      </c>
      <c r="J187" s="196">
        <v>26247.484443211772</v>
      </c>
      <c r="K187" s="196">
        <v>22876.641771955725</v>
      </c>
      <c r="L187" s="196">
        <v>33207.737714776689</v>
      </c>
    </row>
    <row r="188" spans="1:12" x14ac:dyDescent="0.3">
      <c r="A188" s="38">
        <v>2039</v>
      </c>
      <c r="B188" s="172">
        <f>SCRS!AK32/(1+SCRS!$DT$27)^MAX(Outputs!A188-2021,0)</f>
        <v>47532.359763215238</v>
      </c>
      <c r="D188" s="196">
        <v>54100.795759550761</v>
      </c>
      <c r="E188" s="196">
        <v>54100.795759550761</v>
      </c>
      <c r="F188" s="196">
        <v>45684.306680640497</v>
      </c>
      <c r="G188" s="196">
        <v>50163.028854382472</v>
      </c>
      <c r="I188" s="196">
        <v>28006.200816634966</v>
      </c>
      <c r="J188" s="196">
        <v>28006.200816634966</v>
      </c>
      <c r="K188" s="196">
        <v>23770.651142889779</v>
      </c>
      <c r="L188" s="196">
        <v>36596.77612683527</v>
      </c>
    </row>
    <row r="189" spans="1:12" x14ac:dyDescent="0.3">
      <c r="A189" s="38">
        <v>2040</v>
      </c>
      <c r="B189" s="172">
        <f>SCRS!AK33/(1+SCRS!$DT$27)^MAX(Outputs!A189-2021,0)</f>
        <v>49335.962188974896</v>
      </c>
      <c r="D189" s="196">
        <v>56113.977581416126</v>
      </c>
      <c r="E189" s="196">
        <v>56113.977581416126</v>
      </c>
      <c r="F189" s="196">
        <v>46807.845173304297</v>
      </c>
      <c r="G189" s="196">
        <v>51844.413952213348</v>
      </c>
      <c r="I189" s="196">
        <v>28555.788412911217</v>
      </c>
      <c r="J189" s="196">
        <v>28555.788412911217</v>
      </c>
      <c r="K189" s="196">
        <v>23583.838430825956</v>
      </c>
      <c r="L189" s="196">
        <v>38645.187631066467</v>
      </c>
    </row>
    <row r="190" spans="1:12" x14ac:dyDescent="0.3">
      <c r="A190" s="38">
        <v>2041</v>
      </c>
      <c r="B190" s="172">
        <f>SCRS!AK34/(1+SCRS!$DT$27)^MAX(Outputs!A190-2021,0)</f>
        <v>51266.425747860092</v>
      </c>
      <c r="D190" s="196">
        <v>58046.066941107631</v>
      </c>
      <c r="E190" s="196">
        <v>58046.066941107631</v>
      </c>
      <c r="F190" s="196">
        <v>47978.815086164504</v>
      </c>
      <c r="G190" s="196">
        <v>53620.142326799862</v>
      </c>
      <c r="I190" s="196">
        <v>29153.827232884054</v>
      </c>
      <c r="J190" s="196">
        <v>29153.827232884054</v>
      </c>
      <c r="K190" s="196">
        <v>23562.301187900906</v>
      </c>
      <c r="L190" s="196">
        <v>40927.05198613472</v>
      </c>
    </row>
    <row r="191" spans="1:12" x14ac:dyDescent="0.3">
      <c r="A191" s="38">
        <v>2042</v>
      </c>
      <c r="B191" s="172">
        <f>SCRS!AK35/(1+SCRS!$DT$27)^MAX(Outputs!A191-2021,0)</f>
        <v>51193.640636446304</v>
      </c>
      <c r="D191" s="196">
        <v>59919.245860079376</v>
      </c>
      <c r="E191" s="196">
        <v>58104.033410899523</v>
      </c>
      <c r="F191" s="196">
        <v>49239.211268058854</v>
      </c>
      <c r="G191" s="196">
        <v>53259.585351690024</v>
      </c>
      <c r="I191" s="196">
        <v>29830.885411294094</v>
      </c>
      <c r="J191" s="196">
        <v>29830.885411294094</v>
      </c>
      <c r="K191" s="196">
        <v>23747.673394526937</v>
      </c>
      <c r="L191" s="196">
        <v>41303.188311858903</v>
      </c>
    </row>
    <row r="192" spans="1:12" x14ac:dyDescent="0.3">
      <c r="A192" s="38">
        <v>2043</v>
      </c>
      <c r="B192" s="172">
        <f>SCRS!AK36/(1+SCRS!$DT$27)^MAX(Outputs!A192-2021,0)</f>
        <v>51173.03349242024</v>
      </c>
      <c r="D192" s="196">
        <v>61758.445498406858</v>
      </c>
      <c r="E192" s="196">
        <v>58179.375227710269</v>
      </c>
      <c r="F192" s="196">
        <v>50452.657353050417</v>
      </c>
      <c r="G192" s="196">
        <v>52919.370305214594</v>
      </c>
      <c r="I192" s="196">
        <v>30620.395394219475</v>
      </c>
      <c r="J192" s="196">
        <v>30620.395394219475</v>
      </c>
      <c r="K192" s="196">
        <v>24160.986336014012</v>
      </c>
      <c r="L192" s="196">
        <v>41555.08062222421</v>
      </c>
    </row>
    <row r="193" spans="1:12" x14ac:dyDescent="0.3">
      <c r="A193" s="38">
        <v>2044</v>
      </c>
      <c r="B193" s="172">
        <f>SCRS!AK37/(1+SCRS!$DT$27)^MAX(Outputs!A193-2021,0)</f>
        <v>51221.308055961257</v>
      </c>
      <c r="D193" s="196">
        <v>63586.55362764532</v>
      </c>
      <c r="E193" s="196">
        <v>58348.532142963209</v>
      </c>
      <c r="F193" s="196">
        <v>51656.370781075544</v>
      </c>
      <c r="G193" s="196">
        <v>52656.201319710679</v>
      </c>
      <c r="I193" s="196">
        <v>31553.862114001164</v>
      </c>
      <c r="J193" s="196">
        <v>31553.862114001164</v>
      </c>
      <c r="K193" s="196">
        <v>24203.781860489951</v>
      </c>
      <c r="L193" s="196">
        <v>41685.190226432147</v>
      </c>
    </row>
    <row r="194" spans="1:12" x14ac:dyDescent="0.3">
      <c r="A194" s="38">
        <v>2045</v>
      </c>
      <c r="B194" s="172">
        <f>SCRS!AK38/(1+SCRS!$DT$27)^MAX(Outputs!A194-2021,0)</f>
        <v>51363.831505101836</v>
      </c>
      <c r="D194" s="196">
        <v>65425.715056608911</v>
      </c>
      <c r="E194" s="196">
        <v>58641.864161025536</v>
      </c>
      <c r="F194" s="196">
        <v>52885.332244274839</v>
      </c>
      <c r="G194" s="196">
        <v>52503.192452906318</v>
      </c>
      <c r="I194" s="196">
        <v>32662.181435067316</v>
      </c>
      <c r="J194" s="196">
        <v>32662.181435067316</v>
      </c>
      <c r="K194" s="196">
        <v>24382.870143136694</v>
      </c>
      <c r="L194" s="196">
        <v>41776.344073571505</v>
      </c>
    </row>
    <row r="195" spans="1:12" x14ac:dyDescent="0.3">
      <c r="A195" s="38">
        <v>2046</v>
      </c>
      <c r="B195" s="172">
        <f>SCRS!AK39/(1+SCRS!$DT$27)^MAX(Outputs!A195-2021,0)</f>
        <v>51636.634789721917</v>
      </c>
      <c r="D195" s="196">
        <v>67299.368748079854</v>
      </c>
      <c r="E195" s="196">
        <v>59091.506265923425</v>
      </c>
      <c r="F195" s="196">
        <v>52953.25826074573</v>
      </c>
      <c r="G195" s="196">
        <v>52490.337224446295</v>
      </c>
      <c r="I195" s="196">
        <v>33977.680068812937</v>
      </c>
      <c r="J195" s="196">
        <v>33977.680068812937</v>
      </c>
      <c r="K195" s="196">
        <v>24885.628205743647</v>
      </c>
      <c r="L195" s="196">
        <v>41918.723259205202</v>
      </c>
    </row>
    <row r="196" spans="1:12" x14ac:dyDescent="0.3">
      <c r="A196" s="38">
        <v>2047</v>
      </c>
      <c r="B196" s="172">
        <f>SCRS!AK40/(1+SCRS!$DT$27)^MAX(Outputs!A196-2021,0)</f>
        <v>52103.558262112776</v>
      </c>
      <c r="D196" s="196">
        <v>69226.788566169635</v>
      </c>
      <c r="E196" s="196">
        <v>59725.952108571422</v>
      </c>
      <c r="F196" s="196">
        <v>53121.572748632956</v>
      </c>
      <c r="G196" s="196">
        <v>52648.675327813966</v>
      </c>
      <c r="I196" s="196">
        <v>35528.674857072278</v>
      </c>
      <c r="J196" s="196">
        <v>35528.674857072278</v>
      </c>
      <c r="K196" s="196">
        <v>25752.548390626042</v>
      </c>
      <c r="L196" s="196">
        <v>42190.595231953601</v>
      </c>
    </row>
    <row r="197" spans="1:12" x14ac:dyDescent="0.3">
      <c r="A197" s="38">
        <v>2048</v>
      </c>
      <c r="B197" s="172">
        <f>SCRS!AK41/(1+SCRS!$DT$27)^MAX(Outputs!A197-2021,0)</f>
        <v>52791.998490364742</v>
      </c>
      <c r="D197" s="196">
        <v>71226.31837939113</v>
      </c>
      <c r="E197" s="196">
        <v>60573.304953081875</v>
      </c>
      <c r="F197" s="196">
        <v>53488.755610020955</v>
      </c>
      <c r="G197" s="196">
        <v>53006.459882667812</v>
      </c>
      <c r="I197" s="196">
        <v>37342.738574266557</v>
      </c>
      <c r="J197" s="196">
        <v>37342.738574266557</v>
      </c>
      <c r="K197" s="196">
        <v>26528.701001949223</v>
      </c>
      <c r="L197" s="196">
        <v>42740.911990734581</v>
      </c>
    </row>
    <row r="198" spans="1:12" x14ac:dyDescent="0.3">
      <c r="A198" s="38">
        <v>2049</v>
      </c>
      <c r="B198" s="172">
        <f>SCRS!AK42/(1+SCRS!$DT$27)^MAX(Outputs!A198-2021,0)</f>
        <v>53725.832683102148</v>
      </c>
      <c r="D198" s="196">
        <v>73313.771005793154</v>
      </c>
      <c r="E198" s="196">
        <v>61659.712871671974</v>
      </c>
      <c r="F198" s="196">
        <v>54081.151480018467</v>
      </c>
      <c r="G198" s="196">
        <v>53590.089602572123</v>
      </c>
      <c r="I198" s="196">
        <v>39445.122417212195</v>
      </c>
      <c r="J198" s="196">
        <v>39445.122417212195</v>
      </c>
      <c r="K198" s="196">
        <v>27548.021513600881</v>
      </c>
      <c r="L198" s="196">
        <v>43576.411506751247</v>
      </c>
    </row>
    <row r="199" spans="1:12" x14ac:dyDescent="0.3">
      <c r="A199" s="38">
        <v>2050</v>
      </c>
      <c r="B199" s="172">
        <f>SCRS!AK43/(1+SCRS!$DT$27)^MAX(Outputs!A199-2021,0)</f>
        <v>54926.411939931306</v>
      </c>
      <c r="D199" s="196">
        <v>75502.119331295384</v>
      </c>
      <c r="E199" s="196">
        <v>63009.073572902053</v>
      </c>
      <c r="F199" s="196">
        <v>54922.872892158506</v>
      </c>
      <c r="G199" s="196">
        <v>54423.745113361678</v>
      </c>
      <c r="I199" s="196">
        <v>41858.480792181399</v>
      </c>
      <c r="J199" s="196">
        <v>41858.480792181399</v>
      </c>
      <c r="K199" s="196">
        <v>28995.095134335603</v>
      </c>
      <c r="L199" s="196">
        <v>44703.54183419027</v>
      </c>
    </row>
    <row r="200" spans="1:12" x14ac:dyDescent="0.3">
      <c r="A200" s="38"/>
      <c r="B200" s="38"/>
      <c r="D200" s="38"/>
      <c r="G200" s="38"/>
      <c r="I200" s="38"/>
      <c r="K200" s="38"/>
    </row>
    <row r="201" spans="1:12" x14ac:dyDescent="0.3">
      <c r="A201" s="419" t="s">
        <v>306</v>
      </c>
      <c r="B201" s="37">
        <f>SCRS!DO51</f>
        <v>61861.922987678678</v>
      </c>
      <c r="D201" s="196">
        <v>63442.560052550085</v>
      </c>
      <c r="E201" s="427">
        <v>53944.317015478817</v>
      </c>
      <c r="F201" s="423">
        <v>62538.742347310428</v>
      </c>
      <c r="G201" s="196">
        <v>60413.5404459903</v>
      </c>
      <c r="I201" s="393">
        <v>74014.828612413054</v>
      </c>
      <c r="J201" s="423">
        <v>74014.828612413054</v>
      </c>
      <c r="K201" s="196">
        <v>76979.242305500287</v>
      </c>
      <c r="L201" s="196">
        <v>83483.498216009248</v>
      </c>
    </row>
    <row r="202" spans="1:12" x14ac:dyDescent="0.3">
      <c r="A202" s="38" t="s">
        <v>307</v>
      </c>
      <c r="B202" s="37">
        <f>SCRS!DO52</f>
        <v>7443.8489694921072</v>
      </c>
      <c r="D202" s="196">
        <v>-13119.124009423616</v>
      </c>
      <c r="E202" s="427">
        <v>-626.07825103028836</v>
      </c>
      <c r="F202" s="423">
        <v>-1006.6583843879772</v>
      </c>
      <c r="G202" s="196">
        <v>-507.53060559115403</v>
      </c>
      <c r="I202" s="393">
        <v>20524.514529690365</v>
      </c>
      <c r="J202" s="423">
        <v>20524.514529690365</v>
      </c>
      <c r="K202" s="196">
        <v>24921.119373434922</v>
      </c>
      <c r="L202" s="196">
        <v>9212.6726735802604</v>
      </c>
    </row>
    <row r="203" spans="1:12" x14ac:dyDescent="0.3">
      <c r="A203" s="38" t="s">
        <v>308</v>
      </c>
      <c r="B203" s="37">
        <f>SCRS!DO53</f>
        <v>69305.771957170786</v>
      </c>
      <c r="D203" s="196">
        <v>50323.436043126465</v>
      </c>
      <c r="E203" s="427">
        <v>53318.238764448528</v>
      </c>
      <c r="F203" s="423">
        <v>61532.08396292245</v>
      </c>
      <c r="G203" s="196">
        <v>59906.009840399143</v>
      </c>
      <c r="I203" s="393">
        <v>94539.343142103418</v>
      </c>
      <c r="J203" s="428">
        <v>94539.343142103418</v>
      </c>
      <c r="K203" s="196">
        <v>101900.36167893521</v>
      </c>
      <c r="L203" s="196">
        <v>92696.170889589514</v>
      </c>
    </row>
    <row r="206" spans="1:12" x14ac:dyDescent="0.3">
      <c r="J206" s="422"/>
      <c r="K206" s="422"/>
      <c r="L206" s="422"/>
    </row>
    <row r="207" spans="1:12" x14ac:dyDescent="0.3">
      <c r="I207" s="419"/>
      <c r="J207" s="393"/>
      <c r="K207" s="196"/>
      <c r="L207" s="196"/>
    </row>
    <row r="208" spans="1:12" x14ac:dyDescent="0.3">
      <c r="I208" s="38"/>
      <c r="J208" s="393"/>
      <c r="K208" s="196"/>
      <c r="L208" s="196"/>
    </row>
    <row r="209" spans="9:12" x14ac:dyDescent="0.3">
      <c r="I209" s="38"/>
      <c r="J209" s="429"/>
      <c r="K209" s="196"/>
      <c r="L209" s="196"/>
    </row>
  </sheetData>
  <mergeCells count="2">
    <mergeCell ref="D1:G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B13" sqref="B13"/>
    </sheetView>
  </sheetViews>
  <sheetFormatPr defaultColWidth="11.5546875" defaultRowHeight="14.4" x14ac:dyDescent="0.3"/>
  <cols>
    <col min="5" max="5" width="16.109375" customWidth="1"/>
  </cols>
  <sheetData>
    <row r="1" spans="1:9" x14ac:dyDescent="0.3">
      <c r="A1" s="38" t="s">
        <v>155</v>
      </c>
      <c r="B1" s="38" t="s">
        <v>283</v>
      </c>
      <c r="C1" s="38" t="s">
        <v>284</v>
      </c>
      <c r="D1" s="38" t="s">
        <v>232</v>
      </c>
      <c r="E1" s="38" t="s">
        <v>285</v>
      </c>
      <c r="F1" s="38"/>
      <c r="G1" s="38"/>
      <c r="H1" s="38" t="s">
        <v>286</v>
      </c>
      <c r="I1" s="147">
        <v>0.12</v>
      </c>
    </row>
    <row r="2" spans="1:9" x14ac:dyDescent="0.3">
      <c r="A2" s="414">
        <v>2021</v>
      </c>
      <c r="B2" s="147">
        <f>SCRS!$DT$24</f>
        <v>7.0000000000000007E-2</v>
      </c>
      <c r="C2" s="147">
        <f>SCRS!$DT$53</f>
        <v>0.06</v>
      </c>
      <c r="D2" s="183">
        <f>-I1*2</f>
        <v>-0.24</v>
      </c>
      <c r="E2" s="415">
        <f>D2</f>
        <v>-0.24</v>
      </c>
      <c r="F2" s="38"/>
      <c r="G2" s="38"/>
      <c r="H2" s="38"/>
      <c r="I2" s="38"/>
    </row>
    <row r="3" spans="1:9" x14ac:dyDescent="0.3">
      <c r="A3" s="414">
        <v>2022</v>
      </c>
      <c r="B3" s="147">
        <f>SCRS!$DT$24</f>
        <v>7.0000000000000007E-2</v>
      </c>
      <c r="C3" s="147">
        <f>SCRS!$DT$53</f>
        <v>0.06</v>
      </c>
      <c r="D3" s="416">
        <v>0.11</v>
      </c>
      <c r="E3" s="415">
        <f>D3</f>
        <v>0.11</v>
      </c>
      <c r="F3" s="38"/>
      <c r="G3" s="38"/>
      <c r="H3" s="38"/>
      <c r="I3" s="38"/>
    </row>
    <row r="4" spans="1:9" x14ac:dyDescent="0.3">
      <c r="A4" s="414">
        <v>2023</v>
      </c>
      <c r="B4" s="147">
        <f>SCRS!$DT$24</f>
        <v>7.0000000000000007E-2</v>
      </c>
      <c r="C4" s="147">
        <f>SCRS!$DT$53</f>
        <v>0.06</v>
      </c>
      <c r="D4" s="416">
        <v>0.11</v>
      </c>
      <c r="E4" s="415">
        <f>D4</f>
        <v>0.11</v>
      </c>
      <c r="F4" s="38"/>
      <c r="G4" s="38"/>
      <c r="H4" s="38"/>
      <c r="I4" s="38"/>
    </row>
    <row r="5" spans="1:9" x14ac:dyDescent="0.3">
      <c r="A5" s="414">
        <v>2024</v>
      </c>
      <c r="B5" s="147">
        <f>SCRS!$DT$24</f>
        <v>7.0000000000000007E-2</v>
      </c>
      <c r="C5" s="147">
        <f>SCRS!$DT$53</f>
        <v>0.06</v>
      </c>
      <c r="D5" s="416">
        <v>0.11</v>
      </c>
      <c r="E5" s="415">
        <f>D5</f>
        <v>0.11</v>
      </c>
      <c r="F5" s="38"/>
      <c r="G5" s="38"/>
      <c r="H5" s="38"/>
      <c r="I5" s="38"/>
    </row>
    <row r="6" spans="1:9" x14ac:dyDescent="0.3">
      <c r="A6" s="414">
        <v>2025</v>
      </c>
      <c r="B6" s="147">
        <f>SCRS!$DT$24</f>
        <v>7.0000000000000007E-2</v>
      </c>
      <c r="C6" s="147">
        <f>SCRS!$DT$53</f>
        <v>0.06</v>
      </c>
      <c r="D6" s="183">
        <v>0.06</v>
      </c>
      <c r="E6" s="183">
        <v>0.06</v>
      </c>
      <c r="F6" s="38"/>
      <c r="G6" s="38"/>
      <c r="H6" s="38"/>
      <c r="I6" s="38"/>
    </row>
    <row r="7" spans="1:9" x14ac:dyDescent="0.3">
      <c r="A7" s="414">
        <v>2026</v>
      </c>
      <c r="B7" s="147">
        <f>SCRS!$DT$24</f>
        <v>7.0000000000000007E-2</v>
      </c>
      <c r="C7" s="147">
        <f>SCRS!$DT$53</f>
        <v>0.06</v>
      </c>
      <c r="D7" s="183">
        <v>0.06</v>
      </c>
      <c r="E7" s="183">
        <v>0.06</v>
      </c>
      <c r="F7" s="38"/>
      <c r="G7" s="38"/>
      <c r="H7" s="38"/>
      <c r="I7" s="38"/>
    </row>
    <row r="8" spans="1:9" x14ac:dyDescent="0.3">
      <c r="A8" s="414">
        <v>2027</v>
      </c>
      <c r="B8" s="147">
        <f>SCRS!$DT$24</f>
        <v>7.0000000000000007E-2</v>
      </c>
      <c r="C8" s="147">
        <f>SCRS!$DT$53</f>
        <v>0.06</v>
      </c>
      <c r="D8" s="183">
        <v>0.06</v>
      </c>
      <c r="E8" s="183">
        <v>0.06</v>
      </c>
      <c r="F8" s="38"/>
      <c r="G8" s="38"/>
      <c r="H8" s="38"/>
      <c r="I8" s="38"/>
    </row>
    <row r="9" spans="1:9" x14ac:dyDescent="0.3">
      <c r="A9" s="414">
        <v>2028</v>
      </c>
      <c r="B9" s="147">
        <f>SCRS!$DT$24</f>
        <v>7.0000000000000007E-2</v>
      </c>
      <c r="C9" s="147">
        <f>SCRS!$DT$53</f>
        <v>0.06</v>
      </c>
      <c r="D9" s="183">
        <v>0.06</v>
      </c>
      <c r="E9" s="183">
        <v>0.06</v>
      </c>
      <c r="F9" s="38"/>
      <c r="G9" s="38"/>
      <c r="H9" s="38"/>
      <c r="I9" s="38"/>
    </row>
    <row r="10" spans="1:9" x14ac:dyDescent="0.3">
      <c r="A10" s="414">
        <v>2029</v>
      </c>
      <c r="B10" s="147">
        <f>SCRS!$DT$24</f>
        <v>7.0000000000000007E-2</v>
      </c>
      <c r="C10" s="147">
        <f>SCRS!$DT$53</f>
        <v>0.06</v>
      </c>
      <c r="D10" s="183">
        <v>0.06</v>
      </c>
      <c r="E10" s="183">
        <v>0.06</v>
      </c>
      <c r="F10" s="38"/>
      <c r="G10" s="38"/>
      <c r="H10" s="38"/>
      <c r="I10" s="38"/>
    </row>
    <row r="11" spans="1:9" x14ac:dyDescent="0.3">
      <c r="A11" s="414">
        <v>2030</v>
      </c>
      <c r="B11" s="147">
        <f>SCRS!$DT$24</f>
        <v>7.0000000000000007E-2</v>
      </c>
      <c r="C11" s="147">
        <f>SCRS!$DT$53</f>
        <v>0.06</v>
      </c>
      <c r="D11" s="183">
        <v>0.06</v>
      </c>
      <c r="E11" s="183">
        <v>0.06</v>
      </c>
      <c r="F11" s="38"/>
      <c r="G11" s="38"/>
      <c r="H11" s="38"/>
      <c r="I11" s="38"/>
    </row>
    <row r="12" spans="1:9" x14ac:dyDescent="0.3">
      <c r="A12" s="414">
        <v>2031</v>
      </c>
      <c r="B12" s="147">
        <f>SCRS!$DT$24</f>
        <v>7.0000000000000007E-2</v>
      </c>
      <c r="C12" s="147">
        <f>SCRS!$DT$53</f>
        <v>0.06</v>
      </c>
      <c r="D12" s="183">
        <v>0.06</v>
      </c>
      <c r="E12" s="183">
        <v>0.06</v>
      </c>
      <c r="F12" s="38"/>
      <c r="G12" s="38"/>
      <c r="H12" s="38"/>
      <c r="I12" s="38"/>
    </row>
    <row r="13" spans="1:9" x14ac:dyDescent="0.3">
      <c r="A13" s="414">
        <v>2032</v>
      </c>
      <c r="B13" s="147">
        <f>SCRS!$DT$24</f>
        <v>7.0000000000000007E-2</v>
      </c>
      <c r="C13" s="147">
        <f>SCRS!$DT$53</f>
        <v>0.06</v>
      </c>
      <c r="D13" s="183">
        <v>0.06</v>
      </c>
      <c r="E13" s="183">
        <v>0.06</v>
      </c>
      <c r="F13" s="38"/>
      <c r="G13" s="38"/>
      <c r="H13" s="38"/>
      <c r="I13" s="38"/>
    </row>
    <row r="14" spans="1:9" x14ac:dyDescent="0.3">
      <c r="A14" s="414">
        <v>2033</v>
      </c>
      <c r="B14" s="147">
        <f>SCRS!$DT$24</f>
        <v>7.0000000000000007E-2</v>
      </c>
      <c r="C14" s="147">
        <f>SCRS!$DT$53</f>
        <v>0.06</v>
      </c>
      <c r="D14" s="183">
        <v>0.06</v>
      </c>
      <c r="E14" s="183">
        <v>0.06</v>
      </c>
      <c r="F14" s="38"/>
      <c r="G14" s="38"/>
      <c r="H14" s="38"/>
      <c r="I14" s="38"/>
    </row>
    <row r="15" spans="1:9" x14ac:dyDescent="0.3">
      <c r="A15" s="414">
        <v>2034</v>
      </c>
      <c r="B15" s="147">
        <f>SCRS!$DT$24</f>
        <v>7.0000000000000007E-2</v>
      </c>
      <c r="C15" s="147">
        <f>SCRS!$DT$53</f>
        <v>0.06</v>
      </c>
      <c r="D15" s="183">
        <v>0.06</v>
      </c>
      <c r="E15" s="183">
        <v>0.06</v>
      </c>
      <c r="F15" s="38"/>
      <c r="G15" s="38"/>
      <c r="H15" s="38"/>
      <c r="I15" s="38"/>
    </row>
    <row r="16" spans="1:9" x14ac:dyDescent="0.3">
      <c r="A16" s="414">
        <v>2035</v>
      </c>
      <c r="B16" s="147">
        <f>SCRS!$DT$24</f>
        <v>7.0000000000000007E-2</v>
      </c>
      <c r="C16" s="147">
        <f>SCRS!$DT$53</f>
        <v>0.06</v>
      </c>
      <c r="D16" s="183">
        <v>0.06</v>
      </c>
      <c r="E16" s="183">
        <v>0.06</v>
      </c>
      <c r="F16" s="38"/>
      <c r="G16" s="38"/>
      <c r="H16" s="38"/>
      <c r="I16" s="38"/>
    </row>
    <row r="17" spans="1:9" x14ac:dyDescent="0.3">
      <c r="A17" s="414">
        <v>2036</v>
      </c>
      <c r="B17" s="147">
        <f>SCRS!$DT$24</f>
        <v>7.0000000000000007E-2</v>
      </c>
      <c r="C17" s="147">
        <f>SCRS!$DT$53</f>
        <v>0.06</v>
      </c>
      <c r="D17" s="183">
        <v>0.06</v>
      </c>
      <c r="E17" s="415">
        <f>D2</f>
        <v>-0.24</v>
      </c>
      <c r="F17" s="38"/>
      <c r="G17" s="38"/>
      <c r="H17" s="38"/>
      <c r="I17" s="38"/>
    </row>
    <row r="18" spans="1:9" x14ac:dyDescent="0.3">
      <c r="A18" s="414">
        <v>2037</v>
      </c>
      <c r="B18" s="147">
        <f>SCRS!$DT$24</f>
        <v>7.0000000000000007E-2</v>
      </c>
      <c r="C18" s="147">
        <f>SCRS!$DT$53</f>
        <v>0.06</v>
      </c>
      <c r="D18" s="183">
        <v>0.06</v>
      </c>
      <c r="E18" s="415">
        <f>D3</f>
        <v>0.11</v>
      </c>
      <c r="F18" s="38"/>
      <c r="G18" s="38"/>
      <c r="H18" s="38"/>
      <c r="I18" s="38"/>
    </row>
    <row r="19" spans="1:9" x14ac:dyDescent="0.3">
      <c r="A19" s="414">
        <v>2038</v>
      </c>
      <c r="B19" s="147">
        <f>SCRS!$DT$24</f>
        <v>7.0000000000000007E-2</v>
      </c>
      <c r="C19" s="147">
        <f>SCRS!$DT$53</f>
        <v>0.06</v>
      </c>
      <c r="D19" s="183">
        <v>0.06</v>
      </c>
      <c r="E19" s="415">
        <f>D4</f>
        <v>0.11</v>
      </c>
      <c r="F19" s="38"/>
      <c r="G19" s="38"/>
      <c r="H19" s="38"/>
      <c r="I19" s="38"/>
    </row>
    <row r="20" spans="1:9" x14ac:dyDescent="0.3">
      <c r="A20" s="414">
        <v>2039</v>
      </c>
      <c r="B20" s="147">
        <f>SCRS!$DT$24</f>
        <v>7.0000000000000007E-2</v>
      </c>
      <c r="C20" s="147">
        <f>SCRS!$DT$53</f>
        <v>0.06</v>
      </c>
      <c r="D20" s="183">
        <v>0.06</v>
      </c>
      <c r="E20" s="415">
        <f>D5</f>
        <v>0.11</v>
      </c>
      <c r="F20" s="38"/>
      <c r="G20" s="38"/>
      <c r="H20" s="38"/>
      <c r="I20" s="38"/>
    </row>
    <row r="21" spans="1:9" x14ac:dyDescent="0.3">
      <c r="A21" s="414">
        <v>2040</v>
      </c>
      <c r="B21" s="147">
        <f>SCRS!$DT$24</f>
        <v>7.0000000000000007E-2</v>
      </c>
      <c r="C21" s="147">
        <f>SCRS!$DT$53</f>
        <v>0.06</v>
      </c>
      <c r="D21" s="183">
        <v>0.06</v>
      </c>
      <c r="E21" s="183">
        <v>0.06</v>
      </c>
      <c r="F21" s="38"/>
      <c r="G21" s="38"/>
      <c r="H21" s="38"/>
      <c r="I21" s="38"/>
    </row>
    <row r="22" spans="1:9" x14ac:dyDescent="0.3">
      <c r="A22" s="414">
        <v>2041</v>
      </c>
      <c r="B22" s="147">
        <f>SCRS!$DT$24</f>
        <v>7.0000000000000007E-2</v>
      </c>
      <c r="C22" s="147">
        <f>SCRS!$DT$53</f>
        <v>0.06</v>
      </c>
      <c r="D22" s="183">
        <v>0.06</v>
      </c>
      <c r="E22" s="183">
        <v>0.06</v>
      </c>
      <c r="F22" s="38"/>
      <c r="G22" s="38"/>
      <c r="H22" s="38"/>
      <c r="I22" s="38"/>
    </row>
    <row r="23" spans="1:9" x14ac:dyDescent="0.3">
      <c r="A23" s="414">
        <v>2042</v>
      </c>
      <c r="B23" s="147">
        <f>SCRS!$DT$24</f>
        <v>7.0000000000000007E-2</v>
      </c>
      <c r="C23" s="147">
        <f>SCRS!$DT$53</f>
        <v>0.06</v>
      </c>
      <c r="D23" s="183">
        <v>0.06</v>
      </c>
      <c r="E23" s="183">
        <v>0.06</v>
      </c>
      <c r="F23" s="38"/>
      <c r="G23" s="38"/>
      <c r="H23" s="38"/>
      <c r="I23" s="38"/>
    </row>
    <row r="24" spans="1:9" x14ac:dyDescent="0.3">
      <c r="A24" s="414">
        <v>2043</v>
      </c>
      <c r="B24" s="147">
        <f>SCRS!$DT$24</f>
        <v>7.0000000000000007E-2</v>
      </c>
      <c r="C24" s="147">
        <f>SCRS!$DT$53</f>
        <v>0.06</v>
      </c>
      <c r="D24" s="183">
        <v>0.06</v>
      </c>
      <c r="E24" s="183">
        <v>0.06</v>
      </c>
      <c r="F24" s="38"/>
      <c r="G24" s="38"/>
      <c r="H24" s="38"/>
      <c r="I24" s="38"/>
    </row>
    <row r="25" spans="1:9" x14ac:dyDescent="0.3">
      <c r="A25" s="414">
        <v>2044</v>
      </c>
      <c r="B25" s="147">
        <f>SCRS!$DT$24</f>
        <v>7.0000000000000007E-2</v>
      </c>
      <c r="C25" s="147">
        <f>SCRS!$DT$53</f>
        <v>0.06</v>
      </c>
      <c r="D25" s="183">
        <v>0.06</v>
      </c>
      <c r="E25" s="183">
        <v>0.06</v>
      </c>
      <c r="F25" s="38"/>
      <c r="G25" s="38"/>
      <c r="H25" s="38"/>
      <c r="I25" s="38"/>
    </row>
    <row r="26" spans="1:9" x14ac:dyDescent="0.3">
      <c r="A26" s="414">
        <v>2045</v>
      </c>
      <c r="B26" s="147">
        <f>SCRS!$DT$24</f>
        <v>7.0000000000000007E-2</v>
      </c>
      <c r="C26" s="147">
        <f>SCRS!$DT$53</f>
        <v>0.06</v>
      </c>
      <c r="D26" s="183">
        <v>0.06</v>
      </c>
      <c r="E26" s="183">
        <v>0.06</v>
      </c>
      <c r="F26" s="38"/>
      <c r="G26" s="38"/>
      <c r="H26" s="38"/>
      <c r="I26" s="38"/>
    </row>
    <row r="27" spans="1:9" x14ac:dyDescent="0.3">
      <c r="A27" s="414">
        <v>2046</v>
      </c>
      <c r="B27" s="147">
        <f>SCRS!$DT$24</f>
        <v>7.0000000000000007E-2</v>
      </c>
      <c r="C27" s="147">
        <f>SCRS!$DT$53</f>
        <v>0.06</v>
      </c>
      <c r="D27" s="183">
        <v>0.06</v>
      </c>
      <c r="E27" s="183">
        <v>0.06</v>
      </c>
      <c r="F27" s="38"/>
      <c r="G27" s="38"/>
      <c r="H27" s="38"/>
      <c r="I27" s="38"/>
    </row>
    <row r="28" spans="1:9" x14ac:dyDescent="0.3">
      <c r="A28" s="414">
        <v>2047</v>
      </c>
      <c r="B28" s="147">
        <f>SCRS!$DT$24</f>
        <v>7.0000000000000007E-2</v>
      </c>
      <c r="C28" s="147">
        <f>SCRS!$DT$53</f>
        <v>0.06</v>
      </c>
      <c r="D28" s="183">
        <v>0.06</v>
      </c>
      <c r="E28" s="183">
        <v>0.06</v>
      </c>
      <c r="F28" s="38"/>
      <c r="G28" s="38"/>
      <c r="H28" s="38"/>
      <c r="I28" s="38"/>
    </row>
    <row r="29" spans="1:9" x14ac:dyDescent="0.3">
      <c r="A29" s="414">
        <v>2048</v>
      </c>
      <c r="B29" s="147">
        <f>SCRS!$DT$24</f>
        <v>7.0000000000000007E-2</v>
      </c>
      <c r="C29" s="147">
        <f>SCRS!$DT$53</f>
        <v>0.06</v>
      </c>
      <c r="D29" s="183">
        <v>0.06</v>
      </c>
      <c r="E29" s="183">
        <v>0.06</v>
      </c>
      <c r="F29" s="38"/>
      <c r="G29" s="38"/>
      <c r="H29" s="38"/>
      <c r="I29" s="38"/>
    </row>
    <row r="30" spans="1:9" x14ac:dyDescent="0.3">
      <c r="A30" s="414">
        <v>2049</v>
      </c>
      <c r="B30" s="147">
        <f>SCRS!$DT$24</f>
        <v>7.0000000000000007E-2</v>
      </c>
      <c r="C30" s="147">
        <f>SCRS!$DT$53</f>
        <v>0.06</v>
      </c>
      <c r="D30" s="183">
        <v>0.06</v>
      </c>
      <c r="E30" s="183">
        <v>0.06</v>
      </c>
      <c r="F30" s="38"/>
      <c r="G30" s="38"/>
      <c r="H30" s="38"/>
      <c r="I30" s="38"/>
    </row>
    <row r="31" spans="1:9" x14ac:dyDescent="0.3">
      <c r="A31" s="414">
        <v>2050</v>
      </c>
      <c r="B31" s="147">
        <f>SCRS!$DT$24</f>
        <v>7.0000000000000007E-2</v>
      </c>
      <c r="C31" s="147">
        <f>SCRS!$DT$53</f>
        <v>0.06</v>
      </c>
      <c r="D31" s="183">
        <v>0.06</v>
      </c>
      <c r="E31" s="183">
        <v>0.06</v>
      </c>
      <c r="F31" s="38"/>
      <c r="G31" s="38"/>
      <c r="H31" s="38"/>
      <c r="I31" s="38"/>
    </row>
    <row r="32" spans="1:9" x14ac:dyDescent="0.3">
      <c r="A32" s="414">
        <v>2051</v>
      </c>
      <c r="B32" s="147">
        <f>SCRS!$DT$24</f>
        <v>7.0000000000000007E-2</v>
      </c>
      <c r="C32" s="147">
        <f>SCRS!$DT$53</f>
        <v>0.06</v>
      </c>
      <c r="D32" s="183">
        <v>0.06</v>
      </c>
      <c r="E32" s="183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7"/>
  <sheetViews>
    <sheetView workbookViewId="0"/>
  </sheetViews>
  <sheetFormatPr defaultColWidth="8.6640625" defaultRowHeight="14.4" x14ac:dyDescent="0.3"/>
  <cols>
    <col min="2" max="4" width="13.33203125" bestFit="1" customWidth="1"/>
  </cols>
  <sheetData>
    <row r="3" spans="1:4" x14ac:dyDescent="0.3">
      <c r="B3" s="147">
        <v>6.5000000000000002E-2</v>
      </c>
      <c r="C3" s="147">
        <v>7.4999999999999997E-2</v>
      </c>
      <c r="D3" s="147">
        <v>8.5000000000000006E-2</v>
      </c>
    </row>
    <row r="4" spans="1:4" x14ac:dyDescent="0.3">
      <c r="A4" t="s">
        <v>116</v>
      </c>
      <c r="B4" s="238">
        <v>29014371</v>
      </c>
      <c r="C4" s="238">
        <v>22511608</v>
      </c>
      <c r="D4" s="238">
        <v>18565959</v>
      </c>
    </row>
    <row r="5" spans="1:4" x14ac:dyDescent="0.3">
      <c r="A5" t="s">
        <v>2</v>
      </c>
      <c r="B5" s="172">
        <f>C5</f>
        <v>25732829</v>
      </c>
      <c r="C5" s="238">
        <v>25732829</v>
      </c>
      <c r="D5" s="172">
        <f>C5</f>
        <v>25732829</v>
      </c>
    </row>
    <row r="6" spans="1:4" x14ac:dyDescent="0.3">
      <c r="A6" t="s">
        <v>117</v>
      </c>
      <c r="B6" s="172">
        <f>B4+B5</f>
        <v>54747200</v>
      </c>
      <c r="C6" s="172">
        <f>C4+C5</f>
        <v>48244437</v>
      </c>
      <c r="D6" s="172">
        <f>D4+D5</f>
        <v>44298788</v>
      </c>
    </row>
    <row r="7" spans="1:4" x14ac:dyDescent="0.3">
      <c r="B7" s="172"/>
      <c r="C7" s="172"/>
      <c r="D7" s="172"/>
    </row>
    <row r="8" spans="1:4" x14ac:dyDescent="0.3">
      <c r="B8" s="183">
        <f>B6/C6-1</f>
        <v>0.1347878305637602</v>
      </c>
      <c r="C8">
        <f>((B6/D6)^0.5-1)*100</f>
        <v>11.169341739983206</v>
      </c>
      <c r="D8" s="183">
        <f>D6/C6-1</f>
        <v>-8.1784538184164091E-2</v>
      </c>
    </row>
    <row r="9" spans="1:4" x14ac:dyDescent="0.3">
      <c r="C9" s="145">
        <f>((B6*D6)/(C6^2)-1)*100</f>
        <v>4.1979731904093542</v>
      </c>
    </row>
    <row r="11" spans="1:4" x14ac:dyDescent="0.3">
      <c r="B11" s="147">
        <v>6.25E-2</v>
      </c>
      <c r="C11" s="147">
        <v>7.2499999999999995E-2</v>
      </c>
      <c r="D11" s="147">
        <v>8.2500000000000004E-2</v>
      </c>
    </row>
    <row r="12" spans="1:4" x14ac:dyDescent="0.3">
      <c r="A12" s="38" t="s">
        <v>116</v>
      </c>
      <c r="B12" s="239">
        <f t="shared" ref="B12:D14" si="0">B4/1000</f>
        <v>29014.370999999999</v>
      </c>
      <c r="C12" s="239">
        <f t="shared" si="0"/>
        <v>22511.608</v>
      </c>
      <c r="D12" s="239">
        <f t="shared" si="0"/>
        <v>18565.958999999999</v>
      </c>
    </row>
    <row r="13" spans="1:4" x14ac:dyDescent="0.3">
      <c r="A13" s="38" t="s">
        <v>2</v>
      </c>
      <c r="B13" s="239">
        <f t="shared" si="0"/>
        <v>25732.829000000002</v>
      </c>
      <c r="C13" s="239">
        <f t="shared" si="0"/>
        <v>25732.829000000002</v>
      </c>
      <c r="D13" s="239">
        <f t="shared" si="0"/>
        <v>25732.829000000002</v>
      </c>
    </row>
    <row r="14" spans="1:4" x14ac:dyDescent="0.3">
      <c r="A14" s="38" t="s">
        <v>117</v>
      </c>
      <c r="B14" s="239">
        <f t="shared" si="0"/>
        <v>54747.199999999997</v>
      </c>
      <c r="C14" s="239">
        <f t="shared" si="0"/>
        <v>48244.436999999998</v>
      </c>
      <c r="D14" s="239">
        <f t="shared" si="0"/>
        <v>44298.788</v>
      </c>
    </row>
    <row r="15" spans="1:4" x14ac:dyDescent="0.3">
      <c r="B15">
        <f>B14/C14</f>
        <v>1.1347878305637602</v>
      </c>
      <c r="C15" s="38">
        <f>C14/D14</f>
        <v>1.0890690056802457</v>
      </c>
    </row>
    <row r="16" spans="1:4" x14ac:dyDescent="0.3">
      <c r="B16" t="s">
        <v>148</v>
      </c>
      <c r="C16">
        <f>((B14/D14)^0.5-1)*100</f>
        <v>11.169341739983206</v>
      </c>
    </row>
    <row r="17" spans="2:4" x14ac:dyDescent="0.3">
      <c r="B17" t="s">
        <v>149</v>
      </c>
      <c r="C17" s="145">
        <f>((B14*D14)/(C14^2)-1)*100</f>
        <v>4.1979731904093542</v>
      </c>
      <c r="D17" s="192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61"/>
  <sheetViews>
    <sheetView workbookViewId="0"/>
  </sheetViews>
  <sheetFormatPr defaultColWidth="8.6640625" defaultRowHeight="14.4" x14ac:dyDescent="0.3"/>
  <cols>
    <col min="1" max="1" width="4" style="38" bestFit="1" customWidth="1"/>
    <col min="2" max="2" width="7" style="144" bestFit="1" customWidth="1"/>
    <col min="7" max="8" width="9.109375" style="38"/>
    <col min="10" max="14" width="9.109375" style="38"/>
    <col min="18" max="18" width="9.109375" style="38"/>
    <col min="30" max="30" width="15.33203125" bestFit="1" customWidth="1"/>
    <col min="31" max="32" width="14.33203125" bestFit="1" customWidth="1"/>
  </cols>
  <sheetData>
    <row r="1" spans="1:33" x14ac:dyDescent="0.3">
      <c r="B1" s="144">
        <v>0</v>
      </c>
      <c r="F1" s="145">
        <f>SUM(F2:F361)</f>
        <v>210.736424598752</v>
      </c>
      <c r="G1" s="145">
        <f>F1/12</f>
        <v>17.561368716562665</v>
      </c>
      <c r="H1" s="148">
        <f>G1/M1</f>
        <v>0.99720695230263623</v>
      </c>
      <c r="I1" s="146"/>
      <c r="M1" s="145">
        <f>SUM(M2:M361)</f>
        <v>17.610555838998074</v>
      </c>
      <c r="R1" s="145">
        <f>SUM(R2:R361)</f>
        <v>18.259012917744329</v>
      </c>
    </row>
    <row r="2" spans="1:33" x14ac:dyDescent="0.3">
      <c r="A2" s="38">
        <v>1</v>
      </c>
      <c r="B2" s="144">
        <f t="shared" ref="B2:B7" si="0">B1+1/12</f>
        <v>8.3333333333333329E-2</v>
      </c>
      <c r="D2">
        <v>1</v>
      </c>
      <c r="E2" s="145">
        <f>1/1.075^B2</f>
        <v>0.99399140246127937</v>
      </c>
      <c r="F2" s="145">
        <f>D2*E2</f>
        <v>0.99399140246127937</v>
      </c>
      <c r="G2" s="145">
        <f>-PV(((1.075/1.035)-1),30,1,0,1)/(1.075^0.5)</f>
        <v>17.610555838998085</v>
      </c>
      <c r="H2" s="145"/>
      <c r="J2" s="38">
        <v>1</v>
      </c>
      <c r="K2" s="38">
        <v>1</v>
      </c>
      <c r="L2" s="38">
        <f>1/1.075^(J2-0.5)</f>
        <v>0.96448564434082429</v>
      </c>
      <c r="M2" s="145">
        <f>K2*L2</f>
        <v>0.96448564434082429</v>
      </c>
      <c r="O2">
        <v>1</v>
      </c>
      <c r="P2">
        <v>1</v>
      </c>
      <c r="Q2">
        <f>1/1.075^(O2-1)</f>
        <v>1</v>
      </c>
      <c r="R2" s="145">
        <f>P2*Q2</f>
        <v>1</v>
      </c>
      <c r="T2" s="38">
        <v>1</v>
      </c>
      <c r="U2">
        <v>18.259012917744343</v>
      </c>
      <c r="V2" s="38">
        <v>1</v>
      </c>
      <c r="W2">
        <f>U2-V2</f>
        <v>17.259012917744343</v>
      </c>
      <c r="X2">
        <f>W2*1.075</f>
        <v>18.553438886575169</v>
      </c>
      <c r="AD2" s="147">
        <v>6.5000000000000002E-2</v>
      </c>
      <c r="AE2" s="147">
        <v>7.4999999999999997E-2</v>
      </c>
      <c r="AF2" s="147">
        <v>8.5000000000000006E-2</v>
      </c>
    </row>
    <row r="3" spans="1:33" x14ac:dyDescent="0.3">
      <c r="A3" s="38">
        <v>2</v>
      </c>
      <c r="B3" s="144">
        <f t="shared" si="0"/>
        <v>0.16666666666666666</v>
      </c>
      <c r="D3">
        <f>D2</f>
        <v>1</v>
      </c>
      <c r="E3" s="145">
        <f t="shared" ref="E3:E66" si="1">1/1.075^B3</f>
        <v>0.98801890816694127</v>
      </c>
      <c r="F3" s="145">
        <f t="shared" ref="F3:F66" si="2">D3*E3</f>
        <v>0.98801890816694127</v>
      </c>
      <c r="G3" s="145"/>
      <c r="H3" s="145"/>
      <c r="J3" s="38">
        <f>J2+1</f>
        <v>2</v>
      </c>
      <c r="K3" s="38">
        <f>K2*1.035</f>
        <v>1.0349999999999999</v>
      </c>
      <c r="L3" s="38">
        <f t="shared" ref="L3:L31" si="3">1/1.075^(J3-0.5)</f>
        <v>0.8971959482240226</v>
      </c>
      <c r="M3" s="145">
        <f t="shared" ref="M3:M31" si="4">K3*L3</f>
        <v>0.92859780641186329</v>
      </c>
      <c r="O3">
        <f>O2+1</f>
        <v>2</v>
      </c>
      <c r="P3">
        <f>P2*1.035</f>
        <v>1.0349999999999999</v>
      </c>
      <c r="Q3" s="38">
        <f t="shared" ref="Q3:Q31" si="5">1/1.075^(O3-1)</f>
        <v>0.93023255813953487</v>
      </c>
      <c r="R3" s="145">
        <f t="shared" ref="R3:R31" si="6">P3*Q3</f>
        <v>0.96279069767441849</v>
      </c>
      <c r="T3" s="38">
        <f>T2+1</f>
        <v>2</v>
      </c>
      <c r="U3">
        <f>X2</f>
        <v>18.553438886575169</v>
      </c>
      <c r="V3" s="38">
        <f>V2*1.035</f>
        <v>1.0349999999999999</v>
      </c>
      <c r="W3" s="38">
        <f t="shared" ref="W3:W31" si="7">U3-V3</f>
        <v>17.518438886575169</v>
      </c>
      <c r="X3" s="38">
        <f t="shared" ref="X3:X31" si="8">W3*1.075</f>
        <v>18.832321803068304</v>
      </c>
      <c r="AD3" s="172">
        <v>23910054</v>
      </c>
      <c r="AE3" s="172">
        <v>18965482</v>
      </c>
      <c r="AF3" s="172">
        <v>14821303</v>
      </c>
      <c r="AG3" s="172"/>
    </row>
    <row r="4" spans="1:33" x14ac:dyDescent="0.3">
      <c r="A4" s="38">
        <v>3</v>
      </c>
      <c r="B4" s="144">
        <f t="shared" si="0"/>
        <v>0.25</v>
      </c>
      <c r="D4" s="38">
        <f>D3</f>
        <v>1</v>
      </c>
      <c r="E4" s="145">
        <f t="shared" si="1"/>
        <v>0.98208230018711995</v>
      </c>
      <c r="F4" s="145">
        <f t="shared" si="2"/>
        <v>0.98208230018711995</v>
      </c>
      <c r="G4" s="145"/>
      <c r="H4" s="147">
        <v>7.4999999999999997E-2</v>
      </c>
      <c r="I4" s="147">
        <v>3.5000000000000003E-2</v>
      </c>
      <c r="J4" s="38">
        <f t="shared" ref="J4:J31" si="9">J3+1</f>
        <v>3</v>
      </c>
      <c r="K4" s="38">
        <f t="shared" ref="K4:K31" si="10">K3*1.035</f>
        <v>1.0712249999999999</v>
      </c>
      <c r="L4" s="38">
        <f t="shared" si="3"/>
        <v>0.8346008820688583</v>
      </c>
      <c r="M4" s="145">
        <f t="shared" si="4"/>
        <v>0.89404532989421259</v>
      </c>
      <c r="O4" s="38">
        <f t="shared" ref="O4:O31" si="11">O3+1</f>
        <v>3</v>
      </c>
      <c r="P4" s="38">
        <f t="shared" ref="P4:P31" si="12">P3*1.035</f>
        <v>1.0712249999999999</v>
      </c>
      <c r="Q4" s="38">
        <f t="shared" si="5"/>
        <v>0.86533261222282321</v>
      </c>
      <c r="R4" s="145">
        <f t="shared" si="6"/>
        <v>0.92696592752839369</v>
      </c>
      <c r="T4" s="38">
        <f t="shared" ref="T4:T31" si="13">T3+1</f>
        <v>3</v>
      </c>
      <c r="U4" s="38">
        <f t="shared" ref="U4:U31" si="14">X3</f>
        <v>18.832321803068304</v>
      </c>
      <c r="V4" s="38">
        <f t="shared" ref="V4:V31" si="15">V3*1.035</f>
        <v>1.0712249999999999</v>
      </c>
      <c r="W4" s="38">
        <f t="shared" si="7"/>
        <v>17.761096803068305</v>
      </c>
      <c r="X4" s="38">
        <f t="shared" si="8"/>
        <v>19.093179063298429</v>
      </c>
      <c r="AD4" s="172">
        <f>SCRS!AK8*1000</f>
        <v>25131828</v>
      </c>
      <c r="AE4" s="172">
        <f>AD4</f>
        <v>25131828</v>
      </c>
      <c r="AF4" s="172">
        <f>AE4</f>
        <v>25131828</v>
      </c>
      <c r="AG4" s="172"/>
    </row>
    <row r="5" spans="1:33" x14ac:dyDescent="0.3">
      <c r="A5" s="38">
        <v>4</v>
      </c>
      <c r="B5" s="144">
        <f t="shared" si="0"/>
        <v>0.33333333333333331</v>
      </c>
      <c r="D5" s="38">
        <f t="shared" ref="D5:D13" si="16">D4</f>
        <v>1</v>
      </c>
      <c r="E5" s="145">
        <f t="shared" si="1"/>
        <v>0.97618136289539448</v>
      </c>
      <c r="F5" s="145">
        <f t="shared" si="2"/>
        <v>0.97618136289539448</v>
      </c>
      <c r="G5" s="145"/>
      <c r="H5" s="145"/>
      <c r="J5" s="38">
        <f t="shared" si="9"/>
        <v>4</v>
      </c>
      <c r="K5" s="38">
        <f t="shared" si="10"/>
        <v>1.1087178749999997</v>
      </c>
      <c r="L5" s="38">
        <f t="shared" si="3"/>
        <v>0.77637291355242632</v>
      </c>
      <c r="M5" s="145">
        <f t="shared" si="4"/>
        <v>0.86077852692140466</v>
      </c>
      <c r="O5" s="38">
        <f t="shared" si="11"/>
        <v>4</v>
      </c>
      <c r="P5" s="38">
        <f t="shared" si="12"/>
        <v>1.1087178749999997</v>
      </c>
      <c r="Q5" s="38">
        <f t="shared" si="5"/>
        <v>0.80496056950960304</v>
      </c>
      <c r="R5" s="145">
        <f t="shared" si="6"/>
        <v>0.89247417208547664</v>
      </c>
      <c r="T5" s="38">
        <f t="shared" si="13"/>
        <v>4</v>
      </c>
      <c r="U5" s="38">
        <f t="shared" si="14"/>
        <v>19.093179063298429</v>
      </c>
      <c r="V5" s="38">
        <f t="shared" si="15"/>
        <v>1.1087178749999997</v>
      </c>
      <c r="W5" s="38">
        <f t="shared" si="7"/>
        <v>17.984461188298429</v>
      </c>
      <c r="X5" s="38">
        <f t="shared" si="8"/>
        <v>19.333295777420812</v>
      </c>
      <c r="AD5" s="172">
        <f>AD3+AD4</f>
        <v>49041882</v>
      </c>
      <c r="AE5" s="172">
        <f>AE3+AE4</f>
        <v>44097310</v>
      </c>
      <c r="AF5" s="172">
        <f>AF3+AF4</f>
        <v>39953131</v>
      </c>
      <c r="AG5" s="172"/>
    </row>
    <row r="6" spans="1:33" x14ac:dyDescent="0.3">
      <c r="A6" s="38">
        <v>5</v>
      </c>
      <c r="B6" s="144">
        <f t="shared" si="0"/>
        <v>0.41666666666666663</v>
      </c>
      <c r="D6" s="38">
        <f t="shared" si="16"/>
        <v>1</v>
      </c>
      <c r="E6" s="145">
        <f t="shared" si="1"/>
        <v>0.97031588196095619</v>
      </c>
      <c r="F6" s="145">
        <f t="shared" si="2"/>
        <v>0.97031588196095619</v>
      </c>
      <c r="G6" s="145"/>
      <c r="H6" s="145"/>
      <c r="J6" s="38">
        <f t="shared" si="9"/>
        <v>5</v>
      </c>
      <c r="K6" s="38">
        <f t="shared" si="10"/>
        <v>1.1475230006249997</v>
      </c>
      <c r="L6" s="38">
        <f t="shared" si="3"/>
        <v>0.72220736144411757</v>
      </c>
      <c r="M6" s="145">
        <f t="shared" si="4"/>
        <v>0.82874955847781751</v>
      </c>
      <c r="O6" s="38">
        <f t="shared" si="11"/>
        <v>5</v>
      </c>
      <c r="P6" s="38">
        <f t="shared" si="12"/>
        <v>1.1475230006249997</v>
      </c>
      <c r="Q6" s="38">
        <f t="shared" si="5"/>
        <v>0.7488005297763749</v>
      </c>
      <c r="R6" s="145">
        <f t="shared" si="6"/>
        <v>0.8592658307985751</v>
      </c>
      <c r="T6" s="38">
        <f t="shared" si="13"/>
        <v>5</v>
      </c>
      <c r="U6" s="38">
        <f t="shared" si="14"/>
        <v>19.333295777420812</v>
      </c>
      <c r="V6" s="38">
        <f t="shared" si="15"/>
        <v>1.1475230006249997</v>
      </c>
      <c r="W6" s="38">
        <f t="shared" si="7"/>
        <v>18.185772776795812</v>
      </c>
      <c r="X6" s="38">
        <f t="shared" si="8"/>
        <v>19.549705735055497</v>
      </c>
      <c r="AD6" s="172"/>
      <c r="AE6" s="172"/>
      <c r="AF6" s="172"/>
      <c r="AG6" s="172"/>
    </row>
    <row r="7" spans="1:33" x14ac:dyDescent="0.3">
      <c r="A7" s="38">
        <v>6</v>
      </c>
      <c r="B7" s="144">
        <f t="shared" si="0"/>
        <v>0.49999999999999994</v>
      </c>
      <c r="D7" s="38">
        <f t="shared" si="16"/>
        <v>1</v>
      </c>
      <c r="E7" s="145">
        <f t="shared" si="1"/>
        <v>0.96448564434082429</v>
      </c>
      <c r="F7" s="145">
        <f t="shared" si="2"/>
        <v>0.96448564434082429</v>
      </c>
      <c r="G7" s="145"/>
      <c r="H7" s="145"/>
      <c r="J7" s="38">
        <f t="shared" si="9"/>
        <v>6</v>
      </c>
      <c r="K7" s="38">
        <f t="shared" si="10"/>
        <v>1.1876863056468745</v>
      </c>
      <c r="L7" s="38">
        <f t="shared" si="3"/>
        <v>0.67182080134336519</v>
      </c>
      <c r="M7" s="145">
        <f t="shared" si="4"/>
        <v>0.79791236560422418</v>
      </c>
      <c r="O7" s="38">
        <f t="shared" si="11"/>
        <v>6</v>
      </c>
      <c r="P7" s="38">
        <f t="shared" si="12"/>
        <v>1.1876863056468745</v>
      </c>
      <c r="Q7" s="38">
        <f t="shared" si="5"/>
        <v>0.69655863235011617</v>
      </c>
      <c r="R7" s="145">
        <f t="shared" si="6"/>
        <v>0.82729314872234894</v>
      </c>
      <c r="T7" s="38">
        <f t="shared" si="13"/>
        <v>6</v>
      </c>
      <c r="U7" s="38">
        <f t="shared" si="14"/>
        <v>19.549705735055497</v>
      </c>
      <c r="V7" s="38">
        <f t="shared" si="15"/>
        <v>1.1876863056468745</v>
      </c>
      <c r="W7" s="38">
        <f t="shared" si="7"/>
        <v>18.362019429408623</v>
      </c>
      <c r="X7" s="38">
        <f t="shared" si="8"/>
        <v>19.739170886614268</v>
      </c>
      <c r="AD7">
        <f>AD5/AE5-1</f>
        <v>0.11212865365256963</v>
      </c>
      <c r="AF7">
        <f>AF5/AE5-1</f>
        <v>-9.3978045372835717E-2</v>
      </c>
    </row>
    <row r="8" spans="1:33" x14ac:dyDescent="0.3">
      <c r="A8" s="38">
        <v>7</v>
      </c>
      <c r="B8" s="144">
        <f t="shared" ref="B8:B71" si="17">B7+1/12</f>
        <v>0.58333333333333326</v>
      </c>
      <c r="D8" s="38">
        <f t="shared" si="16"/>
        <v>1</v>
      </c>
      <c r="E8" s="145">
        <f t="shared" si="1"/>
        <v>0.95869043827210654</v>
      </c>
      <c r="F8" s="145">
        <f t="shared" si="2"/>
        <v>0.95869043827210654</v>
      </c>
      <c r="G8" s="145"/>
      <c r="H8" s="145"/>
      <c r="J8" s="38">
        <f t="shared" si="9"/>
        <v>7</v>
      </c>
      <c r="K8" s="38">
        <f t="shared" si="10"/>
        <v>1.229255326344515</v>
      </c>
      <c r="L8" s="38">
        <f t="shared" si="3"/>
        <v>0.6249495826449909</v>
      </c>
      <c r="M8" s="145">
        <f t="shared" si="4"/>
        <v>0.76822260316313673</v>
      </c>
      <c r="O8" s="38">
        <f t="shared" si="11"/>
        <v>7</v>
      </c>
      <c r="P8" s="38">
        <f t="shared" si="12"/>
        <v>1.229255326344515</v>
      </c>
      <c r="Q8" s="38">
        <f t="shared" si="5"/>
        <v>0.64796151846522443</v>
      </c>
      <c r="R8" s="145">
        <f t="shared" si="6"/>
        <v>0.7965101478396569</v>
      </c>
      <c r="T8" s="38">
        <f t="shared" si="13"/>
        <v>7</v>
      </c>
      <c r="U8" s="38">
        <f t="shared" si="14"/>
        <v>19.739170886614268</v>
      </c>
      <c r="V8" s="38">
        <f t="shared" si="15"/>
        <v>1.229255326344515</v>
      </c>
      <c r="W8" s="38">
        <f t="shared" si="7"/>
        <v>18.509915560269754</v>
      </c>
      <c r="X8" s="38">
        <f t="shared" si="8"/>
        <v>19.898159227289984</v>
      </c>
    </row>
    <row r="9" spans="1:33" x14ac:dyDescent="0.3">
      <c r="A9" s="38">
        <v>8</v>
      </c>
      <c r="B9" s="144">
        <f t="shared" si="17"/>
        <v>0.66666666666666663</v>
      </c>
      <c r="D9" s="38">
        <f t="shared" si="16"/>
        <v>1</v>
      </c>
      <c r="E9" s="145">
        <f t="shared" si="1"/>
        <v>0.9529300532643098</v>
      </c>
      <c r="F9" s="145">
        <f t="shared" si="2"/>
        <v>0.9529300532643098</v>
      </c>
      <c r="G9" s="145"/>
      <c r="H9" s="145"/>
      <c r="J9" s="38">
        <f t="shared" si="9"/>
        <v>8</v>
      </c>
      <c r="K9" s="38">
        <f t="shared" si="10"/>
        <v>1.2722792627665729</v>
      </c>
      <c r="L9" s="38">
        <f t="shared" si="3"/>
        <v>0.5813484489720846</v>
      </c>
      <c r="M9" s="145">
        <f t="shared" si="4"/>
        <v>0.7396375760686944</v>
      </c>
      <c r="O9" s="38">
        <f t="shared" si="11"/>
        <v>8</v>
      </c>
      <c r="P9" s="38">
        <f t="shared" si="12"/>
        <v>1.2722792627665729</v>
      </c>
      <c r="Q9" s="38">
        <f t="shared" si="5"/>
        <v>0.60275490089788319</v>
      </c>
      <c r="R9" s="145">
        <f t="shared" si="6"/>
        <v>0.76687256094329748</v>
      </c>
      <c r="T9" s="38">
        <f t="shared" si="13"/>
        <v>8</v>
      </c>
      <c r="U9" s="38">
        <f t="shared" si="14"/>
        <v>19.898159227289984</v>
      </c>
      <c r="V9" s="38">
        <f t="shared" si="15"/>
        <v>1.2722792627665729</v>
      </c>
      <c r="W9" s="38">
        <f t="shared" si="7"/>
        <v>18.62587996452341</v>
      </c>
      <c r="X9" s="38">
        <f t="shared" si="8"/>
        <v>20.022820961862664</v>
      </c>
    </row>
    <row r="10" spans="1:33" x14ac:dyDescent="0.3">
      <c r="A10" s="38">
        <v>9</v>
      </c>
      <c r="B10" s="144">
        <f t="shared" si="17"/>
        <v>0.75</v>
      </c>
      <c r="D10" s="38">
        <f t="shared" si="16"/>
        <v>1</v>
      </c>
      <c r="E10" s="145">
        <f t="shared" si="1"/>
        <v>0.94720428009169311</v>
      </c>
      <c r="F10" s="145">
        <f t="shared" si="2"/>
        <v>0.94720428009169311</v>
      </c>
      <c r="G10" s="145"/>
      <c r="H10" s="145"/>
      <c r="J10" s="38">
        <f t="shared" si="9"/>
        <v>9</v>
      </c>
      <c r="K10" s="38">
        <f t="shared" si="10"/>
        <v>1.3168090369634029</v>
      </c>
      <c r="L10" s="38">
        <f t="shared" si="3"/>
        <v>0.54078925485775309</v>
      </c>
      <c r="M10" s="145">
        <f t="shared" si="4"/>
        <v>0.71211617788939408</v>
      </c>
      <c r="O10" s="38">
        <f t="shared" si="11"/>
        <v>9</v>
      </c>
      <c r="P10" s="38">
        <f t="shared" si="12"/>
        <v>1.3168090369634029</v>
      </c>
      <c r="Q10" s="38">
        <f t="shared" si="5"/>
        <v>0.56070223339337966</v>
      </c>
      <c r="R10" s="145">
        <f t="shared" si="6"/>
        <v>0.73833776797796546</v>
      </c>
      <c r="T10" s="38">
        <f t="shared" si="13"/>
        <v>9</v>
      </c>
      <c r="U10" s="38">
        <f t="shared" si="14"/>
        <v>20.022820961862664</v>
      </c>
      <c r="V10" s="38">
        <f t="shared" si="15"/>
        <v>1.3168090369634029</v>
      </c>
      <c r="W10" s="38">
        <f t="shared" si="7"/>
        <v>18.706011924899261</v>
      </c>
      <c r="X10" s="38">
        <f t="shared" si="8"/>
        <v>20.108962819266704</v>
      </c>
    </row>
    <row r="11" spans="1:33" x14ac:dyDescent="0.3">
      <c r="A11" s="38">
        <v>10</v>
      </c>
      <c r="B11" s="144">
        <f t="shared" si="17"/>
        <v>0.83333333333333337</v>
      </c>
      <c r="D11" s="38">
        <f t="shared" si="16"/>
        <v>1</v>
      </c>
      <c r="E11" s="145">
        <f t="shared" si="1"/>
        <v>0.94151291078566868</v>
      </c>
      <c r="F11" s="145">
        <f t="shared" si="2"/>
        <v>0.94151291078566868</v>
      </c>
      <c r="G11" s="145"/>
      <c r="H11" s="145"/>
      <c r="J11" s="38">
        <f t="shared" si="9"/>
        <v>10</v>
      </c>
      <c r="K11" s="38">
        <f t="shared" si="10"/>
        <v>1.3628973532571218</v>
      </c>
      <c r="L11" s="38">
        <f t="shared" si="3"/>
        <v>0.50305977196070062</v>
      </c>
      <c r="M11" s="145">
        <f t="shared" si="4"/>
        <v>0.68561883173537008</v>
      </c>
      <c r="O11" s="38">
        <f t="shared" si="11"/>
        <v>10</v>
      </c>
      <c r="P11" s="38">
        <f t="shared" si="12"/>
        <v>1.3628973532571218</v>
      </c>
      <c r="Q11" s="38">
        <f t="shared" si="5"/>
        <v>0.52158347292407414</v>
      </c>
      <c r="R11" s="145">
        <f t="shared" si="6"/>
        <v>0.7108647347508783</v>
      </c>
      <c r="T11" s="38">
        <f t="shared" si="13"/>
        <v>10</v>
      </c>
      <c r="U11" s="38">
        <f t="shared" si="14"/>
        <v>20.108962819266704</v>
      </c>
      <c r="V11" s="38">
        <f t="shared" si="15"/>
        <v>1.3628973532571218</v>
      </c>
      <c r="W11" s="38">
        <f t="shared" si="7"/>
        <v>18.746065466009583</v>
      </c>
      <c r="X11" s="38">
        <f t="shared" si="8"/>
        <v>20.152020375960301</v>
      </c>
    </row>
    <row r="12" spans="1:33" x14ac:dyDescent="0.3">
      <c r="A12" s="38">
        <v>11</v>
      </c>
      <c r="B12" s="144">
        <f t="shared" si="17"/>
        <v>0.91666666666666674</v>
      </c>
      <c r="D12" s="38">
        <f t="shared" si="16"/>
        <v>1</v>
      </c>
      <c r="E12" s="145">
        <f t="shared" si="1"/>
        <v>0.93585573862724802</v>
      </c>
      <c r="F12" s="145">
        <f t="shared" si="2"/>
        <v>0.93585573862724802</v>
      </c>
      <c r="G12" s="145"/>
      <c r="H12" s="145"/>
      <c r="J12" s="38">
        <f t="shared" si="9"/>
        <v>11</v>
      </c>
      <c r="K12" s="38">
        <f t="shared" si="10"/>
        <v>1.410598760621121</v>
      </c>
      <c r="L12" s="38">
        <f t="shared" si="3"/>
        <v>0.46796257856809359</v>
      </c>
      <c r="M12" s="145">
        <f t="shared" si="4"/>
        <v>0.66010743334521682</v>
      </c>
      <c r="O12" s="38">
        <f t="shared" si="11"/>
        <v>11</v>
      </c>
      <c r="P12" s="38">
        <f t="shared" si="12"/>
        <v>1.410598760621121</v>
      </c>
      <c r="Q12" s="38">
        <f t="shared" si="5"/>
        <v>0.48519392830146441</v>
      </c>
      <c r="R12" s="145">
        <f t="shared" si="6"/>
        <v>0.68441395392293869</v>
      </c>
      <c r="T12" s="38">
        <f t="shared" si="13"/>
        <v>11</v>
      </c>
      <c r="U12" s="38">
        <f t="shared" si="14"/>
        <v>20.152020375960301</v>
      </c>
      <c r="V12" s="38">
        <f t="shared" si="15"/>
        <v>1.410598760621121</v>
      </c>
      <c r="W12" s="38">
        <f t="shared" si="7"/>
        <v>18.741421615339181</v>
      </c>
      <c r="X12" s="38">
        <f t="shared" si="8"/>
        <v>20.147028236489618</v>
      </c>
    </row>
    <row r="13" spans="1:33" x14ac:dyDescent="0.3">
      <c r="A13" s="38">
        <v>12</v>
      </c>
      <c r="B13" s="144">
        <f t="shared" si="17"/>
        <v>1</v>
      </c>
      <c r="D13" s="38">
        <f t="shared" si="16"/>
        <v>1</v>
      </c>
      <c r="E13" s="145">
        <f t="shared" si="1"/>
        <v>0.93023255813953487</v>
      </c>
      <c r="F13" s="145">
        <f t="shared" si="2"/>
        <v>0.93023255813953487</v>
      </c>
      <c r="G13" s="145"/>
      <c r="H13" s="145"/>
      <c r="J13" s="38">
        <f t="shared" si="9"/>
        <v>12</v>
      </c>
      <c r="K13" s="38">
        <f t="shared" si="10"/>
        <v>1.4599697172428601</v>
      </c>
      <c r="L13" s="38">
        <f t="shared" si="3"/>
        <v>0.43531402657497087</v>
      </c>
      <c r="M13" s="145">
        <f t="shared" si="4"/>
        <v>0.63554529629051104</v>
      </c>
      <c r="O13" s="38">
        <f t="shared" si="11"/>
        <v>12</v>
      </c>
      <c r="P13" s="38">
        <f t="shared" si="12"/>
        <v>1.4599697172428601</v>
      </c>
      <c r="Q13" s="38">
        <f t="shared" si="5"/>
        <v>0.45134318911764126</v>
      </c>
      <c r="R13" s="145">
        <f t="shared" si="6"/>
        <v>0.65894738819557341</v>
      </c>
      <c r="T13" s="38">
        <f t="shared" si="13"/>
        <v>12</v>
      </c>
      <c r="U13" s="38">
        <f t="shared" si="14"/>
        <v>20.147028236489618</v>
      </c>
      <c r="V13" s="38">
        <f t="shared" si="15"/>
        <v>1.4599697172428601</v>
      </c>
      <c r="W13" s="38">
        <f t="shared" si="7"/>
        <v>18.687058519246758</v>
      </c>
      <c r="X13" s="38">
        <f t="shared" si="8"/>
        <v>20.088587908190263</v>
      </c>
    </row>
    <row r="14" spans="1:33" x14ac:dyDescent="0.3">
      <c r="A14" s="38">
        <v>13</v>
      </c>
      <c r="B14" s="144">
        <f t="shared" si="17"/>
        <v>1.0833333333333333</v>
      </c>
      <c r="D14">
        <f>D2*1.035</f>
        <v>1.0349999999999999</v>
      </c>
      <c r="E14" s="145">
        <f t="shared" si="1"/>
        <v>0.92464316508026001</v>
      </c>
      <c r="F14" s="145">
        <f t="shared" si="2"/>
        <v>0.95700567585806906</v>
      </c>
      <c r="G14" s="145"/>
      <c r="H14" s="145"/>
      <c r="J14" s="38">
        <f t="shared" si="9"/>
        <v>13</v>
      </c>
      <c r="K14" s="38">
        <f t="shared" si="10"/>
        <v>1.5110686573463601</v>
      </c>
      <c r="L14" s="38">
        <f t="shared" si="3"/>
        <v>0.40494328053485662</v>
      </c>
      <c r="M14" s="145">
        <f t="shared" si="4"/>
        <v>0.61189709921923618</v>
      </c>
      <c r="O14" s="38">
        <f t="shared" si="11"/>
        <v>13</v>
      </c>
      <c r="P14" s="38">
        <f t="shared" si="12"/>
        <v>1.5110686573463601</v>
      </c>
      <c r="Q14" s="38">
        <f t="shared" si="5"/>
        <v>0.41985412941175931</v>
      </c>
      <c r="R14" s="145">
        <f t="shared" si="6"/>
        <v>0.63442841561155205</v>
      </c>
      <c r="T14" s="38">
        <f t="shared" si="13"/>
        <v>13</v>
      </c>
      <c r="U14" s="38">
        <f t="shared" si="14"/>
        <v>20.088587908190263</v>
      </c>
      <c r="V14" s="38">
        <f t="shared" si="15"/>
        <v>1.5110686573463601</v>
      </c>
      <c r="W14" s="38">
        <f t="shared" si="7"/>
        <v>18.577519250843903</v>
      </c>
      <c r="X14" s="38">
        <f t="shared" si="8"/>
        <v>19.970833194657196</v>
      </c>
    </row>
    <row r="15" spans="1:33" x14ac:dyDescent="0.3">
      <c r="A15" s="38">
        <v>14</v>
      </c>
      <c r="B15" s="144">
        <f t="shared" si="17"/>
        <v>1.1666666666666665</v>
      </c>
      <c r="D15" s="38">
        <f t="shared" ref="D15:D78" si="18">D3*1.035</f>
        <v>1.0349999999999999</v>
      </c>
      <c r="E15" s="145">
        <f t="shared" si="1"/>
        <v>0.9190873564343639</v>
      </c>
      <c r="F15" s="145">
        <f t="shared" si="2"/>
        <v>0.95125541390956658</v>
      </c>
      <c r="G15" s="145"/>
      <c r="H15" s="145"/>
      <c r="J15" s="38">
        <f t="shared" si="9"/>
        <v>14</v>
      </c>
      <c r="K15" s="38">
        <f t="shared" si="10"/>
        <v>1.5639560603534826</v>
      </c>
      <c r="L15" s="38">
        <f t="shared" si="3"/>
        <v>0.37669142375335496</v>
      </c>
      <c r="M15" s="145">
        <f t="shared" si="4"/>
        <v>0.58912883506224123</v>
      </c>
      <c r="O15" s="38">
        <f t="shared" si="11"/>
        <v>14</v>
      </c>
      <c r="P15" s="38">
        <f t="shared" si="12"/>
        <v>1.5639560603534826</v>
      </c>
      <c r="Q15" s="38">
        <f t="shared" si="5"/>
        <v>0.39056198084814819</v>
      </c>
      <c r="R15" s="145">
        <f t="shared" si="6"/>
        <v>0.61082177689112216</v>
      </c>
      <c r="T15" s="38">
        <f t="shared" si="13"/>
        <v>14</v>
      </c>
      <c r="U15" s="38">
        <f t="shared" si="14"/>
        <v>19.970833194657196</v>
      </c>
      <c r="V15" s="38">
        <f t="shared" si="15"/>
        <v>1.5639560603534826</v>
      </c>
      <c r="W15" s="38">
        <f t="shared" si="7"/>
        <v>18.406877134303713</v>
      </c>
      <c r="X15" s="38">
        <f t="shared" si="8"/>
        <v>19.78739291937649</v>
      </c>
    </row>
    <row r="16" spans="1:33" x14ac:dyDescent="0.3">
      <c r="A16" s="38">
        <v>15</v>
      </c>
      <c r="B16" s="144">
        <f t="shared" si="17"/>
        <v>1.2499999999999998</v>
      </c>
      <c r="D16" s="38">
        <f t="shared" si="18"/>
        <v>1.0349999999999999</v>
      </c>
      <c r="E16" s="145">
        <f t="shared" si="1"/>
        <v>0.91356493040662312</v>
      </c>
      <c r="F16" s="145">
        <f t="shared" si="2"/>
        <v>0.94553970297085488</v>
      </c>
      <c r="G16" s="145"/>
      <c r="H16" s="145"/>
      <c r="J16" s="38">
        <f t="shared" si="9"/>
        <v>15</v>
      </c>
      <c r="K16" s="38">
        <f t="shared" si="10"/>
        <v>1.6186945224658542</v>
      </c>
      <c r="L16" s="38">
        <f t="shared" si="3"/>
        <v>0.350410626747307</v>
      </c>
      <c r="M16" s="145">
        <f t="shared" si="4"/>
        <v>0.56720776212969282</v>
      </c>
      <c r="O16" s="38">
        <f t="shared" si="11"/>
        <v>15</v>
      </c>
      <c r="P16" s="38">
        <f t="shared" si="12"/>
        <v>1.6186945224658542</v>
      </c>
      <c r="Q16" s="38">
        <f t="shared" si="5"/>
        <v>0.36331347055641694</v>
      </c>
      <c r="R16" s="145">
        <f t="shared" si="6"/>
        <v>0.58809352472773146</v>
      </c>
      <c r="T16" s="38">
        <f t="shared" si="13"/>
        <v>15</v>
      </c>
      <c r="U16" s="38">
        <f t="shared" si="14"/>
        <v>19.78739291937649</v>
      </c>
      <c r="V16" s="38">
        <f t="shared" si="15"/>
        <v>1.6186945224658542</v>
      </c>
      <c r="W16" s="38">
        <f t="shared" si="7"/>
        <v>18.168698396910635</v>
      </c>
      <c r="X16" s="38">
        <f t="shared" si="8"/>
        <v>19.531350776678931</v>
      </c>
    </row>
    <row r="17" spans="1:24" x14ac:dyDescent="0.3">
      <c r="A17" s="38">
        <v>16</v>
      </c>
      <c r="B17" s="144">
        <f t="shared" si="17"/>
        <v>1.333333333333333</v>
      </c>
      <c r="D17" s="38">
        <f t="shared" si="18"/>
        <v>1.0349999999999999</v>
      </c>
      <c r="E17" s="145">
        <f t="shared" si="1"/>
        <v>0.90807568641432057</v>
      </c>
      <c r="F17" s="145">
        <f t="shared" si="2"/>
        <v>0.93985833543882169</v>
      </c>
      <c r="G17" s="145"/>
      <c r="H17" s="145"/>
      <c r="J17" s="38">
        <f t="shared" si="9"/>
        <v>16</v>
      </c>
      <c r="K17" s="38">
        <f t="shared" si="10"/>
        <v>1.6753488307521589</v>
      </c>
      <c r="L17" s="38">
        <f t="shared" si="3"/>
        <v>0.3259633737184251</v>
      </c>
      <c r="M17" s="145">
        <f t="shared" si="4"/>
        <v>0.54610235702719245</v>
      </c>
      <c r="O17" s="38">
        <f t="shared" si="11"/>
        <v>16</v>
      </c>
      <c r="P17" s="38">
        <f t="shared" si="12"/>
        <v>1.6753488307521589</v>
      </c>
      <c r="Q17" s="38">
        <f t="shared" si="5"/>
        <v>0.33796601912224833</v>
      </c>
      <c r="R17" s="145">
        <f t="shared" si="6"/>
        <v>0.5662109749704205</v>
      </c>
      <c r="T17" s="38">
        <f t="shared" si="13"/>
        <v>16</v>
      </c>
      <c r="U17" s="38">
        <f t="shared" si="14"/>
        <v>19.531350776678931</v>
      </c>
      <c r="V17" s="38">
        <f t="shared" si="15"/>
        <v>1.6753488307521589</v>
      </c>
      <c r="W17" s="38">
        <f t="shared" si="7"/>
        <v>17.856001945926771</v>
      </c>
      <c r="X17" s="38">
        <f t="shared" si="8"/>
        <v>19.195202091871277</v>
      </c>
    </row>
    <row r="18" spans="1:24" x14ac:dyDescent="0.3">
      <c r="A18" s="38">
        <v>17</v>
      </c>
      <c r="B18" s="144">
        <f t="shared" si="17"/>
        <v>1.4166666666666663</v>
      </c>
      <c r="D18" s="38">
        <f t="shared" si="18"/>
        <v>1.0349999999999999</v>
      </c>
      <c r="E18" s="145">
        <f t="shared" si="1"/>
        <v>0.90261942507995951</v>
      </c>
      <c r="F18" s="145">
        <f t="shared" si="2"/>
        <v>0.93421110495775805</v>
      </c>
      <c r="G18" s="145"/>
      <c r="H18" s="145"/>
      <c r="J18" s="38">
        <f t="shared" si="9"/>
        <v>17</v>
      </c>
      <c r="K18" s="38">
        <f t="shared" si="10"/>
        <v>1.7339860398284843</v>
      </c>
      <c r="L18" s="38">
        <f t="shared" si="3"/>
        <v>0.30322174299388382</v>
      </c>
      <c r="M18" s="145">
        <f t="shared" si="4"/>
        <v>0.52578226932385508</v>
      </c>
      <c r="O18" s="38">
        <f t="shared" si="11"/>
        <v>17</v>
      </c>
      <c r="P18" s="38">
        <f t="shared" si="12"/>
        <v>1.7339860398284843</v>
      </c>
      <c r="Q18" s="38">
        <f t="shared" si="5"/>
        <v>0.31438699453232405</v>
      </c>
      <c r="R18" s="145">
        <f t="shared" si="6"/>
        <v>0.54514265962268393</v>
      </c>
      <c r="T18" s="38">
        <f t="shared" si="13"/>
        <v>17</v>
      </c>
      <c r="U18" s="38">
        <f t="shared" si="14"/>
        <v>19.195202091871277</v>
      </c>
      <c r="V18" s="38">
        <f t="shared" si="15"/>
        <v>1.7339860398284843</v>
      </c>
      <c r="W18" s="38">
        <f t="shared" si="7"/>
        <v>17.461216052042793</v>
      </c>
      <c r="X18" s="38">
        <f t="shared" si="8"/>
        <v>18.770807255946004</v>
      </c>
    </row>
    <row r="19" spans="1:24" x14ac:dyDescent="0.3">
      <c r="A19" s="38">
        <v>18</v>
      </c>
      <c r="B19" s="144">
        <f t="shared" si="17"/>
        <v>1.4999999999999996</v>
      </c>
      <c r="D19" s="38">
        <f t="shared" si="18"/>
        <v>1.0349999999999999</v>
      </c>
      <c r="E19" s="145">
        <f t="shared" si="1"/>
        <v>0.8971959482240226</v>
      </c>
      <c r="F19" s="145">
        <f t="shared" si="2"/>
        <v>0.92859780641186329</v>
      </c>
      <c r="G19" s="145"/>
      <c r="H19" s="145"/>
      <c r="J19" s="38">
        <f t="shared" si="9"/>
        <v>18</v>
      </c>
      <c r="K19" s="38">
        <f t="shared" si="10"/>
        <v>1.7946755512224812</v>
      </c>
      <c r="L19" s="38">
        <f t="shared" si="3"/>
        <v>0.28206673766872914</v>
      </c>
      <c r="M19" s="145">
        <f t="shared" si="4"/>
        <v>0.50621827790715346</v>
      </c>
      <c r="O19" s="38">
        <f t="shared" si="11"/>
        <v>18</v>
      </c>
      <c r="P19" s="38">
        <f t="shared" si="12"/>
        <v>1.7946755512224812</v>
      </c>
      <c r="Q19" s="38">
        <f t="shared" si="5"/>
        <v>0.29245301816960378</v>
      </c>
      <c r="R19" s="145">
        <f t="shared" si="6"/>
        <v>0.52485828159021197</v>
      </c>
      <c r="T19" s="38">
        <f t="shared" si="13"/>
        <v>18</v>
      </c>
      <c r="U19" s="38">
        <f t="shared" si="14"/>
        <v>18.770807255946004</v>
      </c>
      <c r="V19" s="38">
        <f t="shared" si="15"/>
        <v>1.7946755512224812</v>
      </c>
      <c r="W19" s="38">
        <f t="shared" si="7"/>
        <v>16.976131704723521</v>
      </c>
      <c r="X19" s="38">
        <f t="shared" si="8"/>
        <v>18.249341582577784</v>
      </c>
    </row>
    <row r="20" spans="1:24" x14ac:dyDescent="0.3">
      <c r="A20" s="38">
        <v>19</v>
      </c>
      <c r="B20" s="144">
        <f t="shared" si="17"/>
        <v>1.5833333333333328</v>
      </c>
      <c r="D20" s="38">
        <f t="shared" si="18"/>
        <v>1.0349999999999999</v>
      </c>
      <c r="E20" s="145">
        <f t="shared" si="1"/>
        <v>0.89180505885777361</v>
      </c>
      <c r="F20" s="145">
        <f t="shared" si="2"/>
        <v>0.92301823591779564</v>
      </c>
      <c r="G20" s="145"/>
      <c r="H20" s="145"/>
      <c r="J20" s="38">
        <f t="shared" si="9"/>
        <v>19</v>
      </c>
      <c r="K20" s="38">
        <f t="shared" si="10"/>
        <v>1.8574891955152679</v>
      </c>
      <c r="L20" s="38">
        <f t="shared" si="3"/>
        <v>0.26238766294765509</v>
      </c>
      <c r="M20" s="145">
        <f t="shared" si="4"/>
        <v>0.48738224896177113</v>
      </c>
      <c r="O20" s="38">
        <f t="shared" si="11"/>
        <v>19</v>
      </c>
      <c r="P20" s="38">
        <f t="shared" si="12"/>
        <v>1.8574891955152679</v>
      </c>
      <c r="Q20" s="38">
        <f t="shared" si="5"/>
        <v>0.27204931922753844</v>
      </c>
      <c r="R20" s="145">
        <f t="shared" si="6"/>
        <v>0.50532867111243673</v>
      </c>
      <c r="T20" s="38">
        <f t="shared" si="13"/>
        <v>19</v>
      </c>
      <c r="U20" s="38">
        <f t="shared" si="14"/>
        <v>18.249341582577784</v>
      </c>
      <c r="V20" s="38">
        <f t="shared" si="15"/>
        <v>1.8574891955152679</v>
      </c>
      <c r="W20" s="38">
        <f t="shared" si="7"/>
        <v>16.391852387062517</v>
      </c>
      <c r="X20" s="38">
        <f t="shared" si="8"/>
        <v>17.621241316092206</v>
      </c>
    </row>
    <row r="21" spans="1:24" x14ac:dyDescent="0.3">
      <c r="A21" s="38">
        <v>20</v>
      </c>
      <c r="B21" s="144">
        <f t="shared" si="17"/>
        <v>1.6666666666666661</v>
      </c>
      <c r="D21" s="38">
        <f t="shared" si="18"/>
        <v>1.0349999999999999</v>
      </c>
      <c r="E21" s="145">
        <f t="shared" si="1"/>
        <v>0.88644656117610243</v>
      </c>
      <c r="F21" s="145">
        <f t="shared" si="2"/>
        <v>0.91747219081726594</v>
      </c>
      <c r="G21" s="145"/>
      <c r="H21" s="145"/>
      <c r="J21" s="38">
        <f t="shared" si="9"/>
        <v>20</v>
      </c>
      <c r="K21" s="38">
        <f t="shared" si="10"/>
        <v>1.9225013173583021</v>
      </c>
      <c r="L21" s="38">
        <f t="shared" si="3"/>
        <v>0.2440815469280512</v>
      </c>
      <c r="M21" s="145">
        <f t="shared" si="4"/>
        <v>0.46924709551203064</v>
      </c>
      <c r="O21" s="38">
        <f t="shared" si="11"/>
        <v>20</v>
      </c>
      <c r="P21" s="38">
        <f t="shared" si="12"/>
        <v>1.9225013173583021</v>
      </c>
      <c r="Q21" s="38">
        <f t="shared" si="5"/>
        <v>0.25306913416515198</v>
      </c>
      <c r="R21" s="145">
        <f t="shared" si="6"/>
        <v>0.48652574381522956</v>
      </c>
      <c r="T21" s="38">
        <f t="shared" si="13"/>
        <v>20</v>
      </c>
      <c r="U21" s="38">
        <f t="shared" si="14"/>
        <v>17.621241316092206</v>
      </c>
      <c r="V21" s="38">
        <f t="shared" si="15"/>
        <v>1.9225013173583021</v>
      </c>
      <c r="W21" s="38">
        <f t="shared" si="7"/>
        <v>15.698739998733904</v>
      </c>
      <c r="X21" s="38">
        <f t="shared" si="8"/>
        <v>16.876145498638948</v>
      </c>
    </row>
    <row r="22" spans="1:24" x14ac:dyDescent="0.3">
      <c r="A22" s="38">
        <v>21</v>
      </c>
      <c r="B22" s="144">
        <f t="shared" si="17"/>
        <v>1.7499999999999993</v>
      </c>
      <c r="D22" s="38">
        <f t="shared" si="18"/>
        <v>1.0349999999999999</v>
      </c>
      <c r="E22" s="145">
        <f t="shared" si="1"/>
        <v>0.88112026055041237</v>
      </c>
      <c r="F22" s="145">
        <f t="shared" si="2"/>
        <v>0.91195946966967678</v>
      </c>
      <c r="G22" s="145"/>
      <c r="H22" s="145"/>
      <c r="J22" s="38">
        <f t="shared" si="9"/>
        <v>21</v>
      </c>
      <c r="K22" s="38">
        <f t="shared" si="10"/>
        <v>1.9897888634658425</v>
      </c>
      <c r="L22" s="38">
        <f t="shared" si="3"/>
        <v>0.22705260179353601</v>
      </c>
      <c r="M22" s="145">
        <f t="shared" si="4"/>
        <v>0.4517867384697225</v>
      </c>
      <c r="O22" s="38">
        <f t="shared" si="11"/>
        <v>21</v>
      </c>
      <c r="P22" s="38">
        <f t="shared" si="12"/>
        <v>1.9897888634658425</v>
      </c>
      <c r="Q22" s="38">
        <f t="shared" si="5"/>
        <v>0.23541314806060654</v>
      </c>
      <c r="R22" s="145">
        <f t="shared" si="6"/>
        <v>0.46842246032443036</v>
      </c>
      <c r="T22" s="38">
        <f t="shared" si="13"/>
        <v>21</v>
      </c>
      <c r="U22" s="38">
        <f t="shared" si="14"/>
        <v>16.876145498638948</v>
      </c>
      <c r="V22" s="38">
        <f t="shared" si="15"/>
        <v>1.9897888634658425</v>
      </c>
      <c r="W22" s="38">
        <f t="shared" si="7"/>
        <v>14.886356635173106</v>
      </c>
      <c r="X22" s="38">
        <f t="shared" si="8"/>
        <v>16.00283338281109</v>
      </c>
    </row>
    <row r="23" spans="1:24" x14ac:dyDescent="0.3">
      <c r="A23" s="38">
        <v>22</v>
      </c>
      <c r="B23" s="144">
        <f t="shared" si="17"/>
        <v>1.8333333333333326</v>
      </c>
      <c r="D23" s="38">
        <f t="shared" si="18"/>
        <v>1.0349999999999999</v>
      </c>
      <c r="E23" s="145">
        <f t="shared" si="1"/>
        <v>0.87582596352155218</v>
      </c>
      <c r="F23" s="145">
        <f t="shared" si="2"/>
        <v>0.90647987224480642</v>
      </c>
      <c r="G23" s="145"/>
      <c r="H23" s="145"/>
      <c r="J23" s="38">
        <f t="shared" si="9"/>
        <v>22</v>
      </c>
      <c r="K23" s="38">
        <f t="shared" si="10"/>
        <v>2.0594314736871469</v>
      </c>
      <c r="L23" s="38">
        <f t="shared" si="3"/>
        <v>0.21121172259863816</v>
      </c>
      <c r="M23" s="145">
        <f t="shared" si="4"/>
        <v>0.43497606913131426</v>
      </c>
      <c r="O23" s="38">
        <f t="shared" si="11"/>
        <v>22</v>
      </c>
      <c r="P23" s="38">
        <f t="shared" si="12"/>
        <v>2.0594314736871469</v>
      </c>
      <c r="Q23" s="38">
        <f t="shared" si="5"/>
        <v>0.21898897494009908</v>
      </c>
      <c r="R23" s="145">
        <f t="shared" si="6"/>
        <v>0.45099278738212595</v>
      </c>
      <c r="T23" s="38">
        <f t="shared" si="13"/>
        <v>22</v>
      </c>
      <c r="U23" s="38">
        <f t="shared" si="14"/>
        <v>16.00283338281109</v>
      </c>
      <c r="V23" s="38">
        <f t="shared" si="15"/>
        <v>2.0594314736871469</v>
      </c>
      <c r="W23" s="38">
        <f t="shared" si="7"/>
        <v>13.943401909123944</v>
      </c>
      <c r="X23" s="38">
        <f t="shared" si="8"/>
        <v>14.989157052308238</v>
      </c>
    </row>
    <row r="24" spans="1:24" x14ac:dyDescent="0.3">
      <c r="A24" s="38">
        <v>23</v>
      </c>
      <c r="B24" s="144">
        <f t="shared" si="17"/>
        <v>1.9166666666666659</v>
      </c>
      <c r="D24" s="38">
        <f t="shared" si="18"/>
        <v>1.0349999999999999</v>
      </c>
      <c r="E24" s="145">
        <f t="shared" si="1"/>
        <v>0.87056347779278909</v>
      </c>
      <c r="F24" s="145">
        <f t="shared" si="2"/>
        <v>0.90103319951553662</v>
      </c>
      <c r="G24" s="145"/>
      <c r="H24" s="145"/>
      <c r="J24" s="38">
        <f t="shared" si="9"/>
        <v>23</v>
      </c>
      <c r="K24" s="38">
        <f t="shared" si="10"/>
        <v>2.1315115752661966</v>
      </c>
      <c r="L24" s="38">
        <f t="shared" si="3"/>
        <v>0.19647602102198902</v>
      </c>
      <c r="M24" s="145">
        <f t="shared" si="4"/>
        <v>0.41879091307061417</v>
      </c>
      <c r="O24" s="38">
        <f t="shared" si="11"/>
        <v>23</v>
      </c>
      <c r="P24" s="38">
        <f t="shared" si="12"/>
        <v>2.1315115752661966</v>
      </c>
      <c r="Q24" s="38">
        <f t="shared" si="5"/>
        <v>0.20371067436288287</v>
      </c>
      <c r="R24" s="145">
        <f t="shared" si="6"/>
        <v>0.43421166040976766</v>
      </c>
      <c r="T24" s="38">
        <f t="shared" si="13"/>
        <v>23</v>
      </c>
      <c r="U24" s="38">
        <f t="shared" si="14"/>
        <v>14.989157052308238</v>
      </c>
      <c r="V24" s="38">
        <f t="shared" si="15"/>
        <v>2.1315115752661966</v>
      </c>
      <c r="W24" s="38">
        <f t="shared" si="7"/>
        <v>12.857645477042041</v>
      </c>
      <c r="X24" s="38">
        <f t="shared" si="8"/>
        <v>13.821968887820194</v>
      </c>
    </row>
    <row r="25" spans="1:24" x14ac:dyDescent="0.3">
      <c r="A25" s="38">
        <v>24</v>
      </c>
      <c r="B25" s="144">
        <f t="shared" si="17"/>
        <v>1.9999999999999991</v>
      </c>
      <c r="D25" s="38">
        <f t="shared" si="18"/>
        <v>1.0349999999999999</v>
      </c>
      <c r="E25" s="145">
        <f t="shared" si="1"/>
        <v>0.86533261222282321</v>
      </c>
      <c r="F25" s="145">
        <f t="shared" si="2"/>
        <v>0.89561925365062189</v>
      </c>
      <c r="G25" s="145"/>
      <c r="H25" s="145"/>
      <c r="J25" s="38">
        <f t="shared" si="9"/>
        <v>24</v>
      </c>
      <c r="K25" s="38">
        <f t="shared" si="10"/>
        <v>2.2061144804005135</v>
      </c>
      <c r="L25" s="38">
        <f t="shared" si="3"/>
        <v>0.18276839164836187</v>
      </c>
      <c r="M25" s="145">
        <f t="shared" si="4"/>
        <v>0.40320799537496338</v>
      </c>
      <c r="O25" s="38">
        <f t="shared" si="11"/>
        <v>24</v>
      </c>
      <c r="P25" s="38">
        <f t="shared" si="12"/>
        <v>2.2061144804005135</v>
      </c>
      <c r="Q25" s="38">
        <f t="shared" si="5"/>
        <v>0.18949830173291429</v>
      </c>
      <c r="R25" s="145">
        <f t="shared" si="6"/>
        <v>0.41805494746428795</v>
      </c>
      <c r="T25" s="38">
        <f t="shared" si="13"/>
        <v>24</v>
      </c>
      <c r="U25" s="38">
        <f t="shared" si="14"/>
        <v>13.821968887820194</v>
      </c>
      <c r="V25" s="38">
        <f t="shared" si="15"/>
        <v>2.2061144804005135</v>
      </c>
      <c r="W25" s="38">
        <f t="shared" si="7"/>
        <v>11.615854407419681</v>
      </c>
      <c r="X25" s="38">
        <f t="shared" si="8"/>
        <v>12.487043487976157</v>
      </c>
    </row>
    <row r="26" spans="1:24" x14ac:dyDescent="0.3">
      <c r="A26" s="38">
        <v>25</v>
      </c>
      <c r="B26" s="144">
        <f t="shared" si="17"/>
        <v>2.0833333333333326</v>
      </c>
      <c r="D26" s="38">
        <f t="shared" si="18"/>
        <v>1.0712249999999999</v>
      </c>
      <c r="E26" s="145">
        <f t="shared" si="1"/>
        <v>0.86013317681884649</v>
      </c>
      <c r="F26" s="145">
        <f t="shared" si="2"/>
        <v>0.92139616233776878</v>
      </c>
      <c r="G26" s="145"/>
      <c r="H26" s="145"/>
      <c r="J26" s="38">
        <f t="shared" si="9"/>
        <v>25</v>
      </c>
      <c r="K26" s="38">
        <f t="shared" si="10"/>
        <v>2.2833284872145314</v>
      </c>
      <c r="L26" s="38">
        <f t="shared" si="3"/>
        <v>0.17001710851010407</v>
      </c>
      <c r="M26" s="145">
        <f t="shared" si="4"/>
        <v>0.38820490717496475</v>
      </c>
      <c r="O26" s="38">
        <f t="shared" si="11"/>
        <v>25</v>
      </c>
      <c r="P26" s="38">
        <f t="shared" si="12"/>
        <v>2.2833284872145314</v>
      </c>
      <c r="Q26" s="38">
        <f t="shared" si="5"/>
        <v>0.17627748998410636</v>
      </c>
      <c r="R26" s="145">
        <f t="shared" si="6"/>
        <v>0.40249941453538429</v>
      </c>
      <c r="T26" s="38">
        <f t="shared" si="13"/>
        <v>25</v>
      </c>
      <c r="U26" s="38">
        <f t="shared" si="14"/>
        <v>12.487043487976157</v>
      </c>
      <c r="V26" s="38">
        <f t="shared" si="15"/>
        <v>2.2833284872145314</v>
      </c>
      <c r="W26" s="38">
        <f t="shared" si="7"/>
        <v>10.203715000761626</v>
      </c>
      <c r="X26" s="38">
        <f t="shared" si="8"/>
        <v>10.968993625818747</v>
      </c>
    </row>
    <row r="27" spans="1:24" x14ac:dyDescent="0.3">
      <c r="A27" s="38">
        <v>26</v>
      </c>
      <c r="B27" s="144">
        <f t="shared" si="17"/>
        <v>2.1666666666666661</v>
      </c>
      <c r="D27" s="38">
        <f t="shared" si="18"/>
        <v>1.0712249999999999</v>
      </c>
      <c r="E27" s="145">
        <f t="shared" si="1"/>
        <v>0.85496498272964094</v>
      </c>
      <c r="F27" s="145">
        <f t="shared" si="2"/>
        <v>0.91585986362455951</v>
      </c>
      <c r="G27" s="145"/>
      <c r="H27" s="145"/>
      <c r="J27" s="38">
        <f t="shared" si="9"/>
        <v>26</v>
      </c>
      <c r="K27" s="38">
        <f t="shared" si="10"/>
        <v>2.3632449842670398</v>
      </c>
      <c r="L27" s="38">
        <f t="shared" si="3"/>
        <v>0.15815544977684101</v>
      </c>
      <c r="M27" s="145">
        <f t="shared" si="4"/>
        <v>0.37376007341961726</v>
      </c>
      <c r="O27" s="38">
        <f t="shared" si="11"/>
        <v>26</v>
      </c>
      <c r="P27" s="38">
        <f t="shared" si="12"/>
        <v>2.3632449842670398</v>
      </c>
      <c r="Q27" s="38">
        <f t="shared" si="5"/>
        <v>0.16397906045033148</v>
      </c>
      <c r="R27" s="145">
        <f t="shared" si="6"/>
        <v>0.38752269213406759</v>
      </c>
      <c r="T27" s="38">
        <f t="shared" si="13"/>
        <v>26</v>
      </c>
      <c r="U27" s="38">
        <f t="shared" si="14"/>
        <v>10.968993625818747</v>
      </c>
      <c r="V27" s="38">
        <f t="shared" si="15"/>
        <v>2.3632449842670398</v>
      </c>
      <c r="W27" s="38">
        <f t="shared" si="7"/>
        <v>8.6057486415517079</v>
      </c>
      <c r="X27" s="38">
        <f t="shared" si="8"/>
        <v>9.2511797896680861</v>
      </c>
    </row>
    <row r="28" spans="1:24" x14ac:dyDescent="0.3">
      <c r="A28" s="38">
        <v>27</v>
      </c>
      <c r="B28" s="144">
        <f t="shared" si="17"/>
        <v>2.2499999999999996</v>
      </c>
      <c r="D28" s="38">
        <f t="shared" si="18"/>
        <v>1.0712249999999999</v>
      </c>
      <c r="E28" s="145">
        <f t="shared" si="1"/>
        <v>0.84982784223871932</v>
      </c>
      <c r="F28" s="145">
        <f t="shared" si="2"/>
        <v>0.91035683030217196</v>
      </c>
      <c r="G28" s="145"/>
      <c r="H28" s="145"/>
      <c r="J28" s="38">
        <f t="shared" si="9"/>
        <v>27</v>
      </c>
      <c r="K28" s="38">
        <f t="shared" si="10"/>
        <v>2.4459585587163861</v>
      </c>
      <c r="L28" s="38">
        <f t="shared" si="3"/>
        <v>0.14712134862961956</v>
      </c>
      <c r="M28" s="145">
        <f t="shared" si="4"/>
        <v>0.35985272185051526</v>
      </c>
      <c r="O28" s="38">
        <f t="shared" si="11"/>
        <v>27</v>
      </c>
      <c r="P28" s="38">
        <f t="shared" si="12"/>
        <v>2.4459585587163861</v>
      </c>
      <c r="Q28" s="38">
        <f t="shared" si="5"/>
        <v>0.15253866088402931</v>
      </c>
      <c r="R28" s="145">
        <f t="shared" si="6"/>
        <v>0.37310324312442794</v>
      </c>
      <c r="T28" s="38">
        <f t="shared" si="13"/>
        <v>27</v>
      </c>
      <c r="U28" s="38">
        <f t="shared" si="14"/>
        <v>9.2511797896680861</v>
      </c>
      <c r="V28" s="38">
        <f t="shared" si="15"/>
        <v>2.4459585587163861</v>
      </c>
      <c r="W28" s="38">
        <f t="shared" si="7"/>
        <v>6.8052212309517</v>
      </c>
      <c r="X28" s="38">
        <f t="shared" si="8"/>
        <v>7.315612823273077</v>
      </c>
    </row>
    <row r="29" spans="1:24" x14ac:dyDescent="0.3">
      <c r="A29" s="38">
        <v>28</v>
      </c>
      <c r="B29" s="144">
        <f t="shared" si="17"/>
        <v>2.333333333333333</v>
      </c>
      <c r="D29" s="38">
        <f t="shared" si="18"/>
        <v>1.0712249999999999</v>
      </c>
      <c r="E29" s="145">
        <f t="shared" si="1"/>
        <v>0.84472156875750748</v>
      </c>
      <c r="F29" s="145">
        <f t="shared" si="2"/>
        <v>0.9048868624922608</v>
      </c>
      <c r="G29" s="145"/>
      <c r="H29" s="145"/>
      <c r="J29" s="38">
        <f t="shared" si="9"/>
        <v>28</v>
      </c>
      <c r="K29" s="38">
        <f t="shared" si="10"/>
        <v>2.5315671082714593</v>
      </c>
      <c r="L29" s="38">
        <f t="shared" si="3"/>
        <v>0.13685706849266935</v>
      </c>
      <c r="M29" s="145">
        <f t="shared" si="4"/>
        <v>0.34646285313049596</v>
      </c>
      <c r="O29" s="38">
        <f t="shared" si="11"/>
        <v>28</v>
      </c>
      <c r="P29" s="38">
        <f t="shared" si="12"/>
        <v>2.5315671082714593</v>
      </c>
      <c r="Q29" s="38">
        <f t="shared" si="5"/>
        <v>0.14189642872932959</v>
      </c>
      <c r="R29" s="145">
        <f t="shared" si="6"/>
        <v>0.35922033175235613</v>
      </c>
      <c r="T29" s="38">
        <f t="shared" si="13"/>
        <v>28</v>
      </c>
      <c r="U29" s="38">
        <f t="shared" si="14"/>
        <v>7.315612823273077</v>
      </c>
      <c r="V29" s="38">
        <f t="shared" si="15"/>
        <v>2.5315671082714593</v>
      </c>
      <c r="W29" s="38">
        <f t="shared" si="7"/>
        <v>4.7840457150016178</v>
      </c>
      <c r="X29" s="38">
        <f t="shared" si="8"/>
        <v>5.142849143626739</v>
      </c>
    </row>
    <row r="30" spans="1:24" x14ac:dyDescent="0.3">
      <c r="A30" s="38">
        <v>29</v>
      </c>
      <c r="B30" s="144">
        <f t="shared" si="17"/>
        <v>2.4166666666666665</v>
      </c>
      <c r="D30" s="38">
        <f t="shared" si="18"/>
        <v>1.0712249999999999</v>
      </c>
      <c r="E30" s="145">
        <f t="shared" si="1"/>
        <v>0.8396459768185669</v>
      </c>
      <c r="F30" s="145">
        <f t="shared" si="2"/>
        <v>0.89944976151746925</v>
      </c>
      <c r="G30" s="145"/>
      <c r="H30" s="145"/>
      <c r="J30" s="38">
        <f t="shared" si="9"/>
        <v>29</v>
      </c>
      <c r="K30" s="38">
        <f t="shared" si="10"/>
        <v>2.6201719570609603</v>
      </c>
      <c r="L30" s="38">
        <f t="shared" si="3"/>
        <v>0.12730890092341338</v>
      </c>
      <c r="M30" s="145">
        <f t="shared" si="4"/>
        <v>0.33357121208377993</v>
      </c>
      <c r="O30" s="38">
        <f t="shared" si="11"/>
        <v>29</v>
      </c>
      <c r="P30" s="38">
        <f t="shared" si="12"/>
        <v>2.6201719570609603</v>
      </c>
      <c r="Q30" s="38">
        <f t="shared" si="5"/>
        <v>0.13199667788774846</v>
      </c>
      <c r="R30" s="145">
        <f t="shared" si="6"/>
        <v>0.34585399382668708</v>
      </c>
      <c r="T30" s="38">
        <f t="shared" si="13"/>
        <v>29</v>
      </c>
      <c r="U30" s="38">
        <f t="shared" si="14"/>
        <v>5.142849143626739</v>
      </c>
      <c r="V30" s="38">
        <f t="shared" si="15"/>
        <v>2.6201719570609603</v>
      </c>
      <c r="W30" s="38">
        <f t="shared" si="7"/>
        <v>2.5226771865657787</v>
      </c>
      <c r="X30" s="38">
        <f t="shared" si="8"/>
        <v>2.7118779755582119</v>
      </c>
    </row>
    <row r="31" spans="1:24" x14ac:dyDescent="0.3">
      <c r="A31" s="38">
        <v>30</v>
      </c>
      <c r="B31" s="144">
        <f t="shared" si="17"/>
        <v>2.5</v>
      </c>
      <c r="D31" s="38">
        <f t="shared" si="18"/>
        <v>1.0712249999999999</v>
      </c>
      <c r="E31" s="145">
        <f t="shared" si="1"/>
        <v>0.8346008820688583</v>
      </c>
      <c r="F31" s="145">
        <f t="shared" si="2"/>
        <v>0.89404532989421259</v>
      </c>
      <c r="G31" s="145"/>
      <c r="H31" s="145"/>
      <c r="J31" s="38">
        <f t="shared" si="9"/>
        <v>30</v>
      </c>
      <c r="K31" s="38">
        <f t="shared" si="10"/>
        <v>2.7118779755580937</v>
      </c>
      <c r="L31" s="38">
        <f t="shared" si="3"/>
        <v>0.11842688457991941</v>
      </c>
      <c r="M31" s="145">
        <f t="shared" si="4"/>
        <v>0.3211592600062439</v>
      </c>
      <c r="O31" s="38">
        <f t="shared" si="11"/>
        <v>30</v>
      </c>
      <c r="P31" s="38">
        <f t="shared" si="12"/>
        <v>2.7118779755580937</v>
      </c>
      <c r="Q31" s="38">
        <f t="shared" si="5"/>
        <v>0.1227876073374404</v>
      </c>
      <c r="R31" s="145">
        <f t="shared" si="6"/>
        <v>0.33298500800988001</v>
      </c>
      <c r="T31" s="38">
        <f t="shared" si="13"/>
        <v>30</v>
      </c>
      <c r="U31" s="38">
        <f t="shared" si="14"/>
        <v>2.7118779755582119</v>
      </c>
      <c r="V31" s="38">
        <f t="shared" si="15"/>
        <v>2.7118779755580937</v>
      </c>
      <c r="W31" s="38">
        <f t="shared" si="7"/>
        <v>1.1812772982011666E-13</v>
      </c>
      <c r="X31" s="38">
        <f t="shared" si="8"/>
        <v>1.269873095566254E-13</v>
      </c>
    </row>
    <row r="32" spans="1:24" x14ac:dyDescent="0.3">
      <c r="A32" s="38">
        <v>31</v>
      </c>
      <c r="B32" s="144">
        <f t="shared" si="17"/>
        <v>2.5833333333333335</v>
      </c>
      <c r="D32" s="38">
        <f t="shared" si="18"/>
        <v>1.0712249999999999</v>
      </c>
      <c r="E32" s="145">
        <f t="shared" si="1"/>
        <v>0.82958610126304533</v>
      </c>
      <c r="F32" s="145">
        <f t="shared" si="2"/>
        <v>0.88867337132550561</v>
      </c>
      <c r="G32" s="145"/>
      <c r="H32" s="145"/>
      <c r="M32" s="145"/>
      <c r="O32" s="38"/>
      <c r="R32" s="145"/>
    </row>
    <row r="33" spans="1:18" x14ac:dyDescent="0.3">
      <c r="A33" s="38">
        <v>32</v>
      </c>
      <c r="B33" s="144">
        <f t="shared" si="17"/>
        <v>2.666666666666667</v>
      </c>
      <c r="D33" s="38">
        <f t="shared" si="18"/>
        <v>1.0712249999999999</v>
      </c>
      <c r="E33" s="145">
        <f t="shared" si="1"/>
        <v>0.82460145225683934</v>
      </c>
      <c r="F33" s="145">
        <f t="shared" si="2"/>
        <v>0.88333369069383261</v>
      </c>
      <c r="G33" s="145"/>
      <c r="H33" s="145"/>
      <c r="M33" s="145"/>
      <c r="O33" s="38"/>
      <c r="R33" s="145"/>
    </row>
    <row r="34" spans="1:18" x14ac:dyDescent="0.3">
      <c r="A34" s="38">
        <v>33</v>
      </c>
      <c r="B34" s="144">
        <f t="shared" si="17"/>
        <v>2.7500000000000004</v>
      </c>
      <c r="D34" s="38">
        <f t="shared" si="18"/>
        <v>1.0712249999999999</v>
      </c>
      <c r="E34" s="145">
        <f t="shared" si="1"/>
        <v>0.81964675400038345</v>
      </c>
      <c r="F34" s="145">
        <f t="shared" si="2"/>
        <v>0.87802609405406062</v>
      </c>
      <c r="G34" s="145"/>
      <c r="H34" s="145"/>
      <c r="M34" s="145"/>
      <c r="R34" s="145"/>
    </row>
    <row r="35" spans="1:18" x14ac:dyDescent="0.3">
      <c r="A35" s="38">
        <v>34</v>
      </c>
      <c r="B35" s="144">
        <f t="shared" si="17"/>
        <v>2.8333333333333339</v>
      </c>
      <c r="D35" s="38">
        <f t="shared" si="18"/>
        <v>1.0712249999999999</v>
      </c>
      <c r="E35" s="145">
        <f t="shared" si="1"/>
        <v>0.81472182653167635</v>
      </c>
      <c r="F35" s="145">
        <f t="shared" si="2"/>
        <v>0.87275038862639487</v>
      </c>
      <c r="G35" s="145"/>
      <c r="H35" s="145"/>
      <c r="M35" s="145"/>
      <c r="R35" s="145"/>
    </row>
    <row r="36" spans="1:18" x14ac:dyDescent="0.3">
      <c r="A36" s="38">
        <v>35</v>
      </c>
      <c r="B36" s="144">
        <f t="shared" si="17"/>
        <v>2.9166666666666674</v>
      </c>
      <c r="D36" s="38">
        <f t="shared" si="18"/>
        <v>1.0712249999999999</v>
      </c>
      <c r="E36" s="145">
        <f t="shared" si="1"/>
        <v>0.80982649097003634</v>
      </c>
      <c r="F36" s="145">
        <f t="shared" si="2"/>
        <v>0.86750638278937708</v>
      </c>
      <c r="G36" s="145"/>
      <c r="H36" s="145"/>
      <c r="M36" s="145"/>
      <c r="R36" s="145"/>
    </row>
    <row r="37" spans="1:18" x14ac:dyDescent="0.3">
      <c r="A37" s="38">
        <v>36</v>
      </c>
      <c r="B37" s="144">
        <f t="shared" si="17"/>
        <v>3.0000000000000009</v>
      </c>
      <c r="D37" s="38">
        <f t="shared" si="18"/>
        <v>1.0712249999999999</v>
      </c>
      <c r="E37" s="145">
        <f t="shared" si="1"/>
        <v>0.80496056950960304</v>
      </c>
      <c r="F37" s="145">
        <f t="shared" si="2"/>
        <v>0.86229388607292445</v>
      </c>
      <c r="G37" s="145"/>
      <c r="H37" s="145"/>
      <c r="M37" s="145"/>
      <c r="R37" s="145"/>
    </row>
    <row r="38" spans="1:18" x14ac:dyDescent="0.3">
      <c r="A38" s="38">
        <v>37</v>
      </c>
      <c r="B38" s="144">
        <f t="shared" si="17"/>
        <v>3.0833333333333344</v>
      </c>
      <c r="D38" s="38">
        <f t="shared" si="18"/>
        <v>1.1087178749999997</v>
      </c>
      <c r="E38" s="145">
        <f t="shared" si="1"/>
        <v>0.80012388541288038</v>
      </c>
      <c r="F38" s="145">
        <f t="shared" si="2"/>
        <v>0.88711165397171199</v>
      </c>
      <c r="G38" s="145"/>
      <c r="H38" s="145"/>
      <c r="M38" s="145"/>
      <c r="R38" s="145"/>
    </row>
    <row r="39" spans="1:18" x14ac:dyDescent="0.3">
      <c r="A39" s="38">
        <v>38</v>
      </c>
      <c r="B39" s="144">
        <f t="shared" si="17"/>
        <v>3.1666666666666679</v>
      </c>
      <c r="D39" s="38">
        <f t="shared" si="18"/>
        <v>1.1087178749999997</v>
      </c>
      <c r="E39" s="145">
        <f t="shared" si="1"/>
        <v>0.79531626300431701</v>
      </c>
      <c r="F39" s="145">
        <f t="shared" si="2"/>
        <v>0.88178135707108729</v>
      </c>
      <c r="G39" s="145"/>
      <c r="H39" s="145"/>
      <c r="M39" s="145"/>
      <c r="R39" s="145"/>
    </row>
    <row r="40" spans="1:18" x14ac:dyDescent="0.3">
      <c r="A40" s="38">
        <v>39</v>
      </c>
      <c r="B40" s="144">
        <f t="shared" si="17"/>
        <v>3.2500000000000013</v>
      </c>
      <c r="D40" s="38">
        <f t="shared" si="18"/>
        <v>1.1087178749999997</v>
      </c>
      <c r="E40" s="145">
        <f t="shared" si="1"/>
        <v>0.79053752766392482</v>
      </c>
      <c r="F40" s="145">
        <f t="shared" si="2"/>
        <v>0.87648308777930029</v>
      </c>
      <c r="G40" s="145"/>
      <c r="H40" s="145"/>
      <c r="M40" s="145"/>
      <c r="R40" s="145"/>
    </row>
    <row r="41" spans="1:18" x14ac:dyDescent="0.3">
      <c r="A41" s="38">
        <v>40</v>
      </c>
      <c r="B41" s="144">
        <f t="shared" si="17"/>
        <v>3.3333333333333348</v>
      </c>
      <c r="D41" s="38">
        <f t="shared" si="18"/>
        <v>1.1087178749999997</v>
      </c>
      <c r="E41" s="145">
        <f t="shared" si="1"/>
        <v>0.78578750582093715</v>
      </c>
      <c r="F41" s="145">
        <f t="shared" si="2"/>
        <v>0.8712166536553394</v>
      </c>
      <c r="G41" s="145"/>
      <c r="H41" s="145"/>
      <c r="M41" s="145"/>
      <c r="R41" s="145"/>
    </row>
    <row r="42" spans="1:18" x14ac:dyDescent="0.3">
      <c r="A42" s="38">
        <v>41</v>
      </c>
      <c r="B42" s="144">
        <f t="shared" si="17"/>
        <v>3.4166666666666683</v>
      </c>
      <c r="D42" s="38">
        <f t="shared" si="18"/>
        <v>1.1087178749999997</v>
      </c>
      <c r="E42" s="145">
        <f t="shared" si="1"/>
        <v>0.7810660249475041</v>
      </c>
      <c r="F42" s="145">
        <f t="shared" si="2"/>
        <v>0.86598186341449357</v>
      </c>
      <c r="G42" s="145"/>
      <c r="H42" s="145"/>
      <c r="M42" s="145"/>
      <c r="R42" s="145"/>
    </row>
    <row r="43" spans="1:18" x14ac:dyDescent="0.3">
      <c r="A43" s="38">
        <v>42</v>
      </c>
      <c r="B43" s="144">
        <f t="shared" si="17"/>
        <v>3.5000000000000018</v>
      </c>
      <c r="D43" s="38">
        <f t="shared" si="18"/>
        <v>1.1087178749999997</v>
      </c>
      <c r="E43" s="145">
        <f t="shared" si="1"/>
        <v>0.77637291355242632</v>
      </c>
      <c r="F43" s="145">
        <f t="shared" si="2"/>
        <v>0.86077852692140466</v>
      </c>
      <c r="G43" s="145"/>
      <c r="H43" s="145"/>
      <c r="M43" s="145"/>
      <c r="R43" s="145"/>
    </row>
    <row r="44" spans="1:18" x14ac:dyDescent="0.3">
      <c r="A44" s="38">
        <v>43</v>
      </c>
      <c r="B44" s="144">
        <f t="shared" si="17"/>
        <v>3.5833333333333353</v>
      </c>
      <c r="D44" s="38">
        <f t="shared" si="18"/>
        <v>1.1087178749999997</v>
      </c>
      <c r="E44" s="145">
        <f t="shared" si="1"/>
        <v>0.77170800117492577</v>
      </c>
      <c r="F44" s="145">
        <f t="shared" si="2"/>
        <v>0.85560645518316103</v>
      </c>
      <c r="G44" s="145"/>
      <c r="H44" s="145"/>
      <c r="M44" s="145"/>
      <c r="R44" s="145"/>
    </row>
    <row r="45" spans="1:18" x14ac:dyDescent="0.3">
      <c r="A45" s="38">
        <v>44</v>
      </c>
      <c r="B45" s="144">
        <f t="shared" si="17"/>
        <v>3.6666666666666687</v>
      </c>
      <c r="D45" s="38">
        <f t="shared" si="18"/>
        <v>1.1087178749999997</v>
      </c>
      <c r="E45" s="145">
        <f t="shared" si="1"/>
        <v>0.7670711183784551</v>
      </c>
      <c r="F45" s="145">
        <f t="shared" si="2"/>
        <v>0.85046546034243398</v>
      </c>
      <c r="G45" s="145"/>
      <c r="H45" s="145"/>
      <c r="M45" s="145"/>
      <c r="R45" s="145"/>
    </row>
    <row r="46" spans="1:18" x14ac:dyDescent="0.3">
      <c r="A46" s="38">
        <v>45</v>
      </c>
      <c r="B46" s="144">
        <f t="shared" si="17"/>
        <v>3.7500000000000022</v>
      </c>
      <c r="D46" s="38">
        <f t="shared" si="18"/>
        <v>1.1087178749999997</v>
      </c>
      <c r="E46" s="145">
        <f t="shared" si="1"/>
        <v>0.76246209674454268</v>
      </c>
      <c r="F46" s="145">
        <f t="shared" si="2"/>
        <v>0.84535535567065356</v>
      </c>
      <c r="G46" s="145"/>
      <c r="H46" s="145"/>
      <c r="M46" s="145"/>
      <c r="R46" s="145"/>
    </row>
    <row r="47" spans="1:18" x14ac:dyDescent="0.3">
      <c r="A47" s="38">
        <v>46</v>
      </c>
      <c r="B47" s="144">
        <f t="shared" si="17"/>
        <v>3.8333333333333357</v>
      </c>
      <c r="D47" s="38">
        <f t="shared" si="18"/>
        <v>1.1087178749999997</v>
      </c>
      <c r="E47" s="145">
        <f t="shared" si="1"/>
        <v>0.75788076886667566</v>
      </c>
      <c r="F47" s="145">
        <f t="shared" si="2"/>
        <v>0.84027595556122658</v>
      </c>
      <c r="G47" s="145"/>
      <c r="H47" s="145"/>
      <c r="M47" s="145"/>
      <c r="R47" s="145"/>
    </row>
    <row r="48" spans="1:18" x14ac:dyDescent="0.3">
      <c r="A48" s="38">
        <v>47</v>
      </c>
      <c r="B48" s="144">
        <f t="shared" si="17"/>
        <v>3.9166666666666692</v>
      </c>
      <c r="D48" s="38">
        <f t="shared" si="18"/>
        <v>1.1087178749999997</v>
      </c>
      <c r="E48" s="145">
        <f t="shared" si="1"/>
        <v>0.75332696834421975</v>
      </c>
      <c r="F48" s="145">
        <f t="shared" si="2"/>
        <v>0.8352270755227954</v>
      </c>
      <c r="G48" s="145"/>
      <c r="H48" s="145"/>
      <c r="M48" s="145"/>
      <c r="R48" s="145"/>
    </row>
    <row r="49" spans="1:18" x14ac:dyDescent="0.3">
      <c r="A49" s="38">
        <v>48</v>
      </c>
      <c r="B49" s="144">
        <f t="shared" si="17"/>
        <v>4.0000000000000027</v>
      </c>
      <c r="D49" s="38">
        <f t="shared" si="18"/>
        <v>1.1087178749999997</v>
      </c>
      <c r="E49" s="145">
        <f t="shared" si="1"/>
        <v>0.7488005297763749</v>
      </c>
      <c r="F49" s="145">
        <f t="shared" si="2"/>
        <v>0.83020853217253643</v>
      </c>
      <c r="G49" s="145"/>
      <c r="H49" s="145"/>
      <c r="M49" s="145"/>
      <c r="R49" s="145"/>
    </row>
    <row r="50" spans="1:18" x14ac:dyDescent="0.3">
      <c r="A50" s="38">
        <v>49</v>
      </c>
      <c r="B50" s="144">
        <f t="shared" si="17"/>
        <v>4.0833333333333357</v>
      </c>
      <c r="D50" s="38">
        <f t="shared" si="18"/>
        <v>1.1475230006249997</v>
      </c>
      <c r="E50" s="145">
        <f t="shared" si="1"/>
        <v>0.74430128875616774</v>
      </c>
      <c r="F50" s="145">
        <f t="shared" si="2"/>
        <v>0.85410284824253191</v>
      </c>
      <c r="G50" s="145"/>
      <c r="H50" s="145"/>
      <c r="M50" s="145"/>
      <c r="R50" s="145"/>
    </row>
    <row r="51" spans="1:18" x14ac:dyDescent="0.3">
      <c r="A51" s="38">
        <v>50</v>
      </c>
      <c r="B51" s="144">
        <f t="shared" si="17"/>
        <v>4.1666666666666687</v>
      </c>
      <c r="D51" s="38">
        <f t="shared" si="18"/>
        <v>1.1475230006249997</v>
      </c>
      <c r="E51" s="145">
        <f t="shared" si="1"/>
        <v>0.73982908186448104</v>
      </c>
      <c r="F51" s="145">
        <f t="shared" si="2"/>
        <v>0.84897088797076781</v>
      </c>
      <c r="G51" s="145"/>
      <c r="H51" s="145"/>
      <c r="M51" s="145"/>
      <c r="R51" s="145"/>
    </row>
    <row r="52" spans="1:18" x14ac:dyDescent="0.3">
      <c r="A52" s="38">
        <v>51</v>
      </c>
      <c r="B52" s="144">
        <f t="shared" si="17"/>
        <v>4.2500000000000018</v>
      </c>
      <c r="D52" s="38">
        <f t="shared" si="18"/>
        <v>1.1475230006249997</v>
      </c>
      <c r="E52" s="145">
        <f t="shared" si="1"/>
        <v>0.7353837466641161</v>
      </c>
      <c r="F52" s="145">
        <f t="shared" si="2"/>
        <v>0.84386976358286114</v>
      </c>
      <c r="G52" s="145"/>
      <c r="H52" s="145"/>
      <c r="M52" s="145"/>
      <c r="R52" s="145"/>
    </row>
    <row r="53" spans="1:18" x14ac:dyDescent="0.3">
      <c r="A53" s="38">
        <v>52</v>
      </c>
      <c r="B53" s="144">
        <f t="shared" si="17"/>
        <v>4.3333333333333348</v>
      </c>
      <c r="D53" s="38">
        <f t="shared" si="18"/>
        <v>1.1475230006249997</v>
      </c>
      <c r="E53" s="145">
        <f t="shared" si="1"/>
        <v>0.73096512169389505</v>
      </c>
      <c r="F53" s="145">
        <f t="shared" si="2"/>
        <v>0.83879928979839646</v>
      </c>
      <c r="G53" s="145"/>
      <c r="H53" s="145"/>
      <c r="M53" s="145"/>
      <c r="R53" s="145"/>
    </row>
    <row r="54" spans="1:18" x14ac:dyDescent="0.3">
      <c r="A54" s="38">
        <v>53</v>
      </c>
      <c r="B54" s="144">
        <f t="shared" si="17"/>
        <v>4.4166666666666679</v>
      </c>
      <c r="D54" s="38">
        <f t="shared" si="18"/>
        <v>1.1475230006249997</v>
      </c>
      <c r="E54" s="145">
        <f t="shared" si="1"/>
        <v>0.72657304646279453</v>
      </c>
      <c r="F54" s="145">
        <f t="shared" si="2"/>
        <v>0.83375928245023323</v>
      </c>
      <c r="G54" s="145"/>
      <c r="H54" s="145"/>
      <c r="M54" s="145"/>
      <c r="R54" s="145"/>
    </row>
    <row r="55" spans="1:18" x14ac:dyDescent="0.3">
      <c r="A55" s="38">
        <v>54</v>
      </c>
      <c r="B55" s="144">
        <f t="shared" si="17"/>
        <v>4.5000000000000009</v>
      </c>
      <c r="D55" s="38">
        <f t="shared" si="18"/>
        <v>1.1475230006249997</v>
      </c>
      <c r="E55" s="145">
        <f t="shared" si="1"/>
        <v>0.72220736144411757</v>
      </c>
      <c r="F55" s="145">
        <f t="shared" si="2"/>
        <v>0.82874955847781751</v>
      </c>
      <c r="G55" s="145"/>
      <c r="H55" s="145"/>
      <c r="M55" s="145"/>
      <c r="R55" s="145"/>
    </row>
    <row r="56" spans="1:18" x14ac:dyDescent="0.3">
      <c r="A56" s="38">
        <v>55</v>
      </c>
      <c r="B56" s="144">
        <f t="shared" si="17"/>
        <v>4.5833333333333339</v>
      </c>
      <c r="D56" s="38">
        <f t="shared" si="18"/>
        <v>1.1475230006249997</v>
      </c>
      <c r="E56" s="145">
        <f t="shared" si="1"/>
        <v>0.71786790806969847</v>
      </c>
      <c r="F56" s="145">
        <f t="shared" si="2"/>
        <v>0.82376993592053183</v>
      </c>
      <c r="G56" s="145"/>
      <c r="H56" s="145"/>
      <c r="M56" s="145"/>
      <c r="R56" s="145"/>
    </row>
    <row r="57" spans="1:18" x14ac:dyDescent="0.3">
      <c r="A57" s="38">
        <v>56</v>
      </c>
      <c r="B57" s="144">
        <f t="shared" si="17"/>
        <v>4.666666666666667</v>
      </c>
      <c r="D57" s="38">
        <f t="shared" si="18"/>
        <v>1.1475230006249997</v>
      </c>
      <c r="E57" s="145">
        <f t="shared" si="1"/>
        <v>0.71355452872414449</v>
      </c>
      <c r="F57" s="145">
        <f t="shared" si="2"/>
        <v>0.81882023391108782</v>
      </c>
      <c r="G57" s="145"/>
      <c r="H57" s="145"/>
      <c r="M57" s="145"/>
      <c r="R57" s="145"/>
    </row>
    <row r="58" spans="1:18" x14ac:dyDescent="0.3">
      <c r="A58" s="38">
        <v>57</v>
      </c>
      <c r="B58" s="144">
        <f t="shared" si="17"/>
        <v>4.75</v>
      </c>
      <c r="D58" s="38">
        <f t="shared" si="18"/>
        <v>1.1475230006249997</v>
      </c>
      <c r="E58" s="145">
        <f t="shared" si="1"/>
        <v>0.70926706673910966</v>
      </c>
      <c r="F58" s="145">
        <f t="shared" si="2"/>
        <v>0.81390027266895504</v>
      </c>
      <c r="G58" s="145"/>
      <c r="H58" s="145"/>
      <c r="M58" s="145"/>
      <c r="R58" s="145"/>
    </row>
    <row r="59" spans="1:18" x14ac:dyDescent="0.3">
      <c r="A59" s="38">
        <v>58</v>
      </c>
      <c r="B59" s="144">
        <f t="shared" si="17"/>
        <v>4.833333333333333</v>
      </c>
      <c r="D59" s="38">
        <f t="shared" si="18"/>
        <v>1.1475230006249997</v>
      </c>
      <c r="E59" s="145">
        <f t="shared" si="1"/>
        <v>0.70500536638760547</v>
      </c>
      <c r="F59" s="145">
        <f t="shared" si="2"/>
        <v>0.80900987349383235</v>
      </c>
      <c r="G59" s="145"/>
      <c r="H59" s="145"/>
      <c r="M59" s="145"/>
      <c r="R59" s="145"/>
    </row>
    <row r="60" spans="1:18" x14ac:dyDescent="0.3">
      <c r="A60" s="38">
        <v>59</v>
      </c>
      <c r="B60" s="144">
        <f t="shared" si="17"/>
        <v>4.9166666666666661</v>
      </c>
      <c r="D60" s="38">
        <f t="shared" si="18"/>
        <v>1.1475230006249997</v>
      </c>
      <c r="E60" s="145">
        <f t="shared" si="1"/>
        <v>0.70076927287834412</v>
      </c>
      <c r="F60" s="145">
        <f t="shared" si="2"/>
        <v>0.80414885875915665</v>
      </c>
      <c r="G60" s="145"/>
      <c r="H60" s="145"/>
      <c r="M60" s="145"/>
      <c r="R60" s="145"/>
    </row>
    <row r="61" spans="1:18" x14ac:dyDescent="0.3">
      <c r="A61" s="38">
        <v>60</v>
      </c>
      <c r="B61" s="144">
        <f t="shared" si="17"/>
        <v>4.9999999999999991</v>
      </c>
      <c r="D61" s="38">
        <f t="shared" si="18"/>
        <v>1.1475230006249997</v>
      </c>
      <c r="E61" s="145">
        <f t="shared" si="1"/>
        <v>0.69655863235011628</v>
      </c>
      <c r="F61" s="145">
        <f t="shared" si="2"/>
        <v>0.79931705190565139</v>
      </c>
      <c r="G61" s="145"/>
      <c r="H61" s="145"/>
      <c r="M61" s="145"/>
      <c r="R61" s="145"/>
    </row>
    <row r="62" spans="1:18" x14ac:dyDescent="0.3">
      <c r="A62" s="38">
        <v>61</v>
      </c>
      <c r="B62" s="144">
        <f t="shared" si="17"/>
        <v>5.0833333333333321</v>
      </c>
      <c r="D62" s="38">
        <f t="shared" si="18"/>
        <v>1.1876863056468745</v>
      </c>
      <c r="E62" s="145">
        <f t="shared" si="1"/>
        <v>0.69237329186620278</v>
      </c>
      <c r="F62" s="145">
        <f t="shared" si="2"/>
        <v>0.82232227714513551</v>
      </c>
      <c r="G62" s="145"/>
      <c r="H62" s="145"/>
      <c r="M62" s="145"/>
      <c r="R62" s="145"/>
    </row>
    <row r="63" spans="1:18" x14ac:dyDescent="0.3">
      <c r="A63" s="38">
        <v>62</v>
      </c>
      <c r="B63" s="144">
        <f t="shared" si="17"/>
        <v>5.1666666666666652</v>
      </c>
      <c r="D63" s="38">
        <f t="shared" si="18"/>
        <v>1.1876863056468745</v>
      </c>
      <c r="E63" s="145">
        <f t="shared" si="1"/>
        <v>0.6882130994088197</v>
      </c>
      <c r="F63" s="145">
        <f t="shared" si="2"/>
        <v>0.81738127353464629</v>
      </c>
      <c r="G63" s="145"/>
      <c r="H63" s="145"/>
      <c r="M63" s="145"/>
      <c r="R63" s="145"/>
    </row>
    <row r="64" spans="1:18" x14ac:dyDescent="0.3">
      <c r="A64" s="38">
        <v>63</v>
      </c>
      <c r="B64" s="144">
        <f t="shared" si="17"/>
        <v>5.2499999999999982</v>
      </c>
      <c r="D64" s="38">
        <f t="shared" si="18"/>
        <v>1.1876863056468745</v>
      </c>
      <c r="E64" s="145">
        <f t="shared" si="1"/>
        <v>0.68407790387359668</v>
      </c>
      <c r="F64" s="145">
        <f t="shared" si="2"/>
        <v>0.81246995842628977</v>
      </c>
      <c r="G64" s="145"/>
      <c r="H64" s="145"/>
      <c r="M64" s="145"/>
      <c r="R64" s="145"/>
    </row>
    <row r="65" spans="1:18" x14ac:dyDescent="0.3">
      <c r="A65" s="38">
        <v>64</v>
      </c>
      <c r="B65" s="144">
        <f t="shared" si="17"/>
        <v>5.3333333333333313</v>
      </c>
      <c r="D65" s="38">
        <f t="shared" si="18"/>
        <v>1.1876863056468745</v>
      </c>
      <c r="E65" s="145">
        <f t="shared" si="1"/>
        <v>0.67996755506408857</v>
      </c>
      <c r="F65" s="145">
        <f t="shared" si="2"/>
        <v>0.80758815343380508</v>
      </c>
      <c r="G65" s="145"/>
      <c r="H65" s="145"/>
      <c r="M65" s="145"/>
      <c r="R65" s="145"/>
    </row>
    <row r="66" spans="1:18" x14ac:dyDescent="0.3">
      <c r="A66" s="38">
        <v>65</v>
      </c>
      <c r="B66" s="144">
        <f t="shared" si="17"/>
        <v>5.4166666666666643</v>
      </c>
      <c r="D66" s="38">
        <f t="shared" si="18"/>
        <v>1.1876863056468745</v>
      </c>
      <c r="E66" s="145">
        <f t="shared" si="1"/>
        <v>0.67588190368632073</v>
      </c>
      <c r="F66" s="145">
        <f t="shared" si="2"/>
        <v>0.80273568124278294</v>
      </c>
      <c r="G66" s="145"/>
      <c r="H66" s="145"/>
      <c r="M66" s="145"/>
      <c r="R66" s="145"/>
    </row>
    <row r="67" spans="1:18" x14ac:dyDescent="0.3">
      <c r="A67" s="38">
        <v>66</v>
      </c>
      <c r="B67" s="144">
        <f t="shared" si="17"/>
        <v>5.4999999999999973</v>
      </c>
      <c r="D67" s="38">
        <f t="shared" si="18"/>
        <v>1.1876863056468745</v>
      </c>
      <c r="E67" s="145">
        <f t="shared" ref="E67:E130" si="19">1/1.075^B67</f>
        <v>0.6718208013433653</v>
      </c>
      <c r="F67" s="145">
        <f t="shared" ref="F67:F130" si="20">D67*E67</f>
        <v>0.79791236560422429</v>
      </c>
      <c r="G67" s="145"/>
      <c r="H67" s="145"/>
      <c r="M67" s="145"/>
      <c r="R67" s="145"/>
    </row>
    <row r="68" spans="1:18" x14ac:dyDescent="0.3">
      <c r="A68" s="38">
        <v>67</v>
      </c>
      <c r="B68" s="144">
        <f t="shared" si="17"/>
        <v>5.5833333333333304</v>
      </c>
      <c r="D68" s="38">
        <f t="shared" si="18"/>
        <v>1.1876863056468745</v>
      </c>
      <c r="E68" s="145">
        <f t="shared" si="19"/>
        <v>0.6677841005299523</v>
      </c>
      <c r="F68" s="145">
        <f t="shared" si="20"/>
        <v>0.79311803132814007</v>
      </c>
      <c r="G68" s="145"/>
      <c r="H68" s="145"/>
      <c r="M68" s="145"/>
      <c r="R68" s="145"/>
    </row>
    <row r="69" spans="1:18" x14ac:dyDescent="0.3">
      <c r="A69" s="38">
        <v>68</v>
      </c>
      <c r="B69" s="144">
        <f t="shared" si="17"/>
        <v>5.6666666666666634</v>
      </c>
      <c r="D69" s="38">
        <f t="shared" si="18"/>
        <v>1.1876863056468745</v>
      </c>
      <c r="E69" s="145">
        <f t="shared" si="19"/>
        <v>0.6637716546271113</v>
      </c>
      <c r="F69" s="145">
        <f t="shared" si="20"/>
        <v>0.78835250427718695</v>
      </c>
      <c r="G69" s="145"/>
      <c r="H69" s="145"/>
      <c r="M69" s="145"/>
      <c r="R69" s="145"/>
    </row>
    <row r="70" spans="1:18" x14ac:dyDescent="0.3">
      <c r="A70" s="38">
        <v>69</v>
      </c>
      <c r="B70" s="144">
        <f t="shared" si="17"/>
        <v>5.7499999999999964</v>
      </c>
      <c r="D70" s="38">
        <f t="shared" si="18"/>
        <v>1.1876863056468745</v>
      </c>
      <c r="E70" s="145">
        <f t="shared" si="19"/>
        <v>0.65978331789684641</v>
      </c>
      <c r="F70" s="145">
        <f t="shared" si="20"/>
        <v>0.78361561136034286</v>
      </c>
      <c r="G70" s="145"/>
      <c r="H70" s="145"/>
      <c r="M70" s="145"/>
      <c r="R70" s="145"/>
    </row>
    <row r="71" spans="1:18" x14ac:dyDescent="0.3">
      <c r="A71" s="38">
        <v>70</v>
      </c>
      <c r="B71" s="144">
        <f t="shared" si="17"/>
        <v>5.8333333333333295</v>
      </c>
      <c r="D71" s="38">
        <f t="shared" si="18"/>
        <v>1.1876863056468745</v>
      </c>
      <c r="E71" s="145">
        <f t="shared" si="19"/>
        <v>0.6558189454768425</v>
      </c>
      <c r="F71" s="145">
        <f t="shared" si="20"/>
        <v>0.77890718052662011</v>
      </c>
      <c r="G71" s="145"/>
      <c r="H71" s="145"/>
      <c r="M71" s="145"/>
      <c r="R71" s="145"/>
    </row>
    <row r="72" spans="1:18" x14ac:dyDescent="0.3">
      <c r="A72" s="38">
        <v>71</v>
      </c>
      <c r="B72" s="144">
        <f t="shared" ref="B72:B135" si="21">B71+1/12</f>
        <v>5.9166666666666625</v>
      </c>
      <c r="D72" s="38">
        <f t="shared" si="18"/>
        <v>1.1876863056468745</v>
      </c>
      <c r="E72" s="145">
        <f t="shared" si="19"/>
        <v>0.65187839337520403</v>
      </c>
      <c r="F72" s="145">
        <f t="shared" si="20"/>
        <v>0.7742270407588161</v>
      </c>
      <c r="G72" s="145"/>
      <c r="H72" s="145"/>
      <c r="M72" s="145"/>
      <c r="R72" s="145"/>
    </row>
    <row r="73" spans="1:18" x14ac:dyDescent="0.3">
      <c r="A73" s="38">
        <v>72</v>
      </c>
      <c r="B73" s="144">
        <f t="shared" si="21"/>
        <v>5.9999999999999956</v>
      </c>
      <c r="D73" s="38">
        <f t="shared" si="18"/>
        <v>1.1876863056468745</v>
      </c>
      <c r="E73" s="145">
        <f t="shared" si="19"/>
        <v>0.64796151846522465</v>
      </c>
      <c r="F73" s="145">
        <f t="shared" si="20"/>
        <v>0.76957502206730166</v>
      </c>
      <c r="G73" s="145"/>
      <c r="H73" s="145"/>
      <c r="M73" s="145"/>
      <c r="R73" s="145"/>
    </row>
    <row r="74" spans="1:18" x14ac:dyDescent="0.3">
      <c r="A74" s="38">
        <v>73</v>
      </c>
      <c r="B74" s="144">
        <f t="shared" si="21"/>
        <v>6.0833333333333286</v>
      </c>
      <c r="D74" s="38">
        <f t="shared" si="18"/>
        <v>1.229255326344515</v>
      </c>
      <c r="E74" s="145">
        <f t="shared" si="19"/>
        <v>0.64406817848018894</v>
      </c>
      <c r="F74" s="145">
        <f t="shared" si="20"/>
        <v>0.79172423892578192</v>
      </c>
      <c r="G74" s="145"/>
      <c r="H74" s="145"/>
      <c r="M74" s="145"/>
      <c r="R74" s="145"/>
    </row>
    <row r="75" spans="1:18" x14ac:dyDescent="0.3">
      <c r="A75" s="38">
        <v>74</v>
      </c>
      <c r="B75" s="144">
        <f t="shared" si="21"/>
        <v>6.1666666666666616</v>
      </c>
      <c r="D75" s="38">
        <f t="shared" si="18"/>
        <v>1.229255326344515</v>
      </c>
      <c r="E75" s="145">
        <f t="shared" si="19"/>
        <v>0.64019823200820458</v>
      </c>
      <c r="F75" s="145">
        <f t="shared" si="20"/>
        <v>0.78696708661242698</v>
      </c>
      <c r="G75" s="145"/>
      <c r="H75" s="145"/>
      <c r="M75" s="145"/>
      <c r="R75" s="145"/>
    </row>
    <row r="76" spans="1:18" x14ac:dyDescent="0.3">
      <c r="A76" s="38">
        <v>75</v>
      </c>
      <c r="B76" s="144">
        <f t="shared" si="21"/>
        <v>6.2499999999999947</v>
      </c>
      <c r="D76" s="38">
        <f t="shared" si="18"/>
        <v>1.229255326344515</v>
      </c>
      <c r="E76" s="145">
        <f t="shared" si="19"/>
        <v>0.63635153848706683</v>
      </c>
      <c r="F76" s="145">
        <f t="shared" si="20"/>
        <v>0.78223851811275347</v>
      </c>
      <c r="G76" s="145"/>
      <c r="H76" s="145"/>
      <c r="M76" s="145"/>
      <c r="R76" s="145"/>
    </row>
    <row r="77" spans="1:18" x14ac:dyDescent="0.3">
      <c r="A77" s="38">
        <v>76</v>
      </c>
      <c r="B77" s="144">
        <f t="shared" si="21"/>
        <v>6.3333333333333277</v>
      </c>
      <c r="D77" s="38">
        <f t="shared" si="18"/>
        <v>1.229255326344515</v>
      </c>
      <c r="E77" s="145">
        <f t="shared" si="19"/>
        <v>0.63252795819915231</v>
      </c>
      <c r="F77" s="145">
        <f t="shared" si="20"/>
        <v>0.77753836167812873</v>
      </c>
      <c r="G77" s="145"/>
      <c r="H77" s="145"/>
      <c r="M77" s="145"/>
      <c r="R77" s="145"/>
    </row>
    <row r="78" spans="1:18" x14ac:dyDescent="0.3">
      <c r="A78" s="38">
        <v>77</v>
      </c>
      <c r="B78" s="144">
        <f t="shared" si="21"/>
        <v>6.4166666666666607</v>
      </c>
      <c r="D78" s="38">
        <f t="shared" si="18"/>
        <v>1.229255326344515</v>
      </c>
      <c r="E78" s="145">
        <f t="shared" si="19"/>
        <v>0.62872735226634502</v>
      </c>
      <c r="F78" s="145">
        <f t="shared" si="20"/>
        <v>0.77286644659188874</v>
      </c>
      <c r="G78" s="145"/>
      <c r="H78" s="145"/>
      <c r="M78" s="145"/>
      <c r="R78" s="145"/>
    </row>
    <row r="79" spans="1:18" x14ac:dyDescent="0.3">
      <c r="A79" s="38">
        <v>78</v>
      </c>
      <c r="B79" s="144">
        <f t="shared" si="21"/>
        <v>6.4999999999999938</v>
      </c>
      <c r="D79" s="38">
        <f t="shared" ref="D79:D142" si="22">D67*1.035</f>
        <v>1.229255326344515</v>
      </c>
      <c r="E79" s="145">
        <f t="shared" si="19"/>
        <v>0.62494958264499123</v>
      </c>
      <c r="F79" s="145">
        <f t="shared" si="20"/>
        <v>0.76822260316313706</v>
      </c>
      <c r="G79" s="145"/>
      <c r="H79" s="145"/>
      <c r="M79" s="145"/>
      <c r="R79" s="145"/>
    </row>
    <row r="80" spans="1:18" x14ac:dyDescent="0.3">
      <c r="A80" s="38">
        <v>79</v>
      </c>
      <c r="B80" s="144">
        <f t="shared" si="21"/>
        <v>6.5833333333333268</v>
      </c>
      <c r="D80" s="38">
        <f t="shared" si="22"/>
        <v>1.229255326344515</v>
      </c>
      <c r="E80" s="145">
        <f t="shared" si="19"/>
        <v>0.62119451212088606</v>
      </c>
      <c r="F80" s="145">
        <f t="shared" si="20"/>
        <v>0.76360666272058153</v>
      </c>
      <c r="G80" s="145"/>
      <c r="H80" s="145"/>
      <c r="M80" s="145"/>
      <c r="R80" s="145"/>
    </row>
    <row r="81" spans="1:18" x14ac:dyDescent="0.3">
      <c r="A81" s="38">
        <v>80</v>
      </c>
      <c r="B81" s="144">
        <f t="shared" si="21"/>
        <v>6.6666666666666599</v>
      </c>
      <c r="D81" s="38">
        <f t="shared" si="22"/>
        <v>1.229255326344515</v>
      </c>
      <c r="E81" s="145">
        <f t="shared" si="19"/>
        <v>0.61746200430428977</v>
      </c>
      <c r="F81" s="145">
        <f t="shared" si="20"/>
        <v>0.75901845760640807</v>
      </c>
      <c r="G81" s="145"/>
      <c r="H81" s="145"/>
      <c r="M81" s="145"/>
      <c r="R81" s="145"/>
    </row>
    <row r="82" spans="1:18" x14ac:dyDescent="0.3">
      <c r="A82" s="38">
        <v>81</v>
      </c>
      <c r="B82" s="144">
        <f t="shared" si="21"/>
        <v>6.7499999999999929</v>
      </c>
      <c r="D82" s="38">
        <f t="shared" si="22"/>
        <v>1.229255326344515</v>
      </c>
      <c r="E82" s="145">
        <f t="shared" si="19"/>
        <v>0.61375192362497355</v>
      </c>
      <c r="F82" s="145">
        <f t="shared" si="20"/>
        <v>0.75445782117019067</v>
      </c>
      <c r="G82" s="145"/>
      <c r="H82" s="145"/>
      <c r="M82" s="145"/>
      <c r="R82" s="145"/>
    </row>
    <row r="83" spans="1:18" x14ac:dyDescent="0.3">
      <c r="A83" s="38">
        <v>82</v>
      </c>
      <c r="B83" s="144">
        <f t="shared" si="21"/>
        <v>6.8333333333333259</v>
      </c>
      <c r="D83" s="38">
        <f t="shared" si="22"/>
        <v>1.229255326344515</v>
      </c>
      <c r="E83" s="145">
        <f t="shared" si="19"/>
        <v>0.61006413532729553</v>
      </c>
      <c r="F83" s="145">
        <f t="shared" si="20"/>
        <v>0.74992458776283899</v>
      </c>
      <c r="G83" s="145"/>
      <c r="H83" s="145"/>
      <c r="M83" s="145"/>
      <c r="R83" s="145"/>
    </row>
    <row r="84" spans="1:18" x14ac:dyDescent="0.3">
      <c r="A84" s="38">
        <v>83</v>
      </c>
      <c r="B84" s="144">
        <f t="shared" si="21"/>
        <v>6.916666666666659</v>
      </c>
      <c r="D84" s="38">
        <f t="shared" si="22"/>
        <v>1.229255326344515</v>
      </c>
      <c r="E84" s="145">
        <f t="shared" si="19"/>
        <v>0.60639850546530627</v>
      </c>
      <c r="F84" s="145">
        <f t="shared" si="20"/>
        <v>0.7454185927305812</v>
      </c>
      <c r="G84" s="145"/>
      <c r="H84" s="145"/>
      <c r="M84" s="145"/>
      <c r="R84" s="145"/>
    </row>
    <row r="85" spans="1:18" x14ac:dyDescent="0.3">
      <c r="A85" s="38">
        <v>84</v>
      </c>
      <c r="B85" s="144">
        <f t="shared" si="21"/>
        <v>6.999999999999992</v>
      </c>
      <c r="D85" s="38">
        <f t="shared" si="22"/>
        <v>1.229255326344515</v>
      </c>
      <c r="E85" s="145">
        <f t="shared" si="19"/>
        <v>0.60275490089788364</v>
      </c>
      <c r="F85" s="145">
        <f t="shared" si="20"/>
        <v>0.74093967240898373</v>
      </c>
      <c r="G85" s="145"/>
      <c r="H85" s="145"/>
      <c r="M85" s="145"/>
      <c r="R85" s="145"/>
    </row>
    <row r="86" spans="1:18" x14ac:dyDescent="0.3">
      <c r="A86" s="38">
        <v>85</v>
      </c>
      <c r="B86" s="144">
        <f t="shared" si="21"/>
        <v>7.083333333333325</v>
      </c>
      <c r="D86" s="38">
        <f t="shared" si="22"/>
        <v>1.2722792627665729</v>
      </c>
      <c r="E86" s="145">
        <f t="shared" si="19"/>
        <v>0.59913318928389681</v>
      </c>
      <c r="F86" s="145">
        <f t="shared" si="20"/>
        <v>0.76226473236110182</v>
      </c>
      <c r="G86" s="145"/>
      <c r="H86" s="145"/>
      <c r="M86" s="145"/>
      <c r="R86" s="145"/>
    </row>
    <row r="87" spans="1:18" x14ac:dyDescent="0.3">
      <c r="A87" s="38">
        <v>86</v>
      </c>
      <c r="B87" s="144">
        <f t="shared" si="21"/>
        <v>7.1666666666666581</v>
      </c>
      <c r="D87" s="38">
        <f t="shared" si="22"/>
        <v>1.2722792627665729</v>
      </c>
      <c r="E87" s="145">
        <f t="shared" si="19"/>
        <v>0.59553323907739986</v>
      </c>
      <c r="F87" s="145">
        <f t="shared" si="20"/>
        <v>0.75768459036638347</v>
      </c>
      <c r="G87" s="145"/>
      <c r="H87" s="145"/>
      <c r="M87" s="145"/>
      <c r="R87" s="145"/>
    </row>
    <row r="88" spans="1:18" x14ac:dyDescent="0.3">
      <c r="A88" s="38">
        <v>87</v>
      </c>
      <c r="B88" s="144">
        <f t="shared" si="21"/>
        <v>7.2499999999999911</v>
      </c>
      <c r="D88" s="38">
        <f t="shared" si="22"/>
        <v>1.2722792627665729</v>
      </c>
      <c r="E88" s="145">
        <f t="shared" si="19"/>
        <v>0.59195491952285306</v>
      </c>
      <c r="F88" s="145">
        <f t="shared" si="20"/>
        <v>0.75313196860158149</v>
      </c>
      <c r="G88" s="145"/>
      <c r="H88" s="145"/>
      <c r="M88" s="145"/>
      <c r="R88" s="145"/>
    </row>
    <row r="89" spans="1:18" x14ac:dyDescent="0.3">
      <c r="A89" s="38">
        <v>88</v>
      </c>
      <c r="B89" s="144">
        <f t="shared" si="21"/>
        <v>7.3333333333333242</v>
      </c>
      <c r="D89" s="38">
        <f t="shared" si="22"/>
        <v>1.2722792627665729</v>
      </c>
      <c r="E89" s="145">
        <f t="shared" si="19"/>
        <v>0.58839810065037446</v>
      </c>
      <c r="F89" s="145">
        <f t="shared" si="20"/>
        <v>0.74860670170871013</v>
      </c>
      <c r="G89" s="145"/>
      <c r="H89" s="145"/>
      <c r="M89" s="145"/>
      <c r="R89" s="145"/>
    </row>
    <row r="90" spans="1:18" x14ac:dyDescent="0.3">
      <c r="A90" s="38">
        <v>89</v>
      </c>
      <c r="B90" s="144">
        <f t="shared" si="21"/>
        <v>7.4166666666666572</v>
      </c>
      <c r="D90" s="38">
        <f t="shared" si="22"/>
        <v>1.2722792627665729</v>
      </c>
      <c r="E90" s="145">
        <f t="shared" si="19"/>
        <v>0.58486265327101883</v>
      </c>
      <c r="F90" s="145">
        <f t="shared" si="20"/>
        <v>0.74410862532335353</v>
      </c>
      <c r="G90" s="145"/>
      <c r="H90" s="145"/>
      <c r="M90" s="145"/>
      <c r="R90" s="145"/>
    </row>
    <row r="91" spans="1:18" x14ac:dyDescent="0.3">
      <c r="A91" s="38">
        <v>90</v>
      </c>
      <c r="B91" s="144">
        <f t="shared" si="21"/>
        <v>7.4999999999999902</v>
      </c>
      <c r="D91" s="38">
        <f t="shared" si="22"/>
        <v>1.2722792627665729</v>
      </c>
      <c r="E91" s="145">
        <f t="shared" si="19"/>
        <v>0.58134844897208493</v>
      </c>
      <c r="F91" s="145">
        <f t="shared" si="20"/>
        <v>0.73963757606869485</v>
      </c>
      <c r="G91" s="145"/>
      <c r="H91" s="145"/>
      <c r="M91" s="145"/>
      <c r="R91" s="145"/>
    </row>
    <row r="92" spans="1:18" x14ac:dyDescent="0.3">
      <c r="A92" s="38">
        <v>91</v>
      </c>
      <c r="B92" s="144">
        <f t="shared" si="21"/>
        <v>7.5833333333333233</v>
      </c>
      <c r="D92" s="38">
        <f t="shared" si="22"/>
        <v>1.2722792627665729</v>
      </c>
      <c r="E92" s="145">
        <f t="shared" si="19"/>
        <v>0.57785536011245231</v>
      </c>
      <c r="F92" s="145">
        <f t="shared" si="20"/>
        <v>0.7351933915495833</v>
      </c>
      <c r="G92" s="145"/>
      <c r="H92" s="145"/>
      <c r="M92" s="145"/>
      <c r="R92" s="145"/>
    </row>
    <row r="93" spans="1:18" x14ac:dyDescent="0.3">
      <c r="A93" s="38">
        <v>92</v>
      </c>
      <c r="B93" s="144">
        <f t="shared" si="21"/>
        <v>7.6666666666666563</v>
      </c>
      <c r="D93" s="38">
        <f t="shared" si="22"/>
        <v>1.2722792627665729</v>
      </c>
      <c r="E93" s="145">
        <f t="shared" si="19"/>
        <v>0.57438325981794414</v>
      </c>
      <c r="F93" s="145">
        <f t="shared" si="20"/>
        <v>0.7307759103466348</v>
      </c>
      <c r="G93" s="145"/>
      <c r="H93" s="145"/>
      <c r="M93" s="145"/>
      <c r="R93" s="145"/>
    </row>
    <row r="94" spans="1:18" x14ac:dyDescent="0.3">
      <c r="A94" s="38">
        <v>93</v>
      </c>
      <c r="B94" s="144">
        <f t="shared" si="21"/>
        <v>7.7499999999999893</v>
      </c>
      <c r="D94" s="38">
        <f t="shared" si="22"/>
        <v>1.2722792627665729</v>
      </c>
      <c r="E94" s="145">
        <f t="shared" si="19"/>
        <v>0.57093202197671977</v>
      </c>
      <c r="F94" s="145">
        <f t="shared" si="20"/>
        <v>0.72638497201036978</v>
      </c>
      <c r="G94" s="145"/>
      <c r="H94" s="145"/>
      <c r="M94" s="145"/>
      <c r="R94" s="145"/>
    </row>
    <row r="95" spans="1:18" x14ac:dyDescent="0.3">
      <c r="A95" s="38">
        <v>94</v>
      </c>
      <c r="B95" s="144">
        <f t="shared" si="21"/>
        <v>7.8333333333333224</v>
      </c>
      <c r="D95" s="38">
        <f t="shared" si="22"/>
        <v>1.2722792627665729</v>
      </c>
      <c r="E95" s="145">
        <f t="shared" si="19"/>
        <v>0.56750152123469366</v>
      </c>
      <c r="F95" s="145">
        <f t="shared" si="20"/>
        <v>0.72202041705538467</v>
      </c>
      <c r="G95" s="145"/>
      <c r="H95" s="145"/>
      <c r="M95" s="145"/>
      <c r="R95" s="145"/>
    </row>
    <row r="96" spans="1:18" x14ac:dyDescent="0.3">
      <c r="A96" s="38">
        <v>95</v>
      </c>
      <c r="B96" s="144">
        <f t="shared" si="21"/>
        <v>7.9166666666666554</v>
      </c>
      <c r="D96" s="38">
        <f t="shared" si="22"/>
        <v>1.2722792627665729</v>
      </c>
      <c r="E96" s="145">
        <f t="shared" si="19"/>
        <v>0.56409163299098275</v>
      </c>
      <c r="F96" s="145">
        <f t="shared" si="20"/>
        <v>0.71768208695455971</v>
      </c>
      <c r="G96" s="145"/>
      <c r="H96" s="145"/>
      <c r="M96" s="145"/>
      <c r="R96" s="145"/>
    </row>
    <row r="97" spans="1:18" x14ac:dyDescent="0.3">
      <c r="A97" s="38">
        <v>96</v>
      </c>
      <c r="B97" s="144">
        <f t="shared" si="21"/>
        <v>7.9999999999999885</v>
      </c>
      <c r="D97" s="38">
        <f t="shared" si="22"/>
        <v>1.2722792627665729</v>
      </c>
      <c r="E97" s="145">
        <f t="shared" si="19"/>
        <v>0.56070223339338021</v>
      </c>
      <c r="F97" s="145">
        <f t="shared" si="20"/>
        <v>0.71336982413330063</v>
      </c>
      <c r="G97" s="145"/>
      <c r="H97" s="145"/>
      <c r="M97" s="145"/>
      <c r="R97" s="145"/>
    </row>
    <row r="98" spans="1:18" x14ac:dyDescent="0.3">
      <c r="A98" s="38">
        <v>97</v>
      </c>
      <c r="B98" s="144">
        <f t="shared" si="21"/>
        <v>8.0833333333333215</v>
      </c>
      <c r="D98" s="38">
        <f t="shared" si="22"/>
        <v>1.3168090369634029</v>
      </c>
      <c r="E98" s="145">
        <f t="shared" si="19"/>
        <v>0.55733319933385761</v>
      </c>
      <c r="F98" s="145">
        <f t="shared" si="20"/>
        <v>0.73390139348254935</v>
      </c>
      <c r="G98" s="145"/>
      <c r="H98" s="145"/>
      <c r="M98" s="145"/>
      <c r="R98" s="145"/>
    </row>
    <row r="99" spans="1:18" x14ac:dyDescent="0.3">
      <c r="A99" s="38">
        <v>98</v>
      </c>
      <c r="B99" s="144">
        <f t="shared" si="21"/>
        <v>8.1666666666666554</v>
      </c>
      <c r="D99" s="38">
        <f t="shared" si="22"/>
        <v>1.3168090369634029</v>
      </c>
      <c r="E99" s="145">
        <f t="shared" si="19"/>
        <v>0.55398440844409291</v>
      </c>
      <c r="F99" s="145">
        <f t="shared" si="20"/>
        <v>0.72949167537600645</v>
      </c>
      <c r="G99" s="145"/>
      <c r="H99" s="145"/>
      <c r="M99" s="145"/>
      <c r="R99" s="145"/>
    </row>
    <row r="100" spans="1:18" x14ac:dyDescent="0.3">
      <c r="A100" s="38">
        <v>99</v>
      </c>
      <c r="B100" s="144">
        <f t="shared" si="21"/>
        <v>8.2499999999999893</v>
      </c>
      <c r="D100" s="38">
        <f t="shared" si="22"/>
        <v>1.3168090369634029</v>
      </c>
      <c r="E100" s="145">
        <f t="shared" si="19"/>
        <v>0.55065573909102616</v>
      </c>
      <c r="F100" s="145">
        <f t="shared" si="20"/>
        <v>0.72510845349082498</v>
      </c>
      <c r="G100" s="145"/>
      <c r="H100" s="145"/>
      <c r="M100" s="145"/>
      <c r="R100" s="145"/>
    </row>
    <row r="101" spans="1:18" x14ac:dyDescent="0.3">
      <c r="A101" s="38">
        <v>100</v>
      </c>
      <c r="B101" s="144">
        <f t="shared" si="21"/>
        <v>8.3333333333333233</v>
      </c>
      <c r="D101" s="38">
        <f t="shared" si="22"/>
        <v>1.3168090369634029</v>
      </c>
      <c r="E101" s="145">
        <f t="shared" si="19"/>
        <v>0.54734707037244146</v>
      </c>
      <c r="F101" s="145">
        <f t="shared" si="20"/>
        <v>0.72075156862187451</v>
      </c>
      <c r="G101" s="145"/>
      <c r="H101" s="145"/>
      <c r="M101" s="145"/>
      <c r="R101" s="145"/>
    </row>
    <row r="102" spans="1:18" x14ac:dyDescent="0.3">
      <c r="A102" s="38">
        <v>101</v>
      </c>
      <c r="B102" s="144">
        <f t="shared" si="21"/>
        <v>8.4166666666666572</v>
      </c>
      <c r="D102" s="38">
        <f t="shared" si="22"/>
        <v>1.3168090369634029</v>
      </c>
      <c r="E102" s="145">
        <f t="shared" si="19"/>
        <v>0.54405828211257568</v>
      </c>
      <c r="F102" s="145">
        <f t="shared" si="20"/>
        <v>0.71642086252062409</v>
      </c>
      <c r="G102" s="145"/>
      <c r="H102" s="145"/>
      <c r="M102" s="145"/>
      <c r="R102" s="145"/>
    </row>
    <row r="103" spans="1:18" x14ac:dyDescent="0.3">
      <c r="A103" s="38">
        <v>102</v>
      </c>
      <c r="B103" s="144">
        <f t="shared" si="21"/>
        <v>8.4999999999999911</v>
      </c>
      <c r="D103" s="38">
        <f t="shared" si="22"/>
        <v>1.3168090369634029</v>
      </c>
      <c r="E103" s="145">
        <f t="shared" si="19"/>
        <v>0.54078925485775353</v>
      </c>
      <c r="F103" s="145">
        <f t="shared" si="20"/>
        <v>0.71211617788939463</v>
      </c>
      <c r="G103" s="145"/>
      <c r="H103" s="145"/>
      <c r="M103" s="145"/>
      <c r="R103" s="145"/>
    </row>
    <row r="104" spans="1:18" x14ac:dyDescent="0.3">
      <c r="A104" s="38">
        <v>103</v>
      </c>
      <c r="B104" s="144">
        <f t="shared" si="21"/>
        <v>8.583333333333325</v>
      </c>
      <c r="D104" s="38">
        <f t="shared" si="22"/>
        <v>1.3168090369634029</v>
      </c>
      <c r="E104" s="145">
        <f t="shared" si="19"/>
        <v>0.5375398698720486</v>
      </c>
      <c r="F104" s="145">
        <f t="shared" si="20"/>
        <v>0.70783735837564521</v>
      </c>
      <c r="G104" s="145"/>
      <c r="H104" s="145"/>
      <c r="M104" s="145"/>
      <c r="R104" s="145"/>
    </row>
    <row r="105" spans="1:18" x14ac:dyDescent="0.3">
      <c r="A105" s="38">
        <v>104</v>
      </c>
      <c r="B105" s="144">
        <f t="shared" si="21"/>
        <v>8.666666666666659</v>
      </c>
      <c r="D105" s="38">
        <f t="shared" si="22"/>
        <v>1.3168090369634029</v>
      </c>
      <c r="E105" s="145">
        <f t="shared" si="19"/>
        <v>0.53431000913297122</v>
      </c>
      <c r="F105" s="145">
        <f t="shared" si="20"/>
        <v>0.70358424856629487</v>
      </c>
      <c r="G105" s="145"/>
      <c r="H105" s="145"/>
      <c r="M105" s="145"/>
      <c r="R105" s="145"/>
    </row>
    <row r="106" spans="1:18" x14ac:dyDescent="0.3">
      <c r="A106" s="38">
        <v>105</v>
      </c>
      <c r="B106" s="144">
        <f t="shared" si="21"/>
        <v>8.7499999999999929</v>
      </c>
      <c r="D106" s="38">
        <f t="shared" si="22"/>
        <v>1.3168090369634029</v>
      </c>
      <c r="E106" s="145">
        <f t="shared" si="19"/>
        <v>0.53109955532718101</v>
      </c>
      <c r="F106" s="145">
        <f t="shared" si="20"/>
        <v>0.69935669398207678</v>
      </c>
      <c r="G106" s="145"/>
      <c r="H106" s="145"/>
      <c r="M106" s="145"/>
      <c r="R106" s="145"/>
    </row>
    <row r="107" spans="1:18" x14ac:dyDescent="0.3">
      <c r="A107" s="38">
        <v>106</v>
      </c>
      <c r="B107" s="144">
        <f t="shared" si="21"/>
        <v>8.8333333333333268</v>
      </c>
      <c r="D107" s="38">
        <f t="shared" si="22"/>
        <v>1.3168090369634029</v>
      </c>
      <c r="E107" s="145">
        <f t="shared" si="19"/>
        <v>0.52790839184622651</v>
      </c>
      <c r="F107" s="145">
        <f t="shared" si="20"/>
        <v>0.69515454107192831</v>
      </c>
      <c r="G107" s="145"/>
      <c r="H107" s="145"/>
      <c r="M107" s="145"/>
      <c r="R107" s="145"/>
    </row>
    <row r="108" spans="1:18" x14ac:dyDescent="0.3">
      <c r="A108" s="38">
        <v>107</v>
      </c>
      <c r="B108" s="144">
        <f t="shared" si="21"/>
        <v>8.9166666666666607</v>
      </c>
      <c r="D108" s="38">
        <f t="shared" si="22"/>
        <v>1.3168090369634029</v>
      </c>
      <c r="E108" s="145">
        <f t="shared" si="19"/>
        <v>0.52473640278230937</v>
      </c>
      <c r="F108" s="145">
        <f t="shared" si="20"/>
        <v>0.69097763720741312</v>
      </c>
      <c r="G108" s="145"/>
      <c r="H108" s="145"/>
      <c r="M108" s="145"/>
      <c r="R108" s="145"/>
    </row>
    <row r="109" spans="1:18" x14ac:dyDescent="0.3">
      <c r="A109" s="38">
        <v>108</v>
      </c>
      <c r="B109" s="144">
        <f t="shared" si="21"/>
        <v>8.9999999999999947</v>
      </c>
      <c r="D109" s="38">
        <f t="shared" si="22"/>
        <v>1.3168090369634029</v>
      </c>
      <c r="E109" s="145">
        <f t="shared" si="19"/>
        <v>0.52158347292407448</v>
      </c>
      <c r="F109" s="145">
        <f t="shared" si="20"/>
        <v>0.68682583067717762</v>
      </c>
      <c r="G109" s="145"/>
      <c r="H109" s="145"/>
      <c r="M109" s="145"/>
      <c r="R109" s="145"/>
    </row>
    <row r="110" spans="1:18" x14ac:dyDescent="0.3">
      <c r="A110" s="38">
        <v>109</v>
      </c>
      <c r="B110" s="144">
        <f t="shared" si="21"/>
        <v>9.0833333333333286</v>
      </c>
      <c r="D110" s="38">
        <f t="shared" si="22"/>
        <v>1.3628973532571218</v>
      </c>
      <c r="E110" s="145">
        <f t="shared" si="19"/>
        <v>0.5184494877524255</v>
      </c>
      <c r="F110" s="145">
        <f t="shared" si="20"/>
        <v>0.70659343465529134</v>
      </c>
      <c r="G110" s="145"/>
      <c r="H110" s="145"/>
      <c r="M110" s="145"/>
      <c r="R110" s="145"/>
    </row>
    <row r="111" spans="1:18" x14ac:dyDescent="0.3">
      <c r="A111" s="38">
        <v>110</v>
      </c>
      <c r="B111" s="144">
        <f t="shared" si="21"/>
        <v>9.1666666666666625</v>
      </c>
      <c r="D111" s="38">
        <f t="shared" si="22"/>
        <v>1.3628973532571218</v>
      </c>
      <c r="E111" s="145">
        <f t="shared" si="19"/>
        <v>0.51533433343636526</v>
      </c>
      <c r="F111" s="145">
        <f t="shared" si="20"/>
        <v>0.70234779908294531</v>
      </c>
      <c r="G111" s="145"/>
      <c r="H111" s="145"/>
      <c r="M111" s="145"/>
      <c r="R111" s="145"/>
    </row>
    <row r="112" spans="1:18" x14ac:dyDescent="0.3">
      <c r="A112" s="38">
        <v>111</v>
      </c>
      <c r="B112" s="144">
        <f t="shared" si="21"/>
        <v>9.2499999999999964</v>
      </c>
      <c r="D112" s="38">
        <f t="shared" si="22"/>
        <v>1.3628973532571218</v>
      </c>
      <c r="E112" s="145">
        <f t="shared" si="19"/>
        <v>0.51223789682886134</v>
      </c>
      <c r="F112" s="145">
        <f t="shared" si="20"/>
        <v>0.69812767382604979</v>
      </c>
      <c r="G112" s="145"/>
      <c r="H112" s="145"/>
      <c r="M112" s="145"/>
      <c r="R112" s="145"/>
    </row>
    <row r="113" spans="1:18" x14ac:dyDescent="0.3">
      <c r="A113" s="38">
        <v>112</v>
      </c>
      <c r="B113" s="144">
        <f t="shared" si="21"/>
        <v>9.3333333333333304</v>
      </c>
      <c r="D113" s="38">
        <f t="shared" si="22"/>
        <v>1.3628973532571218</v>
      </c>
      <c r="E113" s="145">
        <f t="shared" si="19"/>
        <v>0.50916006546273596</v>
      </c>
      <c r="F113" s="145">
        <f t="shared" si="20"/>
        <v>0.69393290560338572</v>
      </c>
      <c r="G113" s="145"/>
      <c r="H113" s="145"/>
      <c r="M113" s="145"/>
      <c r="R113" s="145"/>
    </row>
    <row r="114" spans="1:18" x14ac:dyDescent="0.3">
      <c r="A114" s="38">
        <v>113</v>
      </c>
      <c r="B114" s="144">
        <f t="shared" si="21"/>
        <v>9.4166666666666643</v>
      </c>
      <c r="D114" s="38">
        <f t="shared" si="22"/>
        <v>1.3628973532571218</v>
      </c>
      <c r="E114" s="145">
        <f t="shared" si="19"/>
        <v>0.50610072754658175</v>
      </c>
      <c r="F114" s="145">
        <f t="shared" si="20"/>
        <v>0.68976334205473999</v>
      </c>
      <c r="G114" s="145"/>
      <c r="H114" s="145"/>
      <c r="M114" s="145"/>
      <c r="R114" s="145"/>
    </row>
    <row r="115" spans="1:18" x14ac:dyDescent="0.3">
      <c r="A115" s="38">
        <v>114</v>
      </c>
      <c r="B115" s="144">
        <f t="shared" si="21"/>
        <v>9.4999999999999982</v>
      </c>
      <c r="D115" s="38">
        <f t="shared" si="22"/>
        <v>1.3628973532571218</v>
      </c>
      <c r="E115" s="145">
        <f t="shared" si="19"/>
        <v>0.50305977196070062</v>
      </c>
      <c r="F115" s="145">
        <f t="shared" si="20"/>
        <v>0.68561883173537008</v>
      </c>
      <c r="G115" s="145"/>
      <c r="H115" s="145"/>
      <c r="M115" s="145"/>
      <c r="R115" s="145"/>
    </row>
    <row r="116" spans="1:18" x14ac:dyDescent="0.3">
      <c r="A116" s="38">
        <v>115</v>
      </c>
      <c r="B116" s="144">
        <f t="shared" si="21"/>
        <v>9.5833333333333321</v>
      </c>
      <c r="D116" s="38">
        <f t="shared" si="22"/>
        <v>1.3628973532571218</v>
      </c>
      <c r="E116" s="145">
        <f t="shared" si="19"/>
        <v>0.50003708825306825</v>
      </c>
      <c r="F116" s="145">
        <f t="shared" si="20"/>
        <v>0.68149922411050456</v>
      </c>
      <c r="G116" s="145"/>
      <c r="H116" s="145"/>
      <c r="M116" s="145"/>
      <c r="R116" s="145"/>
    </row>
    <row r="117" spans="1:18" x14ac:dyDescent="0.3">
      <c r="A117" s="38">
        <v>116</v>
      </c>
      <c r="B117" s="144">
        <f t="shared" si="21"/>
        <v>9.6666666666666661</v>
      </c>
      <c r="D117" s="38">
        <f t="shared" si="22"/>
        <v>1.3628973532571218</v>
      </c>
      <c r="E117" s="145">
        <f t="shared" si="19"/>
        <v>0.4970325666353218</v>
      </c>
      <c r="F117" s="145">
        <f t="shared" si="20"/>
        <v>0.67740436954987415</v>
      </c>
      <c r="G117" s="145"/>
      <c r="H117" s="145"/>
      <c r="M117" s="145"/>
      <c r="R117" s="145"/>
    </row>
    <row r="118" spans="1:18" x14ac:dyDescent="0.3">
      <c r="A118" s="38">
        <v>117</v>
      </c>
      <c r="B118" s="144">
        <f t="shared" si="21"/>
        <v>9.75</v>
      </c>
      <c r="D118" s="38">
        <f t="shared" si="22"/>
        <v>1.3628973532571218</v>
      </c>
      <c r="E118" s="145">
        <f t="shared" si="19"/>
        <v>0.4940460979787728</v>
      </c>
      <c r="F118" s="145">
        <f t="shared" si="20"/>
        <v>0.67333411932227816</v>
      </c>
      <c r="G118" s="145"/>
      <c r="H118" s="145"/>
      <c r="M118" s="145"/>
      <c r="R118" s="145"/>
    </row>
    <row r="119" spans="1:18" x14ac:dyDescent="0.3">
      <c r="A119" s="38">
        <v>118</v>
      </c>
      <c r="B119" s="144">
        <f t="shared" si="21"/>
        <v>9.8333333333333339</v>
      </c>
      <c r="D119" s="38">
        <f t="shared" si="22"/>
        <v>1.3628973532571218</v>
      </c>
      <c r="E119" s="145">
        <f t="shared" si="19"/>
        <v>0.49107757381044309</v>
      </c>
      <c r="F119" s="145">
        <f t="shared" si="20"/>
        <v>0.66928832559018181</v>
      </c>
      <c r="G119" s="145"/>
      <c r="H119" s="145"/>
      <c r="M119" s="145"/>
      <c r="R119" s="145"/>
    </row>
    <row r="120" spans="1:18" x14ac:dyDescent="0.3">
      <c r="A120" s="38">
        <v>119</v>
      </c>
      <c r="B120" s="144">
        <f t="shared" si="21"/>
        <v>9.9166666666666679</v>
      </c>
      <c r="D120" s="38">
        <f t="shared" si="22"/>
        <v>1.3628973532571218</v>
      </c>
      <c r="E120" s="145">
        <f t="shared" si="19"/>
        <v>0.48812688630912476</v>
      </c>
      <c r="F120" s="145">
        <f t="shared" si="20"/>
        <v>0.66526684140434611</v>
      </c>
      <c r="G120" s="145"/>
      <c r="H120" s="145"/>
      <c r="M120" s="145"/>
      <c r="R120" s="145"/>
    </row>
    <row r="121" spans="1:18" x14ac:dyDescent="0.3">
      <c r="A121" s="38">
        <v>120</v>
      </c>
      <c r="B121" s="144">
        <f t="shared" si="21"/>
        <v>10.000000000000002</v>
      </c>
      <c r="D121" s="38">
        <f t="shared" si="22"/>
        <v>1.3628973532571218</v>
      </c>
      <c r="E121" s="145">
        <f t="shared" si="19"/>
        <v>0.48519392830146441</v>
      </c>
      <c r="F121" s="145">
        <f t="shared" si="20"/>
        <v>0.66126952069849154</v>
      </c>
      <c r="G121" s="145"/>
      <c r="H121" s="145"/>
      <c r="M121" s="145"/>
      <c r="R121" s="145"/>
    </row>
    <row r="122" spans="1:18" x14ac:dyDescent="0.3">
      <c r="A122" s="38">
        <v>121</v>
      </c>
      <c r="B122" s="144">
        <f t="shared" si="21"/>
        <v>10.083333333333336</v>
      </c>
      <c r="D122" s="38">
        <f t="shared" si="22"/>
        <v>1.410598760621121</v>
      </c>
      <c r="E122" s="145">
        <f t="shared" si="19"/>
        <v>0.48227859325806999</v>
      </c>
      <c r="F122" s="145">
        <f t="shared" si="20"/>
        <v>0.6803015859239312</v>
      </c>
      <c r="G122" s="145"/>
      <c r="H122" s="145"/>
      <c r="M122" s="145"/>
      <c r="R122" s="145"/>
    </row>
    <row r="123" spans="1:18" x14ac:dyDescent="0.3">
      <c r="A123" s="38">
        <v>122</v>
      </c>
      <c r="B123" s="144">
        <f t="shared" si="21"/>
        <v>10.16666666666667</v>
      </c>
      <c r="D123" s="38">
        <f t="shared" si="22"/>
        <v>1.410598760621121</v>
      </c>
      <c r="E123" s="145">
        <f t="shared" si="19"/>
        <v>0.47938077528964196</v>
      </c>
      <c r="F123" s="145">
        <f t="shared" si="20"/>
        <v>0.67621392748916109</v>
      </c>
      <c r="G123" s="145"/>
      <c r="H123" s="145"/>
      <c r="M123" s="145"/>
      <c r="R123" s="145"/>
    </row>
    <row r="124" spans="1:18" x14ac:dyDescent="0.3">
      <c r="A124" s="38">
        <v>123</v>
      </c>
      <c r="B124" s="144">
        <f t="shared" si="21"/>
        <v>10.250000000000004</v>
      </c>
      <c r="D124" s="38">
        <f t="shared" si="22"/>
        <v>1.410598760621121</v>
      </c>
      <c r="E124" s="145">
        <f t="shared" si="19"/>
        <v>0.47650036914312666</v>
      </c>
      <c r="F124" s="145">
        <f t="shared" si="20"/>
        <v>0.67215083014880106</v>
      </c>
      <c r="G124" s="145"/>
      <c r="H124" s="145"/>
      <c r="M124" s="145"/>
      <c r="R124" s="145"/>
    </row>
    <row r="125" spans="1:18" x14ac:dyDescent="0.3">
      <c r="A125" s="38">
        <v>124</v>
      </c>
      <c r="B125" s="144">
        <f t="shared" si="21"/>
        <v>10.333333333333337</v>
      </c>
      <c r="D125" s="38">
        <f t="shared" si="22"/>
        <v>1.410598760621121</v>
      </c>
      <c r="E125" s="145">
        <f t="shared" si="19"/>
        <v>0.47363727019789376</v>
      </c>
      <c r="F125" s="145">
        <f t="shared" si="20"/>
        <v>0.66811214632511995</v>
      </c>
      <c r="G125" s="145"/>
      <c r="H125" s="145"/>
      <c r="M125" s="145"/>
      <c r="R125" s="145"/>
    </row>
    <row r="126" spans="1:18" x14ac:dyDescent="0.3">
      <c r="A126" s="38">
        <v>125</v>
      </c>
      <c r="B126" s="144">
        <f t="shared" si="21"/>
        <v>10.416666666666671</v>
      </c>
      <c r="D126" s="38">
        <f t="shared" si="22"/>
        <v>1.410598760621121</v>
      </c>
      <c r="E126" s="145">
        <f t="shared" si="19"/>
        <v>0.47079137446193631</v>
      </c>
      <c r="F126" s="145">
        <f t="shared" si="20"/>
        <v>0.66409772932712141</v>
      </c>
      <c r="G126" s="145"/>
      <c r="H126" s="145"/>
      <c r="M126" s="145"/>
      <c r="R126" s="145"/>
    </row>
    <row r="127" spans="1:18" x14ac:dyDescent="0.3">
      <c r="A127" s="38">
        <v>126</v>
      </c>
      <c r="B127" s="144">
        <f t="shared" si="21"/>
        <v>10.500000000000005</v>
      </c>
      <c r="D127" s="38">
        <f t="shared" si="22"/>
        <v>1.410598760621121</v>
      </c>
      <c r="E127" s="145">
        <f t="shared" si="19"/>
        <v>0.46796257856809348</v>
      </c>
      <c r="F127" s="145">
        <f t="shared" si="20"/>
        <v>0.6601074333452166</v>
      </c>
      <c r="G127" s="145"/>
      <c r="H127" s="145"/>
      <c r="M127" s="145"/>
      <c r="R127" s="145"/>
    </row>
    <row r="128" spans="1:18" x14ac:dyDescent="0.3">
      <c r="A128" s="38">
        <v>127</v>
      </c>
      <c r="B128" s="144">
        <f t="shared" si="21"/>
        <v>10.583333333333339</v>
      </c>
      <c r="D128" s="38">
        <f t="shared" si="22"/>
        <v>1.410598760621121</v>
      </c>
      <c r="E128" s="145">
        <f t="shared" si="19"/>
        <v>0.4651507797702959</v>
      </c>
      <c r="F128" s="145">
        <f t="shared" si="20"/>
        <v>0.6561411134459274</v>
      </c>
      <c r="G128" s="145"/>
      <c r="H128" s="145"/>
      <c r="M128" s="145"/>
      <c r="R128" s="145"/>
    </row>
    <row r="129" spans="1:18" x14ac:dyDescent="0.3">
      <c r="A129" s="38">
        <v>128</v>
      </c>
      <c r="B129" s="144">
        <f t="shared" si="21"/>
        <v>10.666666666666673</v>
      </c>
      <c r="D129" s="38">
        <f t="shared" si="22"/>
        <v>1.410598760621121</v>
      </c>
      <c r="E129" s="145">
        <f t="shared" si="19"/>
        <v>0.46235587593983413</v>
      </c>
      <c r="F129" s="145">
        <f t="shared" si="20"/>
        <v>0.65219862556662278</v>
      </c>
      <c r="G129" s="145"/>
      <c r="H129" s="145"/>
      <c r="M129" s="145"/>
      <c r="R129" s="145"/>
    </row>
    <row r="130" spans="1:18" x14ac:dyDescent="0.3">
      <c r="A130" s="38">
        <v>129</v>
      </c>
      <c r="B130" s="144">
        <f t="shared" si="21"/>
        <v>10.750000000000007</v>
      </c>
      <c r="D130" s="38">
        <f t="shared" si="22"/>
        <v>1.410598760621121</v>
      </c>
      <c r="E130" s="145">
        <f t="shared" si="19"/>
        <v>0.45957776556164898</v>
      </c>
      <c r="F130" s="145">
        <f t="shared" si="20"/>
        <v>0.64827982651028615</v>
      </c>
      <c r="G130" s="145"/>
      <c r="H130" s="145"/>
      <c r="M130" s="145"/>
      <c r="R130" s="145"/>
    </row>
    <row r="131" spans="1:18" x14ac:dyDescent="0.3">
      <c r="A131" s="38">
        <v>130</v>
      </c>
      <c r="B131" s="144">
        <f t="shared" si="21"/>
        <v>10.833333333333341</v>
      </c>
      <c r="D131" s="38">
        <f t="shared" si="22"/>
        <v>1.410598760621121</v>
      </c>
      <c r="E131" s="145">
        <f t="shared" ref="E131:E194" si="23">1/1.075^B131</f>
        <v>0.4568163477306445</v>
      </c>
      <c r="F131" s="145">
        <f t="shared" ref="F131:F194" si="24">D131*E131</f>
        <v>0.64438457394031412</v>
      </c>
      <c r="G131" s="145"/>
      <c r="H131" s="145"/>
      <c r="M131" s="145"/>
      <c r="R131" s="145"/>
    </row>
    <row r="132" spans="1:18" x14ac:dyDescent="0.3">
      <c r="A132" s="38">
        <v>131</v>
      </c>
      <c r="B132" s="144">
        <f t="shared" si="21"/>
        <v>10.916666666666675</v>
      </c>
      <c r="D132" s="38">
        <f t="shared" si="22"/>
        <v>1.410598760621121</v>
      </c>
      <c r="E132" s="145">
        <f t="shared" si="23"/>
        <v>0.45407152214802282</v>
      </c>
      <c r="F132" s="145">
        <f t="shared" si="24"/>
        <v>0.64051272637534684</v>
      </c>
      <c r="G132" s="145"/>
      <c r="H132" s="145"/>
      <c r="M132" s="145"/>
      <c r="R132" s="145"/>
    </row>
    <row r="133" spans="1:18" x14ac:dyDescent="0.3">
      <c r="A133" s="38">
        <v>132</v>
      </c>
      <c r="B133" s="144">
        <f t="shared" si="21"/>
        <v>11.000000000000009</v>
      </c>
      <c r="D133" s="38">
        <f t="shared" si="22"/>
        <v>1.410598760621121</v>
      </c>
      <c r="E133" s="145">
        <f t="shared" si="23"/>
        <v>0.4513431891176411</v>
      </c>
      <c r="F133" s="145">
        <f t="shared" si="24"/>
        <v>0.63666414318412878</v>
      </c>
      <c r="G133" s="145"/>
      <c r="H133" s="145"/>
      <c r="M133" s="145"/>
      <c r="R133" s="145"/>
    </row>
    <row r="134" spans="1:18" x14ac:dyDescent="0.3">
      <c r="A134" s="38">
        <v>133</v>
      </c>
      <c r="B134" s="144">
        <f t="shared" si="21"/>
        <v>11.083333333333343</v>
      </c>
      <c r="D134" s="38">
        <f t="shared" si="22"/>
        <v>1.4599697172428601</v>
      </c>
      <c r="E134" s="145">
        <f t="shared" si="23"/>
        <v>0.44863124954239053</v>
      </c>
      <c r="F134" s="145">
        <f t="shared" si="24"/>
        <v>0.65498803854071486</v>
      </c>
      <c r="G134" s="145"/>
      <c r="H134" s="145"/>
      <c r="M134" s="145"/>
      <c r="R134" s="145"/>
    </row>
    <row r="135" spans="1:18" x14ac:dyDescent="0.3">
      <c r="A135" s="38">
        <v>134</v>
      </c>
      <c r="B135" s="144">
        <f t="shared" si="21"/>
        <v>11.166666666666677</v>
      </c>
      <c r="D135" s="38">
        <f t="shared" si="22"/>
        <v>1.4599697172428601</v>
      </c>
      <c r="E135" s="145">
        <f t="shared" si="23"/>
        <v>0.44593560492059692</v>
      </c>
      <c r="F135" s="145">
        <f t="shared" si="24"/>
        <v>0.65105247902444763</v>
      </c>
      <c r="G135" s="145"/>
      <c r="H135" s="145"/>
      <c r="M135" s="145"/>
      <c r="R135" s="145"/>
    </row>
    <row r="136" spans="1:18" x14ac:dyDescent="0.3">
      <c r="A136" s="38">
        <v>135</v>
      </c>
      <c r="B136" s="144">
        <f t="shared" ref="B136:B199" si="25">B135+1/12</f>
        <v>11.250000000000011</v>
      </c>
      <c r="D136" s="38">
        <f t="shared" si="22"/>
        <v>1.4599697172428601</v>
      </c>
      <c r="E136" s="145">
        <f t="shared" si="23"/>
        <v>0.44325615734244311</v>
      </c>
      <c r="F136" s="145">
        <f t="shared" si="24"/>
        <v>0.64714056670140341</v>
      </c>
      <c r="G136" s="145"/>
      <c r="H136" s="145"/>
      <c r="M136" s="145"/>
      <c r="R136" s="145"/>
    </row>
    <row r="137" spans="1:18" x14ac:dyDescent="0.3">
      <c r="A137" s="38">
        <v>136</v>
      </c>
      <c r="B137" s="144">
        <f t="shared" si="25"/>
        <v>11.333333333333345</v>
      </c>
      <c r="D137" s="38">
        <f t="shared" si="22"/>
        <v>1.4599697172428601</v>
      </c>
      <c r="E137" s="145">
        <f t="shared" si="23"/>
        <v>0.44059280948641261</v>
      </c>
      <c r="F137" s="145">
        <f t="shared" si="24"/>
        <v>0.64325215948511516</v>
      </c>
      <c r="G137" s="145"/>
      <c r="H137" s="145"/>
      <c r="M137" s="145"/>
      <c r="R137" s="145"/>
    </row>
    <row r="138" spans="1:18" x14ac:dyDescent="0.3">
      <c r="A138" s="38">
        <v>137</v>
      </c>
      <c r="B138" s="144">
        <f t="shared" si="25"/>
        <v>11.416666666666679</v>
      </c>
      <c r="D138" s="38">
        <f t="shared" si="22"/>
        <v>1.4599697172428601</v>
      </c>
      <c r="E138" s="145">
        <f t="shared" si="23"/>
        <v>0.43794546461575456</v>
      </c>
      <c r="F138" s="145">
        <f t="shared" si="24"/>
        <v>0.63938711614285615</v>
      </c>
      <c r="G138" s="145"/>
      <c r="H138" s="145"/>
      <c r="M138" s="145"/>
      <c r="R138" s="145"/>
    </row>
    <row r="139" spans="1:18" x14ac:dyDescent="0.3">
      <c r="A139" s="38">
        <v>138</v>
      </c>
      <c r="B139" s="144">
        <f t="shared" si="25"/>
        <v>11.500000000000012</v>
      </c>
      <c r="D139" s="38">
        <f t="shared" si="22"/>
        <v>1.4599697172428601</v>
      </c>
      <c r="E139" s="145">
        <f t="shared" si="23"/>
        <v>0.43531402657497043</v>
      </c>
      <c r="F139" s="145">
        <f t="shared" si="24"/>
        <v>0.63554529629051049</v>
      </c>
      <c r="G139" s="145"/>
      <c r="H139" s="145"/>
      <c r="M139" s="145"/>
      <c r="R139" s="145"/>
    </row>
    <row r="140" spans="1:18" x14ac:dyDescent="0.3">
      <c r="A140" s="38">
        <v>139</v>
      </c>
      <c r="B140" s="144">
        <f t="shared" si="25"/>
        <v>11.583333333333346</v>
      </c>
      <c r="D140" s="38">
        <f t="shared" si="22"/>
        <v>1.4599697172428601</v>
      </c>
      <c r="E140" s="145">
        <f t="shared" si="23"/>
        <v>0.43269839978632152</v>
      </c>
      <c r="F140" s="145">
        <f t="shared" si="24"/>
        <v>0.63172656038747388</v>
      </c>
      <c r="G140" s="145"/>
      <c r="H140" s="145"/>
      <c r="M140" s="145"/>
      <c r="R140" s="145"/>
    </row>
    <row r="141" spans="1:18" x14ac:dyDescent="0.3">
      <c r="A141" s="38">
        <v>140</v>
      </c>
      <c r="B141" s="144">
        <f t="shared" si="25"/>
        <v>11.66666666666668</v>
      </c>
      <c r="D141" s="38">
        <f t="shared" si="22"/>
        <v>1.4599697172428601</v>
      </c>
      <c r="E141" s="145">
        <f t="shared" si="23"/>
        <v>0.43009848924635702</v>
      </c>
      <c r="F141" s="145">
        <f t="shared" si="24"/>
        <v>0.62793076973158513</v>
      </c>
      <c r="G141" s="145"/>
      <c r="H141" s="145"/>
      <c r="M141" s="145"/>
      <c r="R141" s="145"/>
    </row>
    <row r="142" spans="1:18" x14ac:dyDescent="0.3">
      <c r="A142" s="38">
        <v>141</v>
      </c>
      <c r="B142" s="144">
        <f t="shared" si="25"/>
        <v>11.750000000000014</v>
      </c>
      <c r="D142" s="38">
        <f t="shared" si="22"/>
        <v>1.4599697172428601</v>
      </c>
      <c r="E142" s="145">
        <f t="shared" si="23"/>
        <v>0.42751420052246397</v>
      </c>
      <c r="F142" s="145">
        <f t="shared" si="24"/>
        <v>0.62415778645408915</v>
      </c>
      <c r="G142" s="145"/>
      <c r="H142" s="145"/>
      <c r="M142" s="145"/>
      <c r="R142" s="145"/>
    </row>
    <row r="143" spans="1:18" x14ac:dyDescent="0.3">
      <c r="A143" s="38">
        <v>142</v>
      </c>
      <c r="B143" s="144">
        <f t="shared" si="25"/>
        <v>11.833333333333348</v>
      </c>
      <c r="D143" s="38">
        <f t="shared" ref="D143:D206" si="26">D131*1.035</f>
        <v>1.4599697172428601</v>
      </c>
      <c r="E143" s="145">
        <f t="shared" si="23"/>
        <v>0.42494543974943655</v>
      </c>
      <c r="F143" s="145">
        <f t="shared" si="24"/>
        <v>0.62040747351462766</v>
      </c>
      <c r="G143" s="145"/>
      <c r="H143" s="145"/>
      <c r="M143" s="145"/>
      <c r="R143" s="145"/>
    </row>
    <row r="144" spans="1:18" x14ac:dyDescent="0.3">
      <c r="A144" s="38">
        <v>143</v>
      </c>
      <c r="B144" s="144">
        <f t="shared" si="25"/>
        <v>11.916666666666682</v>
      </c>
      <c r="D144" s="38">
        <f t="shared" si="26"/>
        <v>1.4599697172428601</v>
      </c>
      <c r="E144" s="145">
        <f t="shared" si="23"/>
        <v>0.4223921136260676</v>
      </c>
      <c r="F144" s="145">
        <f t="shared" si="24"/>
        <v>0.61667969469626394</v>
      </c>
      <c r="G144" s="145"/>
      <c r="H144" s="145"/>
      <c r="M144" s="145"/>
      <c r="R144" s="145"/>
    </row>
    <row r="145" spans="1:18" x14ac:dyDescent="0.3">
      <c r="A145" s="38">
        <v>144</v>
      </c>
      <c r="B145" s="144">
        <f t="shared" si="25"/>
        <v>12.000000000000016</v>
      </c>
      <c r="D145" s="38">
        <f t="shared" si="26"/>
        <v>1.4599697172428601</v>
      </c>
      <c r="E145" s="145">
        <f t="shared" si="23"/>
        <v>0.41985412941175893</v>
      </c>
      <c r="F145" s="145">
        <f t="shared" si="24"/>
        <v>0.61297431460053287</v>
      </c>
      <c r="G145" s="145"/>
      <c r="H145" s="145"/>
      <c r="M145" s="145"/>
      <c r="R145" s="145"/>
    </row>
    <row r="146" spans="1:18" x14ac:dyDescent="0.3">
      <c r="A146" s="38">
        <v>145</v>
      </c>
      <c r="B146" s="144">
        <f t="shared" si="25"/>
        <v>12.08333333333335</v>
      </c>
      <c r="D146" s="38">
        <f t="shared" si="26"/>
        <v>1.5110686573463601</v>
      </c>
      <c r="E146" s="145">
        <f t="shared" si="23"/>
        <v>0.4173313949231538</v>
      </c>
      <c r="F146" s="145">
        <f t="shared" si="24"/>
        <v>0.63061639059501362</v>
      </c>
      <c r="G146" s="145"/>
      <c r="H146" s="145"/>
      <c r="M146" s="145"/>
      <c r="R146" s="145"/>
    </row>
    <row r="147" spans="1:18" x14ac:dyDescent="0.3">
      <c r="A147" s="38">
        <v>146</v>
      </c>
      <c r="B147" s="144">
        <f t="shared" si="25"/>
        <v>12.166666666666684</v>
      </c>
      <c r="D147" s="38">
        <f t="shared" si="26"/>
        <v>1.5110686573463601</v>
      </c>
      <c r="E147" s="145">
        <f t="shared" si="23"/>
        <v>0.41482381853078765</v>
      </c>
      <c r="F147" s="145">
        <f t="shared" si="24"/>
        <v>0.62682727050260745</v>
      </c>
      <c r="G147" s="145"/>
      <c r="H147" s="145"/>
      <c r="M147" s="145"/>
      <c r="R147" s="145"/>
    </row>
    <row r="148" spans="1:18" x14ac:dyDescent="0.3">
      <c r="A148" s="38">
        <v>147</v>
      </c>
      <c r="B148" s="144">
        <f t="shared" si="25"/>
        <v>12.250000000000018</v>
      </c>
      <c r="D148" s="38">
        <f t="shared" si="26"/>
        <v>1.5110686573463601</v>
      </c>
      <c r="E148" s="145">
        <f t="shared" si="23"/>
        <v>0.41233130915576088</v>
      </c>
      <c r="F148" s="145">
        <f t="shared" si="24"/>
        <v>0.62306091770786254</v>
      </c>
      <c r="G148" s="145"/>
      <c r="H148" s="145"/>
      <c r="M148" s="145"/>
      <c r="R148" s="145"/>
    </row>
    <row r="149" spans="1:18" x14ac:dyDescent="0.3">
      <c r="A149" s="38">
        <v>148</v>
      </c>
      <c r="B149" s="144">
        <f t="shared" si="25"/>
        <v>12.333333333333352</v>
      </c>
      <c r="D149" s="38">
        <f t="shared" si="26"/>
        <v>1.5110686573463601</v>
      </c>
      <c r="E149" s="145">
        <f t="shared" si="23"/>
        <v>0.40985377626643016</v>
      </c>
      <c r="F149" s="145">
        <f t="shared" si="24"/>
        <v>0.61931719541125008</v>
      </c>
      <c r="G149" s="145"/>
      <c r="H149" s="145"/>
      <c r="M149" s="145"/>
      <c r="R149" s="145"/>
    </row>
    <row r="150" spans="1:18" x14ac:dyDescent="0.3">
      <c r="A150" s="38">
        <v>149</v>
      </c>
      <c r="B150" s="144">
        <f t="shared" si="25"/>
        <v>12.416666666666686</v>
      </c>
      <c r="D150" s="38">
        <f t="shared" si="26"/>
        <v>1.5110686573463601</v>
      </c>
      <c r="E150" s="145">
        <f t="shared" si="23"/>
        <v>0.40739112987512027</v>
      </c>
      <c r="F150" s="145">
        <f t="shared" si="24"/>
        <v>0.61559596763521462</v>
      </c>
      <c r="G150" s="145"/>
      <c r="H150" s="145"/>
      <c r="M150" s="145"/>
      <c r="R150" s="145"/>
    </row>
    <row r="151" spans="1:18" x14ac:dyDescent="0.3">
      <c r="A151" s="38">
        <v>150</v>
      </c>
      <c r="B151" s="144">
        <f t="shared" si="25"/>
        <v>12.50000000000002</v>
      </c>
      <c r="D151" s="38">
        <f t="shared" si="26"/>
        <v>1.5110686573463601</v>
      </c>
      <c r="E151" s="145">
        <f t="shared" si="23"/>
        <v>0.40494328053485601</v>
      </c>
      <c r="F151" s="145">
        <f t="shared" si="24"/>
        <v>0.6118970992192353</v>
      </c>
      <c r="G151" s="145"/>
      <c r="H151" s="145"/>
      <c r="M151" s="145"/>
      <c r="R151" s="145"/>
    </row>
    <row r="152" spans="1:18" x14ac:dyDescent="0.3">
      <c r="A152" s="38">
        <v>151</v>
      </c>
      <c r="B152" s="144">
        <f t="shared" si="25"/>
        <v>12.583333333333353</v>
      </c>
      <c r="D152" s="38">
        <f t="shared" si="26"/>
        <v>1.5110686573463601</v>
      </c>
      <c r="E152" s="145">
        <f t="shared" si="23"/>
        <v>0.40251013933611285</v>
      </c>
      <c r="F152" s="145">
        <f t="shared" si="24"/>
        <v>0.60822045581491635</v>
      </c>
      <c r="G152" s="145"/>
      <c r="H152" s="145"/>
      <c r="M152" s="145"/>
      <c r="R152" s="145"/>
    </row>
    <row r="153" spans="1:18" x14ac:dyDescent="0.3">
      <c r="A153" s="38">
        <v>152</v>
      </c>
      <c r="B153" s="144">
        <f t="shared" si="25"/>
        <v>12.666666666666687</v>
      </c>
      <c r="D153" s="38">
        <f t="shared" si="26"/>
        <v>1.5110686573463601</v>
      </c>
      <c r="E153" s="145">
        <f t="shared" si="23"/>
        <v>0.40009161790358777</v>
      </c>
      <c r="F153" s="145">
        <f t="shared" si="24"/>
        <v>0.60456590388110731</v>
      </c>
      <c r="G153" s="145"/>
      <c r="H153" s="145"/>
      <c r="M153" s="145"/>
      <c r="R153" s="145"/>
    </row>
    <row r="154" spans="1:18" x14ac:dyDescent="0.3">
      <c r="A154" s="38">
        <v>153</v>
      </c>
      <c r="B154" s="144">
        <f t="shared" si="25"/>
        <v>12.750000000000021</v>
      </c>
      <c r="D154" s="38">
        <f t="shared" si="26"/>
        <v>1.5110686573463601</v>
      </c>
      <c r="E154" s="145">
        <f t="shared" si="23"/>
        <v>0.39768762839298943</v>
      </c>
      <c r="F154" s="145">
        <f t="shared" si="24"/>
        <v>0.60093331067905276</v>
      </c>
      <c r="G154" s="145"/>
      <c r="H154" s="145"/>
      <c r="M154" s="145"/>
      <c r="R154" s="145"/>
    </row>
    <row r="155" spans="1:18" x14ac:dyDescent="0.3">
      <c r="A155" s="38">
        <v>154</v>
      </c>
      <c r="B155" s="144">
        <f t="shared" si="25"/>
        <v>12.833333333333355</v>
      </c>
      <c r="D155" s="38">
        <f t="shared" si="26"/>
        <v>1.5110686573463601</v>
      </c>
      <c r="E155" s="145">
        <f t="shared" si="23"/>
        <v>0.39529808348784773</v>
      </c>
      <c r="F155" s="145">
        <f t="shared" si="24"/>
        <v>0.59732254426757148</v>
      </c>
      <c r="G155" s="145"/>
      <c r="H155" s="145"/>
      <c r="M155" s="145"/>
      <c r="R155" s="145"/>
    </row>
    <row r="156" spans="1:18" x14ac:dyDescent="0.3">
      <c r="A156" s="38">
        <v>155</v>
      </c>
      <c r="B156" s="144">
        <f t="shared" si="25"/>
        <v>12.916666666666689</v>
      </c>
      <c r="D156" s="38">
        <f t="shared" si="26"/>
        <v>1.5110686573463601</v>
      </c>
      <c r="E156" s="145">
        <f t="shared" si="23"/>
        <v>0.3929228963963417</v>
      </c>
      <c r="F156" s="145">
        <f t="shared" si="24"/>
        <v>0.593733473498263</v>
      </c>
      <c r="G156" s="145"/>
      <c r="H156" s="145"/>
      <c r="M156" s="145"/>
      <c r="R156" s="145"/>
    </row>
    <row r="157" spans="1:18" x14ac:dyDescent="0.3">
      <c r="A157" s="38">
        <v>156</v>
      </c>
      <c r="B157" s="144">
        <f t="shared" si="25"/>
        <v>13.000000000000023</v>
      </c>
      <c r="D157" s="38">
        <f t="shared" si="26"/>
        <v>1.5110686573463601</v>
      </c>
      <c r="E157" s="145">
        <f t="shared" si="23"/>
        <v>0.39056198084814764</v>
      </c>
      <c r="F157" s="145">
        <f t="shared" si="24"/>
        <v>0.59016596801074528</v>
      </c>
      <c r="G157" s="145"/>
      <c r="H157" s="145"/>
      <c r="M157" s="145"/>
      <c r="R157" s="145"/>
    </row>
    <row r="158" spans="1:18" x14ac:dyDescent="0.3">
      <c r="A158" s="38">
        <v>157</v>
      </c>
      <c r="B158" s="144">
        <f t="shared" si="25"/>
        <v>13.083333333333357</v>
      </c>
      <c r="D158" s="38">
        <f t="shared" si="26"/>
        <v>1.5639560603534826</v>
      </c>
      <c r="E158" s="145">
        <f t="shared" si="23"/>
        <v>0.38821525109130561</v>
      </c>
      <c r="F158" s="145">
        <f t="shared" si="24"/>
        <v>0.6071515946658963</v>
      </c>
      <c r="G158" s="145"/>
      <c r="H158" s="145"/>
      <c r="M158" s="145"/>
      <c r="R158" s="145"/>
    </row>
    <row r="159" spans="1:18" x14ac:dyDescent="0.3">
      <c r="A159" s="38">
        <v>158</v>
      </c>
      <c r="B159" s="144">
        <f t="shared" si="25"/>
        <v>13.166666666666691</v>
      </c>
      <c r="D159" s="38">
        <f t="shared" si="26"/>
        <v>1.5639560603534826</v>
      </c>
      <c r="E159" s="145">
        <f t="shared" si="23"/>
        <v>0.3858826218891046</v>
      </c>
      <c r="F159" s="145">
        <f t="shared" si="24"/>
        <v>0.60350346508855657</v>
      </c>
      <c r="G159" s="145"/>
      <c r="H159" s="145"/>
      <c r="M159" s="145"/>
      <c r="R159" s="145"/>
    </row>
    <row r="160" spans="1:18" x14ac:dyDescent="0.3">
      <c r="A160" s="38">
        <v>159</v>
      </c>
      <c r="B160" s="144">
        <f t="shared" si="25"/>
        <v>13.250000000000025</v>
      </c>
      <c r="D160" s="38">
        <f t="shared" si="26"/>
        <v>1.5639560603534826</v>
      </c>
      <c r="E160" s="145">
        <f t="shared" si="23"/>
        <v>0.38356400851698669</v>
      </c>
      <c r="F160" s="145">
        <f t="shared" si="24"/>
        <v>0.59987725565361616</v>
      </c>
      <c r="G160" s="145"/>
      <c r="H160" s="145"/>
      <c r="M160" s="145"/>
      <c r="R160" s="145"/>
    </row>
    <row r="161" spans="1:18" x14ac:dyDescent="0.3">
      <c r="A161" s="38">
        <v>160</v>
      </c>
      <c r="B161" s="144">
        <f t="shared" si="25"/>
        <v>13.333333333333359</v>
      </c>
      <c r="D161" s="38">
        <f t="shared" si="26"/>
        <v>1.5639560603534826</v>
      </c>
      <c r="E161" s="145">
        <f t="shared" si="23"/>
        <v>0.38125932675946966</v>
      </c>
      <c r="F161" s="145">
        <f t="shared" si="24"/>
        <v>0.59627283465176129</v>
      </c>
      <c r="G161" s="145"/>
      <c r="H161" s="145"/>
      <c r="M161" s="145"/>
      <c r="R161" s="145"/>
    </row>
    <row r="162" spans="1:18" x14ac:dyDescent="0.3">
      <c r="A162" s="38">
        <v>161</v>
      </c>
      <c r="B162" s="144">
        <f t="shared" si="25"/>
        <v>13.416666666666693</v>
      </c>
      <c r="D162" s="38">
        <f t="shared" si="26"/>
        <v>1.5639560603534826</v>
      </c>
      <c r="E162" s="145">
        <f t="shared" si="23"/>
        <v>0.37896849290708839</v>
      </c>
      <c r="F162" s="145">
        <f t="shared" si="24"/>
        <v>0.59269007116506667</v>
      </c>
      <c r="G162" s="145"/>
      <c r="H162" s="145"/>
      <c r="M162" s="145"/>
      <c r="R162" s="145"/>
    </row>
    <row r="163" spans="1:18" x14ac:dyDescent="0.3">
      <c r="A163" s="38">
        <v>162</v>
      </c>
      <c r="B163" s="144">
        <f t="shared" si="25"/>
        <v>13.500000000000027</v>
      </c>
      <c r="D163" s="38">
        <f t="shared" si="26"/>
        <v>1.5639560603534826</v>
      </c>
      <c r="E163" s="145">
        <f t="shared" si="23"/>
        <v>0.37669142375335424</v>
      </c>
      <c r="F163" s="145">
        <f t="shared" si="24"/>
        <v>0.58912883506224012</v>
      </c>
      <c r="G163" s="145"/>
      <c r="H163" s="145"/>
      <c r="M163" s="145"/>
      <c r="R163" s="145"/>
    </row>
    <row r="164" spans="1:18" x14ac:dyDescent="0.3">
      <c r="A164" s="38">
        <v>163</v>
      </c>
      <c r="B164" s="144">
        <f t="shared" si="25"/>
        <v>13.583333333333361</v>
      </c>
      <c r="D164" s="38">
        <f t="shared" si="26"/>
        <v>1.5639560603534826</v>
      </c>
      <c r="E164" s="145">
        <f t="shared" si="23"/>
        <v>0.37442803659173268</v>
      </c>
      <c r="F164" s="145">
        <f t="shared" si="24"/>
        <v>0.58558899699389588</v>
      </c>
      <c r="G164" s="145"/>
      <c r="H164" s="145"/>
      <c r="M164" s="145"/>
      <c r="R164" s="145"/>
    </row>
    <row r="165" spans="1:18" x14ac:dyDescent="0.3">
      <c r="A165" s="38">
        <v>164</v>
      </c>
      <c r="B165" s="144">
        <f t="shared" si="25"/>
        <v>13.666666666666694</v>
      </c>
      <c r="D165" s="38">
        <f t="shared" si="26"/>
        <v>1.5639560603534826</v>
      </c>
      <c r="E165" s="145">
        <f t="shared" si="23"/>
        <v>0.37217824921263959</v>
      </c>
      <c r="F165" s="145">
        <f t="shared" si="24"/>
        <v>0.58207042838785639</v>
      </c>
      <c r="G165" s="145"/>
      <c r="H165" s="145"/>
      <c r="M165" s="145"/>
      <c r="R165" s="145"/>
    </row>
    <row r="166" spans="1:18" x14ac:dyDescent="0.3">
      <c r="A166" s="38">
        <v>165</v>
      </c>
      <c r="B166" s="144">
        <f t="shared" si="25"/>
        <v>13.750000000000028</v>
      </c>
      <c r="D166" s="38">
        <f t="shared" si="26"/>
        <v>1.5639560603534826</v>
      </c>
      <c r="E166" s="145">
        <f t="shared" si="23"/>
        <v>0.36994197990045513</v>
      </c>
      <c r="F166" s="145">
        <f t="shared" si="24"/>
        <v>0.57857300144448298</v>
      </c>
      <c r="G166" s="145"/>
      <c r="H166" s="145"/>
      <c r="M166" s="145"/>
      <c r="R166" s="145"/>
    </row>
    <row r="167" spans="1:18" x14ac:dyDescent="0.3">
      <c r="A167" s="38">
        <v>166</v>
      </c>
      <c r="B167" s="144">
        <f t="shared" si="25"/>
        <v>13.833333333333362</v>
      </c>
      <c r="D167" s="38">
        <f t="shared" si="26"/>
        <v>1.5639560603534826</v>
      </c>
      <c r="E167" s="145">
        <f t="shared" si="23"/>
        <v>0.36771914743055589</v>
      </c>
      <c r="F167" s="145">
        <f t="shared" si="24"/>
        <v>0.57509658913203365</v>
      </c>
      <c r="G167" s="145"/>
      <c r="H167" s="145"/>
      <c r="M167" s="145"/>
      <c r="R167" s="145"/>
    </row>
    <row r="168" spans="1:18" x14ac:dyDescent="0.3">
      <c r="A168" s="38">
        <v>167</v>
      </c>
      <c r="B168" s="144">
        <f t="shared" si="25"/>
        <v>13.916666666666696</v>
      </c>
      <c r="D168" s="38">
        <f t="shared" si="26"/>
        <v>1.5639560603534826</v>
      </c>
      <c r="E168" s="145">
        <f t="shared" si="23"/>
        <v>0.36550967106636417</v>
      </c>
      <c r="F168" s="145">
        <f t="shared" si="24"/>
        <v>0.57164106518204816</v>
      </c>
      <c r="G168" s="145"/>
      <c r="H168" s="145"/>
      <c r="M168" s="145"/>
      <c r="R168" s="145"/>
    </row>
    <row r="169" spans="1:18" x14ac:dyDescent="0.3">
      <c r="A169" s="38">
        <v>168</v>
      </c>
      <c r="B169" s="144">
        <f t="shared" si="25"/>
        <v>14.00000000000003</v>
      </c>
      <c r="D169" s="38">
        <f t="shared" si="26"/>
        <v>1.5639560603534826</v>
      </c>
      <c r="E169" s="145">
        <f t="shared" si="23"/>
        <v>0.36331347055641633</v>
      </c>
      <c r="F169" s="145">
        <f t="shared" si="24"/>
        <v>0.56820630408476391</v>
      </c>
      <c r="G169" s="145"/>
      <c r="H169" s="145"/>
      <c r="M169" s="145"/>
      <c r="R169" s="145"/>
    </row>
    <row r="170" spans="1:18" x14ac:dyDescent="0.3">
      <c r="A170" s="38">
        <v>169</v>
      </c>
      <c r="B170" s="144">
        <f t="shared" si="25"/>
        <v>14.083333333333364</v>
      </c>
      <c r="D170" s="38">
        <f t="shared" si="26"/>
        <v>1.6186945224658542</v>
      </c>
      <c r="E170" s="145">
        <f t="shared" si="23"/>
        <v>0.36113046613144695</v>
      </c>
      <c r="F170" s="145">
        <f t="shared" si="24"/>
        <v>0.58455990742251385</v>
      </c>
      <c r="G170" s="145"/>
      <c r="H170" s="145"/>
      <c r="M170" s="145"/>
      <c r="R170" s="145"/>
    </row>
    <row r="171" spans="1:18" x14ac:dyDescent="0.3">
      <c r="A171" s="38">
        <v>170</v>
      </c>
      <c r="B171" s="144">
        <f t="shared" si="25"/>
        <v>14.166666666666698</v>
      </c>
      <c r="D171" s="38">
        <f t="shared" si="26"/>
        <v>1.6186945224658542</v>
      </c>
      <c r="E171" s="145">
        <f t="shared" si="23"/>
        <v>0.35896057850149249</v>
      </c>
      <c r="F171" s="145">
        <f t="shared" si="24"/>
        <v>0.58104752220154021</v>
      </c>
      <c r="G171" s="145"/>
      <c r="H171" s="145"/>
      <c r="M171" s="145"/>
      <c r="R171" s="145"/>
    </row>
    <row r="172" spans="1:18" x14ac:dyDescent="0.3">
      <c r="A172" s="38">
        <v>171</v>
      </c>
      <c r="B172" s="144">
        <f t="shared" si="25"/>
        <v>14.250000000000032</v>
      </c>
      <c r="D172" s="38">
        <f t="shared" si="26"/>
        <v>1.6186945224658542</v>
      </c>
      <c r="E172" s="145">
        <f t="shared" si="23"/>
        <v>0.3568037288530107</v>
      </c>
      <c r="F172" s="145">
        <f t="shared" si="24"/>
        <v>0.57755624148976026</v>
      </c>
      <c r="G172" s="145"/>
      <c r="H172" s="145"/>
      <c r="M172" s="145"/>
      <c r="R172" s="145"/>
    </row>
    <row r="173" spans="1:18" x14ac:dyDescent="0.3">
      <c r="A173" s="38">
        <v>172</v>
      </c>
      <c r="B173" s="144">
        <f t="shared" si="25"/>
        <v>14.333333333333366</v>
      </c>
      <c r="D173" s="38">
        <f t="shared" si="26"/>
        <v>1.6186945224658542</v>
      </c>
      <c r="E173" s="145">
        <f t="shared" si="23"/>
        <v>0.3546598388460182</v>
      </c>
      <c r="F173" s="145">
        <f t="shared" si="24"/>
        <v>0.57408593847867229</v>
      </c>
      <c r="G173" s="145"/>
      <c r="H173" s="145"/>
      <c r="M173" s="145"/>
      <c r="R173" s="145"/>
    </row>
    <row r="174" spans="1:18" x14ac:dyDescent="0.3">
      <c r="A174" s="38">
        <v>173</v>
      </c>
      <c r="B174" s="144">
        <f t="shared" si="25"/>
        <v>14.4166666666667</v>
      </c>
      <c r="D174" s="38">
        <f t="shared" si="26"/>
        <v>1.6186945224658542</v>
      </c>
      <c r="E174" s="145">
        <f t="shared" si="23"/>
        <v>0.3525288306112449</v>
      </c>
      <c r="F174" s="145">
        <f t="shared" si="24"/>
        <v>0.57063648712171511</v>
      </c>
      <c r="G174" s="145"/>
      <c r="H174" s="145"/>
      <c r="M174" s="145"/>
      <c r="R174" s="145"/>
    </row>
    <row r="175" spans="1:18" x14ac:dyDescent="0.3">
      <c r="A175" s="38">
        <v>174</v>
      </c>
      <c r="B175" s="144">
        <f t="shared" si="25"/>
        <v>14.500000000000034</v>
      </c>
      <c r="D175" s="38">
        <f t="shared" si="26"/>
        <v>1.6186945224658542</v>
      </c>
      <c r="E175" s="145">
        <f t="shared" si="23"/>
        <v>0.35041062674730616</v>
      </c>
      <c r="F175" s="145">
        <f t="shared" si="24"/>
        <v>0.56720776212969148</v>
      </c>
      <c r="G175" s="145"/>
      <c r="H175" s="145"/>
      <c r="M175" s="145"/>
      <c r="R175" s="145"/>
    </row>
    <row r="176" spans="1:18" x14ac:dyDescent="0.3">
      <c r="A176" s="38">
        <v>175</v>
      </c>
      <c r="B176" s="144">
        <f t="shared" si="25"/>
        <v>14.583333333333368</v>
      </c>
      <c r="D176" s="38">
        <f t="shared" si="26"/>
        <v>1.6186945224658542</v>
      </c>
      <c r="E176" s="145">
        <f t="shared" si="23"/>
        <v>0.34830515031789067</v>
      </c>
      <c r="F176" s="145">
        <f t="shared" si="24"/>
        <v>0.56379963896621565</v>
      </c>
      <c r="G176" s="145"/>
      <c r="H176" s="145"/>
      <c r="M176" s="145"/>
      <c r="R176" s="145"/>
    </row>
    <row r="177" spans="1:18" x14ac:dyDescent="0.3">
      <c r="A177" s="38">
        <v>176</v>
      </c>
      <c r="B177" s="144">
        <f t="shared" si="25"/>
        <v>14.666666666666702</v>
      </c>
      <c r="D177" s="38">
        <f t="shared" si="26"/>
        <v>1.6186945224658542</v>
      </c>
      <c r="E177" s="145">
        <f t="shared" si="23"/>
        <v>0.34621232484896691</v>
      </c>
      <c r="F177" s="145">
        <f t="shared" si="24"/>
        <v>0.56041199384319174</v>
      </c>
      <c r="G177" s="145"/>
      <c r="H177" s="145"/>
      <c r="M177" s="145"/>
      <c r="R177" s="145"/>
    </row>
    <row r="178" spans="1:18" x14ac:dyDescent="0.3">
      <c r="A178" s="38">
        <v>177</v>
      </c>
      <c r="B178" s="144">
        <f t="shared" si="25"/>
        <v>14.750000000000036</v>
      </c>
      <c r="D178" s="38">
        <f t="shared" si="26"/>
        <v>1.6186945224658542</v>
      </c>
      <c r="E178" s="145">
        <f t="shared" si="23"/>
        <v>0.34413207432600462</v>
      </c>
      <c r="F178" s="145">
        <f t="shared" si="24"/>
        <v>0.55704470371631587</v>
      </c>
      <c r="G178" s="145"/>
      <c r="H178" s="145"/>
      <c r="M178" s="145"/>
      <c r="R178" s="145"/>
    </row>
    <row r="179" spans="1:18" x14ac:dyDescent="0.3">
      <c r="A179" s="38">
        <v>178</v>
      </c>
      <c r="B179" s="144">
        <f t="shared" si="25"/>
        <v>14.833333333333369</v>
      </c>
      <c r="D179" s="38">
        <f t="shared" si="26"/>
        <v>1.6186945224658542</v>
      </c>
      <c r="E179" s="145">
        <f t="shared" si="23"/>
        <v>0.34206432319121466</v>
      </c>
      <c r="F179" s="145">
        <f t="shared" si="24"/>
        <v>0.5536976462806088</v>
      </c>
      <c r="G179" s="145"/>
      <c r="H179" s="145"/>
      <c r="M179" s="145"/>
      <c r="R179" s="145"/>
    </row>
    <row r="180" spans="1:18" x14ac:dyDescent="0.3">
      <c r="A180" s="38">
        <v>179</v>
      </c>
      <c r="B180" s="144">
        <f t="shared" si="25"/>
        <v>14.916666666666703</v>
      </c>
      <c r="D180" s="38">
        <f t="shared" si="26"/>
        <v>1.6186945224658542</v>
      </c>
      <c r="E180" s="145">
        <f t="shared" si="23"/>
        <v>0.34000899634080373</v>
      </c>
      <c r="F180" s="145">
        <f t="shared" si="24"/>
        <v>0.55037069996597165</v>
      </c>
      <c r="G180" s="145"/>
      <c r="H180" s="145"/>
      <c r="M180" s="145"/>
      <c r="R180" s="145"/>
    </row>
    <row r="181" spans="1:18" x14ac:dyDescent="0.3">
      <c r="A181" s="38">
        <v>180</v>
      </c>
      <c r="B181" s="144">
        <f t="shared" si="25"/>
        <v>15.000000000000037</v>
      </c>
      <c r="D181" s="38">
        <f t="shared" si="26"/>
        <v>1.6186945224658542</v>
      </c>
      <c r="E181" s="145">
        <f t="shared" si="23"/>
        <v>0.33796601912224755</v>
      </c>
      <c r="F181" s="145">
        <f t="shared" si="24"/>
        <v>0.54706374393277224</v>
      </c>
      <c r="G181" s="145"/>
      <c r="H181" s="145"/>
      <c r="M181" s="145"/>
      <c r="R181" s="145"/>
    </row>
    <row r="182" spans="1:18" x14ac:dyDescent="0.3">
      <c r="A182" s="38">
        <v>181</v>
      </c>
      <c r="B182" s="144">
        <f t="shared" si="25"/>
        <v>15.083333333333371</v>
      </c>
      <c r="D182" s="38">
        <f t="shared" si="26"/>
        <v>1.6753488307521589</v>
      </c>
      <c r="E182" s="145">
        <f t="shared" si="23"/>
        <v>0.33593531733157839</v>
      </c>
      <c r="F182" s="145">
        <f t="shared" si="24"/>
        <v>0.56280884109981533</v>
      </c>
      <c r="G182" s="145"/>
      <c r="H182" s="145"/>
      <c r="M182" s="145"/>
      <c r="R182" s="145"/>
    </row>
    <row r="183" spans="1:18" x14ac:dyDescent="0.3">
      <c r="A183" s="38">
        <v>182</v>
      </c>
      <c r="B183" s="144">
        <f t="shared" si="25"/>
        <v>15.166666666666705</v>
      </c>
      <c r="D183" s="38">
        <f t="shared" si="26"/>
        <v>1.6753488307521589</v>
      </c>
      <c r="E183" s="145">
        <f t="shared" si="23"/>
        <v>0.33391681721069055</v>
      </c>
      <c r="F183" s="145">
        <f t="shared" si="24"/>
        <v>0.55942714928241277</v>
      </c>
      <c r="G183" s="145"/>
      <c r="H183" s="145"/>
      <c r="M183" s="145"/>
      <c r="R183" s="145"/>
    </row>
    <row r="184" spans="1:18" x14ac:dyDescent="0.3">
      <c r="A184" s="38">
        <v>183</v>
      </c>
      <c r="B184" s="144">
        <f t="shared" si="25"/>
        <v>15.250000000000039</v>
      </c>
      <c r="D184" s="38">
        <f t="shared" si="26"/>
        <v>1.6753488307521589</v>
      </c>
      <c r="E184" s="145">
        <f t="shared" si="23"/>
        <v>0.33191044544466097</v>
      </c>
      <c r="F184" s="145">
        <f t="shared" si="24"/>
        <v>0.55606577669014101</v>
      </c>
      <c r="G184" s="145"/>
      <c r="H184" s="145"/>
      <c r="M184" s="145"/>
      <c r="R184" s="145"/>
    </row>
    <row r="185" spans="1:18" x14ac:dyDescent="0.3">
      <c r="A185" s="38">
        <v>184</v>
      </c>
      <c r="B185" s="144">
        <f t="shared" si="25"/>
        <v>15.333333333333373</v>
      </c>
      <c r="D185" s="38">
        <f t="shared" si="26"/>
        <v>1.6753488307521589</v>
      </c>
      <c r="E185" s="145">
        <f t="shared" si="23"/>
        <v>0.32991612915908652</v>
      </c>
      <c r="F185" s="145">
        <f t="shared" si="24"/>
        <v>0.55272460123295386</v>
      </c>
      <c r="G185" s="145"/>
      <c r="H185" s="145"/>
      <c r="M185" s="145"/>
      <c r="R185" s="145"/>
    </row>
    <row r="186" spans="1:18" x14ac:dyDescent="0.3">
      <c r="A186" s="38">
        <v>185</v>
      </c>
      <c r="B186" s="144">
        <f t="shared" si="25"/>
        <v>15.416666666666707</v>
      </c>
      <c r="D186" s="38">
        <f t="shared" si="26"/>
        <v>1.6753488307521589</v>
      </c>
      <c r="E186" s="145">
        <f t="shared" si="23"/>
        <v>0.32793379591743693</v>
      </c>
      <c r="F186" s="145">
        <f t="shared" si="24"/>
        <v>0.5494035015543951</v>
      </c>
      <c r="G186" s="145"/>
      <c r="H186" s="145"/>
      <c r="M186" s="145"/>
      <c r="R186" s="145"/>
    </row>
    <row r="187" spans="1:18" x14ac:dyDescent="0.3">
      <c r="A187" s="38">
        <v>186</v>
      </c>
      <c r="B187" s="144">
        <f t="shared" si="25"/>
        <v>15.500000000000041</v>
      </c>
      <c r="D187" s="38">
        <f t="shared" si="26"/>
        <v>1.6753488307521589</v>
      </c>
      <c r="E187" s="145">
        <f t="shared" si="23"/>
        <v>0.32596337371842415</v>
      </c>
      <c r="F187" s="145">
        <f t="shared" si="24"/>
        <v>0.5461023570271909</v>
      </c>
      <c r="G187" s="145"/>
      <c r="H187" s="145"/>
      <c r="M187" s="145"/>
      <c r="R187" s="145"/>
    </row>
    <row r="188" spans="1:18" x14ac:dyDescent="0.3">
      <c r="A188" s="38">
        <v>187</v>
      </c>
      <c r="B188" s="144">
        <f t="shared" si="25"/>
        <v>15.583333333333375</v>
      </c>
      <c r="D188" s="38">
        <f t="shared" si="26"/>
        <v>1.6753488307521589</v>
      </c>
      <c r="E188" s="145">
        <f t="shared" si="23"/>
        <v>0.32400479099338658</v>
      </c>
      <c r="F188" s="145">
        <f t="shared" si="24"/>
        <v>0.54282104774886786</v>
      </c>
      <c r="G188" s="145"/>
      <c r="H188" s="145"/>
      <c r="M188" s="145"/>
      <c r="R188" s="145"/>
    </row>
    <row r="189" spans="1:18" x14ac:dyDescent="0.3">
      <c r="A189" s="38">
        <v>188</v>
      </c>
      <c r="B189" s="144">
        <f t="shared" si="25"/>
        <v>15.666666666666709</v>
      </c>
      <c r="D189" s="38">
        <f t="shared" si="26"/>
        <v>1.6753488307521589</v>
      </c>
      <c r="E189" s="145">
        <f t="shared" si="23"/>
        <v>0.32205797660369001</v>
      </c>
      <c r="F189" s="145">
        <f t="shared" si="24"/>
        <v>0.53955945453739818</v>
      </c>
      <c r="G189" s="145"/>
      <c r="H189" s="145"/>
      <c r="M189" s="145"/>
      <c r="R189" s="145"/>
    </row>
    <row r="190" spans="1:18" x14ac:dyDescent="0.3">
      <c r="A190" s="38">
        <v>189</v>
      </c>
      <c r="B190" s="144">
        <f t="shared" si="25"/>
        <v>15.750000000000043</v>
      </c>
      <c r="D190" s="38">
        <f t="shared" si="26"/>
        <v>1.6753488307521589</v>
      </c>
      <c r="E190" s="145">
        <f t="shared" si="23"/>
        <v>0.3201228598381437</v>
      </c>
      <c r="F190" s="145">
        <f t="shared" si="24"/>
        <v>0.53631745892687133</v>
      </c>
      <c r="G190" s="145"/>
      <c r="H190" s="145"/>
      <c r="M190" s="145"/>
      <c r="R190" s="145"/>
    </row>
    <row r="191" spans="1:18" x14ac:dyDescent="0.3">
      <c r="A191" s="38">
        <v>190</v>
      </c>
      <c r="B191" s="144">
        <f t="shared" si="25"/>
        <v>15.833333333333377</v>
      </c>
      <c r="D191" s="38">
        <f t="shared" si="26"/>
        <v>1.6753488307521589</v>
      </c>
      <c r="E191" s="145">
        <f t="shared" si="23"/>
        <v>0.31819937041043206</v>
      </c>
      <c r="F191" s="145">
        <f t="shared" si="24"/>
        <v>0.5330949431631905</v>
      </c>
      <c r="G191" s="145"/>
      <c r="H191" s="145"/>
      <c r="M191" s="145"/>
      <c r="R191" s="145"/>
    </row>
    <row r="192" spans="1:18" x14ac:dyDescent="0.3">
      <c r="A192" s="38">
        <v>191</v>
      </c>
      <c r="B192" s="144">
        <f t="shared" si="25"/>
        <v>15.91666666666671</v>
      </c>
      <c r="D192" s="38">
        <f t="shared" si="26"/>
        <v>1.6753488307521589</v>
      </c>
      <c r="E192" s="145">
        <f t="shared" si="23"/>
        <v>0.31628743845656149</v>
      </c>
      <c r="F192" s="145">
        <f t="shared" si="24"/>
        <v>0.52989179019979571</v>
      </c>
      <c r="G192" s="145"/>
      <c r="H192" s="145"/>
      <c r="M192" s="145"/>
      <c r="R192" s="145"/>
    </row>
    <row r="193" spans="1:18" x14ac:dyDescent="0.3">
      <c r="A193" s="38">
        <v>192</v>
      </c>
      <c r="B193" s="144">
        <f t="shared" si="25"/>
        <v>16.000000000000043</v>
      </c>
      <c r="D193" s="38">
        <f t="shared" si="26"/>
        <v>1.6753488307521589</v>
      </c>
      <c r="E193" s="145">
        <f t="shared" si="23"/>
        <v>0.31438699453232316</v>
      </c>
      <c r="F193" s="145">
        <f t="shared" si="24"/>
        <v>0.52670788369341293</v>
      </c>
      <c r="G193" s="145"/>
      <c r="H193" s="145"/>
      <c r="M193" s="145"/>
      <c r="R193" s="145"/>
    </row>
    <row r="194" spans="1:18" x14ac:dyDescent="0.3">
      <c r="A194" s="38">
        <v>193</v>
      </c>
      <c r="B194" s="144">
        <f t="shared" si="25"/>
        <v>16.083333333333375</v>
      </c>
      <c r="D194" s="38">
        <f t="shared" si="26"/>
        <v>1.7339860398284843</v>
      </c>
      <c r="E194" s="145">
        <f t="shared" si="23"/>
        <v>0.31249796961077053</v>
      </c>
      <c r="F194" s="145">
        <f t="shared" si="24"/>
        <v>0.54186711677982202</v>
      </c>
      <c r="G194" s="145"/>
      <c r="H194" s="145"/>
      <c r="M194" s="145"/>
      <c r="R194" s="145"/>
    </row>
    <row r="195" spans="1:18" x14ac:dyDescent="0.3">
      <c r="A195" s="38">
        <v>194</v>
      </c>
      <c r="B195" s="144">
        <f t="shared" si="25"/>
        <v>16.166666666666707</v>
      </c>
      <c r="D195" s="38">
        <f t="shared" si="26"/>
        <v>1.7339860398284843</v>
      </c>
      <c r="E195" s="145">
        <f t="shared" ref="E195:E258" si="27">1/1.075^B195</f>
        <v>0.31062029507971206</v>
      </c>
      <c r="F195" s="145">
        <f t="shared" ref="F195:F258" si="28">D195*E195</f>
        <v>0.53861125535562515</v>
      </c>
      <c r="G195" s="145"/>
      <c r="H195" s="145"/>
      <c r="M195" s="145"/>
      <c r="R195" s="145"/>
    </row>
    <row r="196" spans="1:18" x14ac:dyDescent="0.3">
      <c r="A196" s="38">
        <v>195</v>
      </c>
      <c r="B196" s="144">
        <f t="shared" si="25"/>
        <v>16.250000000000039</v>
      </c>
      <c r="D196" s="38">
        <f t="shared" si="26"/>
        <v>1.7339860398284843</v>
      </c>
      <c r="E196" s="145">
        <f t="shared" si="27"/>
        <v>0.30875390273921949</v>
      </c>
      <c r="F196" s="145">
        <f t="shared" si="28"/>
        <v>0.53537495709236826</v>
      </c>
      <c r="G196" s="145"/>
      <c r="H196" s="145"/>
      <c r="M196" s="145"/>
      <c r="R196" s="145"/>
    </row>
    <row r="197" spans="1:18" x14ac:dyDescent="0.3">
      <c r="A197" s="38">
        <v>196</v>
      </c>
      <c r="B197" s="144">
        <f t="shared" si="25"/>
        <v>16.333333333333371</v>
      </c>
      <c r="D197" s="38">
        <f t="shared" si="26"/>
        <v>1.7339860398284843</v>
      </c>
      <c r="E197" s="145">
        <f t="shared" si="27"/>
        <v>0.30689872479915026</v>
      </c>
      <c r="F197" s="145">
        <f t="shared" si="28"/>
        <v>0.53215810444289036</v>
      </c>
      <c r="G197" s="145"/>
      <c r="H197" s="145"/>
      <c r="M197" s="145"/>
      <c r="R197" s="145"/>
    </row>
    <row r="198" spans="1:18" x14ac:dyDescent="0.3">
      <c r="A198" s="38">
        <v>197</v>
      </c>
      <c r="B198" s="144">
        <f t="shared" si="25"/>
        <v>16.416666666666703</v>
      </c>
      <c r="D198" s="38">
        <f t="shared" si="26"/>
        <v>1.7339860398284843</v>
      </c>
      <c r="E198" s="145">
        <f t="shared" si="27"/>
        <v>0.3050546938766856</v>
      </c>
      <c r="F198" s="145">
        <f t="shared" si="28"/>
        <v>0.52896058056632467</v>
      </c>
      <c r="G198" s="145"/>
      <c r="H198" s="145"/>
      <c r="M198" s="145"/>
      <c r="R198" s="145"/>
    </row>
    <row r="199" spans="1:18" x14ac:dyDescent="0.3">
      <c r="A199" s="38">
        <v>198</v>
      </c>
      <c r="B199" s="144">
        <f t="shared" si="25"/>
        <v>16.500000000000036</v>
      </c>
      <c r="D199" s="38">
        <f t="shared" si="26"/>
        <v>1.7339860398284843</v>
      </c>
      <c r="E199" s="145">
        <f t="shared" si="27"/>
        <v>0.30322174299388305</v>
      </c>
      <c r="F199" s="145">
        <f t="shared" si="28"/>
        <v>0.52578226932385375</v>
      </c>
      <c r="G199" s="145"/>
      <c r="H199" s="145"/>
      <c r="M199" s="145"/>
      <c r="R199" s="145"/>
    </row>
    <row r="200" spans="1:18" x14ac:dyDescent="0.3">
      <c r="A200" s="38">
        <v>199</v>
      </c>
      <c r="B200" s="144">
        <f t="shared" ref="B200:B263" si="29">B199+1/12</f>
        <v>16.583333333333368</v>
      </c>
      <c r="D200" s="38">
        <f t="shared" si="26"/>
        <v>1.7339860398284843</v>
      </c>
      <c r="E200" s="145">
        <f t="shared" si="27"/>
        <v>0.30139980557524348</v>
      </c>
      <c r="F200" s="145">
        <f t="shared" si="28"/>
        <v>0.5226230552744916</v>
      </c>
      <c r="G200" s="145"/>
      <c r="H200" s="145"/>
      <c r="M200" s="145"/>
      <c r="R200" s="145"/>
    </row>
    <row r="201" spans="1:18" x14ac:dyDescent="0.3">
      <c r="A201" s="38">
        <v>200</v>
      </c>
      <c r="B201" s="144">
        <f t="shared" si="29"/>
        <v>16.6666666666667</v>
      </c>
      <c r="D201" s="38">
        <f t="shared" si="26"/>
        <v>1.7339860398284843</v>
      </c>
      <c r="E201" s="145">
        <f t="shared" si="27"/>
        <v>0.29958881544529326</v>
      </c>
      <c r="F201" s="145">
        <f t="shared" si="28"/>
        <v>0.51948282367089071</v>
      </c>
      <c r="G201" s="145"/>
      <c r="H201" s="145"/>
      <c r="M201" s="145"/>
      <c r="R201" s="145"/>
    </row>
    <row r="202" spans="1:18" x14ac:dyDescent="0.3">
      <c r="A202" s="38">
        <v>201</v>
      </c>
      <c r="B202" s="144">
        <f t="shared" si="29"/>
        <v>16.750000000000032</v>
      </c>
      <c r="D202" s="38">
        <f t="shared" si="26"/>
        <v>1.7339860398284843</v>
      </c>
      <c r="E202" s="145">
        <f t="shared" si="27"/>
        <v>0.29778870682618047</v>
      </c>
      <c r="F202" s="145">
        <f t="shared" si="28"/>
        <v>0.51636146045517417</v>
      </c>
      <c r="G202" s="145"/>
      <c r="H202" s="145"/>
      <c r="M202" s="145"/>
      <c r="R202" s="145"/>
    </row>
    <row r="203" spans="1:18" x14ac:dyDescent="0.3">
      <c r="A203" s="38">
        <v>202</v>
      </c>
      <c r="B203" s="144">
        <f t="shared" si="29"/>
        <v>16.833333333333364</v>
      </c>
      <c r="D203" s="38">
        <f t="shared" si="26"/>
        <v>1.7339860398284843</v>
      </c>
      <c r="E203" s="145">
        <f t="shared" si="27"/>
        <v>0.29599941433528587</v>
      </c>
      <c r="F203" s="145">
        <f t="shared" si="28"/>
        <v>0.51325885225479306</v>
      </c>
      <c r="G203" s="145"/>
      <c r="H203" s="145"/>
      <c r="M203" s="145"/>
      <c r="R203" s="145"/>
    </row>
    <row r="204" spans="1:18" x14ac:dyDescent="0.3">
      <c r="A204" s="38">
        <v>203</v>
      </c>
      <c r="B204" s="144">
        <f t="shared" si="29"/>
        <v>16.916666666666696</v>
      </c>
      <c r="D204" s="38">
        <f t="shared" si="26"/>
        <v>1.7339860398284843</v>
      </c>
      <c r="E204" s="145">
        <f t="shared" si="27"/>
        <v>0.29422087298284821</v>
      </c>
      <c r="F204" s="145">
        <f t="shared" si="28"/>
        <v>0.51017488637840847</v>
      </c>
      <c r="G204" s="145"/>
      <c r="H204" s="145"/>
      <c r="M204" s="145"/>
      <c r="R204" s="145"/>
    </row>
    <row r="205" spans="1:18" x14ac:dyDescent="0.3">
      <c r="A205" s="38">
        <v>204</v>
      </c>
      <c r="B205" s="144">
        <f t="shared" si="29"/>
        <v>17.000000000000028</v>
      </c>
      <c r="D205" s="38">
        <f t="shared" si="26"/>
        <v>1.7339860398284843</v>
      </c>
      <c r="E205" s="145">
        <f t="shared" si="27"/>
        <v>0.29245301816960323</v>
      </c>
      <c r="F205" s="145">
        <f t="shared" si="28"/>
        <v>0.50710945081179803</v>
      </c>
      <c r="G205" s="145"/>
      <c r="H205" s="145"/>
      <c r="M205" s="145"/>
      <c r="R205" s="145"/>
    </row>
    <row r="206" spans="1:18" x14ac:dyDescent="0.3">
      <c r="A206" s="38">
        <v>205</v>
      </c>
      <c r="B206" s="144">
        <f t="shared" si="29"/>
        <v>17.083333333333361</v>
      </c>
      <c r="D206" s="38">
        <f t="shared" si="26"/>
        <v>1.7946755512224812</v>
      </c>
      <c r="E206" s="145">
        <f t="shared" si="27"/>
        <v>0.29069578568443799</v>
      </c>
      <c r="F206" s="145">
        <f t="shared" si="28"/>
        <v>0.521704619411271</v>
      </c>
      <c r="G206" s="145"/>
      <c r="H206" s="145"/>
      <c r="M206" s="145"/>
      <c r="R206" s="145"/>
    </row>
    <row r="207" spans="1:18" x14ac:dyDescent="0.3">
      <c r="A207" s="38">
        <v>206</v>
      </c>
      <c r="B207" s="144">
        <f t="shared" si="29"/>
        <v>17.166666666666693</v>
      </c>
      <c r="D207" s="38">
        <f t="shared" ref="D207:D270" si="30">D195*1.035</f>
        <v>1.7946755512224812</v>
      </c>
      <c r="E207" s="145">
        <f t="shared" si="27"/>
        <v>0.28894911170205806</v>
      </c>
      <c r="F207" s="145">
        <f t="shared" si="28"/>
        <v>0.51856990631913735</v>
      </c>
      <c r="G207" s="145"/>
      <c r="H207" s="145"/>
      <c r="M207" s="145"/>
      <c r="R207" s="145"/>
    </row>
    <row r="208" spans="1:18" x14ac:dyDescent="0.3">
      <c r="A208" s="38">
        <v>207</v>
      </c>
      <c r="B208" s="144">
        <f t="shared" si="29"/>
        <v>17.250000000000025</v>
      </c>
      <c r="D208" s="38">
        <f t="shared" si="30"/>
        <v>1.7946755512224812</v>
      </c>
      <c r="E208" s="145">
        <f t="shared" si="27"/>
        <v>0.28721293278066962</v>
      </c>
      <c r="F208" s="145">
        <f t="shared" si="28"/>
        <v>0.51545402845637367</v>
      </c>
      <c r="G208" s="145"/>
      <c r="H208" s="145"/>
      <c r="M208" s="145"/>
      <c r="R208" s="145"/>
    </row>
    <row r="209" spans="1:18" x14ac:dyDescent="0.3">
      <c r="A209" s="38">
        <v>208</v>
      </c>
      <c r="B209" s="144">
        <f t="shared" si="29"/>
        <v>17.333333333333357</v>
      </c>
      <c r="D209" s="38">
        <f t="shared" si="30"/>
        <v>1.7946755512224812</v>
      </c>
      <c r="E209" s="145">
        <f t="shared" si="27"/>
        <v>0.28548718585967497</v>
      </c>
      <c r="F209" s="145">
        <f t="shared" si="28"/>
        <v>0.51235687264966712</v>
      </c>
      <c r="G209" s="145"/>
      <c r="H209" s="145"/>
      <c r="M209" s="145"/>
      <c r="R209" s="145"/>
    </row>
    <row r="210" spans="1:18" x14ac:dyDescent="0.3">
      <c r="A210" s="38">
        <v>209</v>
      </c>
      <c r="B210" s="144">
        <f t="shared" si="29"/>
        <v>17.416666666666689</v>
      </c>
      <c r="D210" s="38">
        <f t="shared" si="30"/>
        <v>1.7946755512224812</v>
      </c>
      <c r="E210" s="145">
        <f t="shared" si="27"/>
        <v>0.28377180825738224</v>
      </c>
      <c r="F210" s="145">
        <f t="shared" si="28"/>
        <v>0.50927832640571769</v>
      </c>
      <c r="G210" s="145"/>
      <c r="H210" s="145"/>
      <c r="M210" s="145"/>
      <c r="R210" s="145"/>
    </row>
    <row r="211" spans="1:18" x14ac:dyDescent="0.3">
      <c r="A211" s="38">
        <v>210</v>
      </c>
      <c r="B211" s="144">
        <f t="shared" si="29"/>
        <v>17.500000000000021</v>
      </c>
      <c r="D211" s="38">
        <f t="shared" si="30"/>
        <v>1.7946755512224812</v>
      </c>
      <c r="E211" s="145">
        <f t="shared" si="27"/>
        <v>0.2820667376687287</v>
      </c>
      <c r="F211" s="145">
        <f t="shared" si="28"/>
        <v>0.50621827790715268</v>
      </c>
      <c r="G211" s="145"/>
      <c r="H211" s="145"/>
      <c r="M211" s="145"/>
      <c r="R211" s="145"/>
    </row>
    <row r="212" spans="1:18" x14ac:dyDescent="0.3">
      <c r="A212" s="38">
        <v>211</v>
      </c>
      <c r="B212" s="144">
        <f t="shared" si="29"/>
        <v>17.583333333333353</v>
      </c>
      <c r="D212" s="38">
        <f t="shared" si="30"/>
        <v>1.7946755512224812</v>
      </c>
      <c r="E212" s="145">
        <f t="shared" si="27"/>
        <v>0.28037191216301754</v>
      </c>
      <c r="F212" s="145">
        <f t="shared" si="28"/>
        <v>0.50317661600846464</v>
      </c>
      <c r="G212" s="145"/>
      <c r="H212" s="145"/>
      <c r="M212" s="145"/>
      <c r="R212" s="145"/>
    </row>
    <row r="213" spans="1:18" x14ac:dyDescent="0.3">
      <c r="A213" s="38">
        <v>212</v>
      </c>
      <c r="B213" s="144">
        <f t="shared" si="29"/>
        <v>17.666666666666686</v>
      </c>
      <c r="D213" s="38">
        <f t="shared" si="30"/>
        <v>1.7946755512224812</v>
      </c>
      <c r="E213" s="145">
        <f t="shared" si="27"/>
        <v>0.27868727018166845</v>
      </c>
      <c r="F213" s="145">
        <f t="shared" si="28"/>
        <v>0.50015323023197433</v>
      </c>
      <c r="G213" s="145"/>
      <c r="H213" s="145"/>
      <c r="M213" s="145"/>
      <c r="R213" s="145"/>
    </row>
    <row r="214" spans="1:18" x14ac:dyDescent="0.3">
      <c r="A214" s="38">
        <v>213</v>
      </c>
      <c r="B214" s="144">
        <f t="shared" si="29"/>
        <v>17.750000000000018</v>
      </c>
      <c r="D214" s="38">
        <f t="shared" si="30"/>
        <v>1.7946755512224812</v>
      </c>
      <c r="E214" s="145">
        <f t="shared" si="27"/>
        <v>0.27701275053598212</v>
      </c>
      <c r="F214" s="145">
        <f t="shared" si="28"/>
        <v>0.49714801076381943</v>
      </c>
      <c r="G214" s="145"/>
      <c r="H214" s="145"/>
      <c r="M214" s="145"/>
      <c r="R214" s="145"/>
    </row>
    <row r="215" spans="1:18" x14ac:dyDescent="0.3">
      <c r="A215" s="38">
        <v>214</v>
      </c>
      <c r="B215" s="144">
        <f t="shared" si="29"/>
        <v>17.83333333333335</v>
      </c>
      <c r="D215" s="38">
        <f t="shared" si="30"/>
        <v>1.7946755512224812</v>
      </c>
      <c r="E215" s="145">
        <f t="shared" si="27"/>
        <v>0.27534829240491743</v>
      </c>
      <c r="F215" s="145">
        <f t="shared" si="28"/>
        <v>0.49416084844996411</v>
      </c>
      <c r="G215" s="145"/>
      <c r="H215" s="145"/>
      <c r="M215" s="145"/>
      <c r="R215" s="145"/>
    </row>
    <row r="216" spans="1:18" x14ac:dyDescent="0.3">
      <c r="A216" s="38">
        <v>215</v>
      </c>
      <c r="B216" s="144">
        <f t="shared" si="29"/>
        <v>17.916666666666682</v>
      </c>
      <c r="D216" s="38">
        <f t="shared" si="30"/>
        <v>1.7946755512224812</v>
      </c>
      <c r="E216" s="145">
        <f t="shared" si="27"/>
        <v>0.27369383533288233</v>
      </c>
      <c r="F216" s="145">
        <f t="shared" si="28"/>
        <v>0.4911916347922356</v>
      </c>
      <c r="G216" s="145"/>
      <c r="H216" s="145"/>
      <c r="M216" s="145"/>
      <c r="R216" s="145"/>
    </row>
    <row r="217" spans="1:18" x14ac:dyDescent="0.3">
      <c r="A217" s="38">
        <v>216</v>
      </c>
      <c r="B217" s="144">
        <f t="shared" si="29"/>
        <v>18.000000000000014</v>
      </c>
      <c r="D217" s="38">
        <f t="shared" si="30"/>
        <v>1.7946755512224812</v>
      </c>
      <c r="E217" s="145">
        <f t="shared" si="27"/>
        <v>0.27204931922753822</v>
      </c>
      <c r="F217" s="145">
        <f t="shared" si="28"/>
        <v>0.48824026194438291</v>
      </c>
      <c r="G217" s="145"/>
      <c r="H217" s="145"/>
      <c r="M217" s="145"/>
      <c r="R217" s="145"/>
    </row>
    <row r="218" spans="1:18" x14ac:dyDescent="0.3">
      <c r="A218" s="38">
        <v>217</v>
      </c>
      <c r="B218" s="144">
        <f t="shared" si="29"/>
        <v>18.083333333333346</v>
      </c>
      <c r="D218" s="38">
        <f t="shared" si="30"/>
        <v>1.8574891955152679</v>
      </c>
      <c r="E218" s="145">
        <f t="shared" si="27"/>
        <v>0.27041468435761701</v>
      </c>
      <c r="F218" s="145">
        <f t="shared" si="28"/>
        <v>0.50229235450294507</v>
      </c>
      <c r="G218" s="145"/>
      <c r="H218" s="145"/>
      <c r="M218" s="145"/>
      <c r="R218" s="145"/>
    </row>
    <row r="219" spans="1:18" x14ac:dyDescent="0.3">
      <c r="A219" s="38">
        <v>218</v>
      </c>
      <c r="B219" s="144">
        <f t="shared" si="29"/>
        <v>18.166666666666679</v>
      </c>
      <c r="D219" s="38">
        <f t="shared" si="30"/>
        <v>1.8574891955152679</v>
      </c>
      <c r="E219" s="145">
        <f t="shared" si="27"/>
        <v>0.268789871350752</v>
      </c>
      <c r="F219" s="145">
        <f t="shared" si="28"/>
        <v>0.49927428189796069</v>
      </c>
      <c r="G219" s="145"/>
      <c r="H219" s="145"/>
      <c r="M219" s="145"/>
      <c r="R219" s="145"/>
    </row>
    <row r="220" spans="1:18" x14ac:dyDescent="0.3">
      <c r="A220" s="38">
        <v>219</v>
      </c>
      <c r="B220" s="144">
        <f t="shared" si="29"/>
        <v>18.250000000000011</v>
      </c>
      <c r="D220" s="38">
        <f t="shared" si="30"/>
        <v>1.8574891955152679</v>
      </c>
      <c r="E220" s="145">
        <f t="shared" si="27"/>
        <v>0.26717482119132085</v>
      </c>
      <c r="F220" s="145">
        <f t="shared" si="28"/>
        <v>0.49627434367660211</v>
      </c>
      <c r="G220" s="145"/>
      <c r="H220" s="145"/>
      <c r="M220" s="145"/>
      <c r="R220" s="145"/>
    </row>
    <row r="221" spans="1:18" x14ac:dyDescent="0.3">
      <c r="A221" s="38">
        <v>220</v>
      </c>
      <c r="B221" s="144">
        <f t="shared" si="29"/>
        <v>18.333333333333343</v>
      </c>
      <c r="D221" s="38">
        <f t="shared" si="30"/>
        <v>1.8574891955152679</v>
      </c>
      <c r="E221" s="145">
        <f t="shared" si="27"/>
        <v>0.2655694752183026</v>
      </c>
      <c r="F221" s="145">
        <f t="shared" si="28"/>
        <v>0.49329243087665675</v>
      </c>
      <c r="G221" s="145"/>
      <c r="H221" s="145"/>
      <c r="M221" s="145"/>
      <c r="R221" s="145"/>
    </row>
    <row r="222" spans="1:18" x14ac:dyDescent="0.3">
      <c r="A222" s="38">
        <v>221</v>
      </c>
      <c r="B222" s="144">
        <f t="shared" si="29"/>
        <v>18.416666666666675</v>
      </c>
      <c r="D222" s="38">
        <f t="shared" si="30"/>
        <v>1.8574891955152679</v>
      </c>
      <c r="E222" s="145">
        <f t="shared" si="27"/>
        <v>0.26397377512314663</v>
      </c>
      <c r="F222" s="145">
        <f t="shared" si="28"/>
        <v>0.49032843519062186</v>
      </c>
      <c r="G222" s="145"/>
      <c r="H222" s="145"/>
      <c r="M222" s="145"/>
      <c r="R222" s="145"/>
    </row>
    <row r="223" spans="1:18" x14ac:dyDescent="0.3">
      <c r="A223" s="38">
        <v>222</v>
      </c>
      <c r="B223" s="144">
        <f t="shared" si="29"/>
        <v>18.500000000000007</v>
      </c>
      <c r="D223" s="38">
        <f t="shared" si="30"/>
        <v>1.8574891955152679</v>
      </c>
      <c r="E223" s="145">
        <f t="shared" si="27"/>
        <v>0.26238766294765486</v>
      </c>
      <c r="F223" s="145">
        <f t="shared" si="28"/>
        <v>0.48738224896177068</v>
      </c>
      <c r="G223" s="145"/>
      <c r="H223" s="145"/>
      <c r="M223" s="145"/>
      <c r="R223" s="145"/>
    </row>
    <row r="224" spans="1:18" x14ac:dyDescent="0.3">
      <c r="A224" s="38">
        <v>223</v>
      </c>
      <c r="B224" s="144">
        <f t="shared" si="29"/>
        <v>18.583333333333339</v>
      </c>
      <c r="D224" s="38">
        <f t="shared" si="30"/>
        <v>1.8574891955152679</v>
      </c>
      <c r="E224" s="145">
        <f t="shared" si="27"/>
        <v>0.26081108108187695</v>
      </c>
      <c r="F224" s="145">
        <f t="shared" si="28"/>
        <v>0.48445376518024291</v>
      </c>
      <c r="G224" s="145"/>
      <c r="H224" s="145"/>
      <c r="M224" s="145"/>
      <c r="R224" s="145"/>
    </row>
    <row r="225" spans="1:18" x14ac:dyDescent="0.3">
      <c r="A225" s="38">
        <v>224</v>
      </c>
      <c r="B225" s="144">
        <f t="shared" si="29"/>
        <v>18.666666666666671</v>
      </c>
      <c r="D225" s="38">
        <f t="shared" si="30"/>
        <v>1.8574891955152679</v>
      </c>
      <c r="E225" s="145">
        <f t="shared" si="27"/>
        <v>0.2592439722620174</v>
      </c>
      <c r="F225" s="145">
        <f t="shared" si="28"/>
        <v>0.48154287747915714</v>
      </c>
      <c r="G225" s="145"/>
      <c r="H225" s="145"/>
      <c r="M225" s="145"/>
      <c r="R225" s="145"/>
    </row>
    <row r="226" spans="1:18" x14ac:dyDescent="0.3">
      <c r="A226" s="38">
        <v>225</v>
      </c>
      <c r="B226" s="144">
        <f t="shared" si="29"/>
        <v>18.750000000000004</v>
      </c>
      <c r="D226" s="38">
        <f t="shared" si="30"/>
        <v>1.8574891955152679</v>
      </c>
      <c r="E226" s="145">
        <f t="shared" si="27"/>
        <v>0.25768627956835577</v>
      </c>
      <c r="F226" s="145">
        <f t="shared" si="28"/>
        <v>0.4786494801307476</v>
      </c>
      <c r="G226" s="145"/>
      <c r="H226" s="145"/>
      <c r="M226" s="145"/>
      <c r="R226" s="145"/>
    </row>
    <row r="227" spans="1:18" x14ac:dyDescent="0.3">
      <c r="A227" s="38">
        <v>226</v>
      </c>
      <c r="B227" s="144">
        <f t="shared" si="29"/>
        <v>18.833333333333336</v>
      </c>
      <c r="D227" s="38">
        <f t="shared" si="30"/>
        <v>1.8574891955152679</v>
      </c>
      <c r="E227" s="145">
        <f t="shared" si="27"/>
        <v>0.25613794642317927</v>
      </c>
      <c r="F227" s="145">
        <f t="shared" si="28"/>
        <v>0.47577346804252407</v>
      </c>
      <c r="G227" s="145"/>
      <c r="H227" s="145"/>
      <c r="M227" s="145"/>
      <c r="R227" s="145"/>
    </row>
    <row r="228" spans="1:18" x14ac:dyDescent="0.3">
      <c r="A228" s="38">
        <v>227</v>
      </c>
      <c r="B228" s="144">
        <f t="shared" si="29"/>
        <v>18.916666666666668</v>
      </c>
      <c r="D228" s="38">
        <f t="shared" si="30"/>
        <v>1.8574891955152679</v>
      </c>
      <c r="E228" s="145">
        <f t="shared" si="27"/>
        <v>0.25459891658872807</v>
      </c>
      <c r="F228" s="145">
        <f t="shared" si="28"/>
        <v>0.4729147367534553</v>
      </c>
      <c r="G228" s="145"/>
      <c r="H228" s="145"/>
      <c r="M228" s="145"/>
      <c r="R228" s="145"/>
    </row>
    <row r="229" spans="1:18" x14ac:dyDescent="0.3">
      <c r="A229" s="38">
        <v>228</v>
      </c>
      <c r="B229" s="144">
        <f t="shared" si="29"/>
        <v>19</v>
      </c>
      <c r="D229" s="38">
        <f t="shared" si="30"/>
        <v>1.8574891955152679</v>
      </c>
      <c r="E229" s="145">
        <f t="shared" si="27"/>
        <v>0.25306913416515198</v>
      </c>
      <c r="F229" s="145">
        <f t="shared" si="28"/>
        <v>0.47007318243017354</v>
      </c>
      <c r="G229" s="145"/>
      <c r="H229" s="145"/>
      <c r="M229" s="145"/>
      <c r="R229" s="145"/>
    </row>
    <row r="230" spans="1:18" x14ac:dyDescent="0.3">
      <c r="A230" s="38">
        <v>229</v>
      </c>
      <c r="B230" s="144">
        <f t="shared" si="29"/>
        <v>19.083333333333332</v>
      </c>
      <c r="D230" s="38">
        <f t="shared" si="30"/>
        <v>1.9225013173583021</v>
      </c>
      <c r="E230" s="145">
        <f t="shared" si="27"/>
        <v>0.25154854358848122</v>
      </c>
      <c r="F230" s="145">
        <f t="shared" si="28"/>
        <v>0.48360240642841745</v>
      </c>
      <c r="G230" s="145"/>
      <c r="H230" s="145"/>
      <c r="M230" s="145"/>
      <c r="R230" s="145"/>
    </row>
    <row r="231" spans="1:18" x14ac:dyDescent="0.3">
      <c r="A231" s="38">
        <v>230</v>
      </c>
      <c r="B231" s="144">
        <f t="shared" si="29"/>
        <v>19.166666666666664</v>
      </c>
      <c r="D231" s="38">
        <f t="shared" si="30"/>
        <v>1.9225013173583021</v>
      </c>
      <c r="E231" s="145">
        <f t="shared" si="27"/>
        <v>0.25003708962860677</v>
      </c>
      <c r="F231" s="145">
        <f t="shared" si="28"/>
        <v>0.48069663419943237</v>
      </c>
      <c r="G231" s="145"/>
      <c r="H231" s="145"/>
      <c r="M231" s="145"/>
      <c r="R231" s="145"/>
    </row>
    <row r="232" spans="1:18" x14ac:dyDescent="0.3">
      <c r="A232" s="38">
        <v>231</v>
      </c>
      <c r="B232" s="144">
        <f t="shared" si="29"/>
        <v>19.249999999999996</v>
      </c>
      <c r="D232" s="38">
        <f t="shared" si="30"/>
        <v>1.9225013173583021</v>
      </c>
      <c r="E232" s="145">
        <f t="shared" si="27"/>
        <v>0.24853471738727548</v>
      </c>
      <c r="F232" s="145">
        <f t="shared" si="28"/>
        <v>0.47780832158631042</v>
      </c>
      <c r="G232" s="145"/>
      <c r="H232" s="145"/>
      <c r="M232" s="145"/>
      <c r="R232" s="145"/>
    </row>
    <row r="233" spans="1:18" x14ac:dyDescent="0.3">
      <c r="A233" s="38">
        <v>232</v>
      </c>
      <c r="B233" s="144">
        <f t="shared" si="29"/>
        <v>19.333333333333329</v>
      </c>
      <c r="D233" s="38">
        <f t="shared" si="30"/>
        <v>1.9225013173583021</v>
      </c>
      <c r="E233" s="145">
        <f t="shared" si="27"/>
        <v>0.24704137229609568</v>
      </c>
      <c r="F233" s="145">
        <f t="shared" si="28"/>
        <v>0.47493736368124673</v>
      </c>
      <c r="G233" s="145"/>
      <c r="H233" s="145"/>
      <c r="M233" s="145"/>
      <c r="R233" s="145"/>
    </row>
    <row r="234" spans="1:18" x14ac:dyDescent="0.3">
      <c r="A234" s="38">
        <v>233</v>
      </c>
      <c r="B234" s="144">
        <f t="shared" si="29"/>
        <v>19.416666666666661</v>
      </c>
      <c r="D234" s="38">
        <f t="shared" si="30"/>
        <v>1.9225013173583021</v>
      </c>
      <c r="E234" s="145">
        <f t="shared" si="27"/>
        <v>0.24555700011455522</v>
      </c>
      <c r="F234" s="145">
        <f t="shared" si="28"/>
        <v>0.47208365620678516</v>
      </c>
      <c r="G234" s="145"/>
      <c r="H234" s="145"/>
      <c r="M234" s="145"/>
      <c r="R234" s="145"/>
    </row>
    <row r="235" spans="1:18" x14ac:dyDescent="0.3">
      <c r="A235" s="38">
        <v>234</v>
      </c>
      <c r="B235" s="144">
        <f t="shared" si="29"/>
        <v>19.499999999999993</v>
      </c>
      <c r="D235" s="38">
        <f t="shared" si="30"/>
        <v>1.9225013173583021</v>
      </c>
      <c r="E235" s="145">
        <f t="shared" si="27"/>
        <v>0.24408154692805131</v>
      </c>
      <c r="F235" s="145">
        <f t="shared" si="28"/>
        <v>0.46924709551203087</v>
      </c>
      <c r="G235" s="145"/>
      <c r="H235" s="145"/>
      <c r="M235" s="145"/>
      <c r="R235" s="145"/>
    </row>
    <row r="236" spans="1:18" x14ac:dyDescent="0.3">
      <c r="A236" s="38">
        <v>235</v>
      </c>
      <c r="B236" s="144">
        <f t="shared" si="29"/>
        <v>19.583333333333325</v>
      </c>
      <c r="D236" s="38">
        <f t="shared" si="30"/>
        <v>1.9225013173583021</v>
      </c>
      <c r="E236" s="145">
        <f t="shared" si="27"/>
        <v>0.24261495914593237</v>
      </c>
      <c r="F236" s="145">
        <f t="shared" si="28"/>
        <v>0.46642757856888561</v>
      </c>
      <c r="G236" s="145"/>
      <c r="H236" s="145"/>
      <c r="M236" s="145"/>
      <c r="R236" s="145"/>
    </row>
    <row r="237" spans="1:18" x14ac:dyDescent="0.3">
      <c r="A237" s="38">
        <v>236</v>
      </c>
      <c r="B237" s="144">
        <f t="shared" si="29"/>
        <v>19.666666666666657</v>
      </c>
      <c r="D237" s="38">
        <f t="shared" si="30"/>
        <v>1.9225013173583021</v>
      </c>
      <c r="E237" s="145">
        <f t="shared" si="27"/>
        <v>0.24115718349955131</v>
      </c>
      <c r="F237" s="145">
        <f t="shared" si="28"/>
        <v>0.46362500296830522</v>
      </c>
      <c r="G237" s="145"/>
      <c r="H237" s="145"/>
      <c r="M237" s="145"/>
      <c r="R237" s="145"/>
    </row>
    <row r="238" spans="1:18" x14ac:dyDescent="0.3">
      <c r="A238" s="38">
        <v>237</v>
      </c>
      <c r="B238" s="144">
        <f t="shared" si="29"/>
        <v>19.749999999999989</v>
      </c>
      <c r="D238" s="38">
        <f t="shared" si="30"/>
        <v>1.9225013173583021</v>
      </c>
      <c r="E238" s="145">
        <f t="shared" si="27"/>
        <v>0.23970816704033115</v>
      </c>
      <c r="F238" s="145">
        <f t="shared" si="28"/>
        <v>0.46083926691658056</v>
      </c>
      <c r="G238" s="145"/>
      <c r="H238" s="145"/>
      <c r="M238" s="145"/>
      <c r="R238" s="145"/>
    </row>
    <row r="239" spans="1:18" x14ac:dyDescent="0.3">
      <c r="A239" s="38">
        <v>238</v>
      </c>
      <c r="B239" s="144">
        <f t="shared" si="29"/>
        <v>19.833333333333321</v>
      </c>
      <c r="D239" s="38">
        <f t="shared" si="30"/>
        <v>1.9225013173583021</v>
      </c>
      <c r="E239" s="145">
        <f t="shared" si="27"/>
        <v>0.23826785713784138</v>
      </c>
      <c r="F239" s="145">
        <f t="shared" si="28"/>
        <v>0.45807026923163979</v>
      </c>
      <c r="G239" s="145"/>
      <c r="H239" s="145"/>
      <c r="M239" s="145"/>
      <c r="R239" s="145"/>
    </row>
    <row r="240" spans="1:18" x14ac:dyDescent="0.3">
      <c r="A240" s="38">
        <v>239</v>
      </c>
      <c r="B240" s="144">
        <f t="shared" si="29"/>
        <v>19.916666666666654</v>
      </c>
      <c r="D240" s="38">
        <f t="shared" si="30"/>
        <v>1.9225013173583021</v>
      </c>
      <c r="E240" s="145">
        <f t="shared" si="27"/>
        <v>0.23683620147788681</v>
      </c>
      <c r="F240" s="145">
        <f t="shared" si="28"/>
        <v>0.45531790933937366</v>
      </c>
      <c r="G240" s="145"/>
      <c r="H240" s="145"/>
      <c r="M240" s="145"/>
      <c r="R240" s="145"/>
    </row>
    <row r="241" spans="1:18" x14ac:dyDescent="0.3">
      <c r="A241" s="38">
        <v>240</v>
      </c>
      <c r="B241" s="144">
        <f t="shared" si="29"/>
        <v>19.999999999999986</v>
      </c>
      <c r="D241" s="38">
        <f t="shared" si="30"/>
        <v>1.9225013173583021</v>
      </c>
      <c r="E241" s="145">
        <f t="shared" si="27"/>
        <v>0.23541314806060687</v>
      </c>
      <c r="F241" s="145">
        <f t="shared" si="28"/>
        <v>0.45258208726998173</v>
      </c>
      <c r="G241" s="145"/>
      <c r="H241" s="145"/>
      <c r="M241" s="145"/>
      <c r="R241" s="145"/>
    </row>
    <row r="242" spans="1:18" x14ac:dyDescent="0.3">
      <c r="A242" s="38">
        <v>241</v>
      </c>
      <c r="B242" s="144">
        <f t="shared" si="29"/>
        <v>20.083333333333318</v>
      </c>
      <c r="D242" s="38">
        <f t="shared" si="30"/>
        <v>1.9897888634658425</v>
      </c>
      <c r="E242" s="145">
        <f t="shared" si="27"/>
        <v>0.23399864519858746</v>
      </c>
      <c r="F242" s="145">
        <f t="shared" si="28"/>
        <v>0.46560789828224425</v>
      </c>
      <c r="G242" s="145"/>
      <c r="H242" s="145"/>
      <c r="M242" s="145"/>
      <c r="R242" s="145"/>
    </row>
    <row r="243" spans="1:18" x14ac:dyDescent="0.3">
      <c r="A243" s="38">
        <v>242</v>
      </c>
      <c r="B243" s="144">
        <f t="shared" si="29"/>
        <v>20.16666666666665</v>
      </c>
      <c r="D243" s="38">
        <f t="shared" si="30"/>
        <v>1.9897888634658425</v>
      </c>
      <c r="E243" s="145">
        <f t="shared" si="27"/>
        <v>0.23259264151498329</v>
      </c>
      <c r="F243" s="145">
        <f t="shared" si="28"/>
        <v>0.46281024781061675</v>
      </c>
      <c r="G243" s="145"/>
      <c r="H243" s="145"/>
      <c r="M243" s="145"/>
      <c r="R243" s="145"/>
    </row>
    <row r="244" spans="1:18" x14ac:dyDescent="0.3">
      <c r="A244" s="38">
        <v>243</v>
      </c>
      <c r="B244" s="144">
        <f t="shared" si="29"/>
        <v>20.249999999999982</v>
      </c>
      <c r="D244" s="38">
        <f t="shared" si="30"/>
        <v>1.9897888634658425</v>
      </c>
      <c r="E244" s="145">
        <f t="shared" si="27"/>
        <v>0.23119508594165189</v>
      </c>
      <c r="F244" s="145">
        <f t="shared" si="28"/>
        <v>0.4600294072947273</v>
      </c>
      <c r="G244" s="145"/>
      <c r="H244" s="145"/>
      <c r="M244" s="145"/>
      <c r="R244" s="145"/>
    </row>
    <row r="245" spans="1:18" x14ac:dyDescent="0.3">
      <c r="A245" s="38">
        <v>244</v>
      </c>
      <c r="B245" s="144">
        <f t="shared" si="29"/>
        <v>20.333333333333314</v>
      </c>
      <c r="D245" s="38">
        <f t="shared" si="30"/>
        <v>1.9897888634658425</v>
      </c>
      <c r="E245" s="145">
        <f t="shared" si="27"/>
        <v>0.22980592771729857</v>
      </c>
      <c r="F245" s="145">
        <f t="shared" si="28"/>
        <v>0.45726527573031706</v>
      </c>
      <c r="G245" s="145"/>
      <c r="H245" s="145"/>
      <c r="M245" s="145"/>
      <c r="R245" s="145"/>
    </row>
    <row r="246" spans="1:18" x14ac:dyDescent="0.3">
      <c r="A246" s="38">
        <v>245</v>
      </c>
      <c r="B246" s="144">
        <f t="shared" si="29"/>
        <v>20.416666666666647</v>
      </c>
      <c r="D246" s="38">
        <f t="shared" si="30"/>
        <v>1.9897888634658425</v>
      </c>
      <c r="E246" s="145">
        <f t="shared" si="27"/>
        <v>0.22842511638563304</v>
      </c>
      <c r="F246" s="145">
        <f t="shared" si="28"/>
        <v>0.45451775272002154</v>
      </c>
      <c r="G246" s="145"/>
      <c r="H246" s="145"/>
      <c r="M246" s="145"/>
      <c r="R246" s="145"/>
    </row>
    <row r="247" spans="1:18" x14ac:dyDescent="0.3">
      <c r="A247" s="38">
        <v>246</v>
      </c>
      <c r="B247" s="144">
        <f t="shared" si="29"/>
        <v>20.499999999999979</v>
      </c>
      <c r="D247" s="38">
        <f t="shared" si="30"/>
        <v>1.9897888634658425</v>
      </c>
      <c r="E247" s="145">
        <f t="shared" si="27"/>
        <v>0.22705260179353637</v>
      </c>
      <c r="F247" s="145">
        <f t="shared" si="28"/>
        <v>0.45178673846972323</v>
      </c>
      <c r="G247" s="145"/>
      <c r="H247" s="145"/>
      <c r="M247" s="145"/>
      <c r="R247" s="145"/>
    </row>
    <row r="248" spans="1:18" x14ac:dyDescent="0.3">
      <c r="A248" s="38">
        <v>247</v>
      </c>
      <c r="B248" s="144">
        <f t="shared" si="29"/>
        <v>20.583333333333311</v>
      </c>
      <c r="D248" s="38">
        <f t="shared" si="30"/>
        <v>1.9897888634658425</v>
      </c>
      <c r="E248" s="145">
        <f t="shared" si="27"/>
        <v>0.22568833408923963</v>
      </c>
      <c r="F248" s="145">
        <f t="shared" si="28"/>
        <v>0.4490721337849275</v>
      </c>
      <c r="G248" s="145"/>
      <c r="H248" s="145"/>
      <c r="M248" s="145"/>
      <c r="R248" s="145"/>
    </row>
    <row r="249" spans="1:18" x14ac:dyDescent="0.3">
      <c r="A249" s="38">
        <v>248</v>
      </c>
      <c r="B249" s="144">
        <f t="shared" si="29"/>
        <v>20.666666666666643</v>
      </c>
      <c r="D249" s="38">
        <f t="shared" si="30"/>
        <v>1.9897888634658425</v>
      </c>
      <c r="E249" s="145">
        <f t="shared" si="27"/>
        <v>0.2243322637205131</v>
      </c>
      <c r="F249" s="145">
        <f t="shared" si="28"/>
        <v>0.44637384006715941</v>
      </c>
      <c r="G249" s="145"/>
      <c r="H249" s="145"/>
      <c r="M249" s="145"/>
      <c r="R249" s="145"/>
    </row>
    <row r="250" spans="1:18" x14ac:dyDescent="0.3">
      <c r="A250" s="38">
        <v>249</v>
      </c>
      <c r="B250" s="144">
        <f t="shared" si="29"/>
        <v>20.749999999999975</v>
      </c>
      <c r="D250" s="38">
        <f t="shared" si="30"/>
        <v>1.9897888634658425</v>
      </c>
      <c r="E250" s="145">
        <f t="shared" si="27"/>
        <v>0.22298434143286641</v>
      </c>
      <c r="F250" s="145">
        <f t="shared" si="28"/>
        <v>0.44369175931038263</v>
      </c>
      <c r="G250" s="145"/>
      <c r="H250" s="145"/>
      <c r="M250" s="145"/>
      <c r="R250" s="145"/>
    </row>
    <row r="251" spans="1:18" x14ac:dyDescent="0.3">
      <c r="A251" s="38">
        <v>250</v>
      </c>
      <c r="B251" s="144">
        <f t="shared" si="29"/>
        <v>20.833333333333307</v>
      </c>
      <c r="D251" s="38">
        <f t="shared" si="30"/>
        <v>1.9897888634658425</v>
      </c>
      <c r="E251" s="145">
        <f t="shared" si="27"/>
        <v>0.22164451826775969</v>
      </c>
      <c r="F251" s="145">
        <f t="shared" si="28"/>
        <v>0.44102579409743969</v>
      </c>
      <c r="G251" s="145"/>
      <c r="H251" s="145"/>
      <c r="M251" s="145"/>
      <c r="R251" s="145"/>
    </row>
    <row r="252" spans="1:18" x14ac:dyDescent="0.3">
      <c r="A252" s="38">
        <v>251</v>
      </c>
      <c r="B252" s="144">
        <f t="shared" si="29"/>
        <v>20.916666666666639</v>
      </c>
      <c r="D252" s="38">
        <f t="shared" si="30"/>
        <v>1.9897888634658425</v>
      </c>
      <c r="E252" s="145">
        <f t="shared" si="27"/>
        <v>0.22031274556082514</v>
      </c>
      <c r="F252" s="145">
        <f t="shared" si="28"/>
        <v>0.4383758475965136</v>
      </c>
      <c r="G252" s="145"/>
      <c r="H252" s="145"/>
      <c r="M252" s="145"/>
      <c r="R252" s="145"/>
    </row>
    <row r="253" spans="1:18" x14ac:dyDescent="0.3">
      <c r="A253" s="38">
        <v>252</v>
      </c>
      <c r="B253" s="144">
        <f t="shared" si="29"/>
        <v>20.999999999999972</v>
      </c>
      <c r="D253" s="38">
        <f t="shared" si="30"/>
        <v>1.9897888634658425</v>
      </c>
      <c r="E253" s="145">
        <f t="shared" si="27"/>
        <v>0.21898897494009967</v>
      </c>
      <c r="F253" s="145">
        <f t="shared" si="28"/>
        <v>0.43574182355761076</v>
      </c>
      <c r="G253" s="145"/>
      <c r="H253" s="145"/>
      <c r="M253" s="145"/>
      <c r="R253" s="145"/>
    </row>
    <row r="254" spans="1:18" x14ac:dyDescent="0.3">
      <c r="A254" s="38">
        <v>253</v>
      </c>
      <c r="B254" s="144">
        <f t="shared" si="29"/>
        <v>21.083333333333304</v>
      </c>
      <c r="D254" s="38">
        <f t="shared" si="30"/>
        <v>2.0594314736871469</v>
      </c>
      <c r="E254" s="145">
        <f t="shared" si="27"/>
        <v>0.21767315832426765</v>
      </c>
      <c r="F254" s="145">
        <f t="shared" si="28"/>
        <v>0.44828295322988215</v>
      </c>
      <c r="G254" s="145"/>
      <c r="H254" s="145"/>
      <c r="M254" s="145"/>
      <c r="R254" s="145"/>
    </row>
    <row r="255" spans="1:18" x14ac:dyDescent="0.3">
      <c r="A255" s="38">
        <v>254</v>
      </c>
      <c r="B255" s="144">
        <f t="shared" si="29"/>
        <v>21.166666666666636</v>
      </c>
      <c r="D255" s="38">
        <f t="shared" si="30"/>
        <v>2.0594314736871469</v>
      </c>
      <c r="E255" s="145">
        <f t="shared" si="27"/>
        <v>0.21636524792091491</v>
      </c>
      <c r="F255" s="145">
        <f t="shared" si="28"/>
        <v>0.44558940138045466</v>
      </c>
      <c r="G255" s="145"/>
      <c r="H255" s="145"/>
      <c r="M255" s="145"/>
      <c r="R255" s="145"/>
    </row>
    <row r="256" spans="1:18" x14ac:dyDescent="0.3">
      <c r="A256" s="38">
        <v>255</v>
      </c>
      <c r="B256" s="144">
        <f t="shared" si="29"/>
        <v>21.249999999999968</v>
      </c>
      <c r="D256" s="38">
        <f t="shared" si="30"/>
        <v>2.0594314736871469</v>
      </c>
      <c r="E256" s="145">
        <f t="shared" si="27"/>
        <v>0.21506519622479264</v>
      </c>
      <c r="F256" s="145">
        <f t="shared" si="28"/>
        <v>0.44291203400004014</v>
      </c>
      <c r="G256" s="145"/>
      <c r="H256" s="145"/>
      <c r="M256" s="145"/>
      <c r="R256" s="145"/>
    </row>
    <row r="257" spans="1:18" x14ac:dyDescent="0.3">
      <c r="A257" s="38">
        <v>256</v>
      </c>
      <c r="B257" s="144">
        <f t="shared" si="29"/>
        <v>21.3333333333333</v>
      </c>
      <c r="D257" s="38">
        <f t="shared" si="30"/>
        <v>2.0594314736871469</v>
      </c>
      <c r="E257" s="145">
        <f t="shared" si="27"/>
        <v>0.21377295601609192</v>
      </c>
      <c r="F257" s="145">
        <f t="shared" si="28"/>
        <v>0.44025075384267781</v>
      </c>
      <c r="G257" s="145"/>
      <c r="H257" s="145"/>
      <c r="M257" s="145"/>
      <c r="R257" s="145"/>
    </row>
    <row r="258" spans="1:18" x14ac:dyDescent="0.3">
      <c r="A258" s="38">
        <v>257</v>
      </c>
      <c r="B258" s="144">
        <f t="shared" si="29"/>
        <v>21.416666666666632</v>
      </c>
      <c r="D258" s="38">
        <f t="shared" si="30"/>
        <v>2.0594314736871469</v>
      </c>
      <c r="E258" s="145">
        <f t="shared" si="27"/>
        <v>0.21248848035872864</v>
      </c>
      <c r="F258" s="145">
        <f t="shared" si="28"/>
        <v>0.43760546424671887</v>
      </c>
      <c r="G258" s="145"/>
      <c r="H258" s="145"/>
      <c r="M258" s="145"/>
      <c r="R258" s="145"/>
    </row>
    <row r="259" spans="1:18" x14ac:dyDescent="0.3">
      <c r="A259" s="38">
        <v>258</v>
      </c>
      <c r="B259" s="144">
        <f t="shared" si="29"/>
        <v>21.499999999999964</v>
      </c>
      <c r="D259" s="38">
        <f t="shared" si="30"/>
        <v>2.0594314736871469</v>
      </c>
      <c r="E259" s="145">
        <f t="shared" ref="E259:E322" si="31">1/1.075^B259</f>
        <v>0.21121172259863871</v>
      </c>
      <c r="F259" s="145">
        <f t="shared" ref="F259:F322" si="32">D259*E259</f>
        <v>0.43497606913131537</v>
      </c>
      <c r="G259" s="145"/>
      <c r="H259" s="145"/>
      <c r="M259" s="145"/>
      <c r="R259" s="145"/>
    </row>
    <row r="260" spans="1:18" x14ac:dyDescent="0.3">
      <c r="A260" s="38">
        <v>259</v>
      </c>
      <c r="B260" s="144">
        <f t="shared" si="29"/>
        <v>21.583333333333297</v>
      </c>
      <c r="D260" s="38">
        <f t="shared" si="30"/>
        <v>2.0594314736871469</v>
      </c>
      <c r="E260" s="145">
        <f t="shared" si="31"/>
        <v>0.2099426363620836</v>
      </c>
      <c r="F260" s="145">
        <f t="shared" si="32"/>
        <v>0.43236247299293062</v>
      </c>
      <c r="G260" s="145"/>
      <c r="H260" s="145"/>
      <c r="M260" s="145"/>
      <c r="R260" s="145"/>
    </row>
    <row r="261" spans="1:18" x14ac:dyDescent="0.3">
      <c r="A261" s="38">
        <v>260</v>
      </c>
      <c r="B261" s="144">
        <f t="shared" si="29"/>
        <v>21.666666666666629</v>
      </c>
      <c r="D261" s="38">
        <f t="shared" si="30"/>
        <v>2.0594314736871469</v>
      </c>
      <c r="E261" s="145">
        <f t="shared" si="31"/>
        <v>0.2086811755539659</v>
      </c>
      <c r="F261" s="145">
        <f t="shared" si="32"/>
        <v>0.4297645809018702</v>
      </c>
      <c r="G261" s="145"/>
      <c r="H261" s="145"/>
      <c r="M261" s="145"/>
      <c r="R261" s="145"/>
    </row>
    <row r="262" spans="1:18" x14ac:dyDescent="0.3">
      <c r="A262" s="38">
        <v>261</v>
      </c>
      <c r="B262" s="144">
        <f t="shared" si="29"/>
        <v>21.749999999999961</v>
      </c>
      <c r="D262" s="38">
        <f t="shared" si="30"/>
        <v>2.0594314736871469</v>
      </c>
      <c r="E262" s="145">
        <f t="shared" si="31"/>
        <v>0.20742729435615503</v>
      </c>
      <c r="F262" s="145">
        <f t="shared" si="32"/>
        <v>0.42718229849883393</v>
      </c>
      <c r="G262" s="145"/>
      <c r="H262" s="145"/>
      <c r="M262" s="145"/>
      <c r="R262" s="145"/>
    </row>
    <row r="263" spans="1:18" x14ac:dyDescent="0.3">
      <c r="A263" s="38">
        <v>262</v>
      </c>
      <c r="B263" s="144">
        <f t="shared" si="29"/>
        <v>21.833333333333293</v>
      </c>
      <c r="D263" s="38">
        <f t="shared" si="30"/>
        <v>2.0594314736871469</v>
      </c>
      <c r="E263" s="145">
        <f t="shared" si="31"/>
        <v>0.20618094722582317</v>
      </c>
      <c r="F263" s="145">
        <f t="shared" si="32"/>
        <v>0.42461553199148888</v>
      </c>
      <c r="G263" s="145"/>
      <c r="H263" s="145"/>
      <c r="M263" s="145"/>
      <c r="R263" s="145"/>
    </row>
    <row r="264" spans="1:18" x14ac:dyDescent="0.3">
      <c r="A264" s="38">
        <v>263</v>
      </c>
      <c r="B264" s="144">
        <f t="shared" ref="B264:B327" si="33">B263+1/12</f>
        <v>21.916666666666625</v>
      </c>
      <c r="D264" s="38">
        <f t="shared" si="30"/>
        <v>2.0594314736871469</v>
      </c>
      <c r="E264" s="145">
        <f t="shared" si="31"/>
        <v>0.20494208889379106</v>
      </c>
      <c r="F264" s="145">
        <f t="shared" si="32"/>
        <v>0.42206418815106239</v>
      </c>
      <c r="G264" s="145"/>
      <c r="H264" s="145"/>
      <c r="M264" s="145"/>
      <c r="R264" s="145"/>
    </row>
    <row r="265" spans="1:18" x14ac:dyDescent="0.3">
      <c r="A265" s="38">
        <v>264</v>
      </c>
      <c r="B265" s="144">
        <f t="shared" si="33"/>
        <v>21.999999999999957</v>
      </c>
      <c r="D265" s="38">
        <f t="shared" si="30"/>
        <v>2.0594314736871469</v>
      </c>
      <c r="E265" s="145">
        <f t="shared" si="31"/>
        <v>0.20371067436288359</v>
      </c>
      <c r="F265" s="145">
        <f t="shared" si="32"/>
        <v>0.41952817430895584</v>
      </c>
      <c r="G265" s="145"/>
      <c r="H265" s="145"/>
      <c r="M265" s="145"/>
      <c r="R265" s="145"/>
    </row>
    <row r="266" spans="1:18" x14ac:dyDescent="0.3">
      <c r="A266" s="38">
        <v>265</v>
      </c>
      <c r="B266" s="144">
        <f t="shared" si="33"/>
        <v>22.08333333333329</v>
      </c>
      <c r="D266" s="38">
        <f t="shared" si="30"/>
        <v>2.1315115752661966</v>
      </c>
      <c r="E266" s="145">
        <f t="shared" si="31"/>
        <v>0.20248665890629564</v>
      </c>
      <c r="F266" s="145">
        <f t="shared" si="32"/>
        <v>0.43160265729574726</v>
      </c>
      <c r="G266" s="145"/>
      <c r="H266" s="145"/>
      <c r="M266" s="145"/>
      <c r="R266" s="145"/>
    </row>
    <row r="267" spans="1:18" x14ac:dyDescent="0.3">
      <c r="A267" s="38">
        <v>266</v>
      </c>
      <c r="B267" s="144">
        <f t="shared" si="33"/>
        <v>22.166666666666622</v>
      </c>
      <c r="D267" s="38">
        <f t="shared" si="30"/>
        <v>2.1315115752661966</v>
      </c>
      <c r="E267" s="145">
        <f t="shared" si="31"/>
        <v>0.2012699980659676</v>
      </c>
      <c r="F267" s="145">
        <f t="shared" si="32"/>
        <v>0.42900933063141494</v>
      </c>
      <c r="G267" s="145"/>
      <c r="H267" s="145"/>
      <c r="M267" s="145"/>
      <c r="R267" s="145"/>
    </row>
    <row r="268" spans="1:18" x14ac:dyDescent="0.3">
      <c r="A268" s="38">
        <v>267</v>
      </c>
      <c r="B268" s="144">
        <f t="shared" si="33"/>
        <v>22.249999999999954</v>
      </c>
      <c r="D268" s="38">
        <f t="shared" si="30"/>
        <v>2.1315115752661966</v>
      </c>
      <c r="E268" s="145">
        <f t="shared" si="31"/>
        <v>0.20006064765097015</v>
      </c>
      <c r="F268" s="145">
        <f t="shared" si="32"/>
        <v>0.42643158622329491</v>
      </c>
      <c r="G268" s="145"/>
      <c r="H268" s="145"/>
      <c r="M268" s="145"/>
      <c r="R268" s="145"/>
    </row>
    <row r="269" spans="1:18" x14ac:dyDescent="0.3">
      <c r="A269" s="38">
        <v>268</v>
      </c>
      <c r="B269" s="144">
        <f t="shared" si="33"/>
        <v>22.333333333333286</v>
      </c>
      <c r="D269" s="38">
        <f t="shared" si="30"/>
        <v>2.1315115752661966</v>
      </c>
      <c r="E269" s="145">
        <f t="shared" si="31"/>
        <v>0.19885856373589969</v>
      </c>
      <c r="F269" s="145">
        <f t="shared" si="32"/>
        <v>0.42386933044388092</v>
      </c>
      <c r="G269" s="145"/>
      <c r="H269" s="145"/>
      <c r="M269" s="145"/>
      <c r="R269" s="145"/>
    </row>
    <row r="270" spans="1:18" x14ac:dyDescent="0.3">
      <c r="A270" s="38">
        <v>269</v>
      </c>
      <c r="B270" s="144">
        <f t="shared" si="33"/>
        <v>22.416666666666618</v>
      </c>
      <c r="D270" s="38">
        <f t="shared" si="30"/>
        <v>2.1315115752661966</v>
      </c>
      <c r="E270" s="145">
        <f t="shared" si="31"/>
        <v>0.19766370265928268</v>
      </c>
      <c r="F270" s="145">
        <f t="shared" si="32"/>
        <v>0.42132247022823671</v>
      </c>
      <c r="G270" s="145"/>
      <c r="H270" s="145"/>
      <c r="M270" s="145"/>
      <c r="R270" s="145"/>
    </row>
    <row r="271" spans="1:18" x14ac:dyDescent="0.3">
      <c r="A271" s="38">
        <v>270</v>
      </c>
      <c r="B271" s="144">
        <f t="shared" si="33"/>
        <v>22.49999999999995</v>
      </c>
      <c r="D271" s="38">
        <f t="shared" ref="D271:D334" si="34">D259*1.035</f>
        <v>2.1315115752661966</v>
      </c>
      <c r="E271" s="145">
        <f t="shared" si="31"/>
        <v>0.19647602102198972</v>
      </c>
      <c r="F271" s="145">
        <f t="shared" si="32"/>
        <v>0.41879091307061567</v>
      </c>
      <c r="G271" s="145"/>
      <c r="H271" s="145"/>
      <c r="M271" s="145"/>
      <c r="R271" s="145"/>
    </row>
    <row r="272" spans="1:18" x14ac:dyDescent="0.3">
      <c r="A272" s="38">
        <v>271</v>
      </c>
      <c r="B272" s="144">
        <f t="shared" si="33"/>
        <v>22.583333333333282</v>
      </c>
      <c r="D272" s="38">
        <f t="shared" si="34"/>
        <v>2.1315115752661966</v>
      </c>
      <c r="E272" s="145">
        <f t="shared" si="31"/>
        <v>0.19529547568565941</v>
      </c>
      <c r="F272" s="145">
        <f t="shared" si="32"/>
        <v>0.41627456702110111</v>
      </c>
      <c r="G272" s="145"/>
      <c r="H272" s="145"/>
      <c r="M272" s="145"/>
      <c r="R272" s="145"/>
    </row>
    <row r="273" spans="1:18" x14ac:dyDescent="0.3">
      <c r="A273" s="38">
        <v>272</v>
      </c>
      <c r="B273" s="144">
        <f t="shared" si="33"/>
        <v>22.666666666666615</v>
      </c>
      <c r="D273" s="38">
        <f t="shared" si="34"/>
        <v>2.1315115752661966</v>
      </c>
      <c r="E273" s="145">
        <f t="shared" si="31"/>
        <v>0.1941220237711313</v>
      </c>
      <c r="F273" s="145">
        <f t="shared" si="32"/>
        <v>0.41377334068226612</v>
      </c>
      <c r="G273" s="145"/>
      <c r="H273" s="145"/>
      <c r="M273" s="145"/>
      <c r="R273" s="145"/>
    </row>
    <row r="274" spans="1:18" x14ac:dyDescent="0.3">
      <c r="A274" s="38">
        <v>273</v>
      </c>
      <c r="B274" s="144">
        <f t="shared" si="33"/>
        <v>22.749999999999947</v>
      </c>
      <c r="D274" s="38">
        <f t="shared" si="34"/>
        <v>2.1315115752661966</v>
      </c>
      <c r="E274" s="145">
        <f t="shared" si="31"/>
        <v>0.19295562265688862</v>
      </c>
      <c r="F274" s="145">
        <f t="shared" si="32"/>
        <v>0.41128714320585447</v>
      </c>
      <c r="G274" s="145"/>
      <c r="H274" s="145"/>
      <c r="M274" s="145"/>
      <c r="R274" s="145"/>
    </row>
    <row r="275" spans="1:18" x14ac:dyDescent="0.3">
      <c r="A275" s="38">
        <v>274</v>
      </c>
      <c r="B275" s="144">
        <f t="shared" si="33"/>
        <v>22.833333333333279</v>
      </c>
      <c r="D275" s="38">
        <f t="shared" si="34"/>
        <v>2.1315115752661966</v>
      </c>
      <c r="E275" s="145">
        <f t="shared" si="31"/>
        <v>0.19179622997751017</v>
      </c>
      <c r="F275" s="145">
        <f t="shared" si="32"/>
        <v>0.4088158842894804</v>
      </c>
      <c r="G275" s="145"/>
      <c r="H275" s="145"/>
      <c r="M275" s="145"/>
      <c r="R275" s="145"/>
    </row>
    <row r="276" spans="1:18" x14ac:dyDescent="0.3">
      <c r="A276" s="38">
        <v>275</v>
      </c>
      <c r="B276" s="144">
        <f t="shared" si="33"/>
        <v>22.916666666666611</v>
      </c>
      <c r="D276" s="38">
        <f t="shared" si="34"/>
        <v>2.1315115752661966</v>
      </c>
      <c r="E276" s="145">
        <f t="shared" si="31"/>
        <v>0.19064380362213143</v>
      </c>
      <c r="F276" s="145">
        <f t="shared" si="32"/>
        <v>0.40635947417334878</v>
      </c>
      <c r="G276" s="145"/>
      <c r="H276" s="145"/>
      <c r="M276" s="145"/>
      <c r="R276" s="145"/>
    </row>
    <row r="277" spans="1:18" x14ac:dyDescent="0.3">
      <c r="A277" s="38">
        <v>276</v>
      </c>
      <c r="B277" s="144">
        <f t="shared" si="33"/>
        <v>22.999999999999943</v>
      </c>
      <c r="D277" s="38">
        <f t="shared" si="34"/>
        <v>2.1315115752661966</v>
      </c>
      <c r="E277" s="145">
        <f t="shared" si="31"/>
        <v>0.18949830173291515</v>
      </c>
      <c r="F277" s="145">
        <f t="shared" si="32"/>
        <v>0.40391782363699502</v>
      </c>
      <c r="G277" s="145"/>
      <c r="H277" s="145"/>
      <c r="M277" s="145"/>
      <c r="R277" s="145"/>
    </row>
    <row r="278" spans="1:18" x14ac:dyDescent="0.3">
      <c r="A278" s="38">
        <v>277</v>
      </c>
      <c r="B278" s="144">
        <f t="shared" si="33"/>
        <v>23.083333333333275</v>
      </c>
      <c r="D278" s="38">
        <f t="shared" si="34"/>
        <v>2.2061144804005135</v>
      </c>
      <c r="E278" s="145">
        <f t="shared" si="31"/>
        <v>0.18835968270353107</v>
      </c>
      <c r="F278" s="145">
        <f t="shared" si="32"/>
        <v>0.41554302353590605</v>
      </c>
      <c r="G278" s="145"/>
      <c r="H278" s="145"/>
      <c r="M278" s="145"/>
      <c r="R278" s="145"/>
    </row>
    <row r="279" spans="1:18" x14ac:dyDescent="0.3">
      <c r="A279" s="38">
        <v>278</v>
      </c>
      <c r="B279" s="144">
        <f t="shared" si="33"/>
        <v>23.166666666666607</v>
      </c>
      <c r="D279" s="38">
        <f t="shared" si="34"/>
        <v>2.2061144804005135</v>
      </c>
      <c r="E279" s="145">
        <f t="shared" si="31"/>
        <v>0.18722790517764443</v>
      </c>
      <c r="F279" s="145">
        <f t="shared" si="32"/>
        <v>0.41304619274745563</v>
      </c>
      <c r="G279" s="145"/>
      <c r="H279" s="145"/>
      <c r="M279" s="145"/>
      <c r="R279" s="145"/>
    </row>
    <row r="280" spans="1:18" x14ac:dyDescent="0.3">
      <c r="A280" s="38">
        <v>279</v>
      </c>
      <c r="B280" s="144">
        <f t="shared" si="33"/>
        <v>23.24999999999994</v>
      </c>
      <c r="D280" s="38">
        <f t="shared" si="34"/>
        <v>2.2061144804005135</v>
      </c>
      <c r="E280" s="145">
        <f t="shared" si="31"/>
        <v>0.18610292804741424</v>
      </c>
      <c r="F280" s="145">
        <f t="shared" si="32"/>
        <v>0.41056436441033539</v>
      </c>
      <c r="G280" s="145"/>
      <c r="H280" s="145"/>
      <c r="M280" s="145"/>
      <c r="R280" s="145"/>
    </row>
    <row r="281" spans="1:18" x14ac:dyDescent="0.3">
      <c r="A281" s="38">
        <v>280</v>
      </c>
      <c r="B281" s="144">
        <f t="shared" si="33"/>
        <v>23.333333333333272</v>
      </c>
      <c r="D281" s="38">
        <f t="shared" si="34"/>
        <v>2.2061144804005135</v>
      </c>
      <c r="E281" s="145">
        <f t="shared" si="31"/>
        <v>0.18498471045199991</v>
      </c>
      <c r="F281" s="145">
        <f t="shared" si="32"/>
        <v>0.40809744838085321</v>
      </c>
      <c r="G281" s="145"/>
      <c r="H281" s="145"/>
      <c r="M281" s="145"/>
      <c r="R281" s="145"/>
    </row>
    <row r="282" spans="1:18" x14ac:dyDescent="0.3">
      <c r="A282" s="38">
        <v>281</v>
      </c>
      <c r="B282" s="144">
        <f t="shared" si="33"/>
        <v>23.416666666666604</v>
      </c>
      <c r="D282" s="38">
        <f t="shared" si="34"/>
        <v>2.2061144804005135</v>
      </c>
      <c r="E282" s="145">
        <f t="shared" si="31"/>
        <v>0.1838732117760771</v>
      </c>
      <c r="F282" s="145">
        <f t="shared" si="32"/>
        <v>0.40564535505695393</v>
      </c>
      <c r="G282" s="145"/>
      <c r="H282" s="145"/>
      <c r="M282" s="145"/>
      <c r="R282" s="145"/>
    </row>
    <row r="283" spans="1:18" x14ac:dyDescent="0.3">
      <c r="A283" s="38">
        <v>282</v>
      </c>
      <c r="B283" s="144">
        <f t="shared" si="33"/>
        <v>23.499999999999936</v>
      </c>
      <c r="D283" s="38">
        <f t="shared" si="34"/>
        <v>2.2061144804005135</v>
      </c>
      <c r="E283" s="145">
        <f t="shared" si="31"/>
        <v>0.18276839164836273</v>
      </c>
      <c r="F283" s="145">
        <f t="shared" si="32"/>
        <v>0.40320799537496527</v>
      </c>
      <c r="G283" s="145"/>
      <c r="H283" s="145"/>
      <c r="M283" s="145"/>
      <c r="R283" s="145"/>
    </row>
    <row r="284" spans="1:18" x14ac:dyDescent="0.3">
      <c r="A284" s="38">
        <v>283</v>
      </c>
      <c r="B284" s="144">
        <f t="shared" si="33"/>
        <v>23.583333333333268</v>
      </c>
      <c r="D284" s="38">
        <f t="shared" si="34"/>
        <v>2.2061144804005135</v>
      </c>
      <c r="E284" s="145">
        <f t="shared" si="31"/>
        <v>0.18167020994014846</v>
      </c>
      <c r="F284" s="145">
        <f t="shared" si="32"/>
        <v>0.40078528080636283</v>
      </c>
      <c r="G284" s="145"/>
      <c r="H284" s="145"/>
      <c r="M284" s="145"/>
      <c r="R284" s="145"/>
    </row>
    <row r="285" spans="1:18" x14ac:dyDescent="0.3">
      <c r="A285" s="38">
        <v>284</v>
      </c>
      <c r="B285" s="144">
        <f t="shared" si="33"/>
        <v>23.6666666666666</v>
      </c>
      <c r="D285" s="38">
        <f t="shared" si="34"/>
        <v>2.2061144804005135</v>
      </c>
      <c r="E285" s="145">
        <f t="shared" si="31"/>
        <v>0.18057862676384323</v>
      </c>
      <c r="F285" s="145">
        <f t="shared" si="32"/>
        <v>0.39837712335455427</v>
      </c>
      <c r="G285" s="145"/>
      <c r="H285" s="145"/>
      <c r="M285" s="145"/>
      <c r="R285" s="145"/>
    </row>
    <row r="286" spans="1:18" x14ac:dyDescent="0.3">
      <c r="A286" s="38">
        <v>285</v>
      </c>
      <c r="B286" s="144">
        <f t="shared" si="33"/>
        <v>23.749999999999932</v>
      </c>
      <c r="D286" s="38">
        <f t="shared" si="34"/>
        <v>2.2061144804005135</v>
      </c>
      <c r="E286" s="145">
        <f t="shared" si="31"/>
        <v>0.17949360247152452</v>
      </c>
      <c r="F286" s="145">
        <f t="shared" si="32"/>
        <v>0.39598343555168364</v>
      </c>
      <c r="G286" s="145"/>
      <c r="H286" s="145"/>
      <c r="M286" s="145"/>
      <c r="R286" s="145"/>
    </row>
    <row r="287" spans="1:18" x14ac:dyDescent="0.3">
      <c r="A287" s="38">
        <v>286</v>
      </c>
      <c r="B287" s="144">
        <f t="shared" si="33"/>
        <v>23.833333333333265</v>
      </c>
      <c r="D287" s="38">
        <f t="shared" si="34"/>
        <v>2.2061144804005135</v>
      </c>
      <c r="E287" s="145">
        <f t="shared" si="31"/>
        <v>0.178415097653498</v>
      </c>
      <c r="F287" s="145">
        <f t="shared" si="32"/>
        <v>0.39360413045545362</v>
      </c>
      <c r="G287" s="145"/>
      <c r="H287" s="145"/>
      <c r="M287" s="145"/>
      <c r="R287" s="145"/>
    </row>
    <row r="288" spans="1:18" x14ac:dyDescent="0.3">
      <c r="A288" s="38">
        <v>287</v>
      </c>
      <c r="B288" s="144">
        <f t="shared" si="33"/>
        <v>23.916666666666597</v>
      </c>
      <c r="D288" s="38">
        <f t="shared" si="34"/>
        <v>2.2061144804005135</v>
      </c>
      <c r="E288" s="145">
        <f t="shared" si="31"/>
        <v>0.17734307313686662</v>
      </c>
      <c r="F288" s="145">
        <f t="shared" si="32"/>
        <v>0.39123912164596875</v>
      </c>
      <c r="G288" s="145"/>
      <c r="H288" s="145"/>
      <c r="M288" s="145"/>
      <c r="R288" s="145"/>
    </row>
    <row r="289" spans="1:18" x14ac:dyDescent="0.3">
      <c r="A289" s="38">
        <v>288</v>
      </c>
      <c r="B289" s="144">
        <f t="shared" si="33"/>
        <v>23.999999999999929</v>
      </c>
      <c r="D289" s="38">
        <f t="shared" si="34"/>
        <v>2.2061144804005135</v>
      </c>
      <c r="E289" s="145">
        <f t="shared" si="31"/>
        <v>0.17627748998410731</v>
      </c>
      <c r="F289" s="145">
        <f t="shared" si="32"/>
        <v>0.38888832322259559</v>
      </c>
      <c r="G289" s="145"/>
      <c r="H289" s="145"/>
      <c r="M289" s="145"/>
      <c r="R289" s="145"/>
    </row>
    <row r="290" spans="1:18" x14ac:dyDescent="0.3">
      <c r="A290" s="38">
        <v>289</v>
      </c>
      <c r="B290" s="144">
        <f t="shared" si="33"/>
        <v>24.083333333333261</v>
      </c>
      <c r="D290" s="38">
        <f t="shared" si="34"/>
        <v>2.2833284872145314</v>
      </c>
      <c r="E290" s="145">
        <f t="shared" si="31"/>
        <v>0.17521830949165698</v>
      </c>
      <c r="F290" s="145">
        <f t="shared" si="32"/>
        <v>0.40008095754387268</v>
      </c>
      <c r="G290" s="145"/>
      <c r="H290" s="145"/>
      <c r="M290" s="145"/>
      <c r="R290" s="145"/>
    </row>
    <row r="291" spans="1:18" x14ac:dyDescent="0.3">
      <c r="A291" s="38">
        <v>290</v>
      </c>
      <c r="B291" s="144">
        <f t="shared" si="33"/>
        <v>24.166666666666593</v>
      </c>
      <c r="D291" s="38">
        <f t="shared" si="34"/>
        <v>2.2833284872145314</v>
      </c>
      <c r="E291" s="145">
        <f t="shared" si="31"/>
        <v>0.17416549318850666</v>
      </c>
      <c r="F291" s="145">
        <f t="shared" si="32"/>
        <v>0.39767703208708566</v>
      </c>
      <c r="G291" s="145"/>
      <c r="H291" s="145"/>
      <c r="M291" s="145"/>
      <c r="R291" s="145"/>
    </row>
    <row r="292" spans="1:18" x14ac:dyDescent="0.3">
      <c r="A292" s="38">
        <v>291</v>
      </c>
      <c r="B292" s="144">
        <f t="shared" si="33"/>
        <v>24.249999999999925</v>
      </c>
      <c r="D292" s="38">
        <f t="shared" si="34"/>
        <v>2.2833284872145314</v>
      </c>
      <c r="E292" s="145">
        <f t="shared" si="31"/>
        <v>0.17311900283480414</v>
      </c>
      <c r="F292" s="145">
        <f t="shared" si="32"/>
        <v>0.39528755085088152</v>
      </c>
      <c r="G292" s="145"/>
      <c r="H292" s="145"/>
      <c r="M292" s="145"/>
      <c r="R292" s="145"/>
    </row>
    <row r="293" spans="1:18" x14ac:dyDescent="0.3">
      <c r="A293" s="38">
        <v>292</v>
      </c>
      <c r="B293" s="144">
        <f t="shared" si="33"/>
        <v>24.333333333333258</v>
      </c>
      <c r="D293" s="38">
        <f t="shared" si="34"/>
        <v>2.2833284872145314</v>
      </c>
      <c r="E293" s="145">
        <f t="shared" si="31"/>
        <v>0.17207880042046519</v>
      </c>
      <c r="F293" s="145">
        <f t="shared" si="32"/>
        <v>0.39291242704575208</v>
      </c>
      <c r="G293" s="145"/>
      <c r="H293" s="145"/>
      <c r="M293" s="145"/>
      <c r="R293" s="145"/>
    </row>
    <row r="294" spans="1:18" x14ac:dyDescent="0.3">
      <c r="A294" s="38">
        <v>293</v>
      </c>
      <c r="B294" s="144">
        <f t="shared" si="33"/>
        <v>24.41666666666659</v>
      </c>
      <c r="D294" s="38">
        <f t="shared" si="34"/>
        <v>2.2833284872145314</v>
      </c>
      <c r="E294" s="145">
        <f t="shared" si="31"/>
        <v>0.17104484816379284</v>
      </c>
      <c r="F294" s="145">
        <f t="shared" si="32"/>
        <v>0.39055157440367233</v>
      </c>
      <c r="G294" s="145"/>
      <c r="H294" s="145"/>
      <c r="M294" s="145"/>
      <c r="R294" s="145"/>
    </row>
    <row r="295" spans="1:18" x14ac:dyDescent="0.3">
      <c r="A295" s="38">
        <v>294</v>
      </c>
      <c r="B295" s="144">
        <f t="shared" si="33"/>
        <v>24.499999999999922</v>
      </c>
      <c r="D295" s="38">
        <f t="shared" si="34"/>
        <v>2.2833284872145314</v>
      </c>
      <c r="E295" s="145">
        <f t="shared" si="31"/>
        <v>0.17001710851010504</v>
      </c>
      <c r="F295" s="145">
        <f t="shared" si="32"/>
        <v>0.38820490717496697</v>
      </c>
      <c r="G295" s="145"/>
      <c r="H295" s="145"/>
      <c r="M295" s="145"/>
      <c r="R295" s="145"/>
    </row>
    <row r="296" spans="1:18" x14ac:dyDescent="0.3">
      <c r="A296" s="38">
        <v>295</v>
      </c>
      <c r="B296" s="144">
        <f t="shared" si="33"/>
        <v>24.583333333333254</v>
      </c>
      <c r="D296" s="38">
        <f t="shared" si="34"/>
        <v>2.2833284872145314</v>
      </c>
      <c r="E296" s="145">
        <f t="shared" si="31"/>
        <v>0.16899554413037085</v>
      </c>
      <c r="F296" s="145">
        <f t="shared" si="32"/>
        <v>0.38587234012519628</v>
      </c>
      <c r="G296" s="145"/>
      <c r="H296" s="145"/>
      <c r="M296" s="145"/>
      <c r="R296" s="145"/>
    </row>
    <row r="297" spans="1:18" x14ac:dyDescent="0.3">
      <c r="A297" s="38">
        <v>296</v>
      </c>
      <c r="B297" s="144">
        <f t="shared" si="33"/>
        <v>24.666666666666586</v>
      </c>
      <c r="D297" s="38">
        <f t="shared" si="34"/>
        <v>2.2833284872145314</v>
      </c>
      <c r="E297" s="145">
        <f t="shared" si="31"/>
        <v>0.16798011791985437</v>
      </c>
      <c r="F297" s="145">
        <f t="shared" si="32"/>
        <v>0.38355378853205968</v>
      </c>
      <c r="G297" s="145"/>
      <c r="H297" s="145"/>
      <c r="M297" s="145"/>
      <c r="R297" s="145"/>
    </row>
    <row r="298" spans="1:18" x14ac:dyDescent="0.3">
      <c r="A298" s="38">
        <v>297</v>
      </c>
      <c r="B298" s="144">
        <f t="shared" si="33"/>
        <v>24.749999999999918</v>
      </c>
      <c r="D298" s="38">
        <f t="shared" si="34"/>
        <v>2.2833284872145314</v>
      </c>
      <c r="E298" s="145">
        <f t="shared" si="31"/>
        <v>0.16697079299676715</v>
      </c>
      <c r="F298" s="145">
        <f t="shared" si="32"/>
        <v>0.38124916818231902</v>
      </c>
      <c r="G298" s="145"/>
      <c r="H298" s="145"/>
      <c r="M298" s="145"/>
      <c r="R298" s="145"/>
    </row>
    <row r="299" spans="1:18" x14ac:dyDescent="0.3">
      <c r="A299" s="38">
        <v>298</v>
      </c>
      <c r="B299" s="144">
        <f t="shared" si="33"/>
        <v>24.83333333333325</v>
      </c>
      <c r="D299" s="38">
        <f t="shared" si="34"/>
        <v>2.2833284872145314</v>
      </c>
      <c r="E299" s="145">
        <f t="shared" si="31"/>
        <v>0.16596753270092857</v>
      </c>
      <c r="F299" s="145">
        <f t="shared" si="32"/>
        <v>0.37895839536873949</v>
      </c>
      <c r="G299" s="145"/>
      <c r="H299" s="145"/>
      <c r="M299" s="145"/>
      <c r="R299" s="145"/>
    </row>
    <row r="300" spans="1:18" x14ac:dyDescent="0.3">
      <c r="A300" s="38">
        <v>299</v>
      </c>
      <c r="B300" s="144">
        <f t="shared" si="33"/>
        <v>24.916666666666583</v>
      </c>
      <c r="D300" s="38">
        <f t="shared" si="34"/>
        <v>2.2833284872145314</v>
      </c>
      <c r="E300" s="145">
        <f t="shared" si="31"/>
        <v>0.16497030059243425</v>
      </c>
      <c r="F300" s="145">
        <f t="shared" si="32"/>
        <v>0.37668138688704944</v>
      </c>
      <c r="G300" s="145"/>
      <c r="H300" s="145"/>
      <c r="M300" s="145"/>
      <c r="R300" s="145"/>
    </row>
    <row r="301" spans="1:18" x14ac:dyDescent="0.3">
      <c r="A301" s="38">
        <v>300</v>
      </c>
      <c r="B301" s="144">
        <f t="shared" si="33"/>
        <v>24.999999999999915</v>
      </c>
      <c r="D301" s="38">
        <f t="shared" si="34"/>
        <v>2.2833284872145314</v>
      </c>
      <c r="E301" s="145">
        <f t="shared" si="31"/>
        <v>0.16397906045033259</v>
      </c>
      <c r="F301" s="145">
        <f t="shared" si="32"/>
        <v>0.37441806003291811</v>
      </c>
      <c r="G301" s="145"/>
      <c r="H301" s="145"/>
      <c r="M301" s="145"/>
      <c r="R301" s="145"/>
    </row>
    <row r="302" spans="1:18" x14ac:dyDescent="0.3">
      <c r="A302" s="38">
        <v>301</v>
      </c>
      <c r="B302" s="144">
        <f t="shared" si="33"/>
        <v>25.083333333333247</v>
      </c>
      <c r="D302" s="38">
        <f t="shared" si="34"/>
        <v>2.3632449842670398</v>
      </c>
      <c r="E302" s="145">
        <f t="shared" si="31"/>
        <v>0.16299377627130901</v>
      </c>
      <c r="F302" s="145">
        <f t="shared" si="32"/>
        <v>0.38519422423991506</v>
      </c>
      <c r="G302" s="145"/>
      <c r="H302" s="145"/>
      <c r="M302" s="145"/>
      <c r="R302" s="145"/>
    </row>
    <row r="303" spans="1:18" x14ac:dyDescent="0.3">
      <c r="A303" s="38">
        <v>302</v>
      </c>
      <c r="B303" s="144">
        <f t="shared" si="33"/>
        <v>25.166666666666579</v>
      </c>
      <c r="D303" s="38">
        <f t="shared" si="34"/>
        <v>2.3632449842670398</v>
      </c>
      <c r="E303" s="145">
        <f t="shared" si="31"/>
        <v>0.16201441226837845</v>
      </c>
      <c r="F303" s="145">
        <f t="shared" si="32"/>
        <v>0.38287974717221773</v>
      </c>
      <c r="G303" s="145"/>
      <c r="H303" s="145"/>
      <c r="M303" s="145"/>
      <c r="R303" s="145"/>
    </row>
    <row r="304" spans="1:18" x14ac:dyDescent="0.3">
      <c r="A304" s="38">
        <v>303</v>
      </c>
      <c r="B304" s="144">
        <f t="shared" si="33"/>
        <v>25.249999999999911</v>
      </c>
      <c r="D304" s="38">
        <f t="shared" si="34"/>
        <v>2.3632449842670398</v>
      </c>
      <c r="E304" s="145">
        <f t="shared" si="31"/>
        <v>0.1610409328695854</v>
      </c>
      <c r="F304" s="145">
        <f t="shared" si="32"/>
        <v>0.38057917686573278</v>
      </c>
      <c r="G304" s="145"/>
      <c r="H304" s="145"/>
      <c r="M304" s="145"/>
      <c r="R304" s="145"/>
    </row>
    <row r="305" spans="1:18" x14ac:dyDescent="0.3">
      <c r="A305" s="38">
        <v>304</v>
      </c>
      <c r="B305" s="144">
        <f t="shared" si="33"/>
        <v>25.333333333333243</v>
      </c>
      <c r="D305" s="38">
        <f t="shared" si="34"/>
        <v>2.3632449842670398</v>
      </c>
      <c r="E305" s="145">
        <f t="shared" si="31"/>
        <v>0.16007330271671197</v>
      </c>
      <c r="F305" s="145">
        <f t="shared" si="32"/>
        <v>0.37829242976032906</v>
      </c>
      <c r="G305" s="145"/>
      <c r="H305" s="145"/>
      <c r="M305" s="145"/>
      <c r="R305" s="145"/>
    </row>
    <row r="306" spans="1:18" x14ac:dyDescent="0.3">
      <c r="A306" s="38">
        <v>305</v>
      </c>
      <c r="B306" s="144">
        <f t="shared" si="33"/>
        <v>25.416666666666575</v>
      </c>
      <c r="D306" s="38">
        <f t="shared" si="34"/>
        <v>2.3632449842670398</v>
      </c>
      <c r="E306" s="145">
        <f t="shared" si="31"/>
        <v>0.1591114866639935</v>
      </c>
      <c r="F306" s="145">
        <f t="shared" si="32"/>
        <v>0.37601942279795464</v>
      </c>
      <c r="G306" s="145"/>
      <c r="H306" s="145"/>
      <c r="M306" s="145"/>
      <c r="R306" s="145"/>
    </row>
    <row r="307" spans="1:18" x14ac:dyDescent="0.3">
      <c r="A307" s="38">
        <v>306</v>
      </c>
      <c r="B307" s="144">
        <f t="shared" si="33"/>
        <v>25.499999999999908</v>
      </c>
      <c r="D307" s="38">
        <f t="shared" si="34"/>
        <v>2.3632449842670398</v>
      </c>
      <c r="E307" s="145">
        <f t="shared" si="31"/>
        <v>0.15815544977684204</v>
      </c>
      <c r="F307" s="145">
        <f t="shared" si="32"/>
        <v>0.37376007341961964</v>
      </c>
      <c r="G307" s="145"/>
      <c r="H307" s="145"/>
      <c r="M307" s="145"/>
      <c r="R307" s="145"/>
    </row>
    <row r="308" spans="1:18" x14ac:dyDescent="0.3">
      <c r="A308" s="38">
        <v>307</v>
      </c>
      <c r="B308" s="144">
        <f t="shared" si="33"/>
        <v>25.58333333333324</v>
      </c>
      <c r="D308" s="38">
        <f t="shared" si="34"/>
        <v>2.3632449842670398</v>
      </c>
      <c r="E308" s="145">
        <f t="shared" si="31"/>
        <v>0.15720515733057772</v>
      </c>
      <c r="F308" s="145">
        <f t="shared" si="32"/>
        <v>0.37151429956239862</v>
      </c>
      <c r="G308" s="145"/>
      <c r="H308" s="145"/>
      <c r="M308" s="145"/>
      <c r="R308" s="145"/>
    </row>
    <row r="309" spans="1:18" x14ac:dyDescent="0.3">
      <c r="A309" s="38">
        <v>308</v>
      </c>
      <c r="B309" s="144">
        <f t="shared" si="33"/>
        <v>25.666666666666572</v>
      </c>
      <c r="D309" s="38">
        <f t="shared" si="34"/>
        <v>2.3632449842670398</v>
      </c>
      <c r="E309" s="145">
        <f t="shared" si="31"/>
        <v>0.15626057480916702</v>
      </c>
      <c r="F309" s="145">
        <f t="shared" si="32"/>
        <v>0.36928201965644852</v>
      </c>
      <c r="G309" s="145"/>
      <c r="H309" s="145"/>
      <c r="M309" s="145"/>
      <c r="R309" s="145"/>
    </row>
    <row r="310" spans="1:18" x14ac:dyDescent="0.3">
      <c r="A310" s="38">
        <v>309</v>
      </c>
      <c r="B310" s="144">
        <f t="shared" si="33"/>
        <v>25.749999999999904</v>
      </c>
      <c r="D310" s="38">
        <f t="shared" si="34"/>
        <v>2.3632449842670398</v>
      </c>
      <c r="E310" s="145">
        <f t="shared" si="31"/>
        <v>0.15532166790396962</v>
      </c>
      <c r="F310" s="145">
        <f t="shared" si="32"/>
        <v>0.36706315262204703</v>
      </c>
      <c r="G310" s="145"/>
      <c r="H310" s="145"/>
      <c r="M310" s="145"/>
      <c r="R310" s="145"/>
    </row>
    <row r="311" spans="1:18" x14ac:dyDescent="0.3">
      <c r="A311" s="38">
        <v>310</v>
      </c>
      <c r="B311" s="144">
        <f t="shared" si="33"/>
        <v>25.833333333333236</v>
      </c>
      <c r="D311" s="38">
        <f t="shared" si="34"/>
        <v>2.3632449842670398</v>
      </c>
      <c r="E311" s="145">
        <f t="shared" si="31"/>
        <v>0.15438840251249186</v>
      </c>
      <c r="F311" s="145">
        <f t="shared" si="32"/>
        <v>0.36485761786664722</v>
      </c>
      <c r="G311" s="145"/>
      <c r="H311" s="145"/>
      <c r="M311" s="145"/>
      <c r="R311" s="145"/>
    </row>
    <row r="312" spans="1:18" x14ac:dyDescent="0.3">
      <c r="A312" s="38">
        <v>311</v>
      </c>
      <c r="B312" s="144">
        <f t="shared" si="33"/>
        <v>25.916666666666568</v>
      </c>
      <c r="D312" s="38">
        <f t="shared" si="34"/>
        <v>2.3632449842670398</v>
      </c>
      <c r="E312" s="145">
        <f t="shared" si="31"/>
        <v>0.15346074473714832</v>
      </c>
      <c r="F312" s="145">
        <f t="shared" si="32"/>
        <v>0.36266533528195027</v>
      </c>
      <c r="G312" s="145"/>
      <c r="H312" s="145"/>
      <c r="M312" s="145"/>
      <c r="R312" s="145"/>
    </row>
    <row r="313" spans="1:18" x14ac:dyDescent="0.3">
      <c r="A313" s="38">
        <v>312</v>
      </c>
      <c r="B313" s="144">
        <f t="shared" si="33"/>
        <v>25.999999999999901</v>
      </c>
      <c r="D313" s="38">
        <f t="shared" si="34"/>
        <v>2.3632449842670398</v>
      </c>
      <c r="E313" s="145">
        <f t="shared" si="31"/>
        <v>0.15253866088403045</v>
      </c>
      <c r="F313" s="145">
        <f t="shared" si="32"/>
        <v>0.36048622524099588</v>
      </c>
      <c r="G313" s="145"/>
      <c r="H313" s="145"/>
      <c r="M313" s="145"/>
      <c r="R313" s="145"/>
    </row>
    <row r="314" spans="1:18" x14ac:dyDescent="0.3">
      <c r="A314" s="38">
        <v>313</v>
      </c>
      <c r="B314" s="144">
        <f t="shared" si="33"/>
        <v>26.083333333333233</v>
      </c>
      <c r="D314" s="38">
        <f t="shared" si="34"/>
        <v>2.4459585587163861</v>
      </c>
      <c r="E314" s="145">
        <f t="shared" si="31"/>
        <v>0.15162211746168294</v>
      </c>
      <c r="F314" s="145">
        <f t="shared" si="32"/>
        <v>0.37086141589610461</v>
      </c>
      <c r="G314" s="145"/>
      <c r="H314" s="145"/>
      <c r="M314" s="145"/>
      <c r="R314" s="145"/>
    </row>
    <row r="315" spans="1:18" x14ac:dyDescent="0.3">
      <c r="A315" s="38">
        <v>314</v>
      </c>
      <c r="B315" s="144">
        <f t="shared" si="33"/>
        <v>26.166666666666565</v>
      </c>
      <c r="D315" s="38">
        <f t="shared" si="34"/>
        <v>2.4459585587163861</v>
      </c>
      <c r="E315" s="145">
        <f t="shared" si="31"/>
        <v>0.1507110811798871</v>
      </c>
      <c r="F315" s="145">
        <f t="shared" si="32"/>
        <v>0.36863305890534492</v>
      </c>
      <c r="G315" s="145"/>
      <c r="H315" s="145"/>
      <c r="M315" s="145"/>
      <c r="R315" s="145"/>
    </row>
    <row r="316" spans="1:18" x14ac:dyDescent="0.3">
      <c r="A316" s="38">
        <v>315</v>
      </c>
      <c r="B316" s="144">
        <f t="shared" si="33"/>
        <v>26.249999999999897</v>
      </c>
      <c r="D316" s="38">
        <f t="shared" si="34"/>
        <v>2.4459585587163861</v>
      </c>
      <c r="E316" s="145">
        <f t="shared" si="31"/>
        <v>0.14980551894845173</v>
      </c>
      <c r="F316" s="145">
        <f t="shared" si="32"/>
        <v>0.36641809121491525</v>
      </c>
      <c r="G316" s="145"/>
      <c r="H316" s="145"/>
      <c r="M316" s="145"/>
      <c r="R316" s="145"/>
    </row>
    <row r="317" spans="1:18" x14ac:dyDescent="0.3">
      <c r="A317" s="38">
        <v>316</v>
      </c>
      <c r="B317" s="144">
        <f t="shared" si="33"/>
        <v>26.333333333333229</v>
      </c>
      <c r="D317" s="38">
        <f t="shared" si="34"/>
        <v>2.4459585587163861</v>
      </c>
      <c r="E317" s="145">
        <f t="shared" si="31"/>
        <v>0.14890539787601131</v>
      </c>
      <c r="F317" s="145">
        <f t="shared" si="32"/>
        <v>0.36421643237389867</v>
      </c>
      <c r="G317" s="145"/>
      <c r="H317" s="145"/>
      <c r="M317" s="145"/>
      <c r="R317" s="145"/>
    </row>
    <row r="318" spans="1:18" x14ac:dyDescent="0.3">
      <c r="A318" s="38">
        <v>317</v>
      </c>
      <c r="B318" s="144">
        <f t="shared" si="33"/>
        <v>26.416666666666561</v>
      </c>
      <c r="D318" s="38">
        <f t="shared" si="34"/>
        <v>2.4459585587163861</v>
      </c>
      <c r="E318" s="145">
        <f t="shared" si="31"/>
        <v>0.14801068526883132</v>
      </c>
      <c r="F318" s="145">
        <f t="shared" si="32"/>
        <v>0.36202800241477529</v>
      </c>
      <c r="G318" s="145"/>
      <c r="H318" s="145"/>
      <c r="M318" s="145"/>
      <c r="R318" s="145"/>
    </row>
    <row r="319" spans="1:18" x14ac:dyDescent="0.3">
      <c r="A319" s="38">
        <v>318</v>
      </c>
      <c r="B319" s="144">
        <f t="shared" si="33"/>
        <v>26.499999999999893</v>
      </c>
      <c r="D319" s="38">
        <f t="shared" si="34"/>
        <v>2.4459585587163861</v>
      </c>
      <c r="E319" s="145">
        <f t="shared" si="31"/>
        <v>0.14712134862962067</v>
      </c>
      <c r="F319" s="145">
        <f t="shared" si="32"/>
        <v>0.35985272185051798</v>
      </c>
      <c r="G319" s="145"/>
      <c r="H319" s="145"/>
      <c r="M319" s="145"/>
      <c r="R319" s="145"/>
    </row>
    <row r="320" spans="1:18" x14ac:dyDescent="0.3">
      <c r="A320" s="38">
        <v>319</v>
      </c>
      <c r="B320" s="144">
        <f t="shared" si="33"/>
        <v>26.583333333333226</v>
      </c>
      <c r="D320" s="38">
        <f t="shared" si="34"/>
        <v>2.4459585587163861</v>
      </c>
      <c r="E320" s="145">
        <f t="shared" si="31"/>
        <v>0.14623735565635149</v>
      </c>
      <c r="F320" s="145">
        <f t="shared" si="32"/>
        <v>0.35769051167170501</v>
      </c>
      <c r="G320" s="145"/>
      <c r="H320" s="145"/>
      <c r="M320" s="145"/>
      <c r="R320" s="145"/>
    </row>
    <row r="321" spans="1:18" x14ac:dyDescent="0.3">
      <c r="A321" s="38">
        <v>320</v>
      </c>
      <c r="B321" s="144">
        <f t="shared" si="33"/>
        <v>26.666666666666558</v>
      </c>
      <c r="D321" s="38">
        <f t="shared" si="34"/>
        <v>2.4459585587163861</v>
      </c>
      <c r="E321" s="145">
        <f t="shared" si="31"/>
        <v>0.14535867424108573</v>
      </c>
      <c r="F321" s="145">
        <f t="shared" si="32"/>
        <v>0.35554129334365075</v>
      </c>
      <c r="G321" s="145"/>
      <c r="H321" s="145"/>
      <c r="M321" s="145"/>
      <c r="R321" s="145"/>
    </row>
    <row r="322" spans="1:18" x14ac:dyDescent="0.3">
      <c r="A322" s="38">
        <v>321</v>
      </c>
      <c r="B322" s="144">
        <f t="shared" si="33"/>
        <v>26.74999999999989</v>
      </c>
      <c r="D322" s="38">
        <f t="shared" si="34"/>
        <v>2.4459585587163861</v>
      </c>
      <c r="E322" s="145">
        <f t="shared" si="31"/>
        <v>0.1444852724688091</v>
      </c>
      <c r="F322" s="145">
        <f t="shared" si="32"/>
        <v>0.35340498880355264</v>
      </c>
      <c r="G322" s="145"/>
      <c r="H322" s="145"/>
      <c r="M322" s="145"/>
      <c r="R322" s="145"/>
    </row>
    <row r="323" spans="1:18" x14ac:dyDescent="0.3">
      <c r="A323" s="38">
        <v>322</v>
      </c>
      <c r="B323" s="144">
        <f t="shared" si="33"/>
        <v>26.833333333333222</v>
      </c>
      <c r="D323" s="38">
        <f t="shared" si="34"/>
        <v>2.4459585587163861</v>
      </c>
      <c r="E323" s="145">
        <f t="shared" ref="E323:E361" si="35">1/1.075^B323</f>
        <v>0.14361711861627166</v>
      </c>
      <c r="F323" s="145">
        <f t="shared" ref="F323:F361" si="36">D323*E323</f>
        <v>0.35128152045765609</v>
      </c>
      <c r="G323" s="145"/>
      <c r="H323" s="145"/>
      <c r="M323" s="145"/>
      <c r="R323" s="145"/>
    </row>
    <row r="324" spans="1:18" x14ac:dyDescent="0.3">
      <c r="A324" s="38">
        <v>323</v>
      </c>
      <c r="B324" s="144">
        <f t="shared" si="33"/>
        <v>26.916666666666554</v>
      </c>
      <c r="D324" s="38">
        <f t="shared" si="34"/>
        <v>2.4459585587163861</v>
      </c>
      <c r="E324" s="145">
        <f t="shared" si="35"/>
        <v>0.1427541811508358</v>
      </c>
      <c r="F324" s="145">
        <f t="shared" si="36"/>
        <v>0.34917081117843624</v>
      </c>
      <c r="G324" s="145"/>
      <c r="H324" s="145"/>
      <c r="M324" s="145"/>
      <c r="R324" s="145"/>
    </row>
    <row r="325" spans="1:18" x14ac:dyDescent="0.3">
      <c r="A325" s="38">
        <v>324</v>
      </c>
      <c r="B325" s="144">
        <f t="shared" si="33"/>
        <v>26.999999999999886</v>
      </c>
      <c r="D325" s="38">
        <f t="shared" si="34"/>
        <v>2.4459585587163861</v>
      </c>
      <c r="E325" s="145">
        <f t="shared" si="35"/>
        <v>0.14189642872933081</v>
      </c>
      <c r="F325" s="145">
        <f t="shared" si="36"/>
        <v>0.34707278430179639</v>
      </c>
      <c r="G325" s="145"/>
      <c r="H325" s="145"/>
      <c r="M325" s="145"/>
      <c r="R325" s="145"/>
    </row>
    <row r="326" spans="1:18" x14ac:dyDescent="0.3">
      <c r="A326" s="38">
        <v>325</v>
      </c>
      <c r="B326" s="144">
        <f t="shared" si="33"/>
        <v>27.083333333333218</v>
      </c>
      <c r="D326" s="38">
        <f t="shared" si="34"/>
        <v>2.5315671082714593</v>
      </c>
      <c r="E326" s="145">
        <f t="shared" si="35"/>
        <v>0.14104383019691455</v>
      </c>
      <c r="F326" s="145">
        <f t="shared" si="36"/>
        <v>0.35706192135113368</v>
      </c>
      <c r="G326" s="145"/>
      <c r="H326" s="145"/>
      <c r="M326" s="145"/>
      <c r="R326" s="145"/>
    </row>
    <row r="327" spans="1:18" x14ac:dyDescent="0.3">
      <c r="A327" s="38">
        <v>326</v>
      </c>
      <c r="B327" s="144">
        <f t="shared" si="33"/>
        <v>27.166666666666551</v>
      </c>
      <c r="D327" s="38">
        <f t="shared" si="34"/>
        <v>2.5315671082714593</v>
      </c>
      <c r="E327" s="145">
        <f t="shared" si="35"/>
        <v>0.14019635458594162</v>
      </c>
      <c r="F327" s="145">
        <f t="shared" si="36"/>
        <v>0.3549164799693324</v>
      </c>
      <c r="G327" s="145"/>
      <c r="H327" s="145"/>
      <c r="M327" s="145"/>
      <c r="R327" s="145"/>
    </row>
    <row r="328" spans="1:18" x14ac:dyDescent="0.3">
      <c r="A328" s="38">
        <v>327</v>
      </c>
      <c r="B328" s="144">
        <f t="shared" ref="B328:B361" si="37">B327+1/12</f>
        <v>27.249999999999883</v>
      </c>
      <c r="D328" s="38">
        <f t="shared" si="34"/>
        <v>2.5315671082714593</v>
      </c>
      <c r="E328" s="145">
        <f t="shared" si="35"/>
        <v>0.13935397111483896</v>
      </c>
      <c r="F328" s="145">
        <f t="shared" si="36"/>
        <v>0.35278392968133732</v>
      </c>
      <c r="G328" s="145"/>
      <c r="H328" s="145"/>
      <c r="M328" s="145"/>
      <c r="R328" s="145"/>
    </row>
    <row r="329" spans="1:18" x14ac:dyDescent="0.3">
      <c r="A329" s="38">
        <v>328</v>
      </c>
      <c r="B329" s="144">
        <f t="shared" si="37"/>
        <v>27.333333333333215</v>
      </c>
      <c r="D329" s="38">
        <f t="shared" si="34"/>
        <v>2.5315671082714593</v>
      </c>
      <c r="E329" s="145">
        <f t="shared" si="35"/>
        <v>0.13851664918698742</v>
      </c>
      <c r="F329" s="145">
        <f t="shared" si="36"/>
        <v>0.35066419302975393</v>
      </c>
      <c r="G329" s="145"/>
      <c r="H329" s="145"/>
      <c r="M329" s="145"/>
      <c r="R329" s="145"/>
    </row>
    <row r="330" spans="1:18" x14ac:dyDescent="0.3">
      <c r="A330" s="38">
        <v>329</v>
      </c>
      <c r="B330" s="144">
        <f t="shared" si="37"/>
        <v>27.416666666666547</v>
      </c>
      <c r="D330" s="38">
        <f t="shared" si="34"/>
        <v>2.5315671082714593</v>
      </c>
      <c r="E330" s="145">
        <f t="shared" si="35"/>
        <v>0.13768435838961066</v>
      </c>
      <c r="F330" s="145">
        <f t="shared" si="36"/>
        <v>0.34855719302259786</v>
      </c>
      <c r="G330" s="145"/>
      <c r="H330" s="145"/>
      <c r="M330" s="145"/>
      <c r="R330" s="145"/>
    </row>
    <row r="331" spans="1:18" x14ac:dyDescent="0.3">
      <c r="A331" s="38">
        <v>330</v>
      </c>
      <c r="B331" s="144">
        <f t="shared" si="37"/>
        <v>27.499999999999879</v>
      </c>
      <c r="D331" s="38">
        <f t="shared" si="34"/>
        <v>2.5315671082714593</v>
      </c>
      <c r="E331" s="145">
        <f t="shared" si="35"/>
        <v>0.13685706849267054</v>
      </c>
      <c r="F331" s="145">
        <f t="shared" si="36"/>
        <v>0.34646285313049902</v>
      </c>
      <c r="G331" s="145"/>
      <c r="H331" s="145"/>
      <c r="M331" s="145"/>
      <c r="R331" s="145"/>
    </row>
    <row r="332" spans="1:18" x14ac:dyDescent="0.3">
      <c r="A332" s="38">
        <v>331</v>
      </c>
      <c r="B332" s="144">
        <f t="shared" si="37"/>
        <v>27.583333333333211</v>
      </c>
      <c r="D332" s="38">
        <f t="shared" si="34"/>
        <v>2.5315671082714593</v>
      </c>
      <c r="E332" s="145">
        <f t="shared" si="35"/>
        <v>0.13603474944776897</v>
      </c>
      <c r="F332" s="145">
        <f t="shared" si="36"/>
        <v>0.34438109728392097</v>
      </c>
      <c r="G332" s="145"/>
      <c r="H332" s="145"/>
      <c r="M332" s="145"/>
      <c r="R332" s="145"/>
    </row>
    <row r="333" spans="1:18" x14ac:dyDescent="0.3">
      <c r="A333" s="38">
        <v>332</v>
      </c>
      <c r="B333" s="144">
        <f t="shared" si="37"/>
        <v>27.666666666666544</v>
      </c>
      <c r="D333" s="38">
        <f t="shared" si="34"/>
        <v>2.5315671082714593</v>
      </c>
      <c r="E333" s="145">
        <f t="shared" si="35"/>
        <v>0.13521737138705664</v>
      </c>
      <c r="F333" s="145">
        <f t="shared" si="36"/>
        <v>0.34231184987039892</v>
      </c>
      <c r="G333" s="145"/>
      <c r="H333" s="145"/>
      <c r="M333" s="145"/>
      <c r="R333" s="145"/>
    </row>
    <row r="334" spans="1:18" x14ac:dyDescent="0.3">
      <c r="A334" s="38">
        <v>333</v>
      </c>
      <c r="B334" s="144">
        <f t="shared" si="37"/>
        <v>27.749999999999876</v>
      </c>
      <c r="D334" s="38">
        <f t="shared" si="34"/>
        <v>2.5315671082714593</v>
      </c>
      <c r="E334" s="145">
        <f t="shared" si="35"/>
        <v>0.13440490462214816</v>
      </c>
      <c r="F334" s="145">
        <f t="shared" si="36"/>
        <v>0.34025503573179289</v>
      </c>
      <c r="G334" s="145"/>
      <c r="H334" s="145"/>
      <c r="M334" s="145"/>
      <c r="R334" s="145"/>
    </row>
    <row r="335" spans="1:18" x14ac:dyDescent="0.3">
      <c r="A335" s="38">
        <v>334</v>
      </c>
      <c r="B335" s="144">
        <f t="shared" si="37"/>
        <v>27.833333333333208</v>
      </c>
      <c r="D335" s="38">
        <f t="shared" ref="D335:D361" si="38">D323*1.035</f>
        <v>2.5315671082714593</v>
      </c>
      <c r="E335" s="145">
        <f t="shared" si="35"/>
        <v>0.1335973196430435</v>
      </c>
      <c r="F335" s="145">
        <f t="shared" si="36"/>
        <v>0.33821058016155747</v>
      </c>
      <c r="G335" s="145"/>
      <c r="H335" s="145"/>
      <c r="M335" s="145"/>
      <c r="R335" s="145"/>
    </row>
    <row r="336" spans="1:18" x14ac:dyDescent="0.3">
      <c r="A336" s="38">
        <v>335</v>
      </c>
      <c r="B336" s="144">
        <f t="shared" si="37"/>
        <v>27.91666666666654</v>
      </c>
      <c r="D336" s="38">
        <f t="shared" si="38"/>
        <v>2.5315671082714593</v>
      </c>
      <c r="E336" s="145">
        <f t="shared" si="35"/>
        <v>0.13279458711705669</v>
      </c>
      <c r="F336" s="145">
        <f t="shared" si="36"/>
        <v>0.3361784089020296</v>
      </c>
      <c r="G336" s="145"/>
      <c r="H336" s="145"/>
      <c r="M336" s="145"/>
      <c r="R336" s="145"/>
    </row>
    <row r="337" spans="1:18" x14ac:dyDescent="0.3">
      <c r="A337" s="38">
        <v>336</v>
      </c>
      <c r="B337" s="144">
        <f t="shared" si="37"/>
        <v>27.999999999999872</v>
      </c>
      <c r="D337" s="38">
        <f t="shared" si="38"/>
        <v>2.5315671082714593</v>
      </c>
      <c r="E337" s="145">
        <f t="shared" si="35"/>
        <v>0.13199667788774971</v>
      </c>
      <c r="F337" s="145">
        <f t="shared" si="36"/>
        <v>0.33415844814172979</v>
      </c>
      <c r="G337" s="145"/>
      <c r="H337" s="145"/>
      <c r="M337" s="145"/>
      <c r="R337" s="145"/>
    </row>
    <row r="338" spans="1:18" x14ac:dyDescent="0.3">
      <c r="A338" s="38">
        <v>337</v>
      </c>
      <c r="B338" s="144">
        <f t="shared" si="37"/>
        <v>28.083333333333204</v>
      </c>
      <c r="D338" s="38">
        <f t="shared" si="38"/>
        <v>2.6201719570609603</v>
      </c>
      <c r="E338" s="145">
        <f t="shared" si="35"/>
        <v>0.13120356297387412</v>
      </c>
      <c r="F338" s="145">
        <f t="shared" si="36"/>
        <v>0.34377589637062667</v>
      </c>
      <c r="G338" s="145"/>
      <c r="H338" s="145"/>
      <c r="M338" s="145"/>
      <c r="R338" s="145"/>
    </row>
    <row r="339" spans="1:18" x14ac:dyDescent="0.3">
      <c r="A339" s="38">
        <v>338</v>
      </c>
      <c r="B339" s="144">
        <f t="shared" si="37"/>
        <v>28.166666666666536</v>
      </c>
      <c r="D339" s="38">
        <f t="shared" si="38"/>
        <v>2.6201719570609603</v>
      </c>
      <c r="E339" s="145">
        <f t="shared" si="35"/>
        <v>0.13041521356831792</v>
      </c>
      <c r="F339" s="145">
        <f t="shared" si="36"/>
        <v>0.34171028536582265</v>
      </c>
      <c r="G339" s="145"/>
      <c r="H339" s="145"/>
      <c r="M339" s="145"/>
      <c r="R339" s="145"/>
    </row>
    <row r="340" spans="1:18" x14ac:dyDescent="0.3">
      <c r="A340" s="38">
        <v>339</v>
      </c>
      <c r="B340" s="144">
        <f t="shared" si="37"/>
        <v>28.249999999999869</v>
      </c>
      <c r="D340" s="38">
        <f t="shared" si="38"/>
        <v>2.6201719570609603</v>
      </c>
      <c r="E340" s="145">
        <f t="shared" si="35"/>
        <v>0.12963160103705965</v>
      </c>
      <c r="F340" s="145">
        <f t="shared" si="36"/>
        <v>0.33965708578621817</v>
      </c>
      <c r="G340" s="145"/>
      <c r="H340" s="145"/>
      <c r="M340" s="145"/>
      <c r="R340" s="145"/>
    </row>
    <row r="341" spans="1:18" x14ac:dyDescent="0.3">
      <c r="A341" s="38">
        <v>340</v>
      </c>
      <c r="B341" s="144">
        <f t="shared" si="37"/>
        <v>28.333333333333201</v>
      </c>
      <c r="D341" s="38">
        <f t="shared" si="38"/>
        <v>2.6201719570609603</v>
      </c>
      <c r="E341" s="145">
        <f t="shared" si="35"/>
        <v>0.12885269691812795</v>
      </c>
      <c r="F341" s="145">
        <f t="shared" si="36"/>
        <v>0.33761622305655409</v>
      </c>
      <c r="G341" s="145"/>
      <c r="H341" s="145"/>
      <c r="M341" s="145"/>
      <c r="R341" s="145"/>
    </row>
    <row r="342" spans="1:18" x14ac:dyDescent="0.3">
      <c r="A342" s="38">
        <v>341</v>
      </c>
      <c r="B342" s="144">
        <f t="shared" si="37"/>
        <v>28.416666666666533</v>
      </c>
      <c r="D342" s="38">
        <f t="shared" si="38"/>
        <v>2.6201719570609603</v>
      </c>
      <c r="E342" s="145">
        <f t="shared" si="35"/>
        <v>0.1280784729205682</v>
      </c>
      <c r="F342" s="145">
        <f t="shared" si="36"/>
        <v>0.33558762304966439</v>
      </c>
      <c r="G342" s="145"/>
      <c r="H342" s="145"/>
      <c r="M342" s="145"/>
      <c r="R342" s="145"/>
    </row>
    <row r="343" spans="1:18" x14ac:dyDescent="0.3">
      <c r="A343" s="38">
        <v>342</v>
      </c>
      <c r="B343" s="144">
        <f t="shared" si="37"/>
        <v>28.499999999999865</v>
      </c>
      <c r="D343" s="38">
        <f t="shared" si="38"/>
        <v>2.6201719570609603</v>
      </c>
      <c r="E343" s="145">
        <f t="shared" si="35"/>
        <v>0.12730890092341463</v>
      </c>
      <c r="F343" s="145">
        <f t="shared" si="36"/>
        <v>0.33357121208378321</v>
      </c>
      <c r="G343" s="145"/>
      <c r="H343" s="145"/>
      <c r="M343" s="145"/>
      <c r="R343" s="145"/>
    </row>
    <row r="344" spans="1:18" x14ac:dyDescent="0.3">
      <c r="A344" s="38">
        <v>343</v>
      </c>
      <c r="B344" s="144">
        <f t="shared" si="37"/>
        <v>28.583333333333197</v>
      </c>
      <c r="D344" s="38">
        <f t="shared" si="38"/>
        <v>2.6201719570609603</v>
      </c>
      <c r="E344" s="145">
        <f t="shared" si="35"/>
        <v>0.12654395297466894</v>
      </c>
      <c r="F344" s="145">
        <f t="shared" si="36"/>
        <v>0.33156691691986845</v>
      </c>
      <c r="G344" s="145"/>
      <c r="H344" s="145"/>
      <c r="M344" s="145"/>
      <c r="R344" s="145"/>
    </row>
    <row r="345" spans="1:18" x14ac:dyDescent="0.3">
      <c r="A345" s="38">
        <v>344</v>
      </c>
      <c r="B345" s="144">
        <f t="shared" si="37"/>
        <v>28.666666666666529</v>
      </c>
      <c r="D345" s="38">
        <f t="shared" si="38"/>
        <v>2.6201719570609603</v>
      </c>
      <c r="E345" s="145">
        <f t="shared" si="35"/>
        <v>0.12578360129028543</v>
      </c>
      <c r="F345" s="145">
        <f t="shared" si="36"/>
        <v>0.3295746647589427</v>
      </c>
      <c r="G345" s="145"/>
      <c r="H345" s="145"/>
      <c r="M345" s="145"/>
      <c r="R345" s="145"/>
    </row>
    <row r="346" spans="1:18" x14ac:dyDescent="0.3">
      <c r="A346" s="38">
        <v>345</v>
      </c>
      <c r="B346" s="144">
        <f t="shared" si="37"/>
        <v>28.749999999999861</v>
      </c>
      <c r="D346" s="38">
        <f t="shared" si="38"/>
        <v>2.6201719570609603</v>
      </c>
      <c r="E346" s="145">
        <f t="shared" si="35"/>
        <v>0.12502781825316117</v>
      </c>
      <c r="F346" s="145">
        <f t="shared" si="36"/>
        <v>0.32759438323944734</v>
      </c>
      <c r="G346" s="145"/>
      <c r="H346" s="145"/>
      <c r="M346" s="145"/>
      <c r="R346" s="145"/>
    </row>
    <row r="347" spans="1:18" x14ac:dyDescent="0.3">
      <c r="A347" s="38">
        <v>346</v>
      </c>
      <c r="B347" s="144">
        <f t="shared" si="37"/>
        <v>28.833333333333194</v>
      </c>
      <c r="D347" s="38">
        <f t="shared" si="38"/>
        <v>2.6201719570609603</v>
      </c>
      <c r="E347" s="145">
        <f t="shared" si="35"/>
        <v>0.12427657641213366</v>
      </c>
      <c r="F347" s="145">
        <f t="shared" si="36"/>
        <v>0.3256260004346162</v>
      </c>
      <c r="G347" s="145"/>
      <c r="H347" s="145"/>
      <c r="M347" s="145"/>
      <c r="R347" s="145"/>
    </row>
    <row r="348" spans="1:18" x14ac:dyDescent="0.3">
      <c r="A348" s="38">
        <v>347</v>
      </c>
      <c r="B348" s="144">
        <f t="shared" si="37"/>
        <v>28.916666666666526</v>
      </c>
      <c r="D348" s="38">
        <f t="shared" si="38"/>
        <v>2.6201719570609603</v>
      </c>
      <c r="E348" s="145">
        <f t="shared" si="35"/>
        <v>0.1235298484809831</v>
      </c>
      <c r="F348" s="145">
        <f t="shared" si="36"/>
        <v>0.32366944484986138</v>
      </c>
      <c r="G348" s="145"/>
      <c r="H348" s="145"/>
      <c r="M348" s="145"/>
      <c r="R348" s="145"/>
    </row>
    <row r="349" spans="1:18" x14ac:dyDescent="0.3">
      <c r="A349" s="38">
        <v>348</v>
      </c>
      <c r="B349" s="144">
        <f t="shared" si="37"/>
        <v>28.999999999999858</v>
      </c>
      <c r="D349" s="38">
        <f t="shared" si="38"/>
        <v>2.6201719570609603</v>
      </c>
      <c r="E349" s="145">
        <f t="shared" si="35"/>
        <v>0.12278760733744176</v>
      </c>
      <c r="F349" s="145">
        <f t="shared" si="36"/>
        <v>0.32172464542017754</v>
      </c>
      <c r="G349" s="145"/>
      <c r="H349" s="145"/>
      <c r="M349" s="145"/>
      <c r="R349" s="145"/>
    </row>
    <row r="350" spans="1:18" x14ac:dyDescent="0.3">
      <c r="A350" s="38">
        <v>349</v>
      </c>
      <c r="B350" s="144">
        <f t="shared" si="37"/>
        <v>29.08333333333319</v>
      </c>
      <c r="D350" s="38">
        <f t="shared" si="38"/>
        <v>2.7118779755580937</v>
      </c>
      <c r="E350" s="145">
        <f t="shared" si="35"/>
        <v>0.1220498260222086</v>
      </c>
      <c r="F350" s="145">
        <f t="shared" si="36"/>
        <v>0.3309842351103246</v>
      </c>
      <c r="G350" s="145"/>
      <c r="H350" s="145"/>
      <c r="M350" s="145"/>
      <c r="R350" s="145"/>
    </row>
    <row r="351" spans="1:18" x14ac:dyDescent="0.3">
      <c r="A351" s="38">
        <v>350</v>
      </c>
      <c r="B351" s="144">
        <f t="shared" si="37"/>
        <v>29.166666666666522</v>
      </c>
      <c r="D351" s="38">
        <f t="shared" si="38"/>
        <v>2.7118779755580937</v>
      </c>
      <c r="E351" s="145">
        <f t="shared" si="35"/>
        <v>0.12131647773797032</v>
      </c>
      <c r="F351" s="145">
        <f t="shared" si="36"/>
        <v>0.32899548404988549</v>
      </c>
      <c r="G351" s="145"/>
      <c r="H351" s="145"/>
      <c r="M351" s="145"/>
      <c r="R351" s="145"/>
    </row>
    <row r="352" spans="1:18" x14ac:dyDescent="0.3">
      <c r="A352" s="38">
        <v>351</v>
      </c>
      <c r="B352" s="144">
        <f t="shared" si="37"/>
        <v>29.249999999999854</v>
      </c>
      <c r="D352" s="38">
        <f t="shared" si="38"/>
        <v>2.7118779755580937</v>
      </c>
      <c r="E352" s="145">
        <f t="shared" si="35"/>
        <v>0.12058753584842767</v>
      </c>
      <c r="F352" s="145">
        <f t="shared" si="36"/>
        <v>0.3270186825941731</v>
      </c>
      <c r="G352" s="145"/>
      <c r="H352" s="145"/>
      <c r="M352" s="145"/>
      <c r="R352" s="145"/>
    </row>
    <row r="353" spans="1:18" x14ac:dyDescent="0.3">
      <c r="A353" s="38">
        <v>352</v>
      </c>
      <c r="B353" s="144">
        <f t="shared" si="37"/>
        <v>29.333333333333186</v>
      </c>
      <c r="D353" s="38">
        <f t="shared" si="38"/>
        <v>2.7118779755580937</v>
      </c>
      <c r="E353" s="145">
        <f t="shared" si="35"/>
        <v>0.11986297387732847</v>
      </c>
      <c r="F353" s="145">
        <f t="shared" si="36"/>
        <v>0.32505375894282224</v>
      </c>
      <c r="G353" s="145"/>
      <c r="H353" s="145"/>
      <c r="M353" s="145"/>
      <c r="R353" s="145"/>
    </row>
    <row r="354" spans="1:18" x14ac:dyDescent="0.3">
      <c r="A354" s="38">
        <v>353</v>
      </c>
      <c r="B354" s="144">
        <f t="shared" si="37"/>
        <v>29.416666666666519</v>
      </c>
      <c r="D354" s="38">
        <f t="shared" si="38"/>
        <v>2.7118779755580937</v>
      </c>
      <c r="E354" s="145">
        <f t="shared" si="35"/>
        <v>0.11914276550750541</v>
      </c>
      <c r="F354" s="145">
        <f t="shared" si="36"/>
        <v>0.32310064172688646</v>
      </c>
      <c r="G354" s="145"/>
      <c r="H354" s="145"/>
      <c r="M354" s="145"/>
      <c r="R354" s="145"/>
    </row>
    <row r="355" spans="1:18" x14ac:dyDescent="0.3">
      <c r="A355" s="38">
        <v>354</v>
      </c>
      <c r="B355" s="144">
        <f t="shared" si="37"/>
        <v>29.499999999999851</v>
      </c>
      <c r="D355" s="38">
        <f t="shared" si="38"/>
        <v>2.7118779755580937</v>
      </c>
      <c r="E355" s="145">
        <f t="shared" si="35"/>
        <v>0.11842688457992069</v>
      </c>
      <c r="F355" s="145">
        <f t="shared" si="36"/>
        <v>0.32115926000624734</v>
      </c>
      <c r="G355" s="145"/>
      <c r="H355" s="145"/>
      <c r="M355" s="145"/>
      <c r="R355" s="145"/>
    </row>
    <row r="356" spans="1:18" x14ac:dyDescent="0.3">
      <c r="A356" s="38">
        <v>355</v>
      </c>
      <c r="B356" s="144">
        <f t="shared" si="37"/>
        <v>29.583333333333183</v>
      </c>
      <c r="D356" s="38">
        <f t="shared" si="38"/>
        <v>2.7118779755580937</v>
      </c>
      <c r="E356" s="145">
        <f t="shared" si="35"/>
        <v>0.11771530509271545</v>
      </c>
      <c r="F356" s="145">
        <f t="shared" si="36"/>
        <v>0.31922954326703656</v>
      </c>
      <c r="G356" s="145"/>
      <c r="H356" s="145"/>
      <c r="M356" s="145"/>
      <c r="R356" s="145"/>
    </row>
    <row r="357" spans="1:18" x14ac:dyDescent="0.3">
      <c r="A357" s="38">
        <v>356</v>
      </c>
      <c r="B357" s="144">
        <f t="shared" si="37"/>
        <v>29.666666666666515</v>
      </c>
      <c r="D357" s="38">
        <f t="shared" si="38"/>
        <v>2.7118779755580937</v>
      </c>
      <c r="E357" s="145">
        <f t="shared" si="35"/>
        <v>0.1170080012002656</v>
      </c>
      <c r="F357" s="145">
        <f t="shared" si="36"/>
        <v>0.31731142141907526</v>
      </c>
      <c r="G357" s="145"/>
      <c r="H357" s="145"/>
      <c r="M357" s="145"/>
      <c r="R357" s="145"/>
    </row>
    <row r="358" spans="1:18" x14ac:dyDescent="0.3">
      <c r="A358" s="38">
        <v>357</v>
      </c>
      <c r="B358" s="144">
        <f t="shared" si="37"/>
        <v>29.749999999999847</v>
      </c>
      <c r="D358" s="38">
        <f t="shared" si="38"/>
        <v>2.7118779755580937</v>
      </c>
      <c r="E358" s="145">
        <f t="shared" si="35"/>
        <v>0.1163049472122431</v>
      </c>
      <c r="F358" s="145">
        <f t="shared" si="36"/>
        <v>0.31540482479332876</v>
      </c>
      <c r="G358" s="145"/>
      <c r="H358" s="145"/>
      <c r="M358" s="145"/>
      <c r="R358" s="145"/>
    </row>
    <row r="359" spans="1:18" x14ac:dyDescent="0.3">
      <c r="A359" s="38">
        <v>358</v>
      </c>
      <c r="B359" s="144">
        <f t="shared" si="37"/>
        <v>29.833333333333179</v>
      </c>
      <c r="D359" s="38">
        <f t="shared" si="38"/>
        <v>2.7118779755580937</v>
      </c>
      <c r="E359" s="145">
        <f t="shared" si="35"/>
        <v>0.11560611759268259</v>
      </c>
      <c r="F359" s="145">
        <f t="shared" si="36"/>
        <v>0.31350968413937497</v>
      </c>
      <c r="G359" s="145"/>
      <c r="H359" s="145"/>
      <c r="M359" s="145"/>
      <c r="R359" s="145"/>
    </row>
    <row r="360" spans="1:18" x14ac:dyDescent="0.3">
      <c r="A360" s="38">
        <v>359</v>
      </c>
      <c r="B360" s="144">
        <f t="shared" si="37"/>
        <v>29.916666666666512</v>
      </c>
      <c r="D360" s="38">
        <f t="shared" si="38"/>
        <v>2.7118779755580937</v>
      </c>
      <c r="E360" s="145">
        <f t="shared" si="35"/>
        <v>0.11491148695905418</v>
      </c>
      <c r="F360" s="145">
        <f t="shared" si="36"/>
        <v>0.31162593062289012</v>
      </c>
      <c r="G360" s="145"/>
      <c r="H360" s="145"/>
      <c r="M360" s="145"/>
      <c r="R360" s="145"/>
    </row>
    <row r="361" spans="1:18" x14ac:dyDescent="0.3">
      <c r="A361" s="38">
        <v>360</v>
      </c>
      <c r="B361" s="144">
        <f t="shared" si="37"/>
        <v>29.999999999999844</v>
      </c>
      <c r="D361" s="38">
        <f t="shared" si="38"/>
        <v>2.7118779755580937</v>
      </c>
      <c r="E361" s="145">
        <f t="shared" si="35"/>
        <v>0.11422103008134127</v>
      </c>
      <c r="F361" s="145">
        <f t="shared" si="36"/>
        <v>0.30975349582314787</v>
      </c>
      <c r="G361" s="145"/>
      <c r="H361" s="145"/>
      <c r="M361" s="145"/>
      <c r="R361" s="1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0"/>
  <sheetViews>
    <sheetView topLeftCell="A7" workbookViewId="0"/>
  </sheetViews>
  <sheetFormatPr defaultColWidth="9.109375" defaultRowHeight="14.4" x14ac:dyDescent="0.3"/>
  <cols>
    <col min="1" max="1" width="11.44140625" style="38" bestFit="1" customWidth="1"/>
    <col min="2" max="2" width="15.109375" style="38" bestFit="1" customWidth="1"/>
    <col min="3" max="6" width="10.109375" style="38" bestFit="1" customWidth="1"/>
    <col min="7" max="7" width="10.6640625" style="38" bestFit="1" customWidth="1"/>
    <col min="8" max="8" width="7.6640625" style="38" bestFit="1" customWidth="1"/>
    <col min="9" max="9" width="12.44140625" style="38" bestFit="1" customWidth="1"/>
    <col min="10" max="10" width="13.44140625" style="38" bestFit="1" customWidth="1"/>
    <col min="11" max="11" width="14.33203125" style="38" bestFit="1" customWidth="1"/>
    <col min="12" max="12" width="14.33203125" style="38" customWidth="1"/>
    <col min="13" max="13" width="9.109375" style="38"/>
    <col min="14" max="14" width="7.44140625" style="38" bestFit="1" customWidth="1"/>
    <col min="15" max="15" width="14.6640625" style="38" customWidth="1"/>
    <col min="16" max="16" width="8.6640625" style="38" customWidth="1"/>
    <col min="17" max="17" width="29.33203125" style="38" bestFit="1" customWidth="1"/>
    <col min="18" max="19" width="21.44140625" style="38" bestFit="1" customWidth="1"/>
    <col min="20" max="16384" width="9.109375" style="38"/>
  </cols>
  <sheetData>
    <row r="1" spans="1:19" x14ac:dyDescent="0.3">
      <c r="B1" s="185">
        <v>42917</v>
      </c>
      <c r="C1" s="38" t="s">
        <v>147</v>
      </c>
    </row>
    <row r="2" spans="1:19" x14ac:dyDescent="0.3">
      <c r="B2" s="38" t="s">
        <v>120</v>
      </c>
    </row>
    <row r="3" spans="1:19" x14ac:dyDescent="0.3">
      <c r="B3" s="38">
        <v>0</v>
      </c>
      <c r="C3" s="38">
        <v>1</v>
      </c>
      <c r="D3" s="38">
        <v>2</v>
      </c>
      <c r="E3" s="38">
        <v>3</v>
      </c>
      <c r="F3" s="38">
        <v>4</v>
      </c>
    </row>
    <row r="4" spans="1:19" x14ac:dyDescent="0.3">
      <c r="A4" s="38" t="s">
        <v>124</v>
      </c>
      <c r="B4" s="185">
        <v>42917</v>
      </c>
      <c r="C4" s="185">
        <v>42552</v>
      </c>
      <c r="D4" s="185">
        <v>42186</v>
      </c>
      <c r="E4" s="185">
        <v>41821</v>
      </c>
      <c r="F4" s="185">
        <v>41456</v>
      </c>
      <c r="G4" s="38" t="s">
        <v>8</v>
      </c>
      <c r="I4" s="197" t="s">
        <v>125</v>
      </c>
      <c r="J4" s="197" t="s">
        <v>126</v>
      </c>
      <c r="K4" s="197" t="s">
        <v>8</v>
      </c>
      <c r="M4" s="38" t="s">
        <v>127</v>
      </c>
      <c r="N4" s="38" t="s">
        <v>128</v>
      </c>
      <c r="O4" s="38" t="s">
        <v>8</v>
      </c>
    </row>
    <row r="5" spans="1:19" x14ac:dyDescent="0.3">
      <c r="A5" s="38" t="s">
        <v>129</v>
      </c>
      <c r="B5" s="172">
        <v>3031</v>
      </c>
      <c r="C5" s="172">
        <v>2309</v>
      </c>
      <c r="D5" s="172">
        <v>1819</v>
      </c>
      <c r="E5" s="172">
        <v>1689</v>
      </c>
      <c r="F5" s="172">
        <v>1488</v>
      </c>
      <c r="G5" s="172">
        <v>27056</v>
      </c>
      <c r="H5" s="38" t="s">
        <v>130</v>
      </c>
      <c r="I5" s="172">
        <f>SUMPRODUCT(B5:F5,B6:F6)</f>
        <v>382638221</v>
      </c>
      <c r="J5" s="172">
        <f>G5*G6-I5</f>
        <v>831337443</v>
      </c>
      <c r="K5" s="196">
        <f>J5+I5</f>
        <v>1213975664</v>
      </c>
      <c r="L5" s="147">
        <v>7.2499999999999995E-2</v>
      </c>
      <c r="M5" s="194">
        <f>M10</f>
        <v>0.1531271944679041</v>
      </c>
      <c r="N5" s="186">
        <f>(O5-M5*J6)/I6</f>
        <v>0.13463956859785015</v>
      </c>
      <c r="O5" s="194">
        <v>0.14729999999999999</v>
      </c>
    </row>
    <row r="6" spans="1:19" x14ac:dyDescent="0.3">
      <c r="A6" s="38" t="s">
        <v>131</v>
      </c>
      <c r="B6" s="172">
        <v>31333</v>
      </c>
      <c r="C6" s="172">
        <v>37432</v>
      </c>
      <c r="D6" s="172">
        <v>39011</v>
      </c>
      <c r="E6" s="172">
        <v>40793</v>
      </c>
      <c r="F6" s="172">
        <v>41248</v>
      </c>
      <c r="G6" s="172">
        <v>44869</v>
      </c>
      <c r="H6" s="38" t="s">
        <v>132</v>
      </c>
      <c r="I6" s="183">
        <f>I5/(I5+J5)</f>
        <v>0.31519430936467274</v>
      </c>
      <c r="J6" s="183">
        <f>1-I6</f>
        <v>0.68480569063532726</v>
      </c>
      <c r="K6" s="183">
        <f>J6+I6</f>
        <v>1</v>
      </c>
      <c r="M6" s="194"/>
      <c r="N6" s="194"/>
      <c r="O6" s="195">
        <f>M5*J6+N5*I6</f>
        <v>0.14729999999999999</v>
      </c>
      <c r="P6" s="217"/>
    </row>
    <row r="7" spans="1:19" x14ac:dyDescent="0.3">
      <c r="M7" s="194"/>
      <c r="N7" s="194"/>
      <c r="O7" s="194"/>
      <c r="P7" s="147"/>
    </row>
    <row r="8" spans="1:19" x14ac:dyDescent="0.3">
      <c r="B8" s="185">
        <v>42552</v>
      </c>
      <c r="C8" s="38" t="s">
        <v>133</v>
      </c>
      <c r="M8" s="194"/>
      <c r="N8" s="194"/>
      <c r="O8" s="194">
        <f>O12*1.22^0.25</f>
        <v>0.14734587132603122</v>
      </c>
    </row>
    <row r="9" spans="1:19" x14ac:dyDescent="0.3">
      <c r="B9" s="38">
        <v>0</v>
      </c>
      <c r="C9" s="38">
        <v>1</v>
      </c>
      <c r="D9" s="38">
        <v>2</v>
      </c>
      <c r="E9" s="38">
        <v>3</v>
      </c>
      <c r="L9" s="38" t="s">
        <v>150</v>
      </c>
      <c r="M9" s="144">
        <f>Duration!C8*2</f>
        <v>22.338683479966413</v>
      </c>
      <c r="N9" s="194"/>
      <c r="O9" s="211"/>
    </row>
    <row r="10" spans="1:19" x14ac:dyDescent="0.3">
      <c r="A10" s="38" t="s">
        <v>124</v>
      </c>
      <c r="B10" s="185">
        <v>42552</v>
      </c>
      <c r="C10" s="185">
        <v>42186</v>
      </c>
      <c r="D10" s="185">
        <v>41821</v>
      </c>
      <c r="E10" s="185">
        <v>41456</v>
      </c>
      <c r="F10" s="38" t="s">
        <v>8</v>
      </c>
      <c r="I10" s="197" t="s">
        <v>125</v>
      </c>
      <c r="J10" s="197" t="s">
        <v>126</v>
      </c>
      <c r="K10" s="197" t="s">
        <v>8</v>
      </c>
      <c r="L10" s="147">
        <v>7.2499999999999995E-2</v>
      </c>
      <c r="M10" s="194">
        <f>M11*(1+$M$9/100)^(($L$11-$L$10)*100)</f>
        <v>0.1531271944679041</v>
      </c>
      <c r="N10" s="194">
        <f>N11*(1+$M$9/100)^(($L$11-$L$10)*100)</f>
        <v>0.13094381862589954</v>
      </c>
      <c r="O10" s="194">
        <f>O11*(1+$M$9/100)^(($L$11-$L$10)*100)</f>
        <v>0.14744802654120984</v>
      </c>
      <c r="Q10" s="187" t="s">
        <v>134</v>
      </c>
      <c r="R10" s="188"/>
      <c r="S10" s="189"/>
    </row>
    <row r="11" spans="1:19" x14ac:dyDescent="0.3">
      <c r="A11" s="38" t="s">
        <v>129</v>
      </c>
      <c r="B11" s="172">
        <v>2724</v>
      </c>
      <c r="C11" s="172">
        <v>2136</v>
      </c>
      <c r="D11" s="172">
        <v>1919</v>
      </c>
      <c r="E11" s="172">
        <v>1691</v>
      </c>
      <c r="F11" s="172">
        <v>26651</v>
      </c>
      <c r="H11" s="38" t="s">
        <v>130</v>
      </c>
      <c r="I11" s="172">
        <f>SUMPRODUCT(B11:E11,B12:E12)</f>
        <v>290929512</v>
      </c>
      <c r="J11" s="172">
        <f>F11*F12-I11</f>
        <v>845469128</v>
      </c>
      <c r="K11" s="196">
        <f>J11+I11</f>
        <v>1136398640</v>
      </c>
      <c r="L11" s="147">
        <v>7.4999999999999997E-2</v>
      </c>
      <c r="M11" s="194">
        <f>M18</f>
        <v>0.14560000000000001</v>
      </c>
      <c r="N11" s="186">
        <f>(O11-M11*J12)/I12</f>
        <v>0.12450708091518743</v>
      </c>
      <c r="O11" s="194">
        <v>0.14019999999999999</v>
      </c>
      <c r="Q11" s="210">
        <f>I12*-J6*M11+I6*J12*M11</f>
        <v>8.6172231213448962E-3</v>
      </c>
      <c r="R11" s="205">
        <f>O11*I6-I12*O5</f>
        <v>6.4799567069043842E-3</v>
      </c>
      <c r="S11" s="206">
        <f>Q11-R11</f>
        <v>2.1372664144405119E-3</v>
      </c>
    </row>
    <row r="12" spans="1:19" x14ac:dyDescent="0.3">
      <c r="A12" s="38" t="s">
        <v>131</v>
      </c>
      <c r="B12" s="172">
        <v>29574</v>
      </c>
      <c r="C12" s="172">
        <v>34860</v>
      </c>
      <c r="D12" s="172">
        <v>37261</v>
      </c>
      <c r="E12" s="172">
        <v>38087</v>
      </c>
      <c r="F12" s="172">
        <v>42640</v>
      </c>
      <c r="H12" s="38" t="s">
        <v>132</v>
      </c>
      <c r="I12" s="183">
        <f>I11/(I11+J11)</f>
        <v>0.25601008463016112</v>
      </c>
      <c r="J12" s="183">
        <f>1-I12</f>
        <v>0.74398991536983883</v>
      </c>
      <c r="K12" s="183">
        <f>J12+I12</f>
        <v>1</v>
      </c>
      <c r="M12" s="194"/>
      <c r="N12" s="194"/>
      <c r="O12" s="195">
        <f>M11*J12+N11*I12</f>
        <v>0.14019999999999999</v>
      </c>
      <c r="R12" s="207"/>
      <c r="S12" s="207"/>
    </row>
    <row r="13" spans="1:19" x14ac:dyDescent="0.3">
      <c r="M13" s="194"/>
      <c r="N13" s="194"/>
      <c r="O13" s="194"/>
      <c r="R13" s="207"/>
      <c r="S13" s="207"/>
    </row>
    <row r="14" spans="1:19" x14ac:dyDescent="0.3">
      <c r="A14" s="38" t="s">
        <v>118</v>
      </c>
      <c r="B14" s="185">
        <v>42186</v>
      </c>
      <c r="C14" s="38" t="s">
        <v>119</v>
      </c>
      <c r="R14" s="207"/>
      <c r="S14" s="207"/>
    </row>
    <row r="15" spans="1:19" x14ac:dyDescent="0.3">
      <c r="B15" s="38" t="s">
        <v>120</v>
      </c>
      <c r="M15" s="38" t="s">
        <v>121</v>
      </c>
      <c r="R15" s="207"/>
      <c r="S15" s="207"/>
    </row>
    <row r="16" spans="1:19" x14ac:dyDescent="0.3">
      <c r="B16" s="38">
        <v>0</v>
      </c>
      <c r="C16" s="38">
        <v>1</v>
      </c>
      <c r="D16" s="38">
        <v>2</v>
      </c>
      <c r="E16" s="38">
        <v>3</v>
      </c>
      <c r="M16" s="38" t="s">
        <v>122</v>
      </c>
      <c r="N16" s="38" t="s">
        <v>123</v>
      </c>
      <c r="R16" s="207"/>
      <c r="S16" s="207"/>
    </row>
    <row r="17" spans="1:19" x14ac:dyDescent="0.3">
      <c r="A17" s="38" t="s">
        <v>124</v>
      </c>
      <c r="B17" s="185">
        <f>DATE(YEAR($B14)-B16,7,1)</f>
        <v>42186</v>
      </c>
      <c r="C17" s="185">
        <f>DATE(YEAR($B14)-C16,7,1)</f>
        <v>41821</v>
      </c>
      <c r="D17" s="185">
        <f>DATE(YEAR($B14)-D16,7,1)</f>
        <v>41456</v>
      </c>
      <c r="E17" s="185">
        <f>DATE(YEAR($B14)-E16,7,1)</f>
        <v>41091</v>
      </c>
      <c r="F17" s="38" t="s">
        <v>8</v>
      </c>
      <c r="I17" s="197" t="s">
        <v>125</v>
      </c>
      <c r="J17" s="197" t="s">
        <v>126</v>
      </c>
      <c r="K17" s="197" t="s">
        <v>8</v>
      </c>
      <c r="M17" s="38" t="s">
        <v>127</v>
      </c>
      <c r="N17" s="38" t="s">
        <v>128</v>
      </c>
      <c r="O17" s="38" t="s">
        <v>8</v>
      </c>
      <c r="Q17" s="187" t="s">
        <v>134</v>
      </c>
      <c r="R17" s="208"/>
      <c r="S17" s="209"/>
    </row>
    <row r="18" spans="1:19" x14ac:dyDescent="0.3">
      <c r="A18" s="38" t="s">
        <v>129</v>
      </c>
      <c r="B18" s="172">
        <v>2579</v>
      </c>
      <c r="C18" s="172">
        <v>2274</v>
      </c>
      <c r="D18" s="172">
        <v>1943</v>
      </c>
      <c r="E18" s="172"/>
      <c r="F18" s="172">
        <v>26575</v>
      </c>
      <c r="H18" s="38" t="s">
        <v>130</v>
      </c>
      <c r="I18" s="172">
        <f>SUMPRODUCT(B18:E18,B19:E19)</f>
        <v>183347115</v>
      </c>
      <c r="J18" s="172">
        <f>F18*F19-I18</f>
        <v>869687260</v>
      </c>
      <c r="K18" s="196">
        <f>J18+I18</f>
        <v>1053034375</v>
      </c>
      <c r="L18" s="196"/>
      <c r="M18" s="193">
        <v>0.14560000000000001</v>
      </c>
      <c r="N18" s="186">
        <f>N25</f>
        <v>0.12279614408266216</v>
      </c>
      <c r="O18" s="147">
        <v>0.1416</v>
      </c>
      <c r="Q18" s="190">
        <f>I19*-J12*M18+I12*J19*M18</f>
        <v>1.1924196045071233E-2</v>
      </c>
      <c r="R18" s="205">
        <f>O18*I12-I19*O11</f>
        <v>1.1840366628914828E-2</v>
      </c>
      <c r="S18" s="206">
        <f>Q18-R18</f>
        <v>8.3829416156405018E-5</v>
      </c>
    </row>
    <row r="19" spans="1:19" x14ac:dyDescent="0.3">
      <c r="A19" s="38" t="s">
        <v>131</v>
      </c>
      <c r="B19" s="172">
        <v>14959</v>
      </c>
      <c r="C19" s="172">
        <v>33362</v>
      </c>
      <c r="D19" s="172">
        <v>35462</v>
      </c>
      <c r="E19" s="172"/>
      <c r="F19" s="172">
        <v>39625</v>
      </c>
      <c r="H19" s="38" t="s">
        <v>132</v>
      </c>
      <c r="I19" s="183">
        <f>I18/(I18+J18)</f>
        <v>0.17411313377115539</v>
      </c>
      <c r="J19" s="183">
        <f>1-I19</f>
        <v>0.82588686622884455</v>
      </c>
      <c r="K19" s="183">
        <f>J19+I19</f>
        <v>1</v>
      </c>
      <c r="M19" s="194"/>
      <c r="O19" s="195">
        <f>M18*J19+N18*I19</f>
        <v>0.1416295491841664</v>
      </c>
      <c r="R19" s="207"/>
      <c r="S19" s="207"/>
    </row>
    <row r="20" spans="1:19" x14ac:dyDescent="0.3">
      <c r="M20" s="194"/>
      <c r="R20" s="207"/>
      <c r="S20" s="207"/>
    </row>
    <row r="21" spans="1:19" x14ac:dyDescent="0.3">
      <c r="A21" s="38" t="s">
        <v>118</v>
      </c>
      <c r="B21" s="185">
        <v>41821</v>
      </c>
      <c r="C21" s="38" t="s">
        <v>133</v>
      </c>
      <c r="M21" s="194"/>
      <c r="R21" s="207"/>
      <c r="S21" s="207"/>
    </row>
    <row r="22" spans="1:19" x14ac:dyDescent="0.3">
      <c r="B22" s="38" t="s">
        <v>120</v>
      </c>
      <c r="M22" s="194"/>
      <c r="R22" s="207"/>
      <c r="S22" s="207"/>
    </row>
    <row r="23" spans="1:19" x14ac:dyDescent="0.3">
      <c r="B23" s="38">
        <v>0</v>
      </c>
      <c r="C23" s="38">
        <v>1</v>
      </c>
      <c r="D23" s="38">
        <v>2</v>
      </c>
      <c r="E23" s="38">
        <v>3</v>
      </c>
      <c r="M23" s="194"/>
      <c r="R23" s="207"/>
      <c r="S23" s="207"/>
    </row>
    <row r="24" spans="1:19" x14ac:dyDescent="0.3">
      <c r="A24" s="38" t="s">
        <v>124</v>
      </c>
      <c r="B24" s="185">
        <f>DATE(YEAR($B21)-B23,7,1)</f>
        <v>41821</v>
      </c>
      <c r="C24" s="185">
        <f>DATE(YEAR($B21)-C23,7,1)</f>
        <v>41456</v>
      </c>
      <c r="D24" s="185">
        <f>DATE(YEAR($B21)-D23,7,1)</f>
        <v>41091</v>
      </c>
      <c r="E24" s="185">
        <f>DATE(YEAR($B21)-E23,7,1)</f>
        <v>40725</v>
      </c>
      <c r="F24" s="38" t="s">
        <v>8</v>
      </c>
      <c r="I24" s="38" t="s">
        <v>125</v>
      </c>
      <c r="J24" s="38" t="s">
        <v>126</v>
      </c>
      <c r="K24" s="197" t="s">
        <v>8</v>
      </c>
      <c r="M24" s="194"/>
      <c r="Q24" s="187" t="s">
        <v>134</v>
      </c>
      <c r="R24" s="208"/>
      <c r="S24" s="209"/>
    </row>
    <row r="25" spans="1:19" x14ac:dyDescent="0.3">
      <c r="A25" s="38" t="s">
        <v>129</v>
      </c>
      <c r="B25" s="172">
        <v>2694</v>
      </c>
      <c r="C25" s="172">
        <v>2256</v>
      </c>
      <c r="D25" s="172"/>
      <c r="E25" s="172"/>
      <c r="F25" s="172">
        <v>26697</v>
      </c>
      <c r="H25" s="38" t="s">
        <v>130</v>
      </c>
      <c r="I25" s="172">
        <f>SUMPRODUCT(B25:E25,B26:E26)</f>
        <v>112447950</v>
      </c>
      <c r="J25" s="172">
        <f>F25*F26-I25</f>
        <v>913250790</v>
      </c>
      <c r="K25" s="196">
        <f>J25+I25</f>
        <v>1025698740</v>
      </c>
      <c r="M25" s="193">
        <v>0.14560000000000001</v>
      </c>
      <c r="N25" s="186">
        <f>(O25-M25*J26)/I26</f>
        <v>0.12279614408266216</v>
      </c>
      <c r="O25" s="147">
        <v>0.1431</v>
      </c>
      <c r="Q25" s="190">
        <f>I26*-J19*M25+I19*J26*M25</f>
        <v>9.3886595127357954E-3</v>
      </c>
      <c r="R25" s="205">
        <f>O25*I19-I26*O18</f>
        <v>9.3918990069986868E-3</v>
      </c>
      <c r="S25" s="206">
        <f>Q25-R25</f>
        <v>-3.2394942628913986E-6</v>
      </c>
    </row>
    <row r="26" spans="1:19" x14ac:dyDescent="0.3">
      <c r="A26" s="38" t="s">
        <v>131</v>
      </c>
      <c r="B26" s="172">
        <v>14741</v>
      </c>
      <c r="C26" s="172">
        <v>32241</v>
      </c>
      <c r="D26" s="172"/>
      <c r="E26" s="172"/>
      <c r="F26" s="172">
        <v>38420</v>
      </c>
      <c r="H26" s="38" t="s">
        <v>132</v>
      </c>
      <c r="I26" s="183">
        <f>I25/(I25+J25)</f>
        <v>0.10963058217269527</v>
      </c>
      <c r="J26" s="183">
        <f>1-I26</f>
        <v>0.89036941782730472</v>
      </c>
      <c r="K26" s="183">
        <f>J26+I26</f>
        <v>1</v>
      </c>
      <c r="M26" s="194"/>
      <c r="O26" s="195">
        <f>M25*J26+N25*I26</f>
        <v>0.1431</v>
      </c>
      <c r="S26" s="38" t="s">
        <v>135</v>
      </c>
    </row>
    <row r="27" spans="1:19" x14ac:dyDescent="0.3">
      <c r="M27" s="194"/>
    </row>
    <row r="28" spans="1:19" x14ac:dyDescent="0.3">
      <c r="A28" s="38" t="s">
        <v>118</v>
      </c>
      <c r="B28" s="185">
        <v>41456</v>
      </c>
      <c r="C28" s="38" t="s">
        <v>133</v>
      </c>
      <c r="M28" s="194"/>
    </row>
    <row r="29" spans="1:19" x14ac:dyDescent="0.3">
      <c r="B29" s="38" t="s">
        <v>120</v>
      </c>
      <c r="M29" s="194"/>
    </row>
    <row r="30" spans="1:19" x14ac:dyDescent="0.3">
      <c r="B30" s="38">
        <v>0</v>
      </c>
      <c r="C30" s="38">
        <v>1</v>
      </c>
      <c r="D30" s="38">
        <v>2</v>
      </c>
      <c r="E30" s="38">
        <v>3</v>
      </c>
      <c r="M30" s="194"/>
    </row>
    <row r="31" spans="1:19" x14ac:dyDescent="0.3">
      <c r="A31" s="38" t="s">
        <v>124</v>
      </c>
      <c r="B31" s="185">
        <f>DATE(YEAR($B28)-B30,7,1)</f>
        <v>41456</v>
      </c>
      <c r="C31" s="185">
        <f>DATE(YEAR($B28)-C30,7,1)</f>
        <v>41091</v>
      </c>
      <c r="D31" s="185">
        <f>DATE(YEAR($B28)-D30,7,1)</f>
        <v>40725</v>
      </c>
      <c r="E31" s="185">
        <f>DATE(YEAR($B28)-E30,7,1)</f>
        <v>40360</v>
      </c>
      <c r="F31" s="38" t="s">
        <v>8</v>
      </c>
      <c r="I31" s="38" t="s">
        <v>125</v>
      </c>
      <c r="J31" s="38" t="s">
        <v>126</v>
      </c>
      <c r="K31" s="197" t="s">
        <v>8</v>
      </c>
      <c r="M31" s="194"/>
    </row>
    <row r="32" spans="1:19" x14ac:dyDescent="0.3">
      <c r="A32" s="38" t="s">
        <v>129</v>
      </c>
      <c r="B32" s="172">
        <v>2662</v>
      </c>
      <c r="C32" s="172"/>
      <c r="D32" s="172"/>
      <c r="E32" s="172"/>
      <c r="F32" s="172">
        <v>26194</v>
      </c>
      <c r="H32" s="38" t="s">
        <v>130</v>
      </c>
      <c r="I32" s="172">
        <f>SUMPRODUCT(B32:E32,B33:E33)</f>
        <v>38085234</v>
      </c>
      <c r="J32" s="172">
        <f>F32*F33-I32</f>
        <v>946128122</v>
      </c>
      <c r="K32" s="196">
        <f>J32+I32</f>
        <v>984213356</v>
      </c>
      <c r="M32" s="193">
        <v>0.14560000000000001</v>
      </c>
      <c r="N32" s="186">
        <f>(O32-M32*J33)/I33</f>
        <v>0.12492609040028514</v>
      </c>
      <c r="O32" s="147">
        <v>0.14480000000000001</v>
      </c>
      <c r="P32" s="192" t="s">
        <v>136</v>
      </c>
      <c r="R32" s="191"/>
      <c r="S32" s="191"/>
    </row>
    <row r="33" spans="1:15" x14ac:dyDescent="0.3">
      <c r="A33" s="38" t="s">
        <v>131</v>
      </c>
      <c r="B33" s="172">
        <v>14307</v>
      </c>
      <c r="C33" s="172"/>
      <c r="D33" s="172"/>
      <c r="E33" s="172"/>
      <c r="F33" s="172">
        <v>37574</v>
      </c>
      <c r="H33" s="38" t="s">
        <v>132</v>
      </c>
      <c r="I33" s="183">
        <f>I32/(I32+J32)</f>
        <v>3.8696115804386623E-2</v>
      </c>
      <c r="J33" s="183">
        <f>1-I33</f>
        <v>0.96130388419561341</v>
      </c>
      <c r="K33" s="183">
        <f>J33+I33</f>
        <v>1</v>
      </c>
      <c r="O33" s="195">
        <f>M32*J33+N32*I33</f>
        <v>0.14480000000000001</v>
      </c>
    </row>
    <row r="35" spans="1:15" x14ac:dyDescent="0.3">
      <c r="A35" s="38" t="s">
        <v>118</v>
      </c>
      <c r="B35" s="185">
        <v>41091</v>
      </c>
      <c r="C35" s="38" t="s">
        <v>133</v>
      </c>
    </row>
    <row r="36" spans="1:15" x14ac:dyDescent="0.3">
      <c r="B36" s="38" t="s">
        <v>120</v>
      </c>
    </row>
    <row r="37" spans="1:15" x14ac:dyDescent="0.3">
      <c r="B37" s="38">
        <v>0</v>
      </c>
      <c r="C37" s="38">
        <v>1</v>
      </c>
      <c r="D37" s="38">
        <v>2</v>
      </c>
      <c r="E37" s="38">
        <v>3</v>
      </c>
    </row>
    <row r="38" spans="1:15" x14ac:dyDescent="0.3">
      <c r="A38" s="38" t="s">
        <v>124</v>
      </c>
      <c r="B38" s="185">
        <f>DATE(YEAR($B35)-B37,7,1)</f>
        <v>41091</v>
      </c>
      <c r="C38" s="185">
        <f>DATE(YEAR($B35)-C37,7,1)</f>
        <v>40725</v>
      </c>
      <c r="D38" s="185">
        <f>DATE(YEAR($B35)-D37,7,1)</f>
        <v>40360</v>
      </c>
      <c r="E38" s="185">
        <f>DATE(YEAR($B35)-E37,7,1)</f>
        <v>39995</v>
      </c>
      <c r="F38" s="38" t="s">
        <v>8</v>
      </c>
      <c r="I38" s="38" t="s">
        <v>125</v>
      </c>
      <c r="J38" s="38" t="s">
        <v>126</v>
      </c>
      <c r="K38" s="197" t="s">
        <v>8</v>
      </c>
    </row>
    <row r="39" spans="1:15" x14ac:dyDescent="0.3">
      <c r="A39" s="38" t="s">
        <v>129</v>
      </c>
      <c r="B39" s="172"/>
      <c r="C39" s="172"/>
      <c r="D39" s="172"/>
      <c r="E39" s="172"/>
      <c r="F39" s="172">
        <v>26194</v>
      </c>
      <c r="H39" s="38" t="s">
        <v>130</v>
      </c>
      <c r="I39" s="172">
        <f>SUMPRODUCT(B39:E39,B40:E40)</f>
        <v>0</v>
      </c>
      <c r="J39" s="172">
        <f>F39*F40-I39</f>
        <v>984213356</v>
      </c>
      <c r="K39" s="196">
        <f>J39+I39</f>
        <v>984213356</v>
      </c>
      <c r="O39" s="147">
        <v>0.14330000000000001</v>
      </c>
    </row>
    <row r="40" spans="1:15" x14ac:dyDescent="0.3">
      <c r="A40" s="38" t="s">
        <v>131</v>
      </c>
      <c r="B40" s="172"/>
      <c r="C40" s="172"/>
      <c r="D40" s="172"/>
      <c r="E40" s="172"/>
      <c r="F40" s="172">
        <v>37574</v>
      </c>
      <c r="H40" s="38" t="s">
        <v>132</v>
      </c>
      <c r="I40" s="183">
        <f>I39/(I39+J39)</f>
        <v>0</v>
      </c>
      <c r="J40" s="183">
        <f>1-I40</f>
        <v>1</v>
      </c>
      <c r="K40" s="183">
        <f>J40+I40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/>
  </sheetViews>
  <sheetFormatPr defaultColWidth="8.6640625" defaultRowHeight="14.4" x14ac:dyDescent="0.3"/>
  <cols>
    <col min="1" max="1" width="8.6640625" style="38"/>
    <col min="2" max="3" width="9.109375" bestFit="1" customWidth="1"/>
    <col min="4" max="5" width="8.6640625" style="38"/>
    <col min="6" max="6" width="9.109375" bestFit="1" customWidth="1"/>
  </cols>
  <sheetData>
    <row r="1" spans="1:8" s="38" customFormat="1" x14ac:dyDescent="0.3">
      <c r="A1" s="38" t="s">
        <v>195</v>
      </c>
      <c r="C1" s="38" t="s">
        <v>162</v>
      </c>
      <c r="G1" s="38" t="s">
        <v>108</v>
      </c>
    </row>
    <row r="2" spans="1:8" x14ac:dyDescent="0.3">
      <c r="B2" s="238">
        <v>1169</v>
      </c>
      <c r="C2" s="172">
        <f>SUMPRODUCT(B3:B6,D3:D6)</f>
        <v>1278.9609</v>
      </c>
      <c r="F2" s="238">
        <v>826</v>
      </c>
      <c r="G2" s="172">
        <f>SUMPRODUCT(F3:F6,H3:H6)</f>
        <v>796.28699999999992</v>
      </c>
    </row>
    <row r="3" spans="1:8" x14ac:dyDescent="0.3">
      <c r="A3" s="38" t="s">
        <v>194</v>
      </c>
      <c r="B3" s="172">
        <v>8271</v>
      </c>
      <c r="C3" s="172">
        <f>B3*D3</f>
        <v>991.69290000000001</v>
      </c>
      <c r="D3" s="194">
        <v>0.11990000000000001</v>
      </c>
      <c r="E3" s="147"/>
      <c r="F3" s="172">
        <f>B3</f>
        <v>8271</v>
      </c>
      <c r="G3" s="172">
        <f>B3*H3</f>
        <v>716.26859999999999</v>
      </c>
      <c r="H3" s="194">
        <v>8.6599999999999996E-2</v>
      </c>
    </row>
    <row r="4" spans="1:8" x14ac:dyDescent="0.3">
      <c r="A4" s="38" t="s">
        <v>176</v>
      </c>
      <c r="B4" s="172">
        <v>373</v>
      </c>
      <c r="C4" s="172">
        <f>B4*D4</f>
        <v>77.024500000000003</v>
      </c>
      <c r="D4" s="194">
        <f>D3+H3</f>
        <v>0.20650000000000002</v>
      </c>
      <c r="E4" s="147">
        <f>D4-D3</f>
        <v>8.660000000000001E-2</v>
      </c>
      <c r="F4" s="172">
        <f>B4</f>
        <v>373</v>
      </c>
      <c r="G4" s="172">
        <f>B4*H4</f>
        <v>32.3018</v>
      </c>
      <c r="H4" s="194">
        <v>8.6599999999999996E-2</v>
      </c>
    </row>
    <row r="5" spans="1:8" x14ac:dyDescent="0.3">
      <c r="A5" s="38" t="s">
        <v>107</v>
      </c>
      <c r="B5" s="172">
        <v>551</v>
      </c>
      <c r="C5" s="172">
        <f>B5*D5</f>
        <v>113.78150000000001</v>
      </c>
      <c r="D5" s="194">
        <f>D4</f>
        <v>0.20650000000000002</v>
      </c>
      <c r="E5" s="147"/>
      <c r="F5" s="172">
        <f>B5</f>
        <v>551</v>
      </c>
      <c r="G5" s="172">
        <f>B5*H5</f>
        <v>47.7166</v>
      </c>
      <c r="H5" s="194">
        <v>8.6599999999999996E-2</v>
      </c>
    </row>
    <row r="6" spans="1:8" x14ac:dyDescent="0.3">
      <c r="A6" s="38" t="s">
        <v>175</v>
      </c>
      <c r="B6" s="172">
        <v>1380</v>
      </c>
      <c r="C6" s="172">
        <f>B6*D6</f>
        <v>96.462000000000003</v>
      </c>
      <c r="D6" s="194">
        <f>D3-5%</f>
        <v>6.9900000000000004E-2</v>
      </c>
      <c r="E6" s="147"/>
      <c r="F6" s="172">
        <f>B6</f>
        <v>1380</v>
      </c>
      <c r="G6" s="172">
        <f>B6*H6</f>
        <v>0</v>
      </c>
      <c r="H6" s="194">
        <v>0</v>
      </c>
    </row>
    <row r="8" spans="1:8" x14ac:dyDescent="0.3">
      <c r="A8" s="38">
        <v>2016</v>
      </c>
      <c r="B8" s="38"/>
      <c r="C8" s="38" t="s">
        <v>162</v>
      </c>
      <c r="F8" s="38"/>
      <c r="G8" s="38" t="s">
        <v>108</v>
      </c>
      <c r="H8" s="38"/>
    </row>
    <row r="9" spans="1:8" x14ac:dyDescent="0.3">
      <c r="B9" s="238">
        <v>1169</v>
      </c>
      <c r="C9" s="172">
        <f>SUMPRODUCT(B10:B13,D10:D13)</f>
        <v>1193.1543999999999</v>
      </c>
      <c r="F9" s="242">
        <v>826</v>
      </c>
      <c r="G9" s="172">
        <f>SUMPRODUCT(F10:F13,H10:H13)</f>
        <v>797.4899999999999</v>
      </c>
      <c r="H9" s="38"/>
    </row>
    <row r="10" spans="1:8" x14ac:dyDescent="0.3">
      <c r="A10" s="38" t="s">
        <v>194</v>
      </c>
      <c r="B10" s="172">
        <v>7891</v>
      </c>
      <c r="C10" s="172">
        <f>B10*D10</f>
        <v>912.19959999999992</v>
      </c>
      <c r="D10" s="147">
        <v>0.11559999999999999</v>
      </c>
      <c r="E10" s="147"/>
      <c r="F10" s="172">
        <f>B10</f>
        <v>7891</v>
      </c>
      <c r="G10" s="172">
        <f>B10*H10</f>
        <v>710.18999999999994</v>
      </c>
      <c r="H10" s="194">
        <v>0.09</v>
      </c>
    </row>
    <row r="11" spans="1:8" x14ac:dyDescent="0.3">
      <c r="A11" s="38" t="s">
        <v>176</v>
      </c>
      <c r="B11" s="172">
        <v>463</v>
      </c>
      <c r="C11" s="172">
        <f>B11*D11</f>
        <v>93.618600000000001</v>
      </c>
      <c r="D11" s="147">
        <v>0.20219999999999999</v>
      </c>
      <c r="E11" s="147"/>
      <c r="F11" s="172">
        <f>B11</f>
        <v>463</v>
      </c>
      <c r="G11" s="172">
        <f>B11*H11</f>
        <v>41.67</v>
      </c>
      <c r="H11" s="194">
        <v>0.09</v>
      </c>
    </row>
    <row r="12" spans="1:8" x14ac:dyDescent="0.3">
      <c r="A12" s="38" t="s">
        <v>107</v>
      </c>
      <c r="B12" s="172">
        <v>507</v>
      </c>
      <c r="C12" s="172">
        <f>B12*D12</f>
        <v>102.5154</v>
      </c>
      <c r="D12" s="147">
        <v>0.20219999999999999</v>
      </c>
      <c r="E12" s="147"/>
      <c r="F12" s="172">
        <f>B12</f>
        <v>507</v>
      </c>
      <c r="G12" s="172">
        <f>B12*H12</f>
        <v>45.629999999999995</v>
      </c>
      <c r="H12" s="194">
        <v>0.09</v>
      </c>
    </row>
    <row r="13" spans="1:8" x14ac:dyDescent="0.3">
      <c r="A13" s="38" t="s">
        <v>175</v>
      </c>
      <c r="B13" s="172">
        <v>1293</v>
      </c>
      <c r="C13" s="172">
        <f>B13*D13</f>
        <v>84.820800000000006</v>
      </c>
      <c r="D13" s="147">
        <v>6.5600000000000006E-2</v>
      </c>
      <c r="E13" s="147"/>
      <c r="F13" s="172">
        <f>B13</f>
        <v>1293</v>
      </c>
      <c r="G13" s="172">
        <f>B13*H13</f>
        <v>0</v>
      </c>
      <c r="H13" s="19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SCRS</vt:lpstr>
      <vt:lpstr>Outputs</vt:lpstr>
      <vt:lpstr>Inv.Returns</vt:lpstr>
      <vt:lpstr>Duration</vt:lpstr>
      <vt:lpstr>Sheet1</vt:lpstr>
      <vt:lpstr>Develop NCs</vt:lpstr>
      <vt:lpstr>Sheet3</vt:lpstr>
      <vt:lpstr>SCRS!Print_Area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Septon</dc:creator>
  <cp:lastModifiedBy>Swaroop Bhagavatula</cp:lastModifiedBy>
  <cp:lastPrinted>2016-07-06T13:45:49Z</cp:lastPrinted>
  <dcterms:created xsi:type="dcterms:W3CDTF">2014-06-11T15:30:42Z</dcterms:created>
  <dcterms:modified xsi:type="dcterms:W3CDTF">2022-01-22T02:03:11Z</dcterms:modified>
</cp:coreProperties>
</file>