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0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himerocytecom.sharepoint.com/sites/ChimerocyteOfficeFiles/Shared Documents/Products and Services/Prep-Run-Analyze-Data/06- Planning-Analyzing Templates/"/>
    </mc:Choice>
  </mc:AlternateContent>
  <xr:revisionPtr revIDLastSave="493" documentId="13_ncr:1_{85F5200E-6AB7-4ABC-B627-972D4F86619D}" xr6:coauthVersionLast="47" xr6:coauthVersionMax="47" xr10:uidLastSave="{9DAF2091-9EF7-4F33-BE76-2EA0A7DDF422}"/>
  <workbookProtection workbookAlgorithmName="SHA-512" workbookHashValue="kolZEsoeTYjmpDK0WU4M+JOqC4j8unYkTbTI0yzxLckDSb7Bw7Ugku2t6ZS2Tyw/hxODaWWad4sKdPGO8eCfvA==" workbookSaltValue="gqPetq+O9lTuo0ppXJktIg==" workbookSpinCount="100000" lockStructure="1"/>
  <bookViews>
    <workbookView xWindow="19080" yWindow="-120" windowWidth="19440" windowHeight="15000" xr2:uid="{00000000-000D-0000-FFFF-FFFF00000000}"/>
  </bookViews>
  <sheets>
    <sheet name="HLA-assay Q-PCR" sheetId="1" r:id="rId1"/>
    <sheet name="Notes" sheetId="2" r:id="rId2"/>
    <sheet name="Sheet1" sheetId="4" state="hidden" r:id="rId3"/>
    <sheet name="Assay_list" sheetId="3" state="hidden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B14" i="1"/>
  <c r="D14" i="1"/>
  <c r="H14" i="1"/>
  <c r="F6" i="1"/>
  <c r="K31" i="1"/>
  <c r="K30" i="1"/>
  <c r="K29" i="1"/>
  <c r="L31" i="1"/>
  <c r="M31" i="1" s="1"/>
  <c r="L29" i="1"/>
  <c r="K21" i="1"/>
  <c r="K22" i="1"/>
  <c r="K20" i="1"/>
  <c r="L22" i="1"/>
  <c r="L20" i="1"/>
  <c r="M29" i="1" l="1"/>
  <c r="L21" i="1"/>
  <c r="L19" i="1"/>
  <c r="L28" i="1"/>
  <c r="L30" i="1"/>
  <c r="M2" i="1"/>
  <c r="L3" i="1"/>
  <c r="D6" i="1" s="1"/>
  <c r="G3" i="1"/>
  <c r="L2" i="1"/>
  <c r="C7" i="1" s="1"/>
  <c r="G2" i="1"/>
  <c r="I3" i="1"/>
  <c r="I2" i="1"/>
  <c r="G27" i="1"/>
  <c r="B8" i="1" s="1"/>
  <c r="B7" i="1"/>
  <c r="G39" i="1"/>
  <c r="F39" i="1" s="1"/>
  <c r="G6" i="1"/>
  <c r="I44" i="1"/>
  <c r="K26" i="1" s="1"/>
  <c r="H6" i="1"/>
  <c r="I6" i="1"/>
  <c r="J6" i="1"/>
  <c r="K6" i="1"/>
  <c r="L6" i="1"/>
  <c r="M6" i="1"/>
  <c r="K28" i="1"/>
  <c r="K19" i="1"/>
  <c r="C2" i="1"/>
  <c r="F27" i="1" l="1"/>
  <c r="B9" i="1" s="1"/>
  <c r="L32" i="1"/>
  <c r="L23" i="1"/>
  <c r="L24" i="1" s="1"/>
  <c r="C9" i="1"/>
  <c r="E9" i="1"/>
  <c r="D9" i="1"/>
  <c r="E39" i="1"/>
  <c r="D39" i="1" s="1"/>
  <c r="E11" i="1" s="1"/>
  <c r="C8" i="1"/>
  <c r="E8" i="1"/>
  <c r="D8" i="1"/>
  <c r="B33" i="1"/>
  <c r="E6" i="1"/>
  <c r="E7" i="1"/>
  <c r="B45" i="1"/>
  <c r="D7" i="1"/>
  <c r="C24" i="1" l="1"/>
  <c r="I27" i="1"/>
  <c r="I39" i="1"/>
  <c r="D46" i="1"/>
  <c r="C36" i="1"/>
  <c r="E27" i="1"/>
  <c r="D10" i="1"/>
  <c r="C10" i="1"/>
  <c r="C39" i="1"/>
  <c r="D12" i="1" s="1"/>
  <c r="M41" i="1"/>
  <c r="N41" i="1" s="1"/>
  <c r="I22" i="1"/>
  <c r="E34" i="1"/>
  <c r="L39" i="1"/>
  <c r="M46" i="1"/>
  <c r="N46" i="1" s="1"/>
  <c r="M45" i="1"/>
  <c r="N45" i="1" s="1"/>
  <c r="N40" i="1"/>
  <c r="M42" i="1"/>
  <c r="N42" i="1" s="1"/>
  <c r="M48" i="1"/>
  <c r="N48" i="1" s="1"/>
  <c r="I23" i="1"/>
  <c r="E22" i="1"/>
  <c r="M44" i="1"/>
  <c r="N44" i="1" s="1"/>
  <c r="M47" i="1"/>
  <c r="N47" i="1" s="1"/>
  <c r="I35" i="1"/>
  <c r="I34" i="1"/>
  <c r="M43" i="1"/>
  <c r="N43" i="1" s="1"/>
  <c r="L33" i="1"/>
  <c r="C11" i="1"/>
  <c r="E10" i="1"/>
  <c r="D11" i="1"/>
  <c r="C12" i="1"/>
  <c r="B39" i="1" l="1"/>
  <c r="D13" i="1" s="1"/>
  <c r="E12" i="1"/>
  <c r="D27" i="1"/>
  <c r="B10" i="1"/>
  <c r="E13" i="1"/>
  <c r="C13" i="1"/>
  <c r="H35" i="1" l="1"/>
  <c r="E35" i="1" s="1"/>
  <c r="H37" i="1" s="1"/>
  <c r="B41" i="1" s="1"/>
  <c r="B42" i="1" s="1"/>
  <c r="F41" i="1" s="1"/>
  <c r="F42" i="1" s="1"/>
  <c r="C27" i="1"/>
  <c r="B11" i="1"/>
  <c r="M32" i="1"/>
  <c r="D47" i="1" s="1"/>
  <c r="D48" i="1" l="1"/>
  <c r="E48" i="1" s="1"/>
  <c r="E41" i="1"/>
  <c r="E42" i="1" s="1"/>
  <c r="G41" i="1"/>
  <c r="G42" i="1" s="1"/>
  <c r="D41" i="1"/>
  <c r="D42" i="1" s="1"/>
  <c r="H41" i="1"/>
  <c r="H42" i="1" s="1"/>
  <c r="C41" i="1"/>
  <c r="C42" i="1" s="1"/>
  <c r="B27" i="1"/>
  <c r="B12" i="1"/>
  <c r="H23" i="1" l="1"/>
  <c r="E23" i="1" s="1"/>
  <c r="H25" i="1" s="1"/>
  <c r="B29" i="1" s="1"/>
  <c r="B30" i="1" s="1"/>
  <c r="B13" i="1"/>
  <c r="C29" i="1" l="1"/>
  <c r="C30" i="1" s="1"/>
  <c r="D29" i="1"/>
  <c r="D30" i="1" s="1"/>
  <c r="F29" i="1"/>
  <c r="F30" i="1" s="1"/>
  <c r="E29" i="1"/>
  <c r="E30" i="1" s="1"/>
  <c r="G29" i="1"/>
  <c r="G30" i="1" s="1"/>
  <c r="H29" i="1"/>
  <c r="H30" i="1" s="1"/>
  <c r="F7" i="1" l="1"/>
  <c r="H7" i="1" s="1"/>
  <c r="G7" i="1" l="1"/>
  <c r="J7" i="1"/>
  <c r="I7" i="1"/>
  <c r="M7" i="1"/>
  <c r="L7" i="1"/>
  <c r="K7" i="1"/>
  <c r="F8" i="1"/>
  <c r="K8" i="1" s="1"/>
  <c r="L8" i="1" l="1"/>
  <c r="M8" i="1"/>
  <c r="G8" i="1"/>
  <c r="H8" i="1"/>
  <c r="I8" i="1"/>
  <c r="J8" i="1"/>
  <c r="F9" i="1"/>
  <c r="M9" i="1" l="1"/>
  <c r="L9" i="1"/>
  <c r="G9" i="1"/>
  <c r="H9" i="1"/>
  <c r="J9" i="1"/>
  <c r="K9" i="1"/>
  <c r="I9" i="1"/>
  <c r="F10" i="1"/>
  <c r="H10" i="1" s="1"/>
  <c r="M10" i="1" l="1"/>
  <c r="J10" i="1"/>
  <c r="G10" i="1"/>
  <c r="K10" i="1"/>
  <c r="L10" i="1"/>
  <c r="I10" i="1"/>
  <c r="F11" i="1"/>
  <c r="M11" i="1" l="1"/>
  <c r="K11" i="1"/>
  <c r="J11" i="1"/>
  <c r="I11" i="1"/>
  <c r="H11" i="1"/>
  <c r="L11" i="1"/>
  <c r="G11" i="1"/>
  <c r="F12" i="1"/>
  <c r="L12" i="1" s="1"/>
  <c r="F13" i="1"/>
  <c r="J13" i="1" s="1"/>
  <c r="I12" i="1" l="1"/>
  <c r="H12" i="1"/>
  <c r="K12" i="1"/>
  <c r="G12" i="1"/>
  <c r="J12" i="1"/>
  <c r="M12" i="1"/>
  <c r="H13" i="1"/>
  <c r="K13" i="1"/>
  <c r="L13" i="1"/>
  <c r="I13" i="1"/>
  <c r="G13" i="1"/>
  <c r="M13" i="1"/>
  <c r="M17" i="1" l="1"/>
  <c r="M18" i="1" s="1"/>
  <c r="M26" i="1"/>
  <c r="M27" i="1" s="1"/>
  <c r="M23" i="1" l="1"/>
  <c r="M20" i="1"/>
  <c r="M22" i="1"/>
  <c r="M19" i="1"/>
  <c r="M21" i="1"/>
  <c r="M28" i="1"/>
  <c r="M30" i="1"/>
</calcChain>
</file>

<file path=xl/sharedStrings.xml><?xml version="1.0" encoding="utf-8"?>
<sst xmlns="http://schemas.openxmlformats.org/spreadsheetml/2006/main" count="500" uniqueCount="152">
  <si>
    <t>User:</t>
  </si>
  <si>
    <t>Marker</t>
  </si>
  <si>
    <t>Date:</t>
  </si>
  <si>
    <t>MasterMix</t>
  </si>
  <si>
    <t>Reporter</t>
  </si>
  <si>
    <t>IHW Std. Cell-line</t>
  </si>
  <si>
    <t>Anneal/Extend</t>
  </si>
  <si>
    <t>Quencher</t>
  </si>
  <si>
    <t>IHW Background</t>
  </si>
  <si>
    <t>A</t>
  </si>
  <si>
    <r>
      <rPr>
        <b/>
        <i/>
        <sz val="10"/>
        <color rgb="FFCC00CC"/>
        <rFont val="Arial Narrow"/>
        <family val="2"/>
      </rPr>
      <t>NTC</t>
    </r>
    <r>
      <rPr>
        <b/>
        <sz val="10"/>
        <color rgb="FFCC00CC"/>
        <rFont val="Arial Narrow"/>
        <family val="2"/>
      </rPr>
      <t xml:space="preserve"> (H</t>
    </r>
    <r>
      <rPr>
        <b/>
        <vertAlign val="subscript"/>
        <sz val="10"/>
        <color rgb="FFCC00CC"/>
        <rFont val="Arial Narrow"/>
        <family val="2"/>
      </rPr>
      <t>2</t>
    </r>
    <r>
      <rPr>
        <b/>
        <sz val="10"/>
        <color rgb="FFCC00CC"/>
        <rFont val="Arial Narrow"/>
        <family val="2"/>
      </rPr>
      <t>O) ↓</t>
    </r>
  </si>
  <si>
    <t>B</t>
  </si>
  <si>
    <t>C</t>
  </si>
  <si>
    <t>D</t>
  </si>
  <si>
    <t>E</t>
  </si>
  <si>
    <t>F</t>
  </si>
  <si>
    <t>G</t>
  </si>
  <si>
    <t>H</t>
  </si>
  <si>
    <t>Reac. Vol.</t>
  </si>
  <si>
    <t>uL</t>
  </si>
  <si>
    <t>Using Super Oligo?</t>
  </si>
  <si>
    <t>Yes</t>
  </si>
  <si>
    <t>MasterMix preparation</t>
  </si>
  <si>
    <t>MM stock sol.</t>
  </si>
  <si>
    <t>x</t>
  </si>
  <si>
    <t>B-glob</t>
  </si>
  <si>
    <r>
      <t>N</t>
    </r>
    <r>
      <rPr>
        <vertAlign val="subscript"/>
        <sz val="12"/>
        <rFont val="Arial"/>
        <family val="2"/>
      </rPr>
      <t>Wells</t>
    </r>
    <r>
      <rPr>
        <sz val="12"/>
        <rFont val="Arial"/>
        <family val="2"/>
      </rPr>
      <t xml:space="preserve"> =</t>
    </r>
  </si>
  <si>
    <t>Primers/Probe stock sol.</t>
  </si>
  <si>
    <t>×</t>
  </si>
  <si>
    <t>Seven points standard curve preparation</t>
  </si>
  <si>
    <t>Promega♀ DNA Std Crv Prep.</t>
  </si>
  <si>
    <t>ng/uL</t>
  </si>
  <si>
    <t>→</t>
  </si>
  <si>
    <t>Cell/uL</t>
  </si>
  <si>
    <t>dil. factor</t>
  </si>
  <si>
    <t>(whole number)</t>
  </si>
  <si>
    <t>planned runs</t>
  </si>
  <si>
    <t>←</t>
  </si>
  <si>
    <t>Tris-Cl (buffer)</t>
  </si>
  <si>
    <r>
      <t>desired V</t>
    </r>
    <r>
      <rPr>
        <vertAlign val="subscript"/>
        <sz val="11"/>
        <rFont val="Arial Narrow"/>
        <family val="2"/>
      </rPr>
      <t>perTube</t>
    </r>
  </si>
  <si>
    <r>
      <t>C</t>
    </r>
    <r>
      <rPr>
        <vertAlign val="subscript"/>
        <sz val="12"/>
        <color theme="0" tint="-0.14999847407452621"/>
        <rFont val="Arial"/>
        <family val="2"/>
      </rPr>
      <t>1</t>
    </r>
    <r>
      <rPr>
        <sz val="12"/>
        <color theme="0" tint="-0.14999847407452621"/>
        <rFont val="Arial"/>
        <family val="2"/>
      </rPr>
      <t xml:space="preserve"> × V</t>
    </r>
    <r>
      <rPr>
        <vertAlign val="subscript"/>
        <sz val="12"/>
        <color theme="0" tint="-0.14999847407452621"/>
        <rFont val="Arial"/>
        <family val="2"/>
      </rPr>
      <t>1</t>
    </r>
  </si>
  <si>
    <t>=</t>
  </si>
  <si>
    <r>
      <t>C</t>
    </r>
    <r>
      <rPr>
        <vertAlign val="subscript"/>
        <sz val="12"/>
        <color theme="0" tint="-0.14999847407452621"/>
        <rFont val="Arial"/>
        <family val="2"/>
      </rPr>
      <t>2</t>
    </r>
    <r>
      <rPr>
        <sz val="12"/>
        <color theme="0" tint="-0.14999847407452621"/>
        <rFont val="Arial"/>
        <family val="2"/>
      </rPr>
      <t xml:space="preserve"> × V</t>
    </r>
    <r>
      <rPr>
        <vertAlign val="subscript"/>
        <sz val="12"/>
        <color theme="0" tint="-0.14999847407452621"/>
        <rFont val="Arial"/>
        <family val="2"/>
      </rPr>
      <t>2</t>
    </r>
  </si>
  <si>
    <t>DNA</t>
  </si>
  <si>
    <t>Promega DNA</t>
  </si>
  <si>
    <r>
      <t>V</t>
    </r>
    <r>
      <rPr>
        <vertAlign val="subscript"/>
        <sz val="12"/>
        <color theme="0" tint="-0.14999847407452621"/>
        <rFont val="Arial"/>
        <family val="2"/>
      </rPr>
      <t>1</t>
    </r>
  </si>
  <si>
    <r>
      <t>Promega-Tube</t>
    </r>
    <r>
      <rPr>
        <b/>
        <sz val="10"/>
        <rFont val="Arial Narrow"/>
        <family val="2"/>
      </rPr>
      <t>1</t>
    </r>
  </si>
  <si>
    <r>
      <t>Promega-Tube</t>
    </r>
    <r>
      <rPr>
        <b/>
        <sz val="10"/>
        <rFont val="Arial Narrow"/>
        <family val="2"/>
      </rPr>
      <t>2</t>
    </r>
  </si>
  <si>
    <r>
      <t>Promega-Tube</t>
    </r>
    <r>
      <rPr>
        <b/>
        <sz val="10"/>
        <rFont val="Arial Narrow"/>
        <family val="2"/>
      </rPr>
      <t>3</t>
    </r>
  </si>
  <si>
    <r>
      <t>Promega-Tube</t>
    </r>
    <r>
      <rPr>
        <b/>
        <sz val="10"/>
        <rFont val="Arial Narrow"/>
        <family val="2"/>
      </rPr>
      <t>4</t>
    </r>
  </si>
  <si>
    <r>
      <t>Promega-Tube</t>
    </r>
    <r>
      <rPr>
        <b/>
        <sz val="10"/>
        <rFont val="Arial Narrow"/>
        <family val="2"/>
      </rPr>
      <t>5</t>
    </r>
  </si>
  <si>
    <r>
      <t>Promega-Tube</t>
    </r>
    <r>
      <rPr>
        <b/>
        <sz val="10"/>
        <rFont val="Arial Narrow"/>
        <family val="2"/>
      </rPr>
      <t>6</t>
    </r>
  </si>
  <si>
    <r>
      <t>Promega-Tube</t>
    </r>
    <r>
      <rPr>
        <b/>
        <sz val="10"/>
        <rFont val="Arial Narrow"/>
        <family val="2"/>
      </rPr>
      <t>7</t>
    </r>
  </si>
  <si>
    <t>uL DNA</t>
  </si>
  <si>
    <t>uL Tris-Cl</t>
  </si>
  <si>
    <t>Background</t>
  </si>
  <si>
    <t>IHW Cell-line</t>
  </si>
  <si>
    <r>
      <t>IHW-Tube</t>
    </r>
    <r>
      <rPr>
        <b/>
        <sz val="10"/>
        <rFont val="Arial"/>
        <family val="2"/>
      </rPr>
      <t>1</t>
    </r>
  </si>
  <si>
    <r>
      <t>IHW-Tube</t>
    </r>
    <r>
      <rPr>
        <b/>
        <sz val="10"/>
        <rFont val="Arial"/>
        <family val="2"/>
      </rPr>
      <t>2</t>
    </r>
  </si>
  <si>
    <r>
      <t>IHW-Tube</t>
    </r>
    <r>
      <rPr>
        <b/>
        <sz val="10"/>
        <rFont val="Arial"/>
        <family val="2"/>
      </rPr>
      <t>3</t>
    </r>
  </si>
  <si>
    <r>
      <t>IHW-Tube</t>
    </r>
    <r>
      <rPr>
        <b/>
        <sz val="10"/>
        <rFont val="Arial"/>
        <family val="2"/>
      </rPr>
      <t>4</t>
    </r>
  </si>
  <si>
    <r>
      <t>IHW-Tube</t>
    </r>
    <r>
      <rPr>
        <b/>
        <sz val="10"/>
        <rFont val="Arial"/>
        <family val="2"/>
      </rPr>
      <t>5</t>
    </r>
  </si>
  <si>
    <r>
      <t>IHW-Tube</t>
    </r>
    <r>
      <rPr>
        <b/>
        <sz val="10"/>
        <rFont val="Arial"/>
        <family val="2"/>
      </rPr>
      <t>6</t>
    </r>
  </si>
  <si>
    <r>
      <t>IHW-Tube</t>
    </r>
    <r>
      <rPr>
        <b/>
        <sz val="10"/>
        <rFont val="Arial"/>
        <family val="2"/>
      </rPr>
      <t>7</t>
    </r>
  </si>
  <si>
    <t>Sample preparation</t>
  </si>
  <si>
    <r>
      <t>V</t>
    </r>
    <r>
      <rPr>
        <vertAlign val="subscript"/>
        <sz val="11"/>
        <rFont val="Arial"/>
        <family val="2"/>
      </rPr>
      <t>Sample</t>
    </r>
    <r>
      <rPr>
        <sz val="11"/>
        <rFont val="Arial"/>
        <family val="2"/>
      </rPr>
      <t xml:space="preserve"> =</t>
    </r>
  </si>
  <si>
    <t>Desired cells per well (gEq)</t>
  </si>
  <si>
    <t>Sample</t>
  </si>
  <si>
    <t>ng/uL (nanodrop)</t>
  </si>
  <si>
    <t>Vi (uL)</t>
  </si>
  <si>
    <t>ID-xxx TissueType</t>
  </si>
  <si>
    <t>Background preparation</t>
  </si>
  <si>
    <t>Slope</t>
  </si>
  <si>
    <r>
      <t>C</t>
    </r>
    <r>
      <rPr>
        <vertAlign val="subscript"/>
        <sz val="11"/>
        <rFont val="Arial"/>
        <family val="2"/>
      </rPr>
      <t>BKGD</t>
    </r>
    <r>
      <rPr>
        <sz val="11"/>
        <rFont val="Arial"/>
        <family val="2"/>
      </rPr>
      <t xml:space="preserve"> </t>
    </r>
    <r>
      <rPr>
        <sz val="9"/>
        <rFont val="Arial"/>
        <family val="2"/>
      </rPr>
      <t>desired</t>
    </r>
  </si>
  <si>
    <t>Y-intercept</t>
  </si>
  <si>
    <r>
      <t>V</t>
    </r>
    <r>
      <rPr>
        <vertAlign val="subscript"/>
        <sz val="11"/>
        <rFont val="Arial"/>
        <family val="2"/>
      </rPr>
      <t>BKGD</t>
    </r>
    <r>
      <rPr>
        <sz val="11"/>
        <rFont val="Arial"/>
        <family val="2"/>
      </rPr>
      <t xml:space="preserve"> (uL)</t>
    </r>
  </si>
  <si>
    <r>
      <t>V</t>
    </r>
    <r>
      <rPr>
        <vertAlign val="subscript"/>
        <sz val="11"/>
        <rFont val="Arial"/>
        <family val="2"/>
      </rPr>
      <t>total</t>
    </r>
    <r>
      <rPr>
        <sz val="11"/>
        <rFont val="Arial"/>
        <family val="2"/>
      </rPr>
      <t xml:space="preserve"> (uL)</t>
    </r>
  </si>
  <si>
    <t>R2</t>
  </si>
  <si>
    <r>
      <t>+V</t>
    </r>
    <r>
      <rPr>
        <vertAlign val="subscript"/>
        <sz val="11"/>
        <rFont val="Arial"/>
        <family val="2"/>
      </rPr>
      <t>Tris-Cl</t>
    </r>
    <r>
      <rPr>
        <sz val="11"/>
        <rFont val="Arial"/>
        <family val="2"/>
      </rPr>
      <t xml:space="preserve"> (uL)</t>
    </r>
  </si>
  <si>
    <t>Threshold</t>
  </si>
  <si>
    <t>Password:</t>
  </si>
  <si>
    <t>No</t>
  </si>
  <si>
    <t>Assay ID</t>
  </si>
  <si>
    <t>Std. CellLine</t>
  </si>
  <si>
    <t>...zygous?</t>
  </si>
  <si>
    <t>DRB1*01</t>
  </si>
  <si>
    <t>6FAM</t>
  </si>
  <si>
    <t>TAMRA</t>
  </si>
  <si>
    <t>ABI UMM</t>
  </si>
  <si>
    <t>IHW0</t>
  </si>
  <si>
    <t>homo</t>
  </si>
  <si>
    <t>DRB1*15/16</t>
  </si>
  <si>
    <t>DRB1*03</t>
  </si>
  <si>
    <t>DRB1*04</t>
  </si>
  <si>
    <t>DRB1*07</t>
  </si>
  <si>
    <t>DRB1*08</t>
  </si>
  <si>
    <t>DRB1*09</t>
  </si>
  <si>
    <t>DRB1*10</t>
  </si>
  <si>
    <t>DRB1*1104</t>
  </si>
  <si>
    <t>DRB1*12</t>
  </si>
  <si>
    <t>?</t>
  </si>
  <si>
    <t>n/a</t>
  </si>
  <si>
    <t>DRB1*13</t>
  </si>
  <si>
    <t>DRB1*14</t>
  </si>
  <si>
    <t>DRB4</t>
  </si>
  <si>
    <t>DQA1*01</t>
  </si>
  <si>
    <t>DQA1*03</t>
  </si>
  <si>
    <t>DQA1*05</t>
  </si>
  <si>
    <t>MGB</t>
  </si>
  <si>
    <t>DQB1*02</t>
  </si>
  <si>
    <t>ABI or QB</t>
  </si>
  <si>
    <t>DQB1*0301/4</t>
  </si>
  <si>
    <t>DQB1*04</t>
  </si>
  <si>
    <t>DQB1*0602/3</t>
  </si>
  <si>
    <t>QKRAA</t>
  </si>
  <si>
    <t>9090 (*04:01)</t>
  </si>
  <si>
    <t>QRRAA</t>
  </si>
  <si>
    <t>9004 (*01:01)</t>
  </si>
  <si>
    <t>DERAA</t>
  </si>
  <si>
    <t>QB FastMix</t>
  </si>
  <si>
    <t>9058 (*13:01)</t>
  </si>
  <si>
    <t>A*01</t>
  </si>
  <si>
    <t>A*23/24(9)</t>
  </si>
  <si>
    <t>A*3001</t>
  </si>
  <si>
    <t>B*07</t>
  </si>
  <si>
    <t>B*13</t>
  </si>
  <si>
    <t>hetero</t>
  </si>
  <si>
    <t>B*2705</t>
  </si>
  <si>
    <t>B*44</t>
  </si>
  <si>
    <t>GSTT1</t>
  </si>
  <si>
    <t>TNN-ins</t>
  </si>
  <si>
    <t>AT3-long</t>
  </si>
  <si>
    <t>AT3-short</t>
  </si>
  <si>
    <t>9077 / 9398</t>
  </si>
  <si>
    <t>TG-ins</t>
  </si>
  <si>
    <t>TG-del</t>
  </si>
  <si>
    <t>SRY</t>
  </si>
  <si>
    <t>hemi</t>
  </si>
  <si>
    <t>DYS14</t>
  </si>
  <si>
    <t>Chi-0226i</t>
  </si>
  <si>
    <t>Chi-0254i</t>
  </si>
  <si>
    <t>Chi-0316i</t>
  </si>
  <si>
    <t>Chi-0329i</t>
  </si>
  <si>
    <t>Chi-0329d</t>
  </si>
  <si>
    <t>Chi-0492i</t>
  </si>
  <si>
    <t>Chi-0524i</t>
  </si>
  <si>
    <t>Chi-0564i</t>
  </si>
  <si>
    <t>Chi-1217i</t>
  </si>
  <si>
    <t>Chi-1217d</t>
  </si>
  <si>
    <t>Chi-1303i</t>
  </si>
  <si>
    <t>Chi-1706i</t>
  </si>
  <si>
    <t>Chi-1916i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</si>
</sst>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9"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vertAlign val="subscript"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rgb="FFCC00CC"/>
      <name val="Arial Narrow"/>
      <family val="2"/>
    </font>
    <font>
      <b/>
      <i/>
      <sz val="10"/>
      <color rgb="FFCC00CC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sz val="12"/>
      <color theme="0" tint="-0.249977111117893"/>
      <name val="Arial"/>
      <family val="2"/>
    </font>
    <font>
      <sz val="11"/>
      <name val="Arial Narrow"/>
      <family val="2"/>
    </font>
    <font>
      <b/>
      <sz val="9"/>
      <name val="Arial Narrow"/>
      <family val="2"/>
    </font>
    <font>
      <vertAlign val="subscript"/>
      <sz val="11"/>
      <name val="Arial Narrow"/>
      <family val="2"/>
    </font>
    <font>
      <sz val="11"/>
      <name val="Gill Sans MT Ext Condensed Bold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sz val="9"/>
      <name val="Arial Narrow"/>
      <family val="2"/>
    </font>
    <font>
      <b/>
      <sz val="10"/>
      <color theme="1"/>
      <name val="Arial Narrow"/>
      <family val="2"/>
    </font>
    <font>
      <i/>
      <sz val="10"/>
      <color theme="1"/>
      <name val="Arial"/>
      <family val="2"/>
    </font>
    <font>
      <sz val="8"/>
      <color theme="1"/>
      <name val="Arial Narrow"/>
      <family val="2"/>
    </font>
    <font>
      <sz val="10"/>
      <color theme="1"/>
      <name val="Arial Narrow"/>
      <family val="2"/>
    </font>
    <font>
      <b/>
      <sz val="8"/>
      <color theme="1"/>
      <name val="Arial Narrow"/>
      <family val="2"/>
    </font>
    <font>
      <i/>
      <sz val="12"/>
      <name val="Arial Narrow"/>
      <family val="2"/>
    </font>
    <font>
      <i/>
      <sz val="12"/>
      <color theme="0" tint="-0.14999847407452621"/>
      <name val="Arial"/>
      <family val="2"/>
    </font>
    <font>
      <sz val="12"/>
      <color theme="0" tint="-0.14999847407452621"/>
      <name val="Arial"/>
      <family val="2"/>
    </font>
    <font>
      <vertAlign val="subscript"/>
      <sz val="12"/>
      <color theme="0" tint="-0.14999847407452621"/>
      <name val="Arial"/>
      <family val="2"/>
    </font>
    <font>
      <b/>
      <sz val="12"/>
      <name val="Arial Narrow"/>
      <family val="2"/>
    </font>
    <font>
      <b/>
      <i/>
      <sz val="12"/>
      <color rgb="FFFF0000"/>
      <name val="Arial"/>
      <family val="2"/>
    </font>
    <font>
      <b/>
      <i/>
      <sz val="12"/>
      <color rgb="FFCC00CC"/>
      <name val="Arial"/>
      <family val="2"/>
    </font>
    <font>
      <b/>
      <i/>
      <sz val="12"/>
      <color theme="0"/>
      <name val="Arial"/>
      <family val="2"/>
    </font>
    <font>
      <b/>
      <vertAlign val="subscript"/>
      <sz val="10"/>
      <color rgb="FFCC00CC"/>
      <name val="Arial Narrow"/>
      <family val="2"/>
    </font>
    <font>
      <i/>
      <sz val="9"/>
      <color theme="0" tint="-0.34998626667073579"/>
      <name val="Arial Narrow"/>
      <family val="2"/>
    </font>
    <font>
      <sz val="12"/>
      <color theme="1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8FF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lightDown">
        <fgColor theme="0" tint="-0.24994659260841701"/>
        <bgColor indexed="65"/>
      </patternFill>
    </fill>
    <fill>
      <patternFill patternType="solid">
        <fgColor rgb="FFCC00CC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rgb="FFCC00CC"/>
      </left>
      <right style="thick">
        <color rgb="FFCC00CC"/>
      </right>
      <top style="thick">
        <color rgb="FFCC00CC"/>
      </top>
      <bottom/>
      <diagonal/>
    </border>
    <border>
      <left style="thick">
        <color rgb="FFCC00CC"/>
      </left>
      <right style="thick">
        <color rgb="FFCC00CC"/>
      </right>
      <top/>
      <bottom/>
      <diagonal/>
    </border>
    <border>
      <left style="thick">
        <color rgb="FFCC00CC"/>
      </left>
      <right style="thick">
        <color rgb="FFCC00CC"/>
      </right>
      <top/>
      <bottom style="thick">
        <color rgb="FFCC00CC"/>
      </bottom>
      <diagonal/>
    </border>
    <border>
      <left/>
      <right/>
      <top style="thick">
        <color rgb="FFCC00CC"/>
      </top>
      <bottom/>
      <diagonal/>
    </border>
    <border>
      <left/>
      <right style="thick">
        <color rgb="FFCC00CC"/>
      </right>
      <top style="thick">
        <color rgb="FFCC00CC"/>
      </top>
      <bottom/>
      <diagonal/>
    </border>
    <border>
      <left style="thick">
        <color rgb="FFCC00CC"/>
      </left>
      <right/>
      <top/>
      <bottom style="thick">
        <color rgb="FFCC00CC"/>
      </bottom>
      <diagonal/>
    </border>
    <border>
      <left/>
      <right/>
      <top/>
      <bottom style="thick">
        <color rgb="FFCC00CC"/>
      </bottom>
      <diagonal/>
    </border>
    <border>
      <left/>
      <right style="thick">
        <color rgb="FFCC00CC"/>
      </right>
      <top/>
      <bottom style="thick">
        <color rgb="FFCC00CC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CC00CC"/>
      </left>
      <right/>
      <top style="thick">
        <color rgb="FFCC00CC"/>
      </top>
      <bottom style="thin">
        <color indexed="64"/>
      </bottom>
      <diagonal/>
    </border>
    <border>
      <left/>
      <right/>
      <top style="thick">
        <color rgb="FFCC00CC"/>
      </top>
      <bottom style="thin">
        <color indexed="64"/>
      </bottom>
      <diagonal/>
    </border>
    <border>
      <left style="thick">
        <color rgb="FFCC00CC"/>
      </left>
      <right/>
      <top/>
      <bottom/>
      <diagonal/>
    </border>
    <border>
      <left/>
      <right style="thick">
        <color rgb="FFCC00CC"/>
      </right>
      <top/>
      <bottom/>
      <diagonal/>
    </border>
    <border>
      <left style="thick">
        <color rgb="FFCC00CC"/>
      </left>
      <right/>
      <top/>
      <bottom style="thin">
        <color indexed="64"/>
      </bottom>
      <diagonal/>
    </border>
    <border>
      <left style="thick">
        <color rgb="FFCC00CC"/>
      </left>
      <right/>
      <top style="thin">
        <color indexed="64"/>
      </top>
      <bottom/>
      <diagonal/>
    </border>
    <border>
      <left/>
      <right style="thick">
        <color rgb="FFCC00CC"/>
      </right>
      <top style="thin">
        <color indexed="64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indexed="64"/>
      </bottom>
      <diagonal/>
    </border>
    <border>
      <left/>
      <right/>
      <top style="thick">
        <color rgb="FFFF0000"/>
      </top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/>
      <diagonal/>
    </border>
    <border>
      <left/>
      <right style="thick">
        <color rgb="FFFF0000"/>
      </right>
      <top style="thin">
        <color indexed="64"/>
      </top>
      <bottom/>
      <diagonal/>
    </border>
    <border>
      <left style="thin">
        <color theme="0" tint="-0.14996795556505021"/>
      </left>
      <right/>
      <top style="thick">
        <color rgb="FFFF0000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/>
      <right style="thick">
        <color rgb="FFCC00CC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" fontId="11" fillId="0" borderId="1" xfId="0" quotePrefix="1" applyNumberFormat="1" applyFont="1" applyBorder="1" applyAlignment="1">
      <alignment horizontal="center" vertical="center"/>
    </xf>
    <xf numFmtId="0" fontId="5" fillId="2" borderId="42" xfId="0" applyFont="1" applyFill="1" applyBorder="1" applyAlignment="1" applyProtection="1">
      <alignment vertical="center"/>
      <protection locked="0"/>
    </xf>
    <xf numFmtId="164" fontId="1" fillId="0" borderId="42" xfId="0" applyNumberFormat="1" applyFont="1" applyBorder="1" applyAlignment="1">
      <alignment vertical="center"/>
    </xf>
    <xf numFmtId="164" fontId="1" fillId="0" borderId="43" xfId="0" applyNumberFormat="1" applyFont="1" applyBorder="1" applyAlignment="1">
      <alignment vertical="center"/>
    </xf>
    <xf numFmtId="0" fontId="5" fillId="2" borderId="44" xfId="0" applyFont="1" applyFill="1" applyBorder="1" applyAlignment="1" applyProtection="1">
      <alignment vertical="center"/>
      <protection locked="0"/>
    </xf>
    <xf numFmtId="0" fontId="16" fillId="0" borderId="4" xfId="0" applyFont="1" applyBorder="1" applyAlignment="1">
      <alignment vertical="center"/>
    </xf>
    <xf numFmtId="0" fontId="8" fillId="0" borderId="4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5" fillId="2" borderId="0" xfId="0" applyFont="1" applyFill="1" applyAlignment="1" applyProtection="1">
      <alignment vertical="center"/>
      <protection locked="0"/>
    </xf>
    <xf numFmtId="1" fontId="14" fillId="0" borderId="7" xfId="0" quotePrefix="1" applyNumberFormat="1" applyFont="1" applyBorder="1" applyAlignment="1">
      <alignment horizontal="center" vertical="center" wrapText="1"/>
    </xf>
    <xf numFmtId="164" fontId="1" fillId="0" borderId="44" xfId="0" applyNumberFormat="1" applyFont="1" applyBorder="1" applyAlignment="1">
      <alignment vertical="center"/>
    </xf>
    <xf numFmtId="164" fontId="1" fillId="0" borderId="62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32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5" fontId="3" fillId="0" borderId="0" xfId="0" quotePrefix="1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7" fillId="0" borderId="2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8" xfId="0" applyFont="1" applyBorder="1" applyAlignment="1">
      <alignment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1" fillId="0" borderId="7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5" fillId="2" borderId="3" xfId="0" applyFont="1" applyFill="1" applyBorder="1" applyAlignment="1" applyProtection="1">
      <alignment vertical="center"/>
      <protection locked="0"/>
    </xf>
    <xf numFmtId="0" fontId="1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5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3" fillId="0" borderId="49" xfId="0" applyFont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50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3" fillId="0" borderId="5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1" fillId="0" borderId="49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1" fillId="0" borderId="55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3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3" fillId="0" borderId="58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60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9" fillId="0" borderId="6" xfId="0" applyFont="1" applyBorder="1" applyAlignment="1">
      <alignment horizontal="center" vertical="center"/>
    </xf>
    <xf numFmtId="0" fontId="19" fillId="0" borderId="4" xfId="0" quotePrefix="1" applyFont="1" applyBorder="1" applyAlignment="1">
      <alignment horizontal="center" vertical="center"/>
    </xf>
    <xf numFmtId="0" fontId="0" fillId="0" borderId="59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21" fillId="0" borderId="52" xfId="0" applyFont="1" applyBorder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0" fontId="1" fillId="0" borderId="33" xfId="0" applyFont="1" applyBorder="1" applyAlignment="1">
      <alignment vertical="center"/>
    </xf>
    <xf numFmtId="0" fontId="11" fillId="0" borderId="20" xfId="0" applyFont="1" applyBorder="1" applyAlignment="1">
      <alignment horizontal="center" vertical="center" wrapText="1"/>
    </xf>
    <xf numFmtId="3" fontId="5" fillId="2" borderId="64" xfId="0" applyNumberFormat="1" applyFont="1" applyFill="1" applyBorder="1" applyAlignment="1" applyProtection="1">
      <alignment vertical="center"/>
      <protection locked="0"/>
    </xf>
    <xf numFmtId="0" fontId="6" fillId="0" borderId="65" xfId="0" applyFont="1" applyBorder="1" applyAlignment="1">
      <alignment horizontal="center" vertical="center"/>
    </xf>
    <xf numFmtId="0" fontId="22" fillId="0" borderId="42" xfId="0" applyFont="1" applyBorder="1"/>
    <xf numFmtId="0" fontId="23" fillId="0" borderId="42" xfId="0" applyFont="1" applyBorder="1"/>
    <xf numFmtId="0" fontId="23" fillId="5" borderId="42" xfId="0" applyFont="1" applyFill="1" applyBorder="1"/>
    <xf numFmtId="0" fontId="22" fillId="0" borderId="42" xfId="0" applyFont="1" applyBorder="1" applyAlignment="1">
      <alignment horizontal="left"/>
    </xf>
    <xf numFmtId="0" fontId="24" fillId="0" borderId="42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4" fillId="5" borderId="42" xfId="0" applyFont="1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25" fillId="5" borderId="42" xfId="0" applyFont="1" applyFill="1" applyBorder="1" applyAlignment="1">
      <alignment horizontal="center"/>
    </xf>
    <xf numFmtId="0" fontId="26" fillId="0" borderId="42" xfId="0" applyFont="1" applyBorder="1" applyAlignment="1">
      <alignment horizontal="center"/>
    </xf>
    <xf numFmtId="0" fontId="26" fillId="5" borderId="42" xfId="0" applyFont="1" applyFill="1" applyBorder="1" applyAlignment="1">
      <alignment horizontal="center"/>
    </xf>
    <xf numFmtId="0" fontId="25" fillId="0" borderId="42" xfId="0" applyFont="1" applyBorder="1"/>
    <xf numFmtId="0" fontId="25" fillId="5" borderId="42" xfId="0" applyFont="1" applyFill="1" applyBorder="1"/>
    <xf numFmtId="0" fontId="25" fillId="0" borderId="42" xfId="0" applyFont="1" applyBorder="1" applyAlignment="1">
      <alignment horizontal="left"/>
    </xf>
    <xf numFmtId="0" fontId="25" fillId="5" borderId="42" xfId="0" applyFont="1" applyFill="1" applyBorder="1" applyAlignment="1">
      <alignment horizontal="left"/>
    </xf>
    <xf numFmtId="0" fontId="0" fillId="0" borderId="0" xfId="0" applyAlignment="1">
      <alignment horizontal="left"/>
    </xf>
    <xf numFmtId="165" fontId="1" fillId="0" borderId="0" xfId="0" applyNumberFormat="1" applyFont="1" applyAlignment="1">
      <alignment vertical="center"/>
    </xf>
    <xf numFmtId="165" fontId="5" fillId="2" borderId="0" xfId="0" applyNumberFormat="1" applyFont="1" applyFill="1" applyAlignment="1" applyProtection="1">
      <alignment vertical="center"/>
      <protection locked="0"/>
    </xf>
    <xf numFmtId="165" fontId="1" fillId="0" borderId="56" xfId="0" applyNumberFormat="1" applyFont="1" applyBorder="1" applyAlignment="1">
      <alignment vertical="center"/>
    </xf>
    <xf numFmtId="165" fontId="1" fillId="0" borderId="49" xfId="0" applyNumberFormat="1" applyFont="1" applyBorder="1" applyAlignment="1">
      <alignment vertical="center"/>
    </xf>
    <xf numFmtId="0" fontId="1" fillId="0" borderId="63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2" fillId="0" borderId="42" xfId="0" applyFont="1" applyBorder="1" applyAlignment="1">
      <alignment horizontal="center"/>
    </xf>
    <xf numFmtId="0" fontId="27" fillId="0" borderId="0" xfId="0" applyFont="1"/>
    <xf numFmtId="0" fontId="28" fillId="0" borderId="25" xfId="0" applyFont="1" applyBorder="1" applyAlignment="1">
      <alignment vertical="center"/>
    </xf>
    <xf numFmtId="0" fontId="29" fillId="0" borderId="25" xfId="0" applyFont="1" applyBorder="1" applyAlignment="1">
      <alignment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50" xfId="0" applyFont="1" applyBorder="1" applyAlignment="1">
      <alignment vertical="center"/>
    </xf>
    <xf numFmtId="0" fontId="29" fillId="0" borderId="38" xfId="0" applyFont="1" applyBorder="1" applyAlignment="1">
      <alignment horizontal="center" vertical="center"/>
    </xf>
    <xf numFmtId="0" fontId="29" fillId="0" borderId="39" xfId="0" applyFont="1" applyBorder="1" applyAlignment="1">
      <alignment horizontal="center" vertical="center"/>
    </xf>
    <xf numFmtId="0" fontId="29" fillId="0" borderId="3" xfId="0" applyFont="1" applyBorder="1" applyAlignment="1">
      <alignment vertical="center"/>
    </xf>
    <xf numFmtId="0" fontId="29" fillId="0" borderId="66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67" xfId="0" applyFont="1" applyBorder="1" applyAlignment="1">
      <alignment horizontal="center" vertical="center"/>
    </xf>
    <xf numFmtId="0" fontId="29" fillId="0" borderId="68" xfId="0" applyFont="1" applyBorder="1" applyAlignment="1">
      <alignment vertical="center"/>
    </xf>
    <xf numFmtId="0" fontId="28" fillId="0" borderId="61" xfId="0" applyFont="1" applyBorder="1" applyAlignment="1">
      <alignment vertical="center"/>
    </xf>
    <xf numFmtId="0" fontId="29" fillId="0" borderId="33" xfId="0" applyFont="1" applyBorder="1" applyAlignment="1">
      <alignment vertical="center"/>
    </xf>
    <xf numFmtId="0" fontId="29" fillId="0" borderId="33" xfId="0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0" fontId="29" fillId="0" borderId="34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5" fillId="4" borderId="0" xfId="0" applyFont="1" applyFill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164" fontId="1" fillId="0" borderId="0" xfId="0" applyNumberFormat="1" applyFont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right" vertical="center"/>
    </xf>
    <xf numFmtId="0" fontId="5" fillId="2" borderId="19" xfId="0" applyFont="1" applyFill="1" applyBorder="1" applyAlignment="1" applyProtection="1">
      <alignment vertical="center"/>
      <protection locked="0"/>
    </xf>
    <xf numFmtId="0" fontId="31" fillId="0" borderId="6" xfId="0" applyFont="1" applyBorder="1" applyAlignment="1">
      <alignment vertical="center"/>
    </xf>
    <xf numFmtId="0" fontId="14" fillId="2" borderId="41" xfId="0" applyFont="1" applyFill="1" applyBorder="1" applyAlignment="1" applyProtection="1">
      <alignment horizontal="center" vertical="center" wrapText="1"/>
      <protection locked="0"/>
    </xf>
    <xf numFmtId="0" fontId="14" fillId="2" borderId="40" xfId="0" applyFont="1" applyFill="1" applyBorder="1" applyAlignment="1" applyProtection="1">
      <alignment horizontal="center" vertical="center" wrapText="1"/>
      <protection locked="0"/>
    </xf>
    <xf numFmtId="0" fontId="31" fillId="0" borderId="4" xfId="0" applyFont="1" applyBorder="1" applyAlignment="1">
      <alignment vertical="center"/>
    </xf>
    <xf numFmtId="0" fontId="11" fillId="0" borderId="69" xfId="0" applyFont="1" applyBorder="1" applyAlignment="1">
      <alignment horizontal="center" vertical="center" wrapText="1"/>
    </xf>
    <xf numFmtId="0" fontId="10" fillId="0" borderId="70" xfId="0" applyFont="1" applyBorder="1" applyAlignment="1">
      <alignment horizontal="center" vertical="center" wrapText="1"/>
    </xf>
    <xf numFmtId="0" fontId="10" fillId="0" borderId="71" xfId="0" applyFont="1" applyBorder="1" applyAlignment="1">
      <alignment horizontal="center" vertical="center" wrapText="1"/>
    </xf>
    <xf numFmtId="0" fontId="10" fillId="0" borderId="72" xfId="0" applyFont="1" applyBorder="1" applyAlignment="1">
      <alignment horizontal="center" vertical="center" wrapText="1"/>
    </xf>
    <xf numFmtId="0" fontId="34" fillId="6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5" fillId="0" borderId="13" xfId="0" applyFont="1" applyBorder="1" applyAlignment="1">
      <alignment vertical="center"/>
    </xf>
    <xf numFmtId="2" fontId="1" fillId="0" borderId="56" xfId="0" applyNumberFormat="1" applyFont="1" applyBorder="1" applyAlignment="1">
      <alignment vertical="center"/>
    </xf>
    <xf numFmtId="2" fontId="1" fillId="0" borderId="35" xfId="0" applyNumberFormat="1" applyFont="1" applyBorder="1" applyAlignment="1">
      <alignment vertical="center"/>
    </xf>
    <xf numFmtId="2" fontId="1" fillId="0" borderId="49" xfId="0" applyNumberFormat="1" applyFont="1" applyBorder="1" applyAlignment="1">
      <alignment vertical="center"/>
    </xf>
    <xf numFmtId="2" fontId="1" fillId="0" borderId="27" xfId="0" applyNumberFormat="1" applyFont="1" applyBorder="1" applyAlignment="1">
      <alignment vertical="center"/>
    </xf>
    <xf numFmtId="0" fontId="36" fillId="0" borderId="5" xfId="0" applyFont="1" applyBorder="1" applyAlignment="1">
      <alignment vertical="center"/>
    </xf>
    <xf numFmtId="0" fontId="36" fillId="0" borderId="5" xfId="0" applyFont="1" applyBorder="1"/>
    <xf numFmtId="0" fontId="37" fillId="0" borderId="0" xfId="0" applyFont="1" applyAlignment="1">
      <alignment horizontal="center" vertical="center"/>
    </xf>
    <xf numFmtId="3" fontId="5" fillId="2" borderId="0" xfId="0" applyNumberFormat="1" applyFont="1" applyFill="1" applyAlignment="1" applyProtection="1">
      <alignment vertical="center"/>
      <protection locked="0"/>
    </xf>
    <xf numFmtId="0" fontId="38" fillId="0" borderId="8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33" fillId="0" borderId="73" xfId="0" applyFont="1" applyBorder="1" applyAlignment="1">
      <alignment horizontal="center" vertical="center"/>
    </xf>
    <xf numFmtId="0" fontId="32" fillId="0" borderId="7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  <color rgb="FFC8FFFF"/>
      <color rgb="FF99FF99"/>
      <color rgb="FF99FF66"/>
      <color rgb="FFCC99FF"/>
      <color rgb="FFCC66FF"/>
      <color rgb="FF66FF66"/>
      <color rgb="FF00FFFF"/>
      <color rgb="FFCC0000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642937</xdr:colOff>
      <xdr:row>30</xdr:row>
      <xdr:rowOff>138112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B03BB-0836-4312-9658-3073DB80A314}"/>
            </a:ext>
          </a:extLst>
        </xdr:cNvPr>
        <xdr:cNvSpPr txBox="1"/>
      </xdr:nvSpPr>
      <xdr:spPr>
        <a:xfrm>
          <a:off x="7615237" y="53101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0"/>
  <sheetViews>
    <sheetView tabSelected="1" topLeftCell="A13" zoomScale="90" zoomScaleNormal="90" zoomScaleSheetLayoutView="100" workbookViewId="0">
      <selection activeCell="C23" sqref="C23"/>
    </sheetView>
  </sheetViews>
  <sheetFormatPr defaultRowHeight="15.75"/>
  <cols>
    <col min="1" max="1" width="4.42578125" style="2" customWidth="1"/>
    <col min="2" max="15" width="12.85546875" style="1" customWidth="1"/>
    <col min="16" max="16384" width="9.140625" style="1"/>
  </cols>
  <sheetData>
    <row r="1" spans="1:14">
      <c r="B1" s="36" t="s">
        <v>0</v>
      </c>
      <c r="C1" s="28"/>
      <c r="D1" s="36"/>
      <c r="F1" s="2" t="s">
        <v>1</v>
      </c>
      <c r="G1" s="28"/>
      <c r="K1" s="36"/>
    </row>
    <row r="2" spans="1:14">
      <c r="B2" s="36" t="s">
        <v>2</v>
      </c>
      <c r="C2" s="37">
        <f ca="1">TODAY()</f>
        <v>44326</v>
      </c>
      <c r="F2" s="38" t="s">
        <v>3</v>
      </c>
      <c r="G2" s="113" t="str">
        <f>IFERROR(VLOOKUP(G1,Assay_list!A2:J52,5,FALSE),"")</f>
        <v/>
      </c>
      <c r="H2" s="38" t="s">
        <v>4</v>
      </c>
      <c r="I2" s="113" t="str">
        <f>IFERROR(VLOOKUP(G1,Assay_list!A2:J52,2,FALSE),"")</f>
        <v/>
      </c>
      <c r="K2" s="38" t="s">
        <v>5</v>
      </c>
      <c r="L2" s="137" t="str">
        <f>IFERROR(VLOOKUP(G1,Assay_list!A2:J52,7,FALSE),"")</f>
        <v/>
      </c>
      <c r="M2" s="115" t="str">
        <f>"(" &amp; IFERROR(VLOOKUP(G1,Assay_list!A2:J52,8,FALSE),"") &amp; "zygous)"</f>
        <v>(zygous)</v>
      </c>
    </row>
    <row r="3" spans="1:14">
      <c r="B3" s="36"/>
      <c r="C3" s="36"/>
      <c r="F3" s="38" t="s">
        <v>6</v>
      </c>
      <c r="G3" s="113" t="str">
        <f>IFERROR(VLOOKUP(G1,Assay_list!A2:J52,4,FALSE),"") &amp; " °C"</f>
        <v xml:space="preserve"> °C</v>
      </c>
      <c r="H3" s="38" t="s">
        <v>7</v>
      </c>
      <c r="I3" s="113" t="str">
        <f>IFERROR(VLOOKUP(G1,Assay_list!A2:J52,3,FALSE),"")</f>
        <v/>
      </c>
      <c r="K3" s="38" t="s">
        <v>8</v>
      </c>
      <c r="L3" s="137" t="str">
        <f>IFERROR(VLOOKUP(G1,Assay_list!A2:J52,10,FALSE),"")</f>
        <v/>
      </c>
    </row>
    <row r="4" spans="1:14">
      <c r="B4" s="36"/>
      <c r="C4" s="36"/>
      <c r="D4" s="36"/>
      <c r="E4" s="36"/>
      <c r="F4" s="37"/>
      <c r="G4" s="36"/>
      <c r="J4" s="36"/>
      <c r="M4" s="36"/>
    </row>
    <row r="5" spans="1:14" s="3" customFormat="1" ht="18.75" thickBot="1">
      <c r="A5" s="4"/>
      <c r="B5" s="39">
        <v>1</v>
      </c>
      <c r="C5" s="39">
        <v>2</v>
      </c>
      <c r="D5" s="39">
        <v>3</v>
      </c>
      <c r="E5" s="39">
        <v>4</v>
      </c>
      <c r="F5" s="40">
        <v>5</v>
      </c>
      <c r="G5" s="40">
        <v>6</v>
      </c>
      <c r="H5" s="39">
        <v>7</v>
      </c>
      <c r="I5" s="39">
        <v>8</v>
      </c>
      <c r="J5" s="39">
        <v>9</v>
      </c>
      <c r="K5" s="39">
        <v>10</v>
      </c>
      <c r="L5" s="39">
        <v>11</v>
      </c>
      <c r="M5" s="39">
        <v>12</v>
      </c>
    </row>
    <row r="6" spans="1:14" ht="57" customHeight="1">
      <c r="A6" s="5" t="s">
        <v>9</v>
      </c>
      <c r="B6" s="6" t="s">
        <v>10</v>
      </c>
      <c r="C6" s="7" t="s">
        <v>10</v>
      </c>
      <c r="D6" s="8" t="str">
        <f>"NTC (" &amp; $L$3 &amp; ") ↓"</f>
        <v>NTC () ↓</v>
      </c>
      <c r="E6" s="149" t="str">
        <f>"NTC (" &amp; $L$3 &amp; ") ↓"</f>
        <v>NTC () ↓</v>
      </c>
      <c r="F6" s="22" t="str">
        <f t="shared" ref="F6:F13" si="0">IF(K41="", "", K41)</f>
        <v>ID-xxx TissueType</v>
      </c>
      <c r="G6" s="22" t="str">
        <f t="shared" ref="G6:M13" si="1">IF($F6="","",$F6)</f>
        <v>ID-xxx TissueType</v>
      </c>
      <c r="H6" s="8" t="str">
        <f t="shared" si="1"/>
        <v>ID-xxx TissueType</v>
      </c>
      <c r="I6" s="8" t="str">
        <f t="shared" si="1"/>
        <v>ID-xxx TissueType</v>
      </c>
      <c r="J6" s="8" t="str">
        <f t="shared" si="1"/>
        <v>ID-xxx TissueType</v>
      </c>
      <c r="K6" s="8" t="str">
        <f t="shared" si="1"/>
        <v>ID-xxx TissueType</v>
      </c>
      <c r="L6" s="8" t="str">
        <f t="shared" si="1"/>
        <v>ID-xxx TissueType</v>
      </c>
      <c r="M6" s="23" t="str">
        <f t="shared" si="1"/>
        <v>ID-xxx TissueType</v>
      </c>
    </row>
    <row r="7" spans="1:14" ht="57" customHeight="1">
      <c r="A7" s="5" t="s">
        <v>11</v>
      </c>
      <c r="B7" s="9" t="str">
        <f>TEXT(H27, "0") &amp; " C (Promega♀)"</f>
        <v>10 C (Promega♀)</v>
      </c>
      <c r="C7" s="10" t="str">
        <f>TEXT($H39, "0.0") &amp; " C (" &amp; $L$2 &amp; ")"</f>
        <v>0.5 C ()</v>
      </c>
      <c r="D7" s="11" t="str">
        <f>TEXT($H39, "0.0") &amp; " C (" &amp; $L$2 &amp; ")"</f>
        <v>0.5 C ()</v>
      </c>
      <c r="E7" s="150" t="str">
        <f>TEXT($H39, "0.0") &amp; " C (" &amp; $L$2 &amp; ")"</f>
        <v>0.5 C ()</v>
      </c>
      <c r="F7" s="24" t="str">
        <f t="shared" si="0"/>
        <v>ID-xxx TissueType</v>
      </c>
      <c r="G7" s="24" t="str">
        <f t="shared" si="1"/>
        <v>ID-xxx TissueType</v>
      </c>
      <c r="H7" s="11" t="str">
        <f t="shared" si="1"/>
        <v>ID-xxx TissueType</v>
      </c>
      <c r="I7" s="11" t="str">
        <f t="shared" si="1"/>
        <v>ID-xxx TissueType</v>
      </c>
      <c r="J7" s="11" t="str">
        <f t="shared" si="1"/>
        <v>ID-xxx TissueType</v>
      </c>
      <c r="K7" s="11" t="str">
        <f t="shared" si="1"/>
        <v>ID-xxx TissueType</v>
      </c>
      <c r="L7" s="11" t="str">
        <f t="shared" si="1"/>
        <v>ID-xxx TissueType</v>
      </c>
      <c r="M7" s="25" t="str">
        <f t="shared" si="1"/>
        <v>ID-xxx TissueType</v>
      </c>
    </row>
    <row r="8" spans="1:14" ht="57" customHeight="1">
      <c r="A8" s="5" t="s">
        <v>12</v>
      </c>
      <c r="B8" s="9" t="str">
        <f>TEXT(G27, "0") &amp; " C (Promega♀)"</f>
        <v>40 C (Promega♀)</v>
      </c>
      <c r="C8" s="10" t="str">
        <f>TEXT($G39, "0") &amp; " C (" &amp; $L$2 &amp; ")"</f>
        <v>3 C ()</v>
      </c>
      <c r="D8" s="11" t="str">
        <f>TEXT($G39, "0") &amp; " C (" &amp; $L$2 &amp; ")"</f>
        <v>3 C ()</v>
      </c>
      <c r="E8" s="150" t="str">
        <f>TEXT($G39, "0") &amp; " C (" &amp; $L$2 &amp; ")"</f>
        <v>3 C ()</v>
      </c>
      <c r="F8" s="24" t="str">
        <f t="shared" si="0"/>
        <v>ID-xxx TissueType</v>
      </c>
      <c r="G8" s="24" t="str">
        <f t="shared" si="1"/>
        <v>ID-xxx TissueType</v>
      </c>
      <c r="H8" s="11" t="str">
        <f t="shared" si="1"/>
        <v>ID-xxx TissueType</v>
      </c>
      <c r="I8" s="11" t="str">
        <f t="shared" si="1"/>
        <v>ID-xxx TissueType</v>
      </c>
      <c r="J8" s="11" t="str">
        <f t="shared" si="1"/>
        <v>ID-xxx TissueType</v>
      </c>
      <c r="K8" s="11" t="str">
        <f t="shared" si="1"/>
        <v>ID-xxx TissueType</v>
      </c>
      <c r="L8" s="11" t="str">
        <f t="shared" si="1"/>
        <v>ID-xxx TissueType</v>
      </c>
      <c r="M8" s="25" t="str">
        <f t="shared" si="1"/>
        <v>ID-xxx TissueType</v>
      </c>
    </row>
    <row r="9" spans="1:14" ht="57" customHeight="1">
      <c r="A9" s="5" t="s">
        <v>13</v>
      </c>
      <c r="B9" s="9" t="str">
        <f>TEXT(F27, "0") &amp; " C (Promega♀)"</f>
        <v>160 C (Promega♀)</v>
      </c>
      <c r="C9" s="10" t="str">
        <f>TEXT($F39, "0") &amp; " C (" &amp; $L$2 &amp; ")"</f>
        <v>18 C ()</v>
      </c>
      <c r="D9" s="11" t="str">
        <f>TEXT($F39, "0") &amp; " C (" &amp; $L$2 &amp; ")"</f>
        <v>18 C ()</v>
      </c>
      <c r="E9" s="150" t="str">
        <f>TEXT($F39, "0") &amp; " C (" &amp; $L$2 &amp; ")"</f>
        <v>18 C ()</v>
      </c>
      <c r="F9" s="24" t="str">
        <f t="shared" si="0"/>
        <v>ID-xxx TissueType</v>
      </c>
      <c r="G9" s="24" t="str">
        <f t="shared" si="1"/>
        <v>ID-xxx TissueType</v>
      </c>
      <c r="H9" s="11" t="str">
        <f t="shared" si="1"/>
        <v>ID-xxx TissueType</v>
      </c>
      <c r="I9" s="11" t="str">
        <f t="shared" si="1"/>
        <v>ID-xxx TissueType</v>
      </c>
      <c r="J9" s="11" t="str">
        <f t="shared" si="1"/>
        <v>ID-xxx TissueType</v>
      </c>
      <c r="K9" s="11" t="str">
        <f t="shared" si="1"/>
        <v>ID-xxx TissueType</v>
      </c>
      <c r="L9" s="11" t="str">
        <f t="shared" si="1"/>
        <v>ID-xxx TissueType</v>
      </c>
      <c r="M9" s="25" t="str">
        <f t="shared" si="1"/>
        <v>ID-xxx TissueType</v>
      </c>
    </row>
    <row r="10" spans="1:14" ht="57" customHeight="1">
      <c r="A10" s="5" t="s">
        <v>14</v>
      </c>
      <c r="B10" s="9" t="str">
        <f>TEXT(E27, "0") &amp; " C (Promega♀)"</f>
        <v>640 C (Promega♀)</v>
      </c>
      <c r="C10" s="10" t="str">
        <f>TEXT($E39, "0") &amp; " C (" &amp; $L$2 &amp; ")"</f>
        <v>108 C ()</v>
      </c>
      <c r="D10" s="11" t="str">
        <f>TEXT($E39, "0") &amp; " C (" &amp; $L$2 &amp; ")"</f>
        <v>108 C ()</v>
      </c>
      <c r="E10" s="150" t="str">
        <f>TEXT($E39, "0") &amp; " C (" &amp; $L$2 &amp; ")"</f>
        <v>108 C ()</v>
      </c>
      <c r="F10" s="24" t="str">
        <f t="shared" si="0"/>
        <v>ID-xxx TissueType</v>
      </c>
      <c r="G10" s="24" t="str">
        <f t="shared" si="1"/>
        <v>ID-xxx TissueType</v>
      </c>
      <c r="H10" s="11" t="str">
        <f t="shared" si="1"/>
        <v>ID-xxx TissueType</v>
      </c>
      <c r="I10" s="11" t="str">
        <f t="shared" si="1"/>
        <v>ID-xxx TissueType</v>
      </c>
      <c r="J10" s="11" t="str">
        <f t="shared" si="1"/>
        <v>ID-xxx TissueType</v>
      </c>
      <c r="K10" s="11" t="str">
        <f t="shared" si="1"/>
        <v>ID-xxx TissueType</v>
      </c>
      <c r="L10" s="11" t="str">
        <f t="shared" si="1"/>
        <v>ID-xxx TissueType</v>
      </c>
      <c r="M10" s="25" t="str">
        <f t="shared" si="1"/>
        <v>ID-xxx TissueType</v>
      </c>
    </row>
    <row r="11" spans="1:14" ht="57" customHeight="1">
      <c r="A11" s="5" t="s">
        <v>15</v>
      </c>
      <c r="B11" s="9" t="str">
        <f>TEXT(D27, "0") &amp; " C (Promega♀)"</f>
        <v>2560 C (Promega♀)</v>
      </c>
      <c r="C11" s="10" t="str">
        <f>TEXT($D39, "0") &amp; " C (" &amp; $L$2 &amp; ")"</f>
        <v>648 C ()</v>
      </c>
      <c r="D11" s="11" t="str">
        <f>TEXT($D39, "0") &amp; " C (" &amp; $L$2 &amp; ")"</f>
        <v>648 C ()</v>
      </c>
      <c r="E11" s="150" t="str">
        <f>TEXT($D39, "0") &amp; " C (" &amp; $L$2 &amp; ")"</f>
        <v>648 C ()</v>
      </c>
      <c r="F11" s="24" t="str">
        <f t="shared" si="0"/>
        <v>ID-xxx TissueType</v>
      </c>
      <c r="G11" s="24" t="str">
        <f t="shared" si="1"/>
        <v>ID-xxx TissueType</v>
      </c>
      <c r="H11" s="11" t="str">
        <f t="shared" si="1"/>
        <v>ID-xxx TissueType</v>
      </c>
      <c r="I11" s="11" t="str">
        <f t="shared" si="1"/>
        <v>ID-xxx TissueType</v>
      </c>
      <c r="J11" s="11" t="str">
        <f t="shared" si="1"/>
        <v>ID-xxx TissueType</v>
      </c>
      <c r="K11" s="11" t="str">
        <f t="shared" si="1"/>
        <v>ID-xxx TissueType</v>
      </c>
      <c r="L11" s="11" t="str">
        <f t="shared" si="1"/>
        <v>ID-xxx TissueType</v>
      </c>
      <c r="M11" s="25" t="str">
        <f t="shared" si="1"/>
        <v>ID-xxx TissueType</v>
      </c>
    </row>
    <row r="12" spans="1:14" ht="57" customHeight="1">
      <c r="A12" s="5" t="s">
        <v>16</v>
      </c>
      <c r="B12" s="9" t="str">
        <f>TEXT(C27, "0") &amp; " C (Promega♀)"</f>
        <v>10240 C (Promega♀)</v>
      </c>
      <c r="C12" s="10" t="str">
        <f>TEXT($C39, "0") &amp; " C (" &amp; $L$2 &amp; ")"</f>
        <v>3888 C ()</v>
      </c>
      <c r="D12" s="11" t="str">
        <f>TEXT($C39, "0") &amp; " C (" &amp; $L$2 &amp; ")"</f>
        <v>3888 C ()</v>
      </c>
      <c r="E12" s="150" t="str">
        <f>TEXT($C39, "0") &amp; " C (" &amp; $L$2 &amp; ")"</f>
        <v>3888 C ()</v>
      </c>
      <c r="F12" s="24" t="str">
        <f t="shared" si="0"/>
        <v/>
      </c>
      <c r="G12" s="24" t="str">
        <f t="shared" si="1"/>
        <v/>
      </c>
      <c r="H12" s="11" t="str">
        <f t="shared" si="1"/>
        <v/>
      </c>
      <c r="I12" s="11" t="str">
        <f t="shared" si="1"/>
        <v/>
      </c>
      <c r="J12" s="11" t="str">
        <f t="shared" si="1"/>
        <v/>
      </c>
      <c r="K12" s="11" t="str">
        <f t="shared" si="1"/>
        <v/>
      </c>
      <c r="L12" s="11" t="str">
        <f t="shared" si="1"/>
        <v/>
      </c>
      <c r="M12" s="25" t="str">
        <f t="shared" si="1"/>
        <v/>
      </c>
    </row>
    <row r="13" spans="1:14" ht="57" customHeight="1" thickBot="1">
      <c r="A13" s="5" t="s">
        <v>17</v>
      </c>
      <c r="B13" s="12" t="str">
        <f>TEXT(B27, "0") &amp; " C (Promega♀)"</f>
        <v>40960 C (Promega♀)</v>
      </c>
      <c r="C13" s="13" t="str">
        <f>TEXT($B39, "0") &amp; " C (" &amp; $L$2 &amp; ")"</f>
        <v>23328 C ()</v>
      </c>
      <c r="D13" s="14" t="str">
        <f>TEXT($B39, "0") &amp; " C (" &amp; $L$2 &amp; ")"</f>
        <v>23328 C ()</v>
      </c>
      <c r="E13" s="151" t="str">
        <f>TEXT($B39, "0") &amp; " C (" &amp; $L$2 &amp; ")"</f>
        <v>23328 C ()</v>
      </c>
      <c r="F13" s="26" t="str">
        <f t="shared" si="0"/>
        <v/>
      </c>
      <c r="G13" s="26" t="str">
        <f t="shared" si="1"/>
        <v/>
      </c>
      <c r="H13" s="14" t="str">
        <f t="shared" si="1"/>
        <v/>
      </c>
      <c r="I13" s="14" t="str">
        <f t="shared" si="1"/>
        <v/>
      </c>
      <c r="J13" s="14" t="str">
        <f t="shared" si="1"/>
        <v/>
      </c>
      <c r="K13" s="14" t="str">
        <f t="shared" si="1"/>
        <v/>
      </c>
      <c r="L13" s="14" t="str">
        <f t="shared" si="1"/>
        <v/>
      </c>
      <c r="M13" s="27" t="str">
        <f t="shared" si="1"/>
        <v/>
      </c>
    </row>
    <row r="14" spans="1:14">
      <c r="B14" s="169" t="str">
        <f>"└──  " &amp; K17 &amp; "  ──┘"</f>
        <v>└──  B-glob  ──┘</v>
      </c>
      <c r="C14" s="169"/>
      <c r="D14" s="170" t="str">
        <f>"└──  " &amp; G1 &amp; "  ──┘"</f>
        <v>└──    ──┘</v>
      </c>
      <c r="E14" s="170"/>
      <c r="F14" s="169" t="str">
        <f>"└──  " &amp; K17 &amp; "  ──┘"</f>
        <v>└──  B-glob  ──┘</v>
      </c>
      <c r="G14" s="169"/>
      <c r="H14" s="170" t="str">
        <f>"└──────────────────  " &amp; G1 &amp; "  ──────────────────┘"</f>
        <v>└──────────────────    ──────────────────┘</v>
      </c>
      <c r="I14" s="170"/>
      <c r="J14" s="170"/>
      <c r="K14" s="170"/>
      <c r="L14" s="170"/>
      <c r="M14" s="170"/>
    </row>
    <row r="15" spans="1:14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</row>
    <row r="16" spans="1:14" ht="16.5">
      <c r="B16" s="41" t="s">
        <v>18</v>
      </c>
      <c r="C16" s="42">
        <v>50</v>
      </c>
      <c r="D16" s="43" t="s">
        <v>19</v>
      </c>
      <c r="F16" s="141"/>
      <c r="G16" s="142" t="s">
        <v>20</v>
      </c>
      <c r="H16" s="143" t="s">
        <v>21</v>
      </c>
      <c r="K16" s="50" t="s">
        <v>22</v>
      </c>
      <c r="L16" s="55"/>
      <c r="M16" s="55"/>
      <c r="N16" s="55"/>
    </row>
    <row r="17" spans="2:14" ht="19.5">
      <c r="B17" s="45" t="s">
        <v>23</v>
      </c>
      <c r="C17" s="28">
        <v>2</v>
      </c>
      <c r="D17" s="46" t="s">
        <v>24</v>
      </c>
      <c r="K17" s="152" t="s">
        <v>25</v>
      </c>
      <c r="L17" s="38" t="s">
        <v>26</v>
      </c>
      <c r="M17" s="57">
        <f>COUNTA(B6:C13)+SUMPRODUCT(--(LEN(F6:G13)&gt;0))</f>
        <v>28</v>
      </c>
      <c r="N17" s="68"/>
    </row>
    <row r="18" spans="2:14" ht="21" customHeight="1" thickBot="1">
      <c r="B18" s="21" t="s">
        <v>27</v>
      </c>
      <c r="C18" s="47">
        <v>50</v>
      </c>
      <c r="D18" s="48" t="s">
        <v>24</v>
      </c>
      <c r="K18" s="69"/>
      <c r="L18" s="59" t="s">
        <v>28</v>
      </c>
      <c r="M18" s="60">
        <f>IF(M17&lt;32, M17+1, M17+2)</f>
        <v>29</v>
      </c>
      <c r="N18" s="43"/>
    </row>
    <row r="19" spans="2:14" ht="16.5" thickTop="1">
      <c r="B19" s="36"/>
      <c r="C19" s="36"/>
      <c r="D19" s="36"/>
      <c r="E19" s="49"/>
      <c r="F19" s="49"/>
      <c r="G19" s="49"/>
      <c r="H19" s="49"/>
      <c r="I19" s="49"/>
      <c r="K19" s="144" t="str">
        <f>"MM " &amp; "(" &amp; TEXT($C$17, "0") &amp; "x)"</f>
        <v>MM (2x)</v>
      </c>
      <c r="L19" s="139">
        <f>$C$16/$C$17</f>
        <v>25</v>
      </c>
      <c r="M19" s="62">
        <f>L19*M$18</f>
        <v>725</v>
      </c>
      <c r="N19" s="46" t="s">
        <v>19</v>
      </c>
    </row>
    <row r="20" spans="2:14" ht="16.5" thickBot="1">
      <c r="B20" s="50" t="s">
        <v>29</v>
      </c>
      <c r="C20" s="51"/>
      <c r="D20" s="51"/>
      <c r="E20" s="51"/>
      <c r="F20" s="51"/>
      <c r="G20" s="51"/>
      <c r="H20" s="51"/>
      <c r="I20" s="51"/>
      <c r="K20" s="144" t="str">
        <f>IF($H$16="No","FWD "&amp;"("&amp;TEXT($C$18,"0")&amp;"x)","")</f>
        <v/>
      </c>
      <c r="L20" s="139" t="str">
        <f>IF($H$16="No", $C$16/$C$18, "")</f>
        <v/>
      </c>
      <c r="M20" s="64" t="str">
        <f>IF($H$16="No", L20*M$18, "")</f>
        <v/>
      </c>
      <c r="N20" s="46" t="s">
        <v>19</v>
      </c>
    </row>
    <row r="21" spans="2:14" ht="16.5" thickTop="1">
      <c r="B21" s="52" t="s">
        <v>30</v>
      </c>
      <c r="C21" s="53"/>
      <c r="D21" s="53"/>
      <c r="E21" s="116">
        <v>6.6</v>
      </c>
      <c r="F21" s="117" t="s">
        <v>31</v>
      </c>
      <c r="G21" s="118" t="s">
        <v>32</v>
      </c>
      <c r="H21" s="116">
        <v>1000</v>
      </c>
      <c r="I21" s="119" t="s">
        <v>33</v>
      </c>
      <c r="K21" s="144" t="str">
        <f>IF($H$16="No","REV "&amp;"("&amp;TEXT($C$18,"0")&amp;"x)","SuperO "&amp;"("&amp;TEXT($C$18,"0")&amp;"x)")</f>
        <v>SuperO (50x)</v>
      </c>
      <c r="L21" s="139">
        <f t="shared" ref="L21" si="2">$C$16/$C$18</f>
        <v>1</v>
      </c>
      <c r="M21" s="64">
        <f>L21*M$18</f>
        <v>29</v>
      </c>
      <c r="N21" s="46" t="s">
        <v>19</v>
      </c>
    </row>
    <row r="22" spans="2:14" ht="16.5">
      <c r="B22" s="54" t="s">
        <v>34</v>
      </c>
      <c r="C22" s="28">
        <v>4</v>
      </c>
      <c r="D22" s="159" t="s">
        <v>35</v>
      </c>
      <c r="E22" s="120">
        <f>E21/L24</f>
        <v>0.54999999999999993</v>
      </c>
      <c r="F22" s="120" t="s">
        <v>31</v>
      </c>
      <c r="G22" s="121" t="s">
        <v>32</v>
      </c>
      <c r="H22" s="122">
        <v>1000</v>
      </c>
      <c r="I22" s="123" t="str">
        <f>"Cell/" &amp; TEXT($L$24, "0.??") &amp; "uL"</f>
        <v>Cell/12.  uL</v>
      </c>
      <c r="K22" s="144" t="str">
        <f>IF($H$16="No","PRB "&amp;"("&amp;TEXT($C$18,"0")&amp;"x)","")</f>
        <v/>
      </c>
      <c r="L22" s="139" t="str">
        <f>IF($H$16="No", $C$16/$C$18, "")</f>
        <v/>
      </c>
      <c r="M22" s="64" t="str">
        <f>IF($H$16="No", L22*M$18, "")</f>
        <v/>
      </c>
      <c r="N22" s="46" t="s">
        <v>19</v>
      </c>
    </row>
    <row r="23" spans="2:14" ht="17.25" thickBot="1">
      <c r="B23" s="54" t="s">
        <v>36</v>
      </c>
      <c r="C23" s="28">
        <v>1</v>
      </c>
      <c r="D23" s="160" t="s">
        <v>35</v>
      </c>
      <c r="E23" s="120">
        <f>(H23*E22)/H22</f>
        <v>22.527999999999995</v>
      </c>
      <c r="F23" s="120" t="s">
        <v>31</v>
      </c>
      <c r="G23" s="121" t="s">
        <v>37</v>
      </c>
      <c r="H23" s="120">
        <f>B27</f>
        <v>40960</v>
      </c>
      <c r="I23" s="123" t="str">
        <f>"Cell/" &amp; TEXT($L$24, "0.??") &amp; "uL"</f>
        <v>Cell/12.  uL</v>
      </c>
      <c r="K23" s="144" t="s">
        <v>38</v>
      </c>
      <c r="L23" s="139">
        <f>IF($H$16="No", ($C$16-(L19+L20+L21+L22))/2, ($C$16-(L19+L21))/2)</f>
        <v>12</v>
      </c>
      <c r="M23" s="65">
        <f>L23*M$18</f>
        <v>348</v>
      </c>
      <c r="N23" s="46" t="s">
        <v>19</v>
      </c>
    </row>
    <row r="24" spans="2:14" ht="20.25" thickTop="1">
      <c r="B24" s="54" t="s">
        <v>39</v>
      </c>
      <c r="C24" s="108">
        <f>C23*(L24+(L24*0.05))</f>
        <v>12.6</v>
      </c>
      <c r="D24" s="46" t="s">
        <v>19</v>
      </c>
      <c r="E24" s="120"/>
      <c r="F24" s="124" t="s">
        <v>40</v>
      </c>
      <c r="G24" s="121" t="s">
        <v>41</v>
      </c>
      <c r="H24" s="125" t="s">
        <v>42</v>
      </c>
      <c r="I24" s="123"/>
      <c r="K24" s="147" t="s">
        <v>43</v>
      </c>
      <c r="L24" s="140">
        <f>L23</f>
        <v>12</v>
      </c>
      <c r="M24" s="68"/>
      <c r="N24" s="48" t="s">
        <v>19</v>
      </c>
    </row>
    <row r="25" spans="2:14" ht="19.5">
      <c r="B25" s="58" t="s">
        <v>44</v>
      </c>
      <c r="C25" s="47">
        <v>215</v>
      </c>
      <c r="D25" s="48" t="s">
        <v>31</v>
      </c>
      <c r="E25" s="126"/>
      <c r="F25" s="127" t="s">
        <v>45</v>
      </c>
      <c r="G25" s="128" t="s">
        <v>41</v>
      </c>
      <c r="H25" s="129">
        <f>(E23*((C24*C22)/(C22-1)))/C25</f>
        <v>1.7603274418604649</v>
      </c>
      <c r="I25" s="130"/>
      <c r="K25" s="36"/>
      <c r="L25" s="36"/>
      <c r="M25" s="36"/>
      <c r="N25" s="36"/>
    </row>
    <row r="26" spans="2:14" ht="19.5">
      <c r="B26" s="85" t="s">
        <v>46</v>
      </c>
      <c r="C26" s="86" t="s">
        <v>47</v>
      </c>
      <c r="D26" s="86" t="s">
        <v>48</v>
      </c>
      <c r="E26" s="86" t="s">
        <v>49</v>
      </c>
      <c r="F26" s="86" t="s">
        <v>50</v>
      </c>
      <c r="G26" s="86" t="s">
        <v>51</v>
      </c>
      <c r="H26" s="86" t="s">
        <v>52</v>
      </c>
      <c r="I26" s="63"/>
      <c r="K26" s="153">
        <f>I44</f>
        <v>0</v>
      </c>
      <c r="L26" s="38" t="s">
        <v>26</v>
      </c>
      <c r="M26" s="57">
        <f>COUNTA(D6:E13)+SUMPRODUCT(--(LEN(H6:M13)&gt;0))</f>
        <v>52</v>
      </c>
      <c r="N26" s="36"/>
    </row>
    <row r="27" spans="2:14" ht="16.5" thickBot="1">
      <c r="B27" s="111">
        <f t="shared" ref="B27:G27" si="3">C27*$C$22</f>
        <v>40960</v>
      </c>
      <c r="C27" s="108">
        <f t="shared" si="3"/>
        <v>10240</v>
      </c>
      <c r="D27" s="108">
        <f>E27*$C$22</f>
        <v>2560</v>
      </c>
      <c r="E27" s="108">
        <f t="shared" si="3"/>
        <v>640</v>
      </c>
      <c r="F27" s="108">
        <f t="shared" si="3"/>
        <v>160</v>
      </c>
      <c r="G27" s="108">
        <f t="shared" si="3"/>
        <v>40</v>
      </c>
      <c r="H27" s="109">
        <v>10</v>
      </c>
      <c r="I27" s="56" t="str">
        <f>"Cell/" &amp; TEXT($L$24, "0.0") &amp; "uL"</f>
        <v>Cell/12.0uL</v>
      </c>
      <c r="K27" s="69"/>
      <c r="L27" s="59" t="s">
        <v>28</v>
      </c>
      <c r="M27" s="60">
        <f>IF(M26&lt;32, M26+1, M26+2)</f>
        <v>54</v>
      </c>
      <c r="N27" s="43"/>
    </row>
    <row r="28" spans="2:14" ht="16.5" thickTop="1">
      <c r="B28" s="61"/>
      <c r="C28" s="36"/>
      <c r="D28" s="36"/>
      <c r="E28" s="36"/>
      <c r="F28" s="36"/>
      <c r="G28" s="36"/>
      <c r="H28" s="36"/>
      <c r="I28" s="56"/>
      <c r="K28" s="144" t="str">
        <f>"MM " &amp; "(" &amp; TEXT($C$17, "0") &amp; "x)"</f>
        <v>MM (2x)</v>
      </c>
      <c r="L28" s="139">
        <f>$C$16/$C$17</f>
        <v>25</v>
      </c>
      <c r="M28" s="72">
        <f>L28*M$27</f>
        <v>1350</v>
      </c>
      <c r="N28" s="46" t="s">
        <v>19</v>
      </c>
    </row>
    <row r="29" spans="2:14">
      <c r="B29" s="157">
        <f>H25</f>
        <v>1.7603274418604649</v>
      </c>
      <c r="C29" s="36">
        <f t="shared" ref="C29:H29" si="4">($B$30+$B$29)/$C$22</f>
        <v>4.2</v>
      </c>
      <c r="D29" s="36">
        <f t="shared" si="4"/>
        <v>4.2</v>
      </c>
      <c r="E29" s="36">
        <f t="shared" si="4"/>
        <v>4.2</v>
      </c>
      <c r="F29" s="36">
        <f t="shared" si="4"/>
        <v>4.2</v>
      </c>
      <c r="G29" s="36">
        <f t="shared" si="4"/>
        <v>4.2</v>
      </c>
      <c r="H29" s="36">
        <f t="shared" si="4"/>
        <v>4.2</v>
      </c>
      <c r="I29" s="56" t="s">
        <v>53</v>
      </c>
      <c r="K29" s="144" t="str">
        <f>IF($H$16="No","FWD "&amp;"("&amp;TEXT($C$18,"0")&amp;"x)","")</f>
        <v/>
      </c>
      <c r="L29" s="139" t="str">
        <f>IF($H$16="No", $C$16/$C$18, "")</f>
        <v/>
      </c>
      <c r="M29" s="75" t="str">
        <f>IF($H$16="No", L29*M$27, "")</f>
        <v/>
      </c>
      <c r="N29" s="46" t="s">
        <v>19</v>
      </c>
    </row>
    <row r="30" spans="2:14" ht="16.5" thickBot="1">
      <c r="B30" s="158">
        <f>((C24*C22)/(C22-1))-B29</f>
        <v>15.039672558139536</v>
      </c>
      <c r="C30" s="66">
        <f t="shared" ref="C30:H30" si="5">($C$22*C29)-C29</f>
        <v>12.600000000000001</v>
      </c>
      <c r="D30" s="66">
        <f t="shared" si="5"/>
        <v>12.600000000000001</v>
      </c>
      <c r="E30" s="66">
        <f t="shared" si="5"/>
        <v>12.600000000000001</v>
      </c>
      <c r="F30" s="66">
        <f t="shared" si="5"/>
        <v>12.600000000000001</v>
      </c>
      <c r="G30" s="66">
        <f t="shared" si="5"/>
        <v>12.600000000000001</v>
      </c>
      <c r="H30" s="66">
        <f t="shared" si="5"/>
        <v>12.600000000000001</v>
      </c>
      <c r="I30" s="67" t="s">
        <v>54</v>
      </c>
      <c r="K30" s="144" t="str">
        <f>IF($H$16="No","REV "&amp;"("&amp;TEXT($C$18,"0")&amp;"x)","SuperO "&amp;"("&amp;TEXT($C$18,"0")&amp;"x)")</f>
        <v>SuperO (50x)</v>
      </c>
      <c r="L30" s="139">
        <f t="shared" ref="L30" si="6">$C$16/$C$18</f>
        <v>1</v>
      </c>
      <c r="M30" s="75">
        <f>L30*M$27</f>
        <v>54</v>
      </c>
      <c r="N30" s="46" t="s">
        <v>19</v>
      </c>
    </row>
    <row r="31" spans="2:14" ht="17.25" thickTop="1" thickBot="1">
      <c r="B31" s="36"/>
      <c r="C31" s="36"/>
      <c r="D31" s="36"/>
      <c r="K31" s="144" t="str">
        <f>IF($H$16="No","PRB "&amp;"("&amp;TEXT($C$18,"0")&amp;"x)","")</f>
        <v/>
      </c>
      <c r="L31" s="139" t="str">
        <f>IF($H$16="No", $C$16/$C$18, "")</f>
        <v/>
      </c>
      <c r="M31" s="75" t="str">
        <f>IF($H$16="No", L31*M$27, "")</f>
        <v/>
      </c>
      <c r="N31" s="46" t="s">
        <v>19</v>
      </c>
    </row>
    <row r="32" spans="2:14" ht="17.25" thickTop="1" thickBot="1">
      <c r="K32" s="144" t="s">
        <v>55</v>
      </c>
      <c r="L32" s="139">
        <f>IF($H$16="No",($C$16-(L28+L29+L30+L31))/2,($C$16-(L28+L30))/2)</f>
        <v>12</v>
      </c>
      <c r="M32" s="87">
        <f>L32*(IF((COUNTA(D6:E13))&lt;33, (COUNTA(D6:E13))+INT((COUNTA(D6:E13))/10), (COUNTA(D6:E13))+3))</f>
        <v>204</v>
      </c>
      <c r="N32" s="46" t="s">
        <v>19</v>
      </c>
    </row>
    <row r="33" spans="2:14" ht="16.5" thickTop="1">
      <c r="B33" s="70" t="str">
        <f>"IHW0" &amp; $L$2 &amp; " Cell-line Std Crv Prep."</f>
        <v>IHW0 Cell-line Std Crv Prep.</v>
      </c>
      <c r="C33" s="71"/>
      <c r="D33" s="71"/>
      <c r="E33" s="131">
        <v>6.6</v>
      </c>
      <c r="F33" s="132" t="s">
        <v>31</v>
      </c>
      <c r="G33" s="133" t="s">
        <v>32</v>
      </c>
      <c r="H33" s="134">
        <v>1000</v>
      </c>
      <c r="I33" s="135" t="s">
        <v>33</v>
      </c>
      <c r="K33" s="147" t="s">
        <v>43</v>
      </c>
      <c r="L33" s="138" t="str">
        <f>TEXT(L32, "0.0?") &amp; " (cell-line) " &amp; TEXT(L24*2, "0.0?") &amp; " (samples)"</f>
        <v>12.0  (cell-line) 24.0  (samples)</v>
      </c>
      <c r="M33" s="68"/>
      <c r="N33" s="48" t="s">
        <v>19</v>
      </c>
    </row>
    <row r="34" spans="2:14" ht="16.5">
      <c r="B34" s="73" t="s">
        <v>34</v>
      </c>
      <c r="C34" s="28">
        <v>6</v>
      </c>
      <c r="D34" s="159" t="s">
        <v>35</v>
      </c>
      <c r="E34" s="120">
        <f>E33/L24</f>
        <v>0.54999999999999993</v>
      </c>
      <c r="F34" s="120" t="s">
        <v>31</v>
      </c>
      <c r="G34" s="121" t="s">
        <v>32</v>
      </c>
      <c r="H34" s="122">
        <v>1000</v>
      </c>
      <c r="I34" s="136" t="str">
        <f>"Cell/" &amp; TEXT($L$24, "0.??") &amp; "uL"</f>
        <v>Cell/12.  uL</v>
      </c>
      <c r="K34" s="36"/>
      <c r="L34" s="36"/>
      <c r="M34" s="36"/>
      <c r="N34" s="36"/>
    </row>
    <row r="35" spans="2:14" ht="16.5">
      <c r="B35" s="73" t="s">
        <v>36</v>
      </c>
      <c r="C35" s="28">
        <v>1</v>
      </c>
      <c r="D35" s="160" t="s">
        <v>35</v>
      </c>
      <c r="E35" s="120">
        <f>(H35*E34)/H34</f>
        <v>12.830399999999997</v>
      </c>
      <c r="F35" s="120" t="s">
        <v>31</v>
      </c>
      <c r="G35" s="121" t="s">
        <v>37</v>
      </c>
      <c r="H35" s="120">
        <f>B39</f>
        <v>23328</v>
      </c>
      <c r="I35" s="136" t="str">
        <f>"Cell/" &amp; TEXT($L$24, "0.??") &amp; "uL"</f>
        <v>Cell/12.  uL</v>
      </c>
    </row>
    <row r="36" spans="2:14" ht="19.5">
      <c r="B36" s="73" t="s">
        <v>39</v>
      </c>
      <c r="C36" s="108">
        <f>C35*3*(L24+(L24*0.05))</f>
        <v>37.799999999999997</v>
      </c>
      <c r="D36" s="46" t="s">
        <v>19</v>
      </c>
      <c r="E36" s="120"/>
      <c r="F36" s="124" t="s">
        <v>40</v>
      </c>
      <c r="G36" s="121" t="s">
        <v>41</v>
      </c>
      <c r="H36" s="125" t="s">
        <v>42</v>
      </c>
      <c r="I36" s="136"/>
    </row>
    <row r="37" spans="2:14" ht="19.5">
      <c r="B37" s="76" t="s">
        <v>56</v>
      </c>
      <c r="C37" s="47">
        <v>100</v>
      </c>
      <c r="D37" s="48" t="s">
        <v>31</v>
      </c>
      <c r="E37" s="120"/>
      <c r="F37" s="124" t="s">
        <v>45</v>
      </c>
      <c r="G37" s="121" t="s">
        <v>41</v>
      </c>
      <c r="H37" s="125">
        <f>(E35*((C36*C34)/(C34-1)))/C37</f>
        <v>5.8198694399999988</v>
      </c>
      <c r="I37" s="136"/>
    </row>
    <row r="38" spans="2:14" ht="26.25" customHeight="1">
      <c r="B38" s="83" t="s">
        <v>57</v>
      </c>
      <c r="C38" s="84" t="s">
        <v>58</v>
      </c>
      <c r="D38" s="84" t="s">
        <v>59</v>
      </c>
      <c r="E38" s="84" t="s">
        <v>60</v>
      </c>
      <c r="F38" s="84" t="s">
        <v>61</v>
      </c>
      <c r="G38" s="84" t="s">
        <v>62</v>
      </c>
      <c r="H38" s="84" t="s">
        <v>63</v>
      </c>
      <c r="I38" s="78"/>
      <c r="K38" s="50" t="s">
        <v>64</v>
      </c>
      <c r="L38" s="55"/>
      <c r="M38" s="55"/>
      <c r="N38" s="55"/>
    </row>
    <row r="39" spans="2:14" ht="27" customHeight="1">
      <c r="B39" s="110">
        <f t="shared" ref="B39:G39" si="7">C39*$C$34</f>
        <v>23328</v>
      </c>
      <c r="C39" s="108">
        <f t="shared" si="7"/>
        <v>3888</v>
      </c>
      <c r="D39" s="108">
        <f t="shared" si="7"/>
        <v>648</v>
      </c>
      <c r="E39" s="108">
        <f t="shared" si="7"/>
        <v>108</v>
      </c>
      <c r="F39" s="108">
        <f t="shared" si="7"/>
        <v>18</v>
      </c>
      <c r="G39" s="108">
        <f t="shared" si="7"/>
        <v>3</v>
      </c>
      <c r="H39" s="109">
        <v>0.5</v>
      </c>
      <c r="I39" s="74" t="str">
        <f>"Cell/" &amp; TEXT($L$24, "0.0") &amp; "uL"</f>
        <v>Cell/12.0uL</v>
      </c>
      <c r="K39" s="148" t="s">
        <v>65</v>
      </c>
      <c r="L39" s="112" t="str">
        <f>(15*$L$24) &amp; " uL"</f>
        <v>180 uL</v>
      </c>
      <c r="M39" s="88" t="s">
        <v>66</v>
      </c>
      <c r="N39" s="89">
        <v>30000</v>
      </c>
    </row>
    <row r="40" spans="2:14" ht="27" customHeight="1">
      <c r="B40" s="77"/>
      <c r="C40" s="36"/>
      <c r="D40" s="36"/>
      <c r="E40" s="36"/>
      <c r="F40" s="36"/>
      <c r="G40" s="36"/>
      <c r="H40" s="36"/>
      <c r="I40" s="74"/>
      <c r="K40" s="90" t="s">
        <v>67</v>
      </c>
      <c r="L40" s="15" t="s">
        <v>68</v>
      </c>
      <c r="M40" s="16" t="s">
        <v>69</v>
      </c>
      <c r="N40" s="29" t="str">
        <f>"+Vtris →" &amp; TEXT((15*$L$24), "0.0") &amp; "uL @" &amp; TEXT(($N$39/($L$24*2*1000)), "0.0") &amp; "K/uL"</f>
        <v>+Vtris →180.0uL @1.3K/uL</v>
      </c>
    </row>
    <row r="41" spans="2:14" ht="27" customHeight="1">
      <c r="B41" s="155">
        <f>H37</f>
        <v>5.8198694399999988</v>
      </c>
      <c r="C41" s="36">
        <f t="shared" ref="C41:H41" si="8">($B$42+$B$41)/$C$34</f>
        <v>7.56</v>
      </c>
      <c r="D41" s="36">
        <f t="shared" si="8"/>
        <v>7.56</v>
      </c>
      <c r="E41" s="36">
        <f t="shared" si="8"/>
        <v>7.56</v>
      </c>
      <c r="F41" s="36">
        <f t="shared" si="8"/>
        <v>7.56</v>
      </c>
      <c r="G41" s="36">
        <f t="shared" si="8"/>
        <v>7.56</v>
      </c>
      <c r="H41" s="36">
        <f t="shared" si="8"/>
        <v>7.56</v>
      </c>
      <c r="I41" s="74" t="s">
        <v>53</v>
      </c>
      <c r="K41" s="145" t="s">
        <v>70</v>
      </c>
      <c r="L41" s="17"/>
      <c r="M41" s="18" t="e">
        <f t="shared" ref="M41:M48" si="9">IF(((($N$39*0.0066)/($L$24*2))*(15*$L$24))/L41&gt;(15*$L$24), (15*$L$24), ((($N$39*0.0066)/($L$24*2))*(15*$L$24))/L41)</f>
        <v>#DIV/0!</v>
      </c>
      <c r="N41" s="19" t="e">
        <f t="shared" ref="N41:N48" si="10">IF((15*$L$24)-M41&gt;0, (15*$L$24)-M41, "←max")</f>
        <v>#DIV/0!</v>
      </c>
    </row>
    <row r="42" spans="2:14" ht="27" customHeight="1" thickBot="1">
      <c r="B42" s="156">
        <f>((C36*C34)/(C34-1))-B41</f>
        <v>39.540130560000001</v>
      </c>
      <c r="C42" s="79">
        <f t="shared" ref="C42:H42" si="11">($C$34*C41)-C41</f>
        <v>37.799999999999997</v>
      </c>
      <c r="D42" s="79">
        <f t="shared" si="11"/>
        <v>37.799999999999997</v>
      </c>
      <c r="E42" s="79">
        <f t="shared" si="11"/>
        <v>37.799999999999997</v>
      </c>
      <c r="F42" s="79">
        <f t="shared" si="11"/>
        <v>37.799999999999997</v>
      </c>
      <c r="G42" s="79">
        <f t="shared" si="11"/>
        <v>37.799999999999997</v>
      </c>
      <c r="H42" s="79">
        <f t="shared" si="11"/>
        <v>37.799999999999997</v>
      </c>
      <c r="I42" s="80" t="s">
        <v>54</v>
      </c>
      <c r="K42" s="145" t="s">
        <v>70</v>
      </c>
      <c r="L42" s="17"/>
      <c r="M42" s="18" t="e">
        <f t="shared" si="9"/>
        <v>#DIV/0!</v>
      </c>
      <c r="N42" s="19" t="e">
        <f t="shared" si="10"/>
        <v>#DIV/0!</v>
      </c>
    </row>
    <row r="43" spans="2:14" ht="27" customHeight="1" thickTop="1">
      <c r="E43" s="36"/>
      <c r="I43" s="36"/>
      <c r="K43" s="145" t="s">
        <v>70</v>
      </c>
      <c r="L43" s="17"/>
      <c r="M43" s="18" t="e">
        <f t="shared" si="9"/>
        <v>#DIV/0!</v>
      </c>
      <c r="N43" s="19" t="e">
        <f t="shared" si="10"/>
        <v>#DIV/0!</v>
      </c>
    </row>
    <row r="44" spans="2:14" ht="27" customHeight="1">
      <c r="B44" s="50" t="s">
        <v>71</v>
      </c>
      <c r="C44" s="50"/>
      <c r="D44" s="50"/>
      <c r="E44" s="50"/>
      <c r="G44" s="44"/>
      <c r="H44" s="154" t="s">
        <v>25</v>
      </c>
      <c r="I44" s="154">
        <f>G1</f>
        <v>0</v>
      </c>
      <c r="K44" s="145" t="s">
        <v>70</v>
      </c>
      <c r="L44" s="17"/>
      <c r="M44" s="18" t="e">
        <f t="shared" si="9"/>
        <v>#DIV/0!</v>
      </c>
      <c r="N44" s="19" t="e">
        <f t="shared" si="10"/>
        <v>#DIV/0!</v>
      </c>
    </row>
    <row r="45" spans="2:14" ht="27" customHeight="1">
      <c r="B45" s="163" t="str">
        <f>"Background (IHW0" &amp; $L$3 &amp; ")"</f>
        <v>Background (IHW0)</v>
      </c>
      <c r="C45" s="42">
        <v>100</v>
      </c>
      <c r="D45" s="165" t="s">
        <v>31</v>
      </c>
      <c r="E45" s="43"/>
      <c r="G45" s="44" t="s">
        <v>72</v>
      </c>
      <c r="H45" s="44"/>
      <c r="I45" s="44"/>
      <c r="K45" s="145" t="s">
        <v>70</v>
      </c>
      <c r="L45" s="17"/>
      <c r="M45" s="18" t="e">
        <f t="shared" si="9"/>
        <v>#DIV/0!</v>
      </c>
      <c r="N45" s="19" t="e">
        <f t="shared" si="10"/>
        <v>#DIV/0!</v>
      </c>
    </row>
    <row r="46" spans="2:14" ht="27" customHeight="1" thickBot="1">
      <c r="B46" s="168" t="s">
        <v>73</v>
      </c>
      <c r="C46" s="162">
        <v>10000</v>
      </c>
      <c r="D46" s="161" t="str">
        <f>"Cell/" &amp; TEXT($L$24, "0.0") &amp; "uL"</f>
        <v>Cell/12.0uL</v>
      </c>
      <c r="E46" s="164"/>
      <c r="G46" s="44" t="s">
        <v>74</v>
      </c>
      <c r="H46" s="44"/>
      <c r="I46" s="44"/>
      <c r="K46" s="145" t="s">
        <v>70</v>
      </c>
      <c r="L46" s="17"/>
      <c r="M46" s="18" t="e">
        <f t="shared" si="9"/>
        <v>#DIV/0!</v>
      </c>
      <c r="N46" s="19" t="e">
        <f t="shared" si="10"/>
        <v>#DIV/0!</v>
      </c>
    </row>
    <row r="47" spans="2:14" ht="27" customHeight="1" thickTop="1">
      <c r="B47" s="81" t="s">
        <v>75</v>
      </c>
      <c r="C47" s="32" t="s">
        <v>41</v>
      </c>
      <c r="D47" s="33">
        <f>((E34*(C46/1000))*(M32*C35))/C45</f>
        <v>11.219999999999997</v>
      </c>
      <c r="E47" s="167" t="s">
        <v>76</v>
      </c>
      <c r="G47" s="44" t="s">
        <v>77</v>
      </c>
      <c r="H47" s="44"/>
      <c r="I47" s="44"/>
      <c r="K47" s="145"/>
      <c r="L47" s="17"/>
      <c r="M47" s="18" t="e">
        <f t="shared" si="9"/>
        <v>#DIV/0!</v>
      </c>
      <c r="N47" s="19" t="e">
        <f t="shared" si="10"/>
        <v>#DIV/0!</v>
      </c>
    </row>
    <row r="48" spans="2:14" ht="27" customHeight="1" thickBot="1">
      <c r="B48" s="82" t="s">
        <v>78</v>
      </c>
      <c r="C48" s="34" t="s">
        <v>32</v>
      </c>
      <c r="D48" s="35">
        <f>(M32*C35)-D47</f>
        <v>192.78</v>
      </c>
      <c r="E48" s="166" t="str">
        <f>TEXT(D47+D48, "0.0") &amp; " uL"</f>
        <v>204.0 uL</v>
      </c>
      <c r="G48" s="44" t="s">
        <v>79</v>
      </c>
      <c r="H48" s="44"/>
      <c r="I48" s="44"/>
      <c r="K48" s="146"/>
      <c r="L48" s="20"/>
      <c r="M48" s="30" t="e">
        <f t="shared" si="9"/>
        <v>#DIV/0!</v>
      </c>
      <c r="N48" s="31" t="e">
        <f t="shared" si="10"/>
        <v>#DIV/0!</v>
      </c>
    </row>
    <row r="49" ht="27" customHeight="1" thickTop="1"/>
    <row r="50" ht="27" customHeight="1"/>
  </sheetData>
  <sheetProtection algorithmName="SHA-512" hashValue="e20/E1iTxIP4x34BEeAL8YCyuAShjgb2IQQSr0IE1rzGOrzXL5+3fI9eLZhGOvZjDlwRKsPA/nn1j5k+/mTKLg==" saltValue="18blY3fsZ4N94rKAPXzN3g==" spinCount="100000" sheet="1" objects="1" scenarios="1" selectLockedCells="1"/>
  <mergeCells count="4">
    <mergeCell ref="B14:C14"/>
    <mergeCell ref="D14:E14"/>
    <mergeCell ref="F14:G14"/>
    <mergeCell ref="H14:M14"/>
  </mergeCells>
  <dataValidations count="2">
    <dataValidation type="whole" allowBlank="1" showInputMessage="1" showErrorMessage="1" sqref="C23 C34:C35" xr:uid="{CD8CF988-48D9-41AF-9482-0CC2D35F69BC}">
      <formula1>0</formula1>
      <formula2>1000</formula2>
    </dataValidation>
    <dataValidation type="whole" allowBlank="1" showInputMessage="1" showErrorMessage="1" sqref="C22" xr:uid="{BF5D5D7B-F13A-4916-8B84-4140DB10D3C5}">
      <formula1>1</formula1>
      <formula2>1000</formula2>
    </dataValidation>
  </dataValidations>
  <pageMargins left="0.25" right="0.25" top="0.3" bottom="0.3" header="0.3" footer="0.3"/>
  <pageSetup scale="60" orientation="portrait" r:id="rId1"/>
  <headerFooter alignWithMargins="0"/>
  <ignoredErrors>
    <ignoredError sqref="L21 L30:M30 M20:M29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A39523-DB70-4A97-A332-6AAC6501B9E5}">
          <x14:formula1>
            <xm:f>Assay_list!$A$2:$A$52</xm:f>
          </x14:formula1>
          <xm:sqref>G1</xm:sqref>
        </x14:dataValidation>
        <x14:dataValidation type="list" showInputMessage="1" showErrorMessage="1" xr:uid="{106D94E1-E07A-40AA-8DC2-3B5ADBE2B12E}">
          <x14:formula1>
            <xm:f>Sheet1!$A$1:$A$2</xm:f>
          </x14:formula1>
          <xm:sqref>H16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B1" sqref="B1"/>
    </sheetView>
  </sheetViews>
  <sheetFormatPr defaultRowHeight="12.75"/>
  <sheetData>
    <row r="1" spans="1:2">
      <c r="A1" t="s">
        <v>80</v>
      </c>
      <c r="B1">
        <v>1</v>
      </c>
    </row>
  </sheetData>
  <sheetProtection algorithmName="SHA-512" hashValue="owhoBhyO7KwIIYdabnnfcnEla57SGO5456lf9RHu04r3KM966Gdqg5xQt8FFIHno7Rxj/temLgctqjpRJKT3uw==" saltValue="57Iw6RcRH6ir6qxe4zMzo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5017-1C5C-457A-825C-989795573219}">
  <dimension ref="A1:A2"/>
  <sheetViews>
    <sheetView workbookViewId="0">
      <selection activeCell="A2" sqref="A2"/>
    </sheetView>
  </sheetViews>
  <sheetFormatPr defaultRowHeight="12.75"/>
  <sheetData>
    <row r="1" spans="1:1">
      <c r="A1" t="s">
        <v>21</v>
      </c>
    </row>
    <row r="2" spans="1:1">
      <c r="A2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ED4B-3B76-4863-9D93-0C361942F119}">
  <dimension ref="A1:J52"/>
  <sheetViews>
    <sheetView workbookViewId="0">
      <selection activeCell="A27" sqref="A27"/>
    </sheetView>
  </sheetViews>
  <sheetFormatPr defaultRowHeight="12.75"/>
  <cols>
    <col min="1" max="1" width="12.85546875" bestFit="1" customWidth="1"/>
    <col min="2" max="2" width="7.5703125" bestFit="1" customWidth="1"/>
    <col min="3" max="3" width="8.28515625" bestFit="1" customWidth="1"/>
    <col min="4" max="4" width="11.85546875" bestFit="1" customWidth="1"/>
    <col min="5" max="5" width="8.85546875" bestFit="1" customWidth="1"/>
    <col min="6" max="6" width="4.7109375" bestFit="1" customWidth="1"/>
    <col min="7" max="7" width="18.42578125" style="107" bestFit="1" customWidth="1"/>
    <col min="9" max="9" width="4.7109375" bestFit="1" customWidth="1"/>
    <col min="10" max="10" width="11.85546875" style="107" bestFit="1" customWidth="1"/>
  </cols>
  <sheetData>
    <row r="1" spans="1:10">
      <c r="A1" s="91" t="s">
        <v>82</v>
      </c>
      <c r="B1" s="91" t="s">
        <v>4</v>
      </c>
      <c r="C1" s="94" t="s">
        <v>7</v>
      </c>
      <c r="D1" s="91" t="s">
        <v>6</v>
      </c>
      <c r="E1" s="91" t="s">
        <v>3</v>
      </c>
      <c r="F1" s="91"/>
      <c r="G1" s="94" t="s">
        <v>83</v>
      </c>
      <c r="H1" s="114" t="s">
        <v>84</v>
      </c>
      <c r="I1" s="91"/>
      <c r="J1" s="94" t="s">
        <v>55</v>
      </c>
    </row>
    <row r="2" spans="1:10" ht="13.5">
      <c r="A2" s="92" t="s">
        <v>85</v>
      </c>
      <c r="B2" s="95" t="s">
        <v>86</v>
      </c>
      <c r="C2" s="95" t="s">
        <v>87</v>
      </c>
      <c r="D2" s="96">
        <v>60</v>
      </c>
      <c r="E2" s="97" t="s">
        <v>88</v>
      </c>
      <c r="F2" s="103" t="s">
        <v>89</v>
      </c>
      <c r="G2" s="105">
        <v>9004</v>
      </c>
      <c r="H2" s="97" t="s">
        <v>90</v>
      </c>
      <c r="I2" s="103" t="s">
        <v>89</v>
      </c>
      <c r="J2" s="105">
        <v>1152</v>
      </c>
    </row>
    <row r="3" spans="1:10" ht="13.5">
      <c r="A3" s="92" t="s">
        <v>91</v>
      </c>
      <c r="B3" s="95" t="s">
        <v>86</v>
      </c>
      <c r="C3" s="95" t="s">
        <v>87</v>
      </c>
      <c r="D3" s="96">
        <v>62</v>
      </c>
      <c r="E3" s="97" t="s">
        <v>88</v>
      </c>
      <c r="F3" s="103" t="s">
        <v>89</v>
      </c>
      <c r="G3" s="105">
        <v>9009</v>
      </c>
      <c r="H3" s="97" t="s">
        <v>90</v>
      </c>
      <c r="I3" s="103" t="s">
        <v>89</v>
      </c>
      <c r="J3" s="105">
        <v>1152</v>
      </c>
    </row>
    <row r="4" spans="1:10" ht="13.5">
      <c r="A4" s="92" t="s">
        <v>92</v>
      </c>
      <c r="B4" s="95" t="s">
        <v>86</v>
      </c>
      <c r="C4" s="95" t="s">
        <v>87</v>
      </c>
      <c r="D4" s="96">
        <v>60</v>
      </c>
      <c r="E4" s="97" t="s">
        <v>88</v>
      </c>
      <c r="F4" s="103" t="s">
        <v>89</v>
      </c>
      <c r="G4" s="105">
        <v>9018</v>
      </c>
      <c r="H4" s="97" t="s">
        <v>90</v>
      </c>
      <c r="I4" s="103" t="s">
        <v>89</v>
      </c>
      <c r="J4" s="105">
        <v>9004</v>
      </c>
    </row>
    <row r="5" spans="1:10" ht="13.5">
      <c r="A5" s="92" t="s">
        <v>93</v>
      </c>
      <c r="B5" s="95" t="s">
        <v>86</v>
      </c>
      <c r="C5" s="95" t="s">
        <v>87</v>
      </c>
      <c r="D5" s="96">
        <v>64</v>
      </c>
      <c r="E5" s="97" t="s">
        <v>88</v>
      </c>
      <c r="F5" s="103" t="s">
        <v>89</v>
      </c>
      <c r="G5" s="105">
        <v>9090</v>
      </c>
      <c r="H5" s="97" t="s">
        <v>90</v>
      </c>
      <c r="I5" s="103" t="s">
        <v>89</v>
      </c>
      <c r="J5" s="105">
        <v>1152</v>
      </c>
    </row>
    <row r="6" spans="1:10" ht="13.5">
      <c r="A6" s="92" t="s">
        <v>94</v>
      </c>
      <c r="B6" s="95" t="s">
        <v>86</v>
      </c>
      <c r="C6" s="95" t="s">
        <v>87</v>
      </c>
      <c r="D6" s="96">
        <v>60</v>
      </c>
      <c r="E6" s="97" t="s">
        <v>88</v>
      </c>
      <c r="F6" s="103" t="s">
        <v>89</v>
      </c>
      <c r="G6" s="105">
        <v>9047</v>
      </c>
      <c r="H6" s="97" t="s">
        <v>90</v>
      </c>
      <c r="I6" s="103" t="s">
        <v>89</v>
      </c>
      <c r="J6" s="105">
        <v>1152</v>
      </c>
    </row>
    <row r="7" spans="1:10" ht="13.5">
      <c r="A7" s="92" t="s">
        <v>95</v>
      </c>
      <c r="B7" s="95" t="s">
        <v>86</v>
      </c>
      <c r="C7" s="95" t="s">
        <v>87</v>
      </c>
      <c r="D7" s="96">
        <v>60</v>
      </c>
      <c r="E7" s="97" t="s">
        <v>88</v>
      </c>
      <c r="F7" s="103" t="s">
        <v>89</v>
      </c>
      <c r="G7" s="105">
        <v>1029</v>
      </c>
      <c r="H7" s="97" t="s">
        <v>90</v>
      </c>
      <c r="I7" s="103" t="s">
        <v>89</v>
      </c>
      <c r="J7" s="105">
        <v>1152</v>
      </c>
    </row>
    <row r="8" spans="1:10" ht="13.5">
      <c r="A8" s="92" t="s">
        <v>96</v>
      </c>
      <c r="B8" s="95" t="s">
        <v>86</v>
      </c>
      <c r="C8" s="95" t="s">
        <v>87</v>
      </c>
      <c r="D8" s="96">
        <v>60</v>
      </c>
      <c r="E8" s="97" t="s">
        <v>88</v>
      </c>
      <c r="F8" s="103" t="s">
        <v>89</v>
      </c>
      <c r="G8" s="105">
        <v>9103</v>
      </c>
      <c r="H8" s="97" t="s">
        <v>90</v>
      </c>
      <c r="I8" s="103" t="s">
        <v>89</v>
      </c>
      <c r="J8" s="105">
        <v>1152</v>
      </c>
    </row>
    <row r="9" spans="1:10" ht="13.5">
      <c r="A9" s="92" t="s">
        <v>97</v>
      </c>
      <c r="B9" s="95" t="s">
        <v>86</v>
      </c>
      <c r="C9" s="95" t="s">
        <v>87</v>
      </c>
      <c r="D9" s="96">
        <v>60</v>
      </c>
      <c r="E9" s="97" t="s">
        <v>88</v>
      </c>
      <c r="F9" s="103" t="s">
        <v>89</v>
      </c>
      <c r="G9" s="105">
        <v>9379</v>
      </c>
      <c r="H9" s="97" t="s">
        <v>90</v>
      </c>
      <c r="I9" s="103" t="s">
        <v>89</v>
      </c>
      <c r="J9" s="105">
        <v>1152</v>
      </c>
    </row>
    <row r="10" spans="1:10" ht="13.5">
      <c r="A10" s="92" t="s">
        <v>98</v>
      </c>
      <c r="B10" s="95" t="s">
        <v>86</v>
      </c>
      <c r="C10" s="95" t="s">
        <v>87</v>
      </c>
      <c r="D10" s="96">
        <v>60</v>
      </c>
      <c r="E10" s="97" t="s">
        <v>88</v>
      </c>
      <c r="F10" s="103" t="s">
        <v>89</v>
      </c>
      <c r="G10" s="105">
        <v>9089</v>
      </c>
      <c r="H10" s="97" t="s">
        <v>90</v>
      </c>
      <c r="I10" s="103" t="s">
        <v>89</v>
      </c>
      <c r="J10" s="105">
        <v>1152</v>
      </c>
    </row>
    <row r="11" spans="1:10" ht="13.5">
      <c r="A11" s="93" t="s">
        <v>99</v>
      </c>
      <c r="B11" s="98" t="s">
        <v>86</v>
      </c>
      <c r="C11" s="98" t="s">
        <v>87</v>
      </c>
      <c r="D11" s="99" t="s">
        <v>100</v>
      </c>
      <c r="E11" s="100" t="s">
        <v>101</v>
      </c>
      <c r="F11" s="104"/>
      <c r="G11" s="106" t="s">
        <v>101</v>
      </c>
      <c r="H11" s="100"/>
      <c r="I11" s="104"/>
      <c r="J11" s="106" t="s">
        <v>101</v>
      </c>
    </row>
    <row r="12" spans="1:10" ht="13.5">
      <c r="A12" s="93" t="s">
        <v>102</v>
      </c>
      <c r="B12" s="98"/>
      <c r="C12" s="98"/>
      <c r="D12" s="99" t="s">
        <v>100</v>
      </c>
      <c r="E12" s="100" t="s">
        <v>101</v>
      </c>
      <c r="F12" s="104"/>
      <c r="G12" s="106" t="s">
        <v>101</v>
      </c>
      <c r="H12" s="100"/>
      <c r="I12" s="104"/>
      <c r="J12" s="106" t="s">
        <v>101</v>
      </c>
    </row>
    <row r="13" spans="1:10" ht="13.5">
      <c r="A13" s="92" t="s">
        <v>103</v>
      </c>
      <c r="B13" s="95" t="s">
        <v>86</v>
      </c>
      <c r="C13" s="95" t="s">
        <v>87</v>
      </c>
      <c r="D13" s="96">
        <v>60</v>
      </c>
      <c r="E13" s="97" t="s">
        <v>88</v>
      </c>
      <c r="F13" s="103" t="s">
        <v>89</v>
      </c>
      <c r="G13" s="105">
        <v>9061</v>
      </c>
      <c r="H13" s="97" t="s">
        <v>90</v>
      </c>
      <c r="I13" s="103" t="s">
        <v>89</v>
      </c>
      <c r="J13" s="105">
        <v>1152</v>
      </c>
    </row>
    <row r="14" spans="1:10" ht="13.5">
      <c r="A14" s="92" t="s">
        <v>104</v>
      </c>
      <c r="B14" s="95" t="s">
        <v>86</v>
      </c>
      <c r="C14" s="95" t="s">
        <v>87</v>
      </c>
      <c r="D14" s="96">
        <v>60</v>
      </c>
      <c r="E14" s="97" t="s">
        <v>88</v>
      </c>
      <c r="F14" s="103" t="s">
        <v>89</v>
      </c>
      <c r="G14" s="105">
        <v>9090</v>
      </c>
      <c r="H14" s="97" t="s">
        <v>90</v>
      </c>
      <c r="I14" s="103" t="s">
        <v>89</v>
      </c>
      <c r="J14" s="105">
        <v>1152</v>
      </c>
    </row>
    <row r="15" spans="1:10" ht="13.5">
      <c r="A15" s="92" t="s">
        <v>105</v>
      </c>
      <c r="B15" s="95" t="s">
        <v>86</v>
      </c>
      <c r="C15" s="95" t="s">
        <v>87</v>
      </c>
      <c r="D15" s="96">
        <v>64</v>
      </c>
      <c r="E15" s="97" t="s">
        <v>88</v>
      </c>
      <c r="F15" s="103" t="s">
        <v>89</v>
      </c>
      <c r="G15" s="105">
        <v>9004</v>
      </c>
      <c r="H15" s="97" t="s">
        <v>90</v>
      </c>
      <c r="I15" s="103" t="s">
        <v>89</v>
      </c>
      <c r="J15" s="105">
        <v>1152</v>
      </c>
    </row>
    <row r="16" spans="1:10" ht="13.5">
      <c r="A16" s="92" t="s">
        <v>106</v>
      </c>
      <c r="B16" s="95" t="s">
        <v>86</v>
      </c>
      <c r="C16" s="95" t="s">
        <v>87</v>
      </c>
      <c r="D16" s="96">
        <v>64</v>
      </c>
      <c r="E16" s="97" t="s">
        <v>88</v>
      </c>
      <c r="F16" s="103" t="s">
        <v>89</v>
      </c>
      <c r="G16" s="105">
        <v>9090</v>
      </c>
      <c r="H16" s="97" t="s">
        <v>90</v>
      </c>
      <c r="I16" s="103" t="s">
        <v>89</v>
      </c>
      <c r="J16" s="105">
        <v>1152</v>
      </c>
    </row>
    <row r="17" spans="1:10" ht="13.5">
      <c r="A17" s="92" t="s">
        <v>107</v>
      </c>
      <c r="B17" s="95" t="s">
        <v>86</v>
      </c>
      <c r="C17" s="101" t="s">
        <v>108</v>
      </c>
      <c r="D17" s="96">
        <v>62</v>
      </c>
      <c r="E17" s="97" t="s">
        <v>88</v>
      </c>
      <c r="F17" s="103" t="s">
        <v>89</v>
      </c>
      <c r="G17" s="105">
        <v>9035</v>
      </c>
      <c r="H17" s="97" t="s">
        <v>90</v>
      </c>
      <c r="I17" s="103" t="s">
        <v>89</v>
      </c>
      <c r="J17" s="105">
        <v>1018</v>
      </c>
    </row>
    <row r="18" spans="1:10" ht="13.5">
      <c r="A18" s="92" t="s">
        <v>109</v>
      </c>
      <c r="B18" s="95" t="s">
        <v>86</v>
      </c>
      <c r="C18" s="95" t="s">
        <v>87</v>
      </c>
      <c r="D18" s="96">
        <v>62</v>
      </c>
      <c r="E18" s="97" t="s">
        <v>110</v>
      </c>
      <c r="F18" s="103" t="s">
        <v>89</v>
      </c>
      <c r="G18" s="105">
        <v>9018</v>
      </c>
      <c r="H18" s="97" t="s">
        <v>90</v>
      </c>
      <c r="I18" s="103" t="s">
        <v>89</v>
      </c>
      <c r="J18" s="105">
        <v>1018</v>
      </c>
    </row>
    <row r="19" spans="1:10" ht="13.5">
      <c r="A19" s="92" t="s">
        <v>111</v>
      </c>
      <c r="B19" s="95" t="s">
        <v>86</v>
      </c>
      <c r="C19" s="95" t="s">
        <v>87</v>
      </c>
      <c r="D19" s="96">
        <v>60</v>
      </c>
      <c r="E19" s="97" t="s">
        <v>88</v>
      </c>
      <c r="F19" s="103" t="s">
        <v>89</v>
      </c>
      <c r="G19" s="105">
        <v>9035</v>
      </c>
      <c r="H19" s="97" t="s">
        <v>90</v>
      </c>
      <c r="I19" s="103" t="s">
        <v>89</v>
      </c>
      <c r="J19" s="105">
        <v>1152</v>
      </c>
    </row>
    <row r="20" spans="1:10" ht="13.5">
      <c r="A20" s="92" t="s">
        <v>112</v>
      </c>
      <c r="B20" s="95" t="s">
        <v>86</v>
      </c>
      <c r="C20" s="95" t="s">
        <v>87</v>
      </c>
      <c r="D20" s="96">
        <v>60</v>
      </c>
      <c r="E20" s="97" t="s">
        <v>88</v>
      </c>
      <c r="F20" s="103" t="s">
        <v>89</v>
      </c>
      <c r="G20" s="105">
        <v>9021</v>
      </c>
      <c r="H20" s="97" t="s">
        <v>90</v>
      </c>
      <c r="I20" s="103" t="s">
        <v>89</v>
      </c>
      <c r="J20" s="105">
        <v>1152</v>
      </c>
    </row>
    <row r="21" spans="1:10" ht="13.5">
      <c r="A21" s="92" t="s">
        <v>113</v>
      </c>
      <c r="B21" s="95" t="s">
        <v>86</v>
      </c>
      <c r="C21" s="95" t="s">
        <v>87</v>
      </c>
      <c r="D21" s="96">
        <v>60</v>
      </c>
      <c r="E21" s="97" t="s">
        <v>88</v>
      </c>
      <c r="F21" s="103" t="s">
        <v>89</v>
      </c>
      <c r="G21" s="105">
        <v>9013</v>
      </c>
      <c r="H21" s="97" t="s">
        <v>90</v>
      </c>
      <c r="I21" s="103" t="s">
        <v>89</v>
      </c>
      <c r="J21" s="105">
        <v>1018</v>
      </c>
    </row>
    <row r="22" spans="1:10" ht="13.5">
      <c r="A22" s="92" t="s">
        <v>114</v>
      </c>
      <c r="B22" s="95" t="s">
        <v>86</v>
      </c>
      <c r="C22" s="101" t="s">
        <v>108</v>
      </c>
      <c r="D22" s="96">
        <v>60</v>
      </c>
      <c r="E22" s="97" t="s">
        <v>88</v>
      </c>
      <c r="F22" s="103" t="s">
        <v>89</v>
      </c>
      <c r="G22" s="105" t="s">
        <v>115</v>
      </c>
      <c r="H22" s="97" t="s">
        <v>90</v>
      </c>
      <c r="I22" s="103"/>
      <c r="J22" s="105"/>
    </row>
    <row r="23" spans="1:10" ht="13.5">
      <c r="A23" s="92" t="s">
        <v>116</v>
      </c>
      <c r="B23" s="95" t="s">
        <v>86</v>
      </c>
      <c r="C23" s="101" t="s">
        <v>108</v>
      </c>
      <c r="D23" s="96">
        <v>60</v>
      </c>
      <c r="E23" s="97" t="s">
        <v>88</v>
      </c>
      <c r="F23" s="103" t="s">
        <v>89</v>
      </c>
      <c r="G23" s="105" t="s">
        <v>117</v>
      </c>
      <c r="H23" s="97" t="s">
        <v>90</v>
      </c>
      <c r="I23" s="103"/>
      <c r="J23" s="105"/>
    </row>
    <row r="24" spans="1:10" ht="13.5">
      <c r="A24" s="92" t="s">
        <v>118</v>
      </c>
      <c r="B24" s="95" t="s">
        <v>86</v>
      </c>
      <c r="C24" s="101" t="s">
        <v>108</v>
      </c>
      <c r="D24" s="96">
        <v>60</v>
      </c>
      <c r="E24" s="97" t="s">
        <v>119</v>
      </c>
      <c r="F24" s="103" t="s">
        <v>89</v>
      </c>
      <c r="G24" s="105" t="s">
        <v>120</v>
      </c>
      <c r="H24" s="97" t="s">
        <v>90</v>
      </c>
      <c r="I24" s="103" t="s">
        <v>89</v>
      </c>
      <c r="J24" s="105">
        <v>1152</v>
      </c>
    </row>
    <row r="25" spans="1:10" ht="13.5">
      <c r="A25" s="92" t="s">
        <v>121</v>
      </c>
      <c r="B25" s="95" t="s">
        <v>86</v>
      </c>
      <c r="C25" s="95" t="s">
        <v>87</v>
      </c>
      <c r="D25" s="96">
        <v>60</v>
      </c>
      <c r="E25" s="97" t="s">
        <v>119</v>
      </c>
      <c r="F25" s="103" t="s">
        <v>89</v>
      </c>
      <c r="G25" s="105">
        <v>1152</v>
      </c>
      <c r="H25" s="97" t="s">
        <v>90</v>
      </c>
      <c r="I25" s="103" t="s">
        <v>89</v>
      </c>
      <c r="J25" s="105">
        <v>1018</v>
      </c>
    </row>
    <row r="26" spans="1:10" ht="13.5">
      <c r="A26" s="92" t="s">
        <v>122</v>
      </c>
      <c r="B26" s="95" t="s">
        <v>86</v>
      </c>
      <c r="C26" s="95" t="s">
        <v>87</v>
      </c>
      <c r="D26" s="96">
        <v>60</v>
      </c>
      <c r="E26" s="97" t="s">
        <v>88</v>
      </c>
      <c r="F26" s="103" t="s">
        <v>89</v>
      </c>
      <c r="G26" s="105">
        <v>1173</v>
      </c>
      <c r="H26" s="97" t="s">
        <v>90</v>
      </c>
      <c r="I26" s="103" t="s">
        <v>89</v>
      </c>
      <c r="J26" s="105">
        <v>1152</v>
      </c>
    </row>
    <row r="27" spans="1:10" ht="13.5">
      <c r="A27" s="92" t="s">
        <v>123</v>
      </c>
      <c r="B27" s="95" t="s">
        <v>86</v>
      </c>
      <c r="C27" s="95" t="s">
        <v>87</v>
      </c>
      <c r="D27" s="96">
        <v>60</v>
      </c>
      <c r="E27" s="97" t="s">
        <v>88</v>
      </c>
      <c r="F27" s="103" t="s">
        <v>89</v>
      </c>
      <c r="G27" s="105">
        <v>9275</v>
      </c>
      <c r="H27" s="97" t="s">
        <v>90</v>
      </c>
      <c r="I27" s="103" t="s">
        <v>89</v>
      </c>
      <c r="J27" s="105">
        <v>1152</v>
      </c>
    </row>
    <row r="28" spans="1:10" ht="13.5">
      <c r="A28" s="92" t="s">
        <v>124</v>
      </c>
      <c r="B28" s="95" t="s">
        <v>86</v>
      </c>
      <c r="C28" s="95" t="s">
        <v>87</v>
      </c>
      <c r="D28" s="96">
        <v>60</v>
      </c>
      <c r="E28" s="97" t="s">
        <v>88</v>
      </c>
      <c r="F28" s="103" t="s">
        <v>89</v>
      </c>
      <c r="G28" s="105">
        <v>9013</v>
      </c>
      <c r="H28" s="97" t="s">
        <v>90</v>
      </c>
      <c r="I28" s="103" t="s">
        <v>89</v>
      </c>
      <c r="J28" s="105">
        <v>1152</v>
      </c>
    </row>
    <row r="29" spans="1:10" ht="13.5">
      <c r="A29" s="92" t="s">
        <v>125</v>
      </c>
      <c r="B29" s="95" t="s">
        <v>86</v>
      </c>
      <c r="C29" s="95" t="s">
        <v>87</v>
      </c>
      <c r="D29" s="96">
        <v>60</v>
      </c>
      <c r="E29" s="97" t="s">
        <v>88</v>
      </c>
      <c r="F29" s="103" t="s">
        <v>89</v>
      </c>
      <c r="G29" s="105">
        <v>1001</v>
      </c>
      <c r="H29" s="114" t="s">
        <v>126</v>
      </c>
      <c r="I29" s="103" t="s">
        <v>89</v>
      </c>
      <c r="J29" s="105">
        <v>1152</v>
      </c>
    </row>
    <row r="30" spans="1:10" ht="13.5">
      <c r="A30" s="93" t="s">
        <v>127</v>
      </c>
      <c r="B30" s="98" t="s">
        <v>86</v>
      </c>
      <c r="C30" s="98" t="s">
        <v>87</v>
      </c>
      <c r="D30" s="99" t="s">
        <v>100</v>
      </c>
      <c r="E30" s="100" t="s">
        <v>101</v>
      </c>
      <c r="F30" s="104"/>
      <c r="G30" s="106" t="s">
        <v>101</v>
      </c>
      <c r="H30" s="100"/>
      <c r="I30" s="104"/>
      <c r="J30" s="106" t="s">
        <v>101</v>
      </c>
    </row>
    <row r="31" spans="1:10" ht="13.5">
      <c r="A31" s="92" t="s">
        <v>128</v>
      </c>
      <c r="B31" s="95" t="s">
        <v>86</v>
      </c>
      <c r="C31" s="95" t="s">
        <v>87</v>
      </c>
      <c r="D31" s="96">
        <v>60</v>
      </c>
      <c r="E31" s="97" t="s">
        <v>88</v>
      </c>
      <c r="F31" s="103" t="s">
        <v>89</v>
      </c>
      <c r="G31" s="105">
        <v>9090</v>
      </c>
      <c r="H31" s="97" t="s">
        <v>90</v>
      </c>
      <c r="I31" s="103" t="s">
        <v>89</v>
      </c>
      <c r="J31" s="105">
        <v>1152</v>
      </c>
    </row>
    <row r="32" spans="1:10" ht="13.5">
      <c r="A32" s="92" t="s">
        <v>129</v>
      </c>
      <c r="B32" s="95" t="s">
        <v>86</v>
      </c>
      <c r="C32" s="95" t="s">
        <v>87</v>
      </c>
      <c r="D32" s="96">
        <v>60</v>
      </c>
      <c r="E32" s="97" t="s">
        <v>88</v>
      </c>
      <c r="F32" s="103" t="s">
        <v>89</v>
      </c>
      <c r="G32" s="105">
        <v>1029</v>
      </c>
      <c r="H32" s="97" t="s">
        <v>90</v>
      </c>
      <c r="I32" s="103" t="s">
        <v>89</v>
      </c>
      <c r="J32" s="105">
        <v>1037</v>
      </c>
    </row>
    <row r="33" spans="1:10" ht="13.5">
      <c r="A33" s="92" t="s">
        <v>130</v>
      </c>
      <c r="B33" s="95" t="s">
        <v>86</v>
      </c>
      <c r="C33" s="95" t="s">
        <v>87</v>
      </c>
      <c r="D33" s="96">
        <v>60</v>
      </c>
      <c r="E33" s="97" t="s">
        <v>88</v>
      </c>
      <c r="F33" s="103" t="s">
        <v>89</v>
      </c>
      <c r="G33" s="105">
        <v>9199</v>
      </c>
      <c r="H33" s="97" t="s">
        <v>90</v>
      </c>
      <c r="I33" s="103" t="s">
        <v>89</v>
      </c>
      <c r="J33" s="105">
        <v>1152</v>
      </c>
    </row>
    <row r="34" spans="1:10" ht="13.5">
      <c r="A34" s="92" t="s">
        <v>131</v>
      </c>
      <c r="B34" s="95" t="s">
        <v>86</v>
      </c>
      <c r="C34" s="101" t="s">
        <v>108</v>
      </c>
      <c r="D34" s="96">
        <v>60</v>
      </c>
      <c r="E34" s="97" t="s">
        <v>88</v>
      </c>
      <c r="F34" s="103" t="s">
        <v>89</v>
      </c>
      <c r="G34" s="105">
        <v>9026</v>
      </c>
      <c r="H34" s="97" t="s">
        <v>90</v>
      </c>
      <c r="I34" s="103" t="s">
        <v>89</v>
      </c>
      <c r="J34" s="105">
        <v>1037</v>
      </c>
    </row>
    <row r="35" spans="1:10" ht="13.5">
      <c r="A35" s="92" t="s">
        <v>132</v>
      </c>
      <c r="B35" s="95" t="s">
        <v>86</v>
      </c>
      <c r="C35" s="101" t="s">
        <v>108</v>
      </c>
      <c r="D35" s="96">
        <v>60</v>
      </c>
      <c r="E35" s="97" t="s">
        <v>88</v>
      </c>
      <c r="F35" s="103" t="s">
        <v>89</v>
      </c>
      <c r="G35" s="105">
        <v>1037</v>
      </c>
      <c r="H35" s="97" t="s">
        <v>90</v>
      </c>
      <c r="I35" s="103" t="s">
        <v>89</v>
      </c>
      <c r="J35" s="105" t="s">
        <v>133</v>
      </c>
    </row>
    <row r="36" spans="1:10" ht="13.5">
      <c r="A36" s="92" t="s">
        <v>134</v>
      </c>
      <c r="B36" s="95" t="s">
        <v>86</v>
      </c>
      <c r="C36" s="95" t="s">
        <v>87</v>
      </c>
      <c r="D36" s="96">
        <v>60</v>
      </c>
      <c r="E36" s="97" t="s">
        <v>88</v>
      </c>
      <c r="F36" s="103" t="s">
        <v>89</v>
      </c>
      <c r="G36" s="105">
        <v>9026</v>
      </c>
      <c r="H36" s="97" t="s">
        <v>90</v>
      </c>
      <c r="I36" s="103" t="s">
        <v>89</v>
      </c>
      <c r="J36" s="105" t="s">
        <v>133</v>
      </c>
    </row>
    <row r="37" spans="1:10" ht="13.5">
      <c r="A37" s="92" t="s">
        <v>135</v>
      </c>
      <c r="B37" s="95" t="s">
        <v>86</v>
      </c>
      <c r="C37" s="95" t="s">
        <v>87</v>
      </c>
      <c r="D37" s="96">
        <v>60</v>
      </c>
      <c r="E37" s="97" t="s">
        <v>88</v>
      </c>
      <c r="F37" s="103" t="s">
        <v>89</v>
      </c>
      <c r="G37" s="105">
        <v>1037</v>
      </c>
      <c r="H37" s="97" t="s">
        <v>90</v>
      </c>
      <c r="I37" s="103" t="s">
        <v>89</v>
      </c>
      <c r="J37" s="105">
        <v>9090</v>
      </c>
    </row>
    <row r="38" spans="1:10" ht="13.5">
      <c r="A38" s="92" t="s">
        <v>136</v>
      </c>
      <c r="B38" s="95" t="s">
        <v>86</v>
      </c>
      <c r="C38" s="95" t="s">
        <v>87</v>
      </c>
      <c r="D38" s="96">
        <v>60</v>
      </c>
      <c r="E38" s="97" t="s">
        <v>88</v>
      </c>
      <c r="F38" s="103" t="s">
        <v>89</v>
      </c>
      <c r="G38" s="105">
        <v>9004</v>
      </c>
      <c r="H38" s="114" t="s">
        <v>137</v>
      </c>
      <c r="I38" s="103" t="s">
        <v>89</v>
      </c>
      <c r="J38" s="105">
        <v>1152</v>
      </c>
    </row>
    <row r="39" spans="1:10" ht="13.5">
      <c r="A39" s="93" t="s">
        <v>138</v>
      </c>
      <c r="B39" s="98" t="s">
        <v>86</v>
      </c>
      <c r="C39" s="98" t="s">
        <v>87</v>
      </c>
      <c r="D39" s="99" t="s">
        <v>100</v>
      </c>
      <c r="E39" s="100" t="s">
        <v>101</v>
      </c>
      <c r="F39" s="104"/>
      <c r="G39" s="106" t="s">
        <v>101</v>
      </c>
      <c r="H39" s="100"/>
      <c r="I39" s="104"/>
      <c r="J39" s="106" t="s">
        <v>101</v>
      </c>
    </row>
    <row r="40" spans="1:10" ht="13.5">
      <c r="A40" s="92" t="s">
        <v>139</v>
      </c>
      <c r="B40" s="95" t="s">
        <v>86</v>
      </c>
      <c r="C40" s="101" t="s">
        <v>108</v>
      </c>
      <c r="D40" s="96">
        <v>60</v>
      </c>
      <c r="E40" s="97" t="s">
        <v>88</v>
      </c>
      <c r="F40" s="103" t="s">
        <v>89</v>
      </c>
      <c r="G40" s="105">
        <v>9039</v>
      </c>
      <c r="H40" s="97" t="s">
        <v>90</v>
      </c>
      <c r="I40" s="103" t="s">
        <v>89</v>
      </c>
      <c r="J40" s="105">
        <v>1176</v>
      </c>
    </row>
    <row r="41" spans="1:10" ht="13.5">
      <c r="A41" s="92" t="s">
        <v>140</v>
      </c>
      <c r="B41" s="95" t="s">
        <v>86</v>
      </c>
      <c r="C41" s="101" t="s">
        <v>108</v>
      </c>
      <c r="D41" s="96">
        <v>64</v>
      </c>
      <c r="E41" s="97" t="s">
        <v>119</v>
      </c>
      <c r="F41" s="103" t="s">
        <v>89</v>
      </c>
      <c r="G41" s="105">
        <v>9026</v>
      </c>
      <c r="H41" s="97" t="s">
        <v>90</v>
      </c>
      <c r="I41" s="103" t="s">
        <v>89</v>
      </c>
      <c r="J41" s="105">
        <v>1176</v>
      </c>
    </row>
    <row r="42" spans="1:10" ht="13.5">
      <c r="A42" s="92" t="s">
        <v>141</v>
      </c>
      <c r="B42" s="95" t="s">
        <v>86</v>
      </c>
      <c r="C42" s="101" t="s">
        <v>108</v>
      </c>
      <c r="D42" s="96">
        <v>60</v>
      </c>
      <c r="E42" s="97" t="s">
        <v>119</v>
      </c>
      <c r="F42" s="103" t="s">
        <v>89</v>
      </c>
      <c r="G42" s="105">
        <v>9039</v>
      </c>
      <c r="H42" s="97" t="s">
        <v>90</v>
      </c>
      <c r="I42" s="103" t="s">
        <v>89</v>
      </c>
      <c r="J42" s="105">
        <v>9090</v>
      </c>
    </row>
    <row r="43" spans="1:10" ht="13.5">
      <c r="A43" s="92" t="s">
        <v>142</v>
      </c>
      <c r="B43" s="95" t="s">
        <v>86</v>
      </c>
      <c r="C43" s="95" t="s">
        <v>87</v>
      </c>
      <c r="D43" s="96">
        <v>64</v>
      </c>
      <c r="E43" s="97" t="s">
        <v>88</v>
      </c>
      <c r="F43" s="103" t="s">
        <v>89</v>
      </c>
      <c r="G43" s="105">
        <v>9142</v>
      </c>
      <c r="H43" s="97" t="s">
        <v>90</v>
      </c>
      <c r="I43" s="103" t="s">
        <v>89</v>
      </c>
      <c r="J43" s="105">
        <v>9090</v>
      </c>
    </row>
    <row r="44" spans="1:10" ht="13.5">
      <c r="A44" s="92" t="s">
        <v>143</v>
      </c>
      <c r="B44" s="95" t="s">
        <v>86</v>
      </c>
      <c r="C44" s="95" t="s">
        <v>87</v>
      </c>
      <c r="D44" s="96">
        <v>60</v>
      </c>
      <c r="E44" s="97" t="s">
        <v>88</v>
      </c>
      <c r="F44" s="103" t="s">
        <v>89</v>
      </c>
      <c r="G44" s="105">
        <v>1176</v>
      </c>
      <c r="H44" s="97" t="s">
        <v>90</v>
      </c>
      <c r="I44" s="103" t="s">
        <v>89</v>
      </c>
      <c r="J44" s="105">
        <v>9142</v>
      </c>
    </row>
    <row r="45" spans="1:10" ht="13.5">
      <c r="A45" s="92" t="s">
        <v>144</v>
      </c>
      <c r="B45" s="95" t="s">
        <v>86</v>
      </c>
      <c r="C45" s="95" t="s">
        <v>87</v>
      </c>
      <c r="D45" s="96">
        <v>60</v>
      </c>
      <c r="E45" s="97" t="s">
        <v>119</v>
      </c>
      <c r="F45" s="103" t="s">
        <v>89</v>
      </c>
      <c r="G45" s="105">
        <v>9056</v>
      </c>
      <c r="H45" s="97" t="s">
        <v>90</v>
      </c>
      <c r="I45" s="103" t="s">
        <v>89</v>
      </c>
      <c r="J45" s="105">
        <v>1176</v>
      </c>
    </row>
    <row r="46" spans="1:10" ht="13.5">
      <c r="A46" s="92" t="s">
        <v>145</v>
      </c>
      <c r="B46" s="95" t="s">
        <v>86</v>
      </c>
      <c r="C46" s="101" t="s">
        <v>108</v>
      </c>
      <c r="D46" s="96">
        <v>60</v>
      </c>
      <c r="E46" s="97" t="s">
        <v>88</v>
      </c>
      <c r="F46" s="103" t="s">
        <v>89</v>
      </c>
      <c r="G46" s="105">
        <v>9056</v>
      </c>
      <c r="H46" s="97" t="s">
        <v>90</v>
      </c>
      <c r="I46" s="103" t="s">
        <v>89</v>
      </c>
      <c r="J46" s="105">
        <v>1176</v>
      </c>
    </row>
    <row r="47" spans="1:10" ht="13.5">
      <c r="A47" s="92" t="s">
        <v>146</v>
      </c>
      <c r="B47" s="95" t="s">
        <v>86</v>
      </c>
      <c r="C47" s="95" t="s">
        <v>87</v>
      </c>
      <c r="D47" s="96">
        <v>60</v>
      </c>
      <c r="E47" s="97" t="s">
        <v>88</v>
      </c>
      <c r="F47" s="103" t="s">
        <v>89</v>
      </c>
      <c r="G47" s="105">
        <v>9199</v>
      </c>
      <c r="H47" s="97" t="s">
        <v>90</v>
      </c>
      <c r="I47" s="103" t="s">
        <v>89</v>
      </c>
      <c r="J47" s="105">
        <v>1176</v>
      </c>
    </row>
    <row r="48" spans="1:10" ht="13.5">
      <c r="A48" s="92" t="s">
        <v>147</v>
      </c>
      <c r="B48" s="95" t="s">
        <v>86</v>
      </c>
      <c r="C48" s="101" t="s">
        <v>108</v>
      </c>
      <c r="D48" s="96">
        <v>60</v>
      </c>
      <c r="E48" s="97" t="s">
        <v>88</v>
      </c>
      <c r="F48" s="103" t="s">
        <v>89</v>
      </c>
      <c r="G48" s="105">
        <v>1176</v>
      </c>
      <c r="H48" s="97" t="s">
        <v>90</v>
      </c>
      <c r="I48" s="103" t="s">
        <v>89</v>
      </c>
      <c r="J48" s="105">
        <v>9142</v>
      </c>
    </row>
    <row r="49" spans="1:10" ht="13.5">
      <c r="A49" s="92" t="s">
        <v>148</v>
      </c>
      <c r="B49" s="95" t="s">
        <v>86</v>
      </c>
      <c r="C49" s="95" t="s">
        <v>87</v>
      </c>
      <c r="D49" s="96">
        <v>62</v>
      </c>
      <c r="E49" s="97" t="s">
        <v>88</v>
      </c>
      <c r="F49" s="103"/>
      <c r="G49" s="105"/>
      <c r="H49" s="97"/>
      <c r="I49" s="103"/>
      <c r="J49" s="105"/>
    </row>
    <row r="50" spans="1:10" ht="13.5">
      <c r="A50" s="92" t="s">
        <v>149</v>
      </c>
      <c r="B50" s="95" t="s">
        <v>86</v>
      </c>
      <c r="C50" s="101" t="s">
        <v>108</v>
      </c>
      <c r="D50" s="96">
        <v>60</v>
      </c>
      <c r="E50" s="97" t="s">
        <v>110</v>
      </c>
      <c r="F50" s="103" t="s">
        <v>89</v>
      </c>
      <c r="G50" s="105">
        <v>9056</v>
      </c>
      <c r="H50" s="97" t="s">
        <v>90</v>
      </c>
      <c r="I50" s="103" t="s">
        <v>89</v>
      </c>
      <c r="J50" s="105">
        <v>1176</v>
      </c>
    </row>
    <row r="51" spans="1:10" ht="13.5">
      <c r="A51" s="93" t="s">
        <v>150</v>
      </c>
      <c r="B51" s="98" t="s">
        <v>86</v>
      </c>
      <c r="C51" s="102" t="s">
        <v>108</v>
      </c>
      <c r="D51" s="99" t="s">
        <v>100</v>
      </c>
      <c r="E51" s="100" t="s">
        <v>101</v>
      </c>
      <c r="F51" s="104"/>
      <c r="G51" s="106" t="s">
        <v>101</v>
      </c>
      <c r="H51" s="100"/>
      <c r="I51" s="104"/>
      <c r="J51" s="106" t="s">
        <v>101</v>
      </c>
    </row>
    <row r="52" spans="1:10" ht="13.5">
      <c r="A52" s="92" t="s">
        <v>151</v>
      </c>
      <c r="B52" s="95" t="s">
        <v>86</v>
      </c>
      <c r="C52" s="101" t="s">
        <v>108</v>
      </c>
      <c r="D52" s="96">
        <v>63</v>
      </c>
      <c r="E52" s="97" t="s">
        <v>119</v>
      </c>
      <c r="F52" s="103" t="s">
        <v>89</v>
      </c>
      <c r="G52" s="105">
        <v>1152</v>
      </c>
      <c r="H52" s="97" t="s">
        <v>90</v>
      </c>
      <c r="I52" s="103" t="s">
        <v>89</v>
      </c>
      <c r="J52" s="105">
        <v>1037</v>
      </c>
    </row>
  </sheetData>
  <sheetProtection algorithmName="SHA-512" hashValue="Y/TNp21ttrTd2cwuG/JsC7zN0tGnyycqkup8DQDwSQDIYMNsvzP448Gv16o6PfHuspm1g+QE2A4kz/Edre5rew==" saltValue="m9NsQ14je+29KwX7cVVCfg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43C18C9FAE3C4198F9A3F85EE07F84" ma:contentTypeVersion="19" ma:contentTypeDescription="Create a new document." ma:contentTypeScope="" ma:versionID="ac1f383a346060f07985ead130b73fa1">
  <xsd:schema xmlns:xsd="http://www.w3.org/2001/XMLSchema" xmlns:xs="http://www.w3.org/2001/XMLSchema" xmlns:p="http://schemas.microsoft.com/office/2006/metadata/properties" xmlns:ns2="a099b2e5-37fd-4666-b759-ced47d83cf49" xmlns:ns3="21254ea3-2abc-4f85-9665-e30f84a7d831" targetNamespace="http://schemas.microsoft.com/office/2006/metadata/properties" ma:root="true" ma:fieldsID="cbdaa62a91826f0e4268dbcc34f10444" ns2:_="" ns3:_="">
    <xsd:import namespace="a099b2e5-37fd-4666-b759-ced47d83cf49"/>
    <xsd:import namespace="21254ea3-2abc-4f85-9665-e30f84a7d83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b2e5-37fd-4666-b759-ced47d83cf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b05331c-db7d-4517-b63a-f58bc772cb48}" ma:internalName="TaxCatchAll" ma:showField="CatchAllData" ma:web="a099b2e5-37fd-4666-b759-ced47d83c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54ea3-2abc-4f85-9665-e30f84a7d8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2bb1bb6-a002-4316-843e-d4932387b2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099b2e5-37fd-4666-b759-ced47d83cf49" xsi:nil="true"/>
    <lcf76f155ced4ddcb4097134ff3c332f xmlns="21254ea3-2abc-4f85-9665-e30f84a7d83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C5C9EB-9467-4BF0-9353-C377BFCFDB07}"/>
</file>

<file path=customXml/itemProps2.xml><?xml version="1.0" encoding="utf-8"?>
<ds:datastoreItem xmlns:ds="http://schemas.openxmlformats.org/officeDocument/2006/customXml" ds:itemID="{EEC501F3-C50E-41EF-902C-DDCE75E8A983}"/>
</file>

<file path=customXml/itemProps3.xml><?xml version="1.0" encoding="utf-8"?>
<ds:datastoreItem xmlns:ds="http://schemas.openxmlformats.org/officeDocument/2006/customXml" ds:itemID="{1F530916-89A8-4F5E-8E0D-4CE727131E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Fred Hutchinson Cancer Research Center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Kanaan, Sami B</dc:creator>
  <cp:keywords/>
  <dc:description/>
  <cp:lastModifiedBy>Sami B. Kanaan</cp:lastModifiedBy>
  <cp:revision/>
  <dcterms:created xsi:type="dcterms:W3CDTF">2014-10-30T02:12:29Z</dcterms:created>
  <dcterms:modified xsi:type="dcterms:W3CDTF">2021-05-10T19:17:41Z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0x0101008D43C18C9FAE3C4198F9A3F85EE07F84</vt:lpwstr>
  </property>
  <property fmtid="{D5CDD505-2E9C-101B-9397-08002B2CF9AE}" pid="3" name="MediaServiceImageTags">
    <vt:lpwstr/>
  </property>
</Properties>
</file>