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imerocytecom.sharepoint.com/sites/ChimerocyteOfficeFiles/Shared Documents/Products and Services/Prep-Run-Analyze-Data/06- Planning-Analyzing Templates/"/>
    </mc:Choice>
  </mc:AlternateContent>
  <xr:revisionPtr revIDLastSave="195" documentId="13_ncr:1_{8123B659-B07E-47D1-97BC-1394C523C963}" xr6:coauthVersionLast="47" xr6:coauthVersionMax="47" xr10:uidLastSave="{F6203438-AB97-4E7B-852B-31D710EFDF1D}"/>
  <workbookProtection workbookAlgorithmName="SHA-512" workbookHashValue="hVXVcTMngXEOWMAo+P7uLBQWfPKdVVW7rLsQC5Xm75y38BjcEZKrfepbes0032V/1S2GRX4IwW9aAUWoBpys2g==" workbookSaltValue="DphNoBhBvWzgLHNlql1+1w==" workbookSpinCount="100000" lockStructure="1"/>
  <bookViews>
    <workbookView xWindow="19080" yWindow="-120" windowWidth="19440" windowHeight="15000" xr2:uid="{00000000-000D-0000-FFFF-FFFF00000000}"/>
  </bookViews>
  <sheets>
    <sheet name="HLA-assay Q-PCR" sheetId="1" r:id="rId1"/>
    <sheet name="Notes" sheetId="2" r:id="rId2"/>
    <sheet name="Sheet1" sheetId="4" state="hidden" r:id="rId3"/>
    <sheet name="Assay_list" sheetId="3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B15" i="1" l="1"/>
  <c r="J28" i="1" l="1"/>
  <c r="K29" i="1" l="1"/>
  <c r="L29" i="1" s="1"/>
  <c r="K27" i="1"/>
  <c r="L27" i="1" s="1"/>
  <c r="J29" i="1"/>
  <c r="J27" i="1"/>
  <c r="I3" i="1" l="1"/>
  <c r="B8" i="1" s="1"/>
  <c r="G28" i="1"/>
  <c r="F28" i="1" s="1"/>
  <c r="E28" i="1" s="1"/>
  <c r="D28" i="1" s="1"/>
  <c r="C28" i="1" s="1"/>
  <c r="B28" i="1" s="1"/>
  <c r="K3" i="1"/>
  <c r="B7" i="1" s="1"/>
  <c r="G3" i="1"/>
  <c r="H3" i="1"/>
  <c r="J3" i="1"/>
  <c r="L3" i="1"/>
  <c r="M3" i="1"/>
  <c r="L2" i="1"/>
  <c r="M2" i="1"/>
  <c r="K2" i="1"/>
  <c r="J2" i="1"/>
  <c r="I2" i="1"/>
  <c r="H2" i="1"/>
  <c r="G2" i="1"/>
  <c r="L17" i="1"/>
  <c r="E18" i="1"/>
  <c r="K26" i="1"/>
  <c r="K30" i="1" s="1"/>
  <c r="K28" i="1"/>
  <c r="J26" i="1"/>
  <c r="C2" i="1"/>
  <c r="I19" i="1"/>
  <c r="I18" i="1"/>
  <c r="I28" i="1"/>
  <c r="F5" i="1" l="1"/>
  <c r="D5" i="1"/>
  <c r="B5" i="1"/>
  <c r="L5" i="1"/>
  <c r="J5" i="1"/>
  <c r="H5" i="1"/>
  <c r="B9" i="1"/>
  <c r="B10" i="1"/>
  <c r="B12" i="1"/>
  <c r="B11" i="1"/>
  <c r="B13" i="1" l="1"/>
  <c r="H19" i="1" l="1"/>
  <c r="E19" i="1" s="1"/>
  <c r="H23" i="1" s="1"/>
  <c r="B30" i="1" s="1"/>
  <c r="B31" i="1" s="1"/>
  <c r="B14" i="1"/>
  <c r="L24" i="1" s="1"/>
  <c r="L25" i="1" s="1"/>
  <c r="L28" i="1" s="1"/>
  <c r="C30" i="1" l="1"/>
  <c r="C31" i="1" s="1"/>
  <c r="D30" i="1"/>
  <c r="D31" i="1" s="1"/>
  <c r="L26" i="1"/>
  <c r="L30" i="1"/>
  <c r="H30" i="1"/>
  <c r="H31" i="1" s="1"/>
  <c r="G30" i="1"/>
  <c r="G31" i="1" s="1"/>
  <c r="E30" i="1"/>
  <c r="E31" i="1" s="1"/>
  <c r="F30" i="1"/>
  <c r="F31" i="1" s="1"/>
</calcChain>
</file>

<file path=xl/sharedStrings.xml><?xml version="1.0" encoding="utf-8"?>
<sst xmlns="http://schemas.openxmlformats.org/spreadsheetml/2006/main" count="232" uniqueCount="98">
  <si>
    <t>User:</t>
  </si>
  <si>
    <t>SBK</t>
  </si>
  <si>
    <t>Reporter</t>
  </si>
  <si>
    <t>Quencher</t>
  </si>
  <si>
    <t>Std.Cell-line</t>
  </si>
  <si>
    <t>...zygous?</t>
  </si>
  <si>
    <t>Background</t>
  </si>
  <si>
    <t>Anneal/Extend</t>
  </si>
  <si>
    <t>MasterMix</t>
  </si>
  <si>
    <t>Date:</t>
  </si>
  <si>
    <t>Marker #1</t>
  </si>
  <si>
    <t>BGLOB</t>
  </si>
  <si>
    <t>Marker #2</t>
  </si>
  <si>
    <t>AT3-short</t>
  </si>
  <si>
    <t>A</t>
  </si>
  <si>
    <t>B</t>
  </si>
  <si>
    <t>C</t>
  </si>
  <si>
    <t>D</t>
  </si>
  <si>
    <t>E</t>
  </si>
  <si>
    <t>F</t>
  </si>
  <si>
    <t>G</t>
  </si>
  <si>
    <t>H</t>
  </si>
  <si>
    <t>Reac. Vol.</t>
  </si>
  <si>
    <t>uL</t>
  </si>
  <si>
    <t>ng/uL</t>
  </si>
  <si>
    <t>→</t>
  </si>
  <si>
    <t>Cell/uL</t>
  </si>
  <si>
    <t>Multiplexing</t>
  </si>
  <si>
    <t>-plex</t>
  </si>
  <si>
    <t>MM stock sol.</t>
  </si>
  <si>
    <t>x</t>
  </si>
  <si>
    <t>Primers/Probe stock sol.</t>
  </si>
  <si>
    <t>←</t>
  </si>
  <si>
    <t>Using Super Oligo?</t>
  </si>
  <si>
    <t>Yes</t>
  </si>
  <si>
    <t>Seven points standard curve preparation</t>
  </si>
  <si>
    <t>IHW Cell-line Std Crv Prep.</t>
  </si>
  <si>
    <r>
      <t>C</t>
    </r>
    <r>
      <rPr>
        <vertAlign val="subscript"/>
        <sz val="12"/>
        <color theme="0" tint="-0.249977111117893"/>
        <rFont val="Arial"/>
        <family val="2"/>
      </rPr>
      <t>1</t>
    </r>
    <r>
      <rPr>
        <sz val="12"/>
        <color theme="0" tint="-0.249977111117893"/>
        <rFont val="Arial"/>
        <family val="2"/>
      </rPr>
      <t xml:space="preserve"> × V</t>
    </r>
    <r>
      <rPr>
        <vertAlign val="subscript"/>
        <sz val="12"/>
        <color theme="0" tint="-0.249977111117893"/>
        <rFont val="Arial"/>
        <family val="2"/>
      </rPr>
      <t>1</t>
    </r>
  </si>
  <si>
    <t>=</t>
  </si>
  <si>
    <r>
      <t>C</t>
    </r>
    <r>
      <rPr>
        <vertAlign val="subscript"/>
        <sz val="12"/>
        <color theme="0" tint="-0.249977111117893"/>
        <rFont val="Arial"/>
        <family val="2"/>
      </rPr>
      <t>2</t>
    </r>
    <r>
      <rPr>
        <sz val="12"/>
        <color theme="0" tint="-0.249977111117893"/>
        <rFont val="Arial"/>
        <family val="2"/>
      </rPr>
      <t xml:space="preserve"> × V</t>
    </r>
    <r>
      <rPr>
        <vertAlign val="subscript"/>
        <sz val="12"/>
        <color theme="0" tint="-0.249977111117893"/>
        <rFont val="Arial"/>
        <family val="2"/>
      </rPr>
      <t>2</t>
    </r>
  </si>
  <si>
    <t>dil. factor</t>
  </si>
  <si>
    <t>(whole number)</t>
  </si>
  <si>
    <r>
      <t>V</t>
    </r>
    <r>
      <rPr>
        <vertAlign val="subscript"/>
        <sz val="12"/>
        <color theme="0" tint="-0.249977111117893"/>
        <rFont val="Arial"/>
        <family val="2"/>
      </rPr>
      <t>1</t>
    </r>
  </si>
  <si>
    <t>MasterMix preparation</t>
  </si>
  <si>
    <t>planned runs</t>
  </si>
  <si>
    <t>Bglob+markers</t>
  </si>
  <si>
    <r>
      <t>N</t>
    </r>
    <r>
      <rPr>
        <vertAlign val="subscript"/>
        <sz val="12"/>
        <rFont val="Arial"/>
        <family val="2"/>
      </rPr>
      <t>Wells</t>
    </r>
    <r>
      <rPr>
        <sz val="12"/>
        <rFont val="Arial"/>
        <family val="2"/>
      </rPr>
      <t xml:space="preserve"> =</t>
    </r>
  </si>
  <si>
    <r>
      <t>desired V</t>
    </r>
    <r>
      <rPr>
        <vertAlign val="subscript"/>
        <sz val="11"/>
        <rFont val="Arial Narrow"/>
        <family val="2"/>
      </rPr>
      <t>perTube</t>
    </r>
  </si>
  <si>
    <t>×</t>
  </si>
  <si>
    <t>IHW Cell-line</t>
  </si>
  <si>
    <r>
      <t>IHW-Tube</t>
    </r>
    <r>
      <rPr>
        <b/>
        <sz val="10"/>
        <rFont val="Arial"/>
        <family val="2"/>
      </rPr>
      <t>1</t>
    </r>
  </si>
  <si>
    <r>
      <t>IHW-Tube</t>
    </r>
    <r>
      <rPr>
        <b/>
        <sz val="10"/>
        <rFont val="Arial"/>
        <family val="2"/>
      </rPr>
      <t>2</t>
    </r>
  </si>
  <si>
    <r>
      <t>IHW-Tube</t>
    </r>
    <r>
      <rPr>
        <b/>
        <sz val="10"/>
        <rFont val="Arial"/>
        <family val="2"/>
      </rPr>
      <t>3</t>
    </r>
  </si>
  <si>
    <r>
      <t>IHW-Tube</t>
    </r>
    <r>
      <rPr>
        <b/>
        <sz val="10"/>
        <rFont val="Arial"/>
        <family val="2"/>
      </rPr>
      <t>4</t>
    </r>
  </si>
  <si>
    <r>
      <t>IHW-Tube</t>
    </r>
    <r>
      <rPr>
        <b/>
        <sz val="10"/>
        <rFont val="Arial"/>
        <family val="2"/>
      </rPr>
      <t>5</t>
    </r>
  </si>
  <si>
    <r>
      <t>IHW-Tube</t>
    </r>
    <r>
      <rPr>
        <b/>
        <sz val="10"/>
        <rFont val="Arial"/>
        <family val="2"/>
      </rPr>
      <t>6</t>
    </r>
  </si>
  <si>
    <r>
      <t>IHW-Tube</t>
    </r>
    <r>
      <rPr>
        <b/>
        <sz val="10"/>
        <rFont val="Arial"/>
        <family val="2"/>
      </rPr>
      <t>7</t>
    </r>
  </si>
  <si>
    <t>uL DNA</t>
  </si>
  <si>
    <t>Tris-Cl</t>
  </si>
  <si>
    <t>uL Tris-Cl</t>
  </si>
  <si>
    <t>DNA</t>
  </si>
  <si>
    <t>Password:</t>
  </si>
  <si>
    <t>No</t>
  </si>
  <si>
    <t>Assay ID</t>
  </si>
  <si>
    <t>Genotyping MM</t>
  </si>
  <si>
    <t>Std. CellLine</t>
  </si>
  <si>
    <t>GSTT1</t>
  </si>
  <si>
    <t>6FAM</t>
  </si>
  <si>
    <t>TAMRA</t>
  </si>
  <si>
    <t>ABI UMM</t>
  </si>
  <si>
    <t>IHW0</t>
  </si>
  <si>
    <t>homo</t>
  </si>
  <si>
    <t>TNN-ins</t>
  </si>
  <si>
    <t>AT3-long</t>
  </si>
  <si>
    <t>MGB</t>
  </si>
  <si>
    <t>9077 / 9398</t>
  </si>
  <si>
    <t>TG-ins</t>
  </si>
  <si>
    <t>TG-del</t>
  </si>
  <si>
    <t>SRY</t>
  </si>
  <si>
    <t>hemi</t>
  </si>
  <si>
    <t>VIC</t>
  </si>
  <si>
    <t>60→64</t>
  </si>
  <si>
    <t>any</t>
  </si>
  <si>
    <t>n/a</t>
  </si>
  <si>
    <t>Chi-0226i</t>
  </si>
  <si>
    <t>Chi-0254i</t>
  </si>
  <si>
    <t>QB FastMix</t>
  </si>
  <si>
    <t>Chi-0316i</t>
  </si>
  <si>
    <t>Chi-0329i</t>
  </si>
  <si>
    <t>Chi-0329d</t>
  </si>
  <si>
    <t>Chi-0492i</t>
  </si>
  <si>
    <t>Chi-0524i</t>
  </si>
  <si>
    <t>Chi-0564i</t>
  </si>
  <si>
    <t>Chi-1217i</t>
  </si>
  <si>
    <t>Chi-1217d</t>
  </si>
  <si>
    <t>Chi-1303i</t>
  </si>
  <si>
    <t>Chi-1706i</t>
  </si>
  <si>
    <t>Chi-1916i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</si>
</sst>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vertAlign val="subscript"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i/>
      <sz val="12"/>
      <color theme="0" tint="-0.249977111117893"/>
      <name val="Arial"/>
      <family val="2"/>
    </font>
    <font>
      <sz val="12"/>
      <color theme="0" tint="-0.249977111117893"/>
      <name val="Arial"/>
      <family val="2"/>
    </font>
    <font>
      <vertAlign val="subscript"/>
      <sz val="12"/>
      <color theme="0" tint="-0.249977111117893"/>
      <name val="Arial"/>
      <family val="2"/>
    </font>
    <font>
      <sz val="11"/>
      <name val="Arial Narrow"/>
      <family val="2"/>
    </font>
    <font>
      <vertAlign val="subscript"/>
      <sz val="11"/>
      <name val="Arial Narrow"/>
      <family val="2"/>
    </font>
    <font>
      <sz val="11"/>
      <name val="Gill Sans MT Ext Condensed Bold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sz val="10"/>
      <color rgb="FFFF0000"/>
      <name val="Arial Narrow"/>
      <family val="2"/>
    </font>
    <font>
      <b/>
      <sz val="12"/>
      <name val="Arial Narrow"/>
      <family val="2"/>
    </font>
    <font>
      <b/>
      <i/>
      <sz val="12"/>
      <color rgb="FF000099"/>
      <name val="Arial"/>
      <family val="2"/>
    </font>
    <font>
      <i/>
      <sz val="9"/>
      <color rgb="FFA6A6A6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C8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rgb="FFC8FFFF"/>
        <bgColor rgb="FF000000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ck">
        <color rgb="FFC00000"/>
      </left>
      <right/>
      <top style="thick">
        <color rgb="FFC00000"/>
      </top>
      <bottom style="thin">
        <color indexed="64"/>
      </bottom>
      <diagonal/>
    </border>
    <border>
      <left/>
      <right/>
      <top style="thick">
        <color rgb="FFC00000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 style="thin">
        <color theme="0" tint="-0.14996795556505021"/>
      </left>
      <right/>
      <top style="thick">
        <color rgb="FFC00000"/>
      </top>
      <bottom/>
      <diagonal/>
    </border>
    <border>
      <left/>
      <right style="thin">
        <color theme="0" tint="-0.14996795556505021"/>
      </right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n">
        <color indexed="64"/>
      </bottom>
      <diagonal/>
    </border>
    <border>
      <left style="thick">
        <color rgb="FFC00000"/>
      </left>
      <right/>
      <top style="thin">
        <color indexed="64"/>
      </top>
      <bottom/>
      <diagonal/>
    </border>
    <border>
      <left/>
      <right style="thick">
        <color rgb="FFC00000"/>
      </right>
      <top style="thin">
        <color indexed="64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slantDashDot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5" fontId="3" fillId="0" borderId="0" xfId="0" quotePrefix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1" fillId="0" borderId="7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2" borderId="3" xfId="0" applyFont="1" applyFill="1" applyBorder="1" applyAlignment="1" applyProtection="1">
      <alignment vertical="center"/>
      <protection locked="0"/>
    </xf>
    <xf numFmtId="0" fontId="1" fillId="0" borderId="2" xfId="0" applyFont="1" applyBorder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1" fillId="0" borderId="32" xfId="0" applyFont="1" applyBorder="1" applyAlignment="1">
      <alignment vertical="center"/>
    </xf>
    <xf numFmtId="164" fontId="1" fillId="0" borderId="28" xfId="0" applyNumberFormat="1" applyFont="1" applyBorder="1" applyAlignment="1">
      <alignment vertical="center"/>
    </xf>
    <xf numFmtId="164" fontId="1" fillId="0" borderId="33" xfId="0" applyNumberFormat="1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horizontal="right" vertical="center"/>
    </xf>
    <xf numFmtId="0" fontId="1" fillId="0" borderId="37" xfId="0" applyFont="1" applyBorder="1" applyAlignment="1">
      <alignment horizontal="right" vertical="center" shrinkToFit="1"/>
    </xf>
    <xf numFmtId="0" fontId="1" fillId="0" borderId="38" xfId="0" applyFont="1" applyBorder="1" applyAlignment="1">
      <alignment horizontal="right" vertical="center"/>
    </xf>
    <xf numFmtId="0" fontId="3" fillId="0" borderId="16" xfId="0" quotePrefix="1" applyFont="1" applyBorder="1" applyAlignment="1">
      <alignment vertical="center"/>
    </xf>
    <xf numFmtId="0" fontId="1" fillId="0" borderId="17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39" xfId="0" applyFont="1" applyBorder="1"/>
    <xf numFmtId="0" fontId="18" fillId="0" borderId="39" xfId="0" applyFont="1" applyBorder="1" applyAlignment="1">
      <alignment horizontal="left"/>
    </xf>
    <xf numFmtId="0" fontId="19" fillId="0" borderId="39" xfId="0" applyFont="1" applyBorder="1"/>
    <xf numFmtId="0" fontId="20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21" fillId="0" borderId="39" xfId="0" applyFont="1" applyBorder="1"/>
    <xf numFmtId="0" fontId="21" fillId="0" borderId="39" xfId="0" applyFont="1" applyBorder="1" applyAlignment="1">
      <alignment horizontal="left"/>
    </xf>
    <xf numFmtId="0" fontId="19" fillId="5" borderId="39" xfId="0" applyFont="1" applyFill="1" applyBorder="1"/>
    <xf numFmtId="0" fontId="20" fillId="5" borderId="39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21" fillId="5" borderId="39" xfId="0" applyFont="1" applyFill="1" applyBorder="1" applyAlignment="1">
      <alignment horizontal="center"/>
    </xf>
    <xf numFmtId="0" fontId="21" fillId="5" borderId="39" xfId="0" applyFont="1" applyFill="1" applyBorder="1"/>
    <xf numFmtId="0" fontId="21" fillId="5" borderId="39" xfId="0" applyFont="1" applyFill="1" applyBorder="1" applyAlignment="1">
      <alignment horizontal="left"/>
    </xf>
    <xf numFmtId="0" fontId="22" fillId="0" borderId="39" xfId="0" applyFont="1" applyBorder="1" applyAlignment="1">
      <alignment horizontal="center"/>
    </xf>
    <xf numFmtId="0" fontId="22" fillId="5" borderId="3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3" fillId="0" borderId="39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2" fillId="4" borderId="17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" fillId="4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right"/>
    </xf>
    <xf numFmtId="0" fontId="1" fillId="0" borderId="16" xfId="0" applyFont="1" applyBorder="1" applyAlignment="1">
      <alignment vertical="center"/>
    </xf>
    <xf numFmtId="0" fontId="5" fillId="2" borderId="17" xfId="0" applyFont="1" applyFill="1" applyBorder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0" fontId="24" fillId="0" borderId="3" xfId="0" applyFont="1" applyBorder="1" applyAlignment="1">
      <alignment vertical="center"/>
    </xf>
    <xf numFmtId="0" fontId="17" fillId="0" borderId="41" xfId="0" applyFont="1" applyBorder="1" applyAlignment="1" applyProtection="1">
      <alignment horizontal="center" vertical="center" wrapText="1"/>
      <protection locked="0"/>
    </xf>
    <xf numFmtId="0" fontId="17" fillId="0" borderId="15" xfId="0" applyFont="1" applyBorder="1" applyAlignment="1" applyProtection="1">
      <alignment horizontal="center" vertical="center" wrapText="1"/>
      <protection locked="0"/>
    </xf>
    <xf numFmtId="0" fontId="17" fillId="0" borderId="14" xfId="0" applyFont="1" applyBorder="1" applyAlignment="1" applyProtection="1">
      <alignment horizontal="center" vertical="center" wrapText="1"/>
      <protection locked="0"/>
    </xf>
    <xf numFmtId="0" fontId="17" fillId="0" borderId="16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7" fillId="0" borderId="42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6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5" fillId="6" borderId="0" xfId="0" applyFont="1" applyFill="1" applyAlignment="1" applyProtection="1">
      <alignment vertical="center"/>
      <protection locked="0"/>
    </xf>
    <xf numFmtId="0" fontId="25" fillId="0" borderId="46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C8FFFF"/>
      <color rgb="FFCC99FF"/>
      <color rgb="FFCC66FF"/>
      <color rgb="FF66FF66"/>
      <color rgb="FF00FFFF"/>
      <color rgb="FFCC0000"/>
      <color rgb="FFFFA3A3"/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642937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C80ADB-4CD9-4D58-B6D6-E5DAA77A48D3}"/>
            </a:ext>
          </a:extLst>
        </xdr:cNvPr>
        <xdr:cNvSpPr txBox="1"/>
      </xdr:nvSpPr>
      <xdr:spPr>
        <a:xfrm>
          <a:off x="5157787" y="527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2"/>
  <sheetViews>
    <sheetView tabSelected="1" zoomScale="90" zoomScaleNormal="90" workbookViewId="0">
      <selection activeCell="F3" sqref="F3"/>
    </sheetView>
  </sheetViews>
  <sheetFormatPr defaultRowHeight="15.75"/>
  <cols>
    <col min="1" max="1" width="4.42578125" style="2" customWidth="1"/>
    <col min="2" max="13" width="12" style="1" customWidth="1"/>
    <col min="14" max="16384" width="9.140625" style="1"/>
  </cols>
  <sheetData>
    <row r="1" spans="1:13">
      <c r="B1" s="9" t="s">
        <v>0</v>
      </c>
      <c r="C1" s="7" t="s">
        <v>1</v>
      </c>
      <c r="D1" s="9"/>
      <c r="G1" s="62" t="s">
        <v>2</v>
      </c>
      <c r="H1" s="62" t="s">
        <v>3</v>
      </c>
      <c r="I1" s="62" t="s">
        <v>4</v>
      </c>
      <c r="J1" s="62" t="s">
        <v>5</v>
      </c>
      <c r="K1" s="62" t="s">
        <v>6</v>
      </c>
      <c r="L1" s="63" t="s">
        <v>7</v>
      </c>
      <c r="M1" s="62" t="s">
        <v>8</v>
      </c>
    </row>
    <row r="2" spans="1:13">
      <c r="B2" s="9" t="s">
        <v>9</v>
      </c>
      <c r="C2" s="10">
        <f ca="1">TODAY()</f>
        <v>44357</v>
      </c>
      <c r="D2" s="9"/>
      <c r="E2" s="8" t="s">
        <v>10</v>
      </c>
      <c r="F2" s="7" t="s">
        <v>11</v>
      </c>
      <c r="G2" s="85" t="str">
        <f>IFERROR(VLOOKUP($F2,Assay_list!$A$2:$J$22,2,FALSE),"")</f>
        <v>VIC</v>
      </c>
      <c r="H2" s="85" t="str">
        <f>IFERROR(VLOOKUP($F2,Assay_list!$A$2:$J$22,3,FALSE),"")</f>
        <v>TAMRA</v>
      </c>
      <c r="I2" s="85" t="str">
        <f>IFERROR(VLOOKUP($F2,Assay_list!$A$2:$J$22,7,FALSE),"")</f>
        <v>any</v>
      </c>
      <c r="J2" s="85" t="str">
        <f>IFERROR(VLOOKUP($F2,Assay_list!$A$2:$J$22,8,FALSE),"")</f>
        <v>homo</v>
      </c>
      <c r="K2" s="85" t="str">
        <f>IFERROR(VLOOKUP($F2,Assay_list!$A$2:$J$22,10,FALSE),"")</f>
        <v>n/a</v>
      </c>
      <c r="L2" s="86" t="str">
        <f>IFERROR(VLOOKUP($F2,Assay_list!$A$2:$J$22,4,FALSE),"") &amp; " °C"</f>
        <v>60→64 °C</v>
      </c>
      <c r="M2" s="85" t="str">
        <f>IFERROR(VLOOKUP($F2,Assay_list!$A$2:$J$22,5,FALSE),"")</f>
        <v>any</v>
      </c>
    </row>
    <row r="3" spans="1:13">
      <c r="B3" s="9"/>
      <c r="C3" s="9"/>
      <c r="D3" s="9"/>
      <c r="E3" s="8" t="s">
        <v>12</v>
      </c>
      <c r="F3" s="7" t="s">
        <v>13</v>
      </c>
      <c r="G3" s="85" t="str">
        <f>IFERROR(VLOOKUP($F3,Assay_list!$A$2:$J$22,2,FALSE),"")</f>
        <v>6FAM</v>
      </c>
      <c r="H3" s="85" t="str">
        <f>IFERROR(VLOOKUP($F3,Assay_list!$A$2:$J$22,3,FALSE),"")</f>
        <v>MGB</v>
      </c>
      <c r="I3" s="85">
        <f>IFERROR(VLOOKUP($F3,Assay_list!$A$2:$J$22,7,FALSE),"")</f>
        <v>1037</v>
      </c>
      <c r="J3" s="85" t="str">
        <f>IFERROR(VLOOKUP($F3,Assay_list!$A$2:$J$22,8,FALSE),"")</f>
        <v>homo</v>
      </c>
      <c r="K3" s="85" t="str">
        <f>IFERROR(VLOOKUP($F3,Assay_list!$A$2:$J$22,10,FALSE),"")</f>
        <v>9077 / 9398</v>
      </c>
      <c r="L3" s="86" t="str">
        <f>IFERROR(VLOOKUP($F3,Assay_list!$A$2:$J$22,4,FALSE),"") &amp; " °C"</f>
        <v>60 °C</v>
      </c>
      <c r="M3" s="85" t="str">
        <f>IFERROR(VLOOKUP($F3,Assay_list!$A$2:$J$22,5,FALSE),"")</f>
        <v>ABI UMM</v>
      </c>
    </row>
    <row r="4" spans="1:13">
      <c r="B4" s="9"/>
      <c r="C4" s="9"/>
      <c r="D4" s="9"/>
      <c r="G4" s="9"/>
      <c r="H4" s="11"/>
      <c r="I4" s="9"/>
      <c r="J4" s="9"/>
      <c r="K4" s="11"/>
      <c r="L4" s="9"/>
      <c r="M4" s="9"/>
    </row>
    <row r="5" spans="1:13">
      <c r="B5" s="106" t="str">
        <f>"┌─  " &amp;L3 &amp; "  ─┐"</f>
        <v>┌─  60 °C  ─┐</v>
      </c>
      <c r="C5" s="106"/>
      <c r="D5" s="106" t="str">
        <f>"┌─  " &amp;L3 &amp; "  ─┐"</f>
        <v>┌─  60 °C  ─┐</v>
      </c>
      <c r="E5" s="106"/>
      <c r="F5" s="106" t="str">
        <f>"┌─  " &amp;L3 &amp; "  ─┐"</f>
        <v>┌─  60 °C  ─┐</v>
      </c>
      <c r="G5" s="106"/>
      <c r="H5" s="106" t="str">
        <f>"┌─  " &amp;L3 &amp; "  ─┐"</f>
        <v>┌─  60 °C  ─┐</v>
      </c>
      <c r="I5" s="106"/>
      <c r="J5" s="106" t="str">
        <f>"┌─  " &amp;L3 &amp; "  ─┐"</f>
        <v>┌─  60 °C  ─┐</v>
      </c>
      <c r="K5" s="106"/>
      <c r="L5" s="106" t="str">
        <f>"┌─  " &amp;L3 &amp; "  ─┐"</f>
        <v>┌─  60 °C  ─┐</v>
      </c>
      <c r="M5" s="106"/>
    </row>
    <row r="6" spans="1:13" s="3" customFormat="1" ht="18.75" thickBot="1">
      <c r="A6" s="4"/>
      <c r="B6" s="12">
        <v>1</v>
      </c>
      <c r="C6" s="12">
        <v>2</v>
      </c>
      <c r="D6" s="12">
        <v>3</v>
      </c>
      <c r="E6" s="12">
        <v>4</v>
      </c>
      <c r="F6" s="12">
        <v>5</v>
      </c>
      <c r="G6" s="12">
        <v>6</v>
      </c>
      <c r="H6" s="12">
        <v>7</v>
      </c>
      <c r="I6" s="12">
        <v>8</v>
      </c>
      <c r="J6" s="12">
        <v>9</v>
      </c>
      <c r="K6" s="12">
        <v>10</v>
      </c>
      <c r="L6" s="12">
        <v>11</v>
      </c>
      <c r="M6" s="12">
        <v>12</v>
      </c>
    </row>
    <row r="7" spans="1:13" ht="57" customHeight="1">
      <c r="A7" s="5" t="s">
        <v>14</v>
      </c>
      <c r="B7" s="100" t="str">
        <f>"NTC (" &amp; K3 &amp; ") ↓"</f>
        <v>NTC (9077 / 9398) ↓</v>
      </c>
      <c r="C7" s="91"/>
      <c r="D7" s="92"/>
      <c r="E7" s="92"/>
      <c r="F7" s="92"/>
      <c r="G7" s="92"/>
      <c r="H7" s="92"/>
      <c r="I7" s="92"/>
      <c r="J7" s="92"/>
      <c r="K7" s="92"/>
      <c r="L7" s="92"/>
      <c r="M7" s="93"/>
    </row>
    <row r="8" spans="1:13" ht="57" customHeight="1">
      <c r="A8" s="5" t="s">
        <v>15</v>
      </c>
      <c r="B8" s="101" t="str">
        <f>TEXT($H28, "0.0") &amp; " C (" &amp; I3 &amp; ")"</f>
        <v>0.3 C (1037)</v>
      </c>
      <c r="C8" s="94"/>
      <c r="D8" s="95"/>
      <c r="E8" s="95"/>
      <c r="F8" s="95"/>
      <c r="G8" s="95"/>
      <c r="H8" s="95"/>
      <c r="I8" s="95"/>
      <c r="J8" s="95"/>
      <c r="K8" s="95"/>
      <c r="L8" s="95"/>
      <c r="M8" s="96"/>
    </row>
    <row r="9" spans="1:13" ht="57" customHeight="1">
      <c r="A9" s="5" t="s">
        <v>16</v>
      </c>
      <c r="B9" s="101" t="str">
        <f>TEXT($G28, "0") &amp; " C (" &amp; I3 &amp; ")"</f>
        <v>2 C (1037)</v>
      </c>
      <c r="C9" s="94"/>
      <c r="D9" s="95"/>
      <c r="E9" s="95"/>
      <c r="F9" s="95"/>
      <c r="G9" s="95"/>
      <c r="H9" s="95"/>
      <c r="I9" s="95"/>
      <c r="J9" s="95"/>
      <c r="K9" s="95"/>
      <c r="L9" s="95"/>
      <c r="M9" s="96"/>
    </row>
    <row r="10" spans="1:13" ht="57" customHeight="1">
      <c r="A10" s="5" t="s">
        <v>17</v>
      </c>
      <c r="B10" s="101" t="str">
        <f>TEXT($F28, "0") &amp; " C (" &amp; I3 &amp; ")"</f>
        <v>9 C (1037)</v>
      </c>
      <c r="C10" s="94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 ht="57" customHeight="1">
      <c r="A11" s="5" t="s">
        <v>18</v>
      </c>
      <c r="B11" s="101" t="str">
        <f>TEXT($E28, "0") &amp; " C (" &amp; I3 &amp; ")"</f>
        <v>54 C (1037)</v>
      </c>
      <c r="C11" s="94"/>
      <c r="D11" s="95"/>
      <c r="E11" s="95"/>
      <c r="F11" s="95"/>
      <c r="G11" s="95"/>
      <c r="H11" s="95"/>
      <c r="I11" s="95"/>
      <c r="J11" s="95"/>
      <c r="K11" s="95"/>
      <c r="L11" s="95"/>
      <c r="M11" s="96"/>
    </row>
    <row r="12" spans="1:13" ht="57" customHeight="1">
      <c r="A12" s="5" t="s">
        <v>19</v>
      </c>
      <c r="B12" s="101" t="str">
        <f>TEXT($D28, "0") &amp; " C (" &amp; I3 &amp; ")"</f>
        <v>324 C (1037)</v>
      </c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6"/>
    </row>
    <row r="13" spans="1:13" ht="57" customHeight="1">
      <c r="A13" s="5" t="s">
        <v>20</v>
      </c>
      <c r="B13" s="101" t="str">
        <f>TEXT($C28, "0") &amp; " C (" &amp; I3 &amp; ")"</f>
        <v>1944 C (1037)</v>
      </c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6"/>
    </row>
    <row r="14" spans="1:13" ht="57" customHeight="1" thickBot="1">
      <c r="A14" s="5" t="s">
        <v>21</v>
      </c>
      <c r="B14" s="102" t="str">
        <f>TEXT($B28, "0") &amp; " C (" &amp; I3 &amp; ")"</f>
        <v>11664 C (1037)</v>
      </c>
      <c r="C14" s="97"/>
      <c r="D14" s="98"/>
      <c r="E14" s="98"/>
      <c r="F14" s="98"/>
      <c r="G14" s="98"/>
      <c r="H14" s="98"/>
      <c r="I14" s="98"/>
      <c r="J14" s="98"/>
      <c r="K14" s="98"/>
      <c r="L14" s="98"/>
      <c r="M14" s="99"/>
    </row>
    <row r="15" spans="1:13">
      <c r="B15" s="105" t="str">
        <f>"└───────────────────────────────────────  " &amp; F3 &amp; "  ───────────────────────────────────────┘"</f>
        <v>└───────────────────────────────────────  AT3-short  ───────────────────────────────────────┘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1:1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16.5">
      <c r="B17" s="13" t="s">
        <v>22</v>
      </c>
      <c r="C17" s="14">
        <v>25</v>
      </c>
      <c r="D17" s="15" t="s">
        <v>23</v>
      </c>
      <c r="E17" s="34">
        <v>6.6</v>
      </c>
      <c r="F17" s="17" t="s">
        <v>24</v>
      </c>
      <c r="G17" s="18" t="s">
        <v>25</v>
      </c>
      <c r="H17" s="16">
        <v>1000</v>
      </c>
      <c r="I17" s="17" t="s">
        <v>26</v>
      </c>
      <c r="J17" s="39"/>
      <c r="K17" s="61" t="s">
        <v>27</v>
      </c>
      <c r="L17" s="83">
        <f>COUNTA(F2:F3)</f>
        <v>2</v>
      </c>
      <c r="M17" s="60" t="s">
        <v>28</v>
      </c>
    </row>
    <row r="18" spans="2:13" ht="16.5">
      <c r="B18" s="19" t="s">
        <v>29</v>
      </c>
      <c r="C18" s="7">
        <v>2</v>
      </c>
      <c r="D18" s="20" t="s">
        <v>30</v>
      </c>
      <c r="E18" s="35">
        <f>E17/K31</f>
        <v>1.0999999999999999</v>
      </c>
      <c r="F18" s="21" t="s">
        <v>24</v>
      </c>
      <c r="G18" s="22" t="s">
        <v>25</v>
      </c>
      <c r="H18" s="23">
        <v>1000</v>
      </c>
      <c r="I18" s="21" t="str">
        <f>"Cell/" &amp; TEXT($K$31, "0.??") &amp; "uL"</f>
        <v>Cell/6.  uL</v>
      </c>
      <c r="J18" s="8"/>
      <c r="K18" s="8"/>
      <c r="L18" s="8"/>
      <c r="M18" s="9"/>
    </row>
    <row r="19" spans="2:13" ht="21" customHeight="1">
      <c r="B19" s="6" t="s">
        <v>31</v>
      </c>
      <c r="C19" s="24">
        <v>50</v>
      </c>
      <c r="D19" s="25" t="s">
        <v>30</v>
      </c>
      <c r="E19" s="35">
        <f>(H19*E18)/H18</f>
        <v>12.830399999999997</v>
      </c>
      <c r="F19" s="21" t="s">
        <v>24</v>
      </c>
      <c r="G19" s="22" t="s">
        <v>32</v>
      </c>
      <c r="H19" s="21">
        <f>B28</f>
        <v>11664</v>
      </c>
      <c r="I19" s="21" t="str">
        <f>"Cell/" &amp; TEXT($K$31, "0.??") &amp; "uL"</f>
        <v>Cell/6.  uL</v>
      </c>
      <c r="J19" s="39"/>
      <c r="K19" s="61" t="s">
        <v>33</v>
      </c>
      <c r="L19" s="88" t="s">
        <v>34</v>
      </c>
      <c r="M19" s="87"/>
    </row>
    <row r="20" spans="2:13">
      <c r="B20" s="9"/>
      <c r="C20" s="9"/>
      <c r="D20" s="9"/>
      <c r="E20" s="21"/>
      <c r="F20" s="21"/>
      <c r="G20" s="21"/>
      <c r="H20" s="21"/>
      <c r="I20" s="21"/>
      <c r="J20" s="8"/>
      <c r="K20" s="11"/>
      <c r="L20" s="9"/>
      <c r="M20" s="9"/>
    </row>
    <row r="21" spans="2:13" ht="16.5" thickBot="1">
      <c r="B21" s="26" t="s">
        <v>35</v>
      </c>
      <c r="C21" s="27"/>
      <c r="D21" s="27"/>
      <c r="E21" s="27"/>
      <c r="F21" s="27"/>
      <c r="G21" s="27"/>
      <c r="H21" s="27"/>
      <c r="I21" s="27"/>
      <c r="J21" s="8"/>
      <c r="K21" s="8"/>
      <c r="L21" s="8"/>
      <c r="M21" s="9"/>
    </row>
    <row r="22" spans="2:13" ht="20.25" thickTop="1">
      <c r="B22" s="40" t="s">
        <v>36</v>
      </c>
      <c r="C22" s="41"/>
      <c r="D22" s="41"/>
      <c r="E22" s="42"/>
      <c r="F22" s="43" t="s">
        <v>37</v>
      </c>
      <c r="G22" s="44" t="s">
        <v>38</v>
      </c>
      <c r="H22" s="45" t="s">
        <v>39</v>
      </c>
      <c r="I22" s="46"/>
      <c r="J22" s="9"/>
      <c r="K22" s="9"/>
      <c r="L22" s="9"/>
      <c r="M22" s="9"/>
    </row>
    <row r="23" spans="2:13" ht="19.5">
      <c r="B23" s="47" t="s">
        <v>40</v>
      </c>
      <c r="C23" s="7">
        <v>6</v>
      </c>
      <c r="D23" s="103" t="s">
        <v>41</v>
      </c>
      <c r="E23" s="9"/>
      <c r="F23" s="36" t="s">
        <v>42</v>
      </c>
      <c r="G23" s="22" t="s">
        <v>38</v>
      </c>
      <c r="H23" s="37">
        <f>(E19*((C25*C23)/(C23-1)))/C26</f>
        <v>4.8498911999999983</v>
      </c>
      <c r="I23" s="48"/>
      <c r="J23" s="26" t="s">
        <v>43</v>
      </c>
      <c r="K23" s="28"/>
      <c r="L23" s="28"/>
      <c r="M23" s="28"/>
    </row>
    <row r="24" spans="2:13" ht="19.5">
      <c r="B24" s="47" t="s">
        <v>44</v>
      </c>
      <c r="C24" s="104">
        <v>5</v>
      </c>
      <c r="D24" s="103" t="s">
        <v>41</v>
      </c>
      <c r="E24" s="9"/>
      <c r="F24" s="9"/>
      <c r="G24" s="9"/>
      <c r="H24" s="9"/>
      <c r="I24" s="48"/>
      <c r="J24" s="84" t="s">
        <v>45</v>
      </c>
      <c r="K24" s="11" t="s">
        <v>46</v>
      </c>
      <c r="L24" s="29">
        <f>COUNTA(B7:B14)+SUMPRODUCT(--(LEN(C7:M14)&gt;0))</f>
        <v>8</v>
      </c>
      <c r="M24" s="9"/>
    </row>
    <row r="25" spans="2:13" ht="18.75" thickBot="1">
      <c r="B25" s="47" t="s">
        <v>47</v>
      </c>
      <c r="C25" s="9">
        <f>C24*(K31+(K31*0.05))</f>
        <v>31.5</v>
      </c>
      <c r="D25" s="20" t="s">
        <v>23</v>
      </c>
      <c r="E25" s="9"/>
      <c r="F25" s="9"/>
      <c r="G25" s="9"/>
      <c r="H25" s="9"/>
      <c r="I25" s="48"/>
      <c r="J25" s="30"/>
      <c r="K25" s="31" t="s">
        <v>48</v>
      </c>
      <c r="L25" s="32">
        <f>IF(L24&lt;32, L24+1, L24+2)</f>
        <v>9</v>
      </c>
      <c r="M25" s="15"/>
    </row>
    <row r="26" spans="2:13" ht="17.25" thickTop="1">
      <c r="B26" s="49" t="s">
        <v>49</v>
      </c>
      <c r="C26" s="24">
        <v>100</v>
      </c>
      <c r="D26" s="25" t="s">
        <v>24</v>
      </c>
      <c r="E26" s="9"/>
      <c r="F26" s="9"/>
      <c r="G26" s="9"/>
      <c r="H26" s="9"/>
      <c r="I26" s="48"/>
      <c r="J26" s="89" t="str">
        <f>"MM " &amp; "(" &amp; TEXT($C$18, "0") &amp; "x)"</f>
        <v>MM (2x)</v>
      </c>
      <c r="K26" s="9">
        <f>$C$17/$C$18</f>
        <v>12.5</v>
      </c>
      <c r="L26" s="57">
        <f>K26*L$25</f>
        <v>112.5</v>
      </c>
      <c r="M26" s="20" t="s">
        <v>23</v>
      </c>
    </row>
    <row r="27" spans="2:13">
      <c r="B27" s="51" t="s">
        <v>50</v>
      </c>
      <c r="C27" s="38" t="s">
        <v>51</v>
      </c>
      <c r="D27" s="38" t="s">
        <v>52</v>
      </c>
      <c r="E27" s="38" t="s">
        <v>53</v>
      </c>
      <c r="F27" s="38" t="s">
        <v>54</v>
      </c>
      <c r="G27" s="38" t="s">
        <v>55</v>
      </c>
      <c r="H27" s="38" t="s">
        <v>56</v>
      </c>
      <c r="I27" s="52"/>
      <c r="J27" s="89" t="str">
        <f>IF($L$19="No", "FWD " &amp; "(" &amp; TEXT($C$19, "0") &amp; "x)", "")</f>
        <v/>
      </c>
      <c r="K27" s="9" t="str">
        <f>IF($L$19="No", $C$17/$C$19, "")</f>
        <v/>
      </c>
      <c r="L27" s="58" t="str">
        <f>IF($L$19="No", CHOOSE($L$17,K27*L$25, TEXT(K27*L$25,"0.0") &amp; " + " &amp; TEXT(K27*L$25,"0.0"), $L$17 &amp; " × " &amp; TEXT(K27*L$25,"0.0"), $L$17 &amp; " × " &amp; TEXT(K27*L$25,"0.0")), "")</f>
        <v/>
      </c>
      <c r="M27" s="20" t="s">
        <v>23</v>
      </c>
    </row>
    <row r="28" spans="2:13">
      <c r="B28" s="50">
        <f t="shared" ref="B28:G28" si="0">C28*$C$23</f>
        <v>11664</v>
      </c>
      <c r="C28" s="9">
        <f t="shared" si="0"/>
        <v>1944</v>
      </c>
      <c r="D28" s="9">
        <f t="shared" si="0"/>
        <v>324</v>
      </c>
      <c r="E28" s="9">
        <f t="shared" si="0"/>
        <v>54</v>
      </c>
      <c r="F28" s="9">
        <f t="shared" si="0"/>
        <v>9</v>
      </c>
      <c r="G28" s="9">
        <f t="shared" si="0"/>
        <v>1.5</v>
      </c>
      <c r="H28" s="7">
        <v>0.25</v>
      </c>
      <c r="I28" s="48" t="str">
        <f>"Cell/" &amp; TEXT($K$31, "0.??") &amp; "uL"</f>
        <v>Cell/6.  uL</v>
      </c>
      <c r="J28" s="89" t="str">
        <f>IF($L$19="No", "REV " &amp; "(" &amp; TEXT($C$19, "0") &amp; "x)", "SuperO " &amp; "(" &amp; TEXT($C$19, "0") &amp; "x)")</f>
        <v>SuperO (50x)</v>
      </c>
      <c r="K28" s="9">
        <f t="shared" ref="K28" si="1">$C$17/$C$19</f>
        <v>0.5</v>
      </c>
      <c r="L28" s="58">
        <f>IF($L$19="No", CHOOSE($L$17,K28*L$25, TEXT(K28*L$25,"0.0") &amp; " + " &amp; TEXT(K28*L$25,"0.0"), $L$17 &amp; " × " &amp; TEXT(K28*L$25,"0.0"), $L$17 &amp; " × " &amp; TEXT(K28*L$25,"0.0")), K28*L$25)</f>
        <v>4.5</v>
      </c>
      <c r="M28" s="20" t="s">
        <v>23</v>
      </c>
    </row>
    <row r="29" spans="2:13">
      <c r="B29" s="50"/>
      <c r="C29" s="9"/>
      <c r="D29" s="9"/>
      <c r="E29" s="9"/>
      <c r="F29" s="9"/>
      <c r="G29" s="9"/>
      <c r="H29" s="9"/>
      <c r="I29" s="48"/>
      <c r="J29" s="89" t="str">
        <f>IF($L$19="No", "PRB " &amp; "(" &amp; TEXT($C$19, "0") &amp; "x)", "")</f>
        <v/>
      </c>
      <c r="K29" s="9" t="str">
        <f>IF($L$19="No", $C$17/$C$19, "")</f>
        <v/>
      </c>
      <c r="L29" s="58" t="str">
        <f>IF($L$19="No", CHOOSE($L$17,K29*L$25, TEXT(K29*L$25,"0.0") &amp; " + " &amp; TEXT(K29*L$25,"0.0"), $L$17 &amp; " × " &amp; TEXT(K29*L$25,"0.0"), $L$17 &amp; " × " &amp; TEXT(K29*L$25,"0.0")), "")</f>
        <v/>
      </c>
      <c r="M29" s="20" t="s">
        <v>23</v>
      </c>
    </row>
    <row r="30" spans="2:13" ht="16.5" thickBot="1">
      <c r="B30" s="53">
        <f>H23</f>
        <v>4.8498911999999983</v>
      </c>
      <c r="C30" s="9">
        <f t="shared" ref="C30:H30" si="2">($B$31+$B$30)/$C$23</f>
        <v>6.3</v>
      </c>
      <c r="D30" s="9">
        <f t="shared" si="2"/>
        <v>6.3</v>
      </c>
      <c r="E30" s="9">
        <f t="shared" si="2"/>
        <v>6.3</v>
      </c>
      <c r="F30" s="9">
        <f t="shared" si="2"/>
        <v>6.3</v>
      </c>
      <c r="G30" s="9">
        <f t="shared" si="2"/>
        <v>6.3</v>
      </c>
      <c r="H30" s="9">
        <f t="shared" si="2"/>
        <v>6.3</v>
      </c>
      <c r="I30" s="48" t="s">
        <v>57</v>
      </c>
      <c r="J30" s="89" t="s">
        <v>58</v>
      </c>
      <c r="K30" s="9">
        <f>IF($L$19="No", ($C$17-(K26+$L$17*(K27+K28+K29)+K31)), ($C$17-(K26+K28+K31)))</f>
        <v>6</v>
      </c>
      <c r="L30" s="59">
        <f>K30*L$25</f>
        <v>54</v>
      </c>
      <c r="M30" s="20" t="s">
        <v>23</v>
      </c>
    </row>
    <row r="31" spans="2:13" ht="17.25" thickTop="1" thickBot="1">
      <c r="B31" s="54">
        <f>((C25*C23)/(C23-1))-B30</f>
        <v>32.950108799999995</v>
      </c>
      <c r="C31" s="55">
        <f t="shared" ref="C31:H31" si="3">($C$23*C30)-C30</f>
        <v>31.499999999999996</v>
      </c>
      <c r="D31" s="55">
        <f t="shared" si="3"/>
        <v>31.499999999999996</v>
      </c>
      <c r="E31" s="55">
        <f t="shared" si="3"/>
        <v>31.499999999999996</v>
      </c>
      <c r="F31" s="55">
        <f t="shared" si="3"/>
        <v>31.499999999999996</v>
      </c>
      <c r="G31" s="55">
        <f t="shared" si="3"/>
        <v>31.499999999999996</v>
      </c>
      <c r="H31" s="55">
        <f t="shared" si="3"/>
        <v>31.499999999999996</v>
      </c>
      <c r="I31" s="56" t="s">
        <v>59</v>
      </c>
      <c r="J31" s="90" t="s">
        <v>60</v>
      </c>
      <c r="K31" s="24">
        <v>6</v>
      </c>
      <c r="L31" s="33"/>
      <c r="M31" s="25" t="s">
        <v>23</v>
      </c>
    </row>
    <row r="32" spans="2:13" ht="16.5" thickTop="1">
      <c r="B32" s="9"/>
      <c r="C32" s="9"/>
      <c r="D32" s="9"/>
      <c r="J32" s="9"/>
      <c r="K32" s="9"/>
      <c r="L32" s="9"/>
      <c r="M32" s="9"/>
    </row>
  </sheetData>
  <sheetProtection algorithmName="SHA-512" hashValue="jNsUpPnt6RK1en/Sk/ECCkNraLztJszshljnbs3EUjV4kQ9ixQqtBZ3xO+71VVQvsZ/Q6fpqC5V88CDQI0R3Dg==" saltValue="DGsWXWU97ZafsLxzZGtTjg==" spinCount="100000" sheet="1" objects="1" scenarios="1" selectLockedCells="1"/>
  <mergeCells count="7">
    <mergeCell ref="B15:M15"/>
    <mergeCell ref="B5:C5"/>
    <mergeCell ref="D5:E5"/>
    <mergeCell ref="F5:G5"/>
    <mergeCell ref="H5:I5"/>
    <mergeCell ref="J5:K5"/>
    <mergeCell ref="L5:M5"/>
  </mergeCells>
  <dataValidations count="1">
    <dataValidation type="whole" allowBlank="1" showInputMessage="1" showErrorMessage="1" sqref="C24" xr:uid="{08F6629B-F31C-46E0-BCBB-6971C26D359C}">
      <formula1>0</formula1>
      <formula2>1000</formula2>
    </dataValidation>
  </dataValidations>
  <pageMargins left="0.35" right="0.35" top="0.25" bottom="0.25" header="0.3" footer="0.3"/>
  <pageSetup scale="64" orientation="portrait" r:id="rId1"/>
  <headerFooter alignWithMargins="0"/>
  <ignoredErrors>
    <ignoredError sqref="K28:L28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5FA4044-34F8-4028-96FA-AF16B6657878}">
          <x14:formula1>
            <xm:f>Assay_list!$A$2:$A$22</xm:f>
          </x14:formula1>
          <xm:sqref>F2:F3</xm:sqref>
        </x14:dataValidation>
        <x14:dataValidation type="list" showInputMessage="1" showErrorMessage="1" xr:uid="{881986FF-35FE-42A3-B215-246A9391E4A1}">
          <x14:formula1>
            <xm:f>Sheet1!$A$1:$A$2</xm:f>
          </x14:formula1>
          <xm:sqref>L19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I33" sqref="I33"/>
    </sheetView>
  </sheetViews>
  <sheetFormatPr defaultRowHeight="12.75"/>
  <sheetData>
    <row r="1" spans="1:2">
      <c r="A1" t="s">
        <v>61</v>
      </c>
      <c r="B1">
        <v>1</v>
      </c>
    </row>
  </sheetData>
  <sheetProtection algorithmName="SHA-512" hashValue="owhoBhyO7KwIIYdabnnfcnEla57SGO5456lf9RHu04r3KM966Gdqg5xQt8FFIHno7Rxj/temLgctqjpRJKT3uw==" saltValue="57Iw6RcRH6ir6qxe4zMzo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05A4-45EF-44F6-B360-59375B09E17F}">
  <dimension ref="A1:A2"/>
  <sheetViews>
    <sheetView workbookViewId="0">
      <selection activeCell="D14" sqref="D14"/>
    </sheetView>
  </sheetViews>
  <sheetFormatPr defaultRowHeight="12.75"/>
  <sheetData>
    <row r="1" spans="1:1">
      <c r="A1" t="s">
        <v>34</v>
      </c>
    </row>
    <row r="2" spans="1:1">
      <c r="A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4221-A325-4663-95E2-CD545135C659}">
  <dimension ref="A1:J22"/>
  <sheetViews>
    <sheetView workbookViewId="0"/>
  </sheetViews>
  <sheetFormatPr defaultRowHeight="12.75"/>
  <cols>
    <col min="1" max="1" width="12.85546875" bestFit="1" customWidth="1"/>
    <col min="2" max="2" width="7.5703125" bestFit="1" customWidth="1"/>
    <col min="3" max="3" width="8.28515625" bestFit="1" customWidth="1"/>
    <col min="4" max="4" width="11.85546875" bestFit="1" customWidth="1"/>
    <col min="5" max="5" width="12.85546875" bestFit="1" customWidth="1"/>
    <col min="6" max="6" width="4.7109375" bestFit="1" customWidth="1"/>
    <col min="7" max="7" width="18.42578125" style="80" bestFit="1" customWidth="1"/>
    <col min="9" max="9" width="4.7109375" bestFit="1" customWidth="1"/>
    <col min="10" max="10" width="11.85546875" style="80" bestFit="1" customWidth="1"/>
  </cols>
  <sheetData>
    <row r="1" spans="1:10">
      <c r="A1" s="64" t="s">
        <v>63</v>
      </c>
      <c r="B1" s="64" t="s">
        <v>2</v>
      </c>
      <c r="C1" s="65" t="s">
        <v>3</v>
      </c>
      <c r="D1" s="64" t="s">
        <v>7</v>
      </c>
      <c r="E1" s="64" t="s">
        <v>64</v>
      </c>
      <c r="F1" s="64"/>
      <c r="G1" s="65" t="s">
        <v>65</v>
      </c>
      <c r="H1" s="82" t="s">
        <v>5</v>
      </c>
      <c r="I1" s="64"/>
      <c r="J1" s="65" t="s">
        <v>6</v>
      </c>
    </row>
    <row r="2" spans="1:10" ht="13.5">
      <c r="A2" s="66" t="s">
        <v>66</v>
      </c>
      <c r="B2" s="67" t="s">
        <v>67</v>
      </c>
      <c r="C2" s="67" t="s">
        <v>68</v>
      </c>
      <c r="D2" s="68">
        <v>60</v>
      </c>
      <c r="E2" s="69" t="s">
        <v>69</v>
      </c>
      <c r="F2" s="70" t="s">
        <v>70</v>
      </c>
      <c r="G2" s="71">
        <v>1029</v>
      </c>
      <c r="H2" s="69" t="s">
        <v>71</v>
      </c>
      <c r="I2" s="70" t="s">
        <v>70</v>
      </c>
      <c r="J2" s="71">
        <v>1037</v>
      </c>
    </row>
    <row r="3" spans="1:10" ht="13.5">
      <c r="A3" s="66" t="s">
        <v>72</v>
      </c>
      <c r="B3" s="67" t="s">
        <v>67</v>
      </c>
      <c r="C3" s="67" t="s">
        <v>68</v>
      </c>
      <c r="D3" s="68">
        <v>60</v>
      </c>
      <c r="E3" s="69" t="s">
        <v>69</v>
      </c>
      <c r="F3" s="70" t="s">
        <v>70</v>
      </c>
      <c r="G3" s="71">
        <v>9199</v>
      </c>
      <c r="H3" s="69" t="s">
        <v>71</v>
      </c>
      <c r="I3" s="70" t="s">
        <v>70</v>
      </c>
      <c r="J3" s="71">
        <v>1152</v>
      </c>
    </row>
    <row r="4" spans="1:10" ht="13.5">
      <c r="A4" s="66" t="s">
        <v>73</v>
      </c>
      <c r="B4" s="67" t="s">
        <v>67</v>
      </c>
      <c r="C4" s="78" t="s">
        <v>74</v>
      </c>
      <c r="D4" s="68">
        <v>60</v>
      </c>
      <c r="E4" s="69" t="s">
        <v>69</v>
      </c>
      <c r="F4" s="70" t="s">
        <v>70</v>
      </c>
      <c r="G4" s="71">
        <v>9026</v>
      </c>
      <c r="H4" s="69" t="s">
        <v>71</v>
      </c>
      <c r="I4" s="70" t="s">
        <v>70</v>
      </c>
      <c r="J4" s="71">
        <v>1037</v>
      </c>
    </row>
    <row r="5" spans="1:10" ht="13.5">
      <c r="A5" s="66" t="s">
        <v>13</v>
      </c>
      <c r="B5" s="67" t="s">
        <v>67</v>
      </c>
      <c r="C5" s="78" t="s">
        <v>74</v>
      </c>
      <c r="D5" s="68">
        <v>60</v>
      </c>
      <c r="E5" s="69" t="s">
        <v>69</v>
      </c>
      <c r="F5" s="70" t="s">
        <v>70</v>
      </c>
      <c r="G5" s="71">
        <v>1037</v>
      </c>
      <c r="H5" s="69" t="s">
        <v>71</v>
      </c>
      <c r="I5" s="70" t="s">
        <v>70</v>
      </c>
      <c r="J5" s="71" t="s">
        <v>75</v>
      </c>
    </row>
    <row r="6" spans="1:10" ht="13.5">
      <c r="A6" s="66" t="s">
        <v>76</v>
      </c>
      <c r="B6" s="67" t="s">
        <v>67</v>
      </c>
      <c r="C6" s="67" t="s">
        <v>68</v>
      </c>
      <c r="D6" s="68">
        <v>60</v>
      </c>
      <c r="E6" s="69" t="s">
        <v>69</v>
      </c>
      <c r="F6" s="70" t="s">
        <v>70</v>
      </c>
      <c r="G6" s="71">
        <v>9026</v>
      </c>
      <c r="H6" s="69" t="s">
        <v>71</v>
      </c>
      <c r="I6" s="70" t="s">
        <v>70</v>
      </c>
      <c r="J6" s="71" t="s">
        <v>75</v>
      </c>
    </row>
    <row r="7" spans="1:10" ht="13.5">
      <c r="A7" s="66" t="s">
        <v>77</v>
      </c>
      <c r="B7" s="67" t="s">
        <v>67</v>
      </c>
      <c r="C7" s="67" t="s">
        <v>68</v>
      </c>
      <c r="D7" s="68">
        <v>60</v>
      </c>
      <c r="E7" s="69" t="s">
        <v>69</v>
      </c>
      <c r="F7" s="70" t="s">
        <v>70</v>
      </c>
      <c r="G7" s="71">
        <v>1037</v>
      </c>
      <c r="H7" s="69" t="s">
        <v>71</v>
      </c>
      <c r="I7" s="70" t="s">
        <v>70</v>
      </c>
      <c r="J7" s="71">
        <v>9090</v>
      </c>
    </row>
    <row r="8" spans="1:10" ht="13.5">
      <c r="A8" s="66" t="s">
        <v>78</v>
      </c>
      <c r="B8" s="67" t="s">
        <v>67</v>
      </c>
      <c r="C8" s="67" t="s">
        <v>68</v>
      </c>
      <c r="D8" s="68">
        <v>60</v>
      </c>
      <c r="E8" s="69" t="s">
        <v>69</v>
      </c>
      <c r="F8" s="70" t="s">
        <v>70</v>
      </c>
      <c r="G8" s="71">
        <v>9004</v>
      </c>
      <c r="H8" s="82" t="s">
        <v>79</v>
      </c>
      <c r="I8" s="70" t="s">
        <v>70</v>
      </c>
      <c r="J8" s="71">
        <v>1152</v>
      </c>
    </row>
    <row r="9" spans="1:10" ht="13.5">
      <c r="A9" s="66" t="s">
        <v>11</v>
      </c>
      <c r="B9" s="67" t="s">
        <v>80</v>
      </c>
      <c r="C9" s="67" t="s">
        <v>68</v>
      </c>
      <c r="D9" s="68" t="s">
        <v>81</v>
      </c>
      <c r="E9" s="69" t="s">
        <v>82</v>
      </c>
      <c r="G9" s="70" t="s">
        <v>82</v>
      </c>
      <c r="H9" s="69" t="s">
        <v>71</v>
      </c>
      <c r="J9" s="70" t="s">
        <v>83</v>
      </c>
    </row>
    <row r="10" spans="1:10" ht="13.5">
      <c r="A10" s="66" t="s">
        <v>84</v>
      </c>
      <c r="B10" s="67" t="s">
        <v>67</v>
      </c>
      <c r="C10" s="78" t="s">
        <v>74</v>
      </c>
      <c r="D10" s="68">
        <v>60</v>
      </c>
      <c r="E10" s="69" t="s">
        <v>69</v>
      </c>
      <c r="F10" s="70" t="s">
        <v>70</v>
      </c>
      <c r="G10" s="71">
        <v>9039</v>
      </c>
      <c r="H10" s="69" t="s">
        <v>71</v>
      </c>
      <c r="I10" s="70" t="s">
        <v>70</v>
      </c>
      <c r="J10" s="71">
        <v>1176</v>
      </c>
    </row>
    <row r="11" spans="1:10" ht="13.5">
      <c r="A11" s="66" t="s">
        <v>85</v>
      </c>
      <c r="B11" s="67" t="s">
        <v>67</v>
      </c>
      <c r="C11" s="78" t="s">
        <v>74</v>
      </c>
      <c r="D11" s="68">
        <v>64</v>
      </c>
      <c r="E11" s="69" t="s">
        <v>86</v>
      </c>
      <c r="F11" s="70" t="s">
        <v>70</v>
      </c>
      <c r="G11" s="71">
        <v>9026</v>
      </c>
      <c r="H11" s="69" t="s">
        <v>71</v>
      </c>
      <c r="I11" s="70" t="s">
        <v>70</v>
      </c>
      <c r="J11" s="71">
        <v>1176</v>
      </c>
    </row>
    <row r="12" spans="1:10" ht="13.5">
      <c r="A12" s="66" t="s">
        <v>87</v>
      </c>
      <c r="B12" s="67" t="s">
        <v>67</v>
      </c>
      <c r="C12" s="78" t="s">
        <v>74</v>
      </c>
      <c r="D12" s="68">
        <v>60</v>
      </c>
      <c r="E12" s="69" t="s">
        <v>86</v>
      </c>
      <c r="F12" s="70" t="s">
        <v>70</v>
      </c>
      <c r="G12" s="71">
        <v>9039</v>
      </c>
      <c r="H12" s="69" t="s">
        <v>71</v>
      </c>
      <c r="I12" s="70" t="s">
        <v>70</v>
      </c>
      <c r="J12" s="71">
        <v>9090</v>
      </c>
    </row>
    <row r="13" spans="1:10" ht="13.5">
      <c r="A13" s="66" t="s">
        <v>88</v>
      </c>
      <c r="B13" s="67" t="s">
        <v>67</v>
      </c>
      <c r="C13" s="67" t="s">
        <v>68</v>
      </c>
      <c r="D13" s="68">
        <v>64</v>
      </c>
      <c r="E13" s="81" t="s">
        <v>86</v>
      </c>
      <c r="F13" s="70" t="s">
        <v>70</v>
      </c>
      <c r="G13" s="71">
        <v>9142</v>
      </c>
      <c r="H13" s="69" t="s">
        <v>71</v>
      </c>
      <c r="I13" s="70" t="s">
        <v>70</v>
      </c>
      <c r="J13" s="71">
        <v>9090</v>
      </c>
    </row>
    <row r="14" spans="1:10" ht="13.5">
      <c r="A14" s="66" t="s">
        <v>89</v>
      </c>
      <c r="B14" s="67" t="s">
        <v>67</v>
      </c>
      <c r="C14" s="67" t="s">
        <v>68</v>
      </c>
      <c r="D14" s="68">
        <v>60</v>
      </c>
      <c r="E14" s="81" t="s">
        <v>86</v>
      </c>
      <c r="F14" s="70" t="s">
        <v>70</v>
      </c>
      <c r="G14" s="71">
        <v>1176</v>
      </c>
      <c r="H14" s="69" t="s">
        <v>71</v>
      </c>
      <c r="I14" s="70" t="s">
        <v>70</v>
      </c>
      <c r="J14" s="71">
        <v>9142</v>
      </c>
    </row>
    <row r="15" spans="1:10" ht="13.5">
      <c r="A15" s="66" t="s">
        <v>90</v>
      </c>
      <c r="B15" s="67" t="s">
        <v>67</v>
      </c>
      <c r="C15" s="67" t="s">
        <v>68</v>
      </c>
      <c r="D15" s="68">
        <v>60</v>
      </c>
      <c r="E15" s="69" t="s">
        <v>86</v>
      </c>
      <c r="F15" s="70" t="s">
        <v>70</v>
      </c>
      <c r="G15" s="71">
        <v>9056</v>
      </c>
      <c r="H15" s="69" t="s">
        <v>71</v>
      </c>
      <c r="I15" s="70" t="s">
        <v>70</v>
      </c>
      <c r="J15" s="71">
        <v>1176</v>
      </c>
    </row>
    <row r="16" spans="1:10" ht="13.5">
      <c r="A16" s="66" t="s">
        <v>91</v>
      </c>
      <c r="B16" s="67" t="s">
        <v>67</v>
      </c>
      <c r="C16" s="78" t="s">
        <v>74</v>
      </c>
      <c r="D16" s="68">
        <v>60</v>
      </c>
      <c r="E16" s="81" t="s">
        <v>86</v>
      </c>
      <c r="F16" s="70" t="s">
        <v>70</v>
      </c>
      <c r="G16" s="71">
        <v>9056</v>
      </c>
      <c r="H16" s="69" t="s">
        <v>71</v>
      </c>
      <c r="I16" s="70" t="s">
        <v>70</v>
      </c>
      <c r="J16" s="71">
        <v>1176</v>
      </c>
    </row>
    <row r="17" spans="1:10" ht="13.5">
      <c r="A17" s="66" t="s">
        <v>92</v>
      </c>
      <c r="B17" s="67" t="s">
        <v>67</v>
      </c>
      <c r="C17" s="67" t="s">
        <v>68</v>
      </c>
      <c r="D17" s="68">
        <v>60</v>
      </c>
      <c r="E17" s="81" t="s">
        <v>86</v>
      </c>
      <c r="F17" s="70" t="s">
        <v>70</v>
      </c>
      <c r="G17" s="71">
        <v>9199</v>
      </c>
      <c r="H17" s="69" t="s">
        <v>71</v>
      </c>
      <c r="I17" s="70" t="s">
        <v>70</v>
      </c>
      <c r="J17" s="71">
        <v>1176</v>
      </c>
    </row>
    <row r="18" spans="1:10" ht="13.5">
      <c r="A18" s="66" t="s">
        <v>93</v>
      </c>
      <c r="B18" s="67" t="s">
        <v>67</v>
      </c>
      <c r="C18" s="78" t="s">
        <v>74</v>
      </c>
      <c r="D18" s="68">
        <v>60</v>
      </c>
      <c r="E18" s="69" t="s">
        <v>69</v>
      </c>
      <c r="F18" s="70" t="s">
        <v>70</v>
      </c>
      <c r="G18" s="71">
        <v>1176</v>
      </c>
      <c r="H18" s="69" t="s">
        <v>71</v>
      </c>
      <c r="I18" s="70" t="s">
        <v>70</v>
      </c>
      <c r="J18" s="71">
        <v>9142</v>
      </c>
    </row>
    <row r="19" spans="1:10" ht="13.5">
      <c r="A19" s="66" t="s">
        <v>94</v>
      </c>
      <c r="B19" s="67" t="s">
        <v>67</v>
      </c>
      <c r="C19" s="67" t="s">
        <v>68</v>
      </c>
      <c r="D19" s="68">
        <v>62</v>
      </c>
      <c r="E19" s="69"/>
      <c r="F19" s="70"/>
      <c r="G19" s="71"/>
      <c r="H19" s="69"/>
      <c r="I19" s="70"/>
      <c r="J19" s="71"/>
    </row>
    <row r="20" spans="1:10" ht="13.5">
      <c r="A20" s="66" t="s">
        <v>95</v>
      </c>
      <c r="B20" s="67" t="s">
        <v>67</v>
      </c>
      <c r="C20" s="78" t="s">
        <v>74</v>
      </c>
      <c r="D20" s="68">
        <v>60</v>
      </c>
      <c r="E20" s="69" t="s">
        <v>86</v>
      </c>
      <c r="F20" s="70" t="s">
        <v>70</v>
      </c>
      <c r="G20" s="71">
        <v>9056</v>
      </c>
      <c r="H20" s="69" t="s">
        <v>71</v>
      </c>
      <c r="I20" s="70" t="s">
        <v>70</v>
      </c>
      <c r="J20" s="71">
        <v>1176</v>
      </c>
    </row>
    <row r="21" spans="1:10" ht="13.5">
      <c r="A21" s="72" t="s">
        <v>96</v>
      </c>
      <c r="B21" s="73" t="s">
        <v>67</v>
      </c>
      <c r="C21" s="79" t="s">
        <v>74</v>
      </c>
      <c r="D21" s="74">
        <v>60</v>
      </c>
      <c r="E21" s="75" t="s">
        <v>83</v>
      </c>
      <c r="F21" s="76"/>
      <c r="G21" s="77" t="s">
        <v>83</v>
      </c>
      <c r="H21" s="75" t="s">
        <v>83</v>
      </c>
      <c r="I21" s="76"/>
      <c r="J21" s="77" t="s">
        <v>83</v>
      </c>
    </row>
    <row r="22" spans="1:10" ht="13.5">
      <c r="A22" s="66" t="s">
        <v>97</v>
      </c>
      <c r="B22" s="67" t="s">
        <v>67</v>
      </c>
      <c r="C22" s="78" t="s">
        <v>74</v>
      </c>
      <c r="D22" s="68">
        <v>63</v>
      </c>
      <c r="E22" s="69" t="s">
        <v>86</v>
      </c>
      <c r="F22" s="70" t="s">
        <v>70</v>
      </c>
      <c r="G22" s="71">
        <v>1152</v>
      </c>
      <c r="H22" s="69" t="s">
        <v>71</v>
      </c>
      <c r="I22" s="70" t="s">
        <v>70</v>
      </c>
      <c r="J22" s="71">
        <v>1037</v>
      </c>
    </row>
  </sheetData>
  <sheetProtection password="CE28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99b2e5-37fd-4666-b759-ced47d83cf49" xsi:nil="true"/>
    <lcf76f155ced4ddcb4097134ff3c332f xmlns="21254ea3-2abc-4f85-9665-e30f84a7d83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43C18C9FAE3C4198F9A3F85EE07F84" ma:contentTypeVersion="19" ma:contentTypeDescription="Create a new document." ma:contentTypeScope="" ma:versionID="ac1f383a346060f07985ead130b73fa1">
  <xsd:schema xmlns:xsd="http://www.w3.org/2001/XMLSchema" xmlns:xs="http://www.w3.org/2001/XMLSchema" xmlns:p="http://schemas.microsoft.com/office/2006/metadata/properties" xmlns:ns2="a099b2e5-37fd-4666-b759-ced47d83cf49" xmlns:ns3="21254ea3-2abc-4f85-9665-e30f84a7d831" targetNamespace="http://schemas.microsoft.com/office/2006/metadata/properties" ma:root="true" ma:fieldsID="cbdaa62a91826f0e4268dbcc34f10444" ns2:_="" ns3:_="">
    <xsd:import namespace="a099b2e5-37fd-4666-b759-ced47d83cf49"/>
    <xsd:import namespace="21254ea3-2abc-4f85-9665-e30f84a7d83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b2e5-37fd-4666-b759-ced47d83cf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b05331c-db7d-4517-b63a-f58bc772cb48}" ma:internalName="TaxCatchAll" ma:showField="CatchAllData" ma:web="a099b2e5-37fd-4666-b759-ced47d83c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54ea3-2abc-4f85-9665-e30f84a7d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2bb1bb6-a002-4316-843e-d4932387b2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BD6DB5-7432-4DD7-81B2-CA069A83A13F}"/>
</file>

<file path=customXml/itemProps2.xml><?xml version="1.0" encoding="utf-8"?>
<ds:datastoreItem xmlns:ds="http://schemas.openxmlformats.org/officeDocument/2006/customXml" ds:itemID="{FB613B2F-50D3-4AC5-98E5-AB9E6818259A}"/>
</file>

<file path=customXml/itemProps3.xml><?xml version="1.0" encoding="utf-8"?>
<ds:datastoreItem xmlns:ds="http://schemas.openxmlformats.org/officeDocument/2006/customXml" ds:itemID="{5B8CAF6C-55CB-49A7-88CF-CF4E27F2C4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Fred Hutchinson Cancer Research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Kanaan, Sami B</dc:creator>
  <cp:keywords/>
  <dc:description/>
  <cp:lastModifiedBy>Saumya Shah</cp:lastModifiedBy>
  <cp:revision/>
  <dcterms:created xsi:type="dcterms:W3CDTF">2014-10-30T02:12:29Z</dcterms:created>
  <dcterms:modified xsi:type="dcterms:W3CDTF">2021-06-10T18:22:01Z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0x0101008D43C18C9FAE3C4198F9A3F85EE07F84</vt:lpwstr>
  </property>
  <property fmtid="{D5CDD505-2E9C-101B-9397-08002B2CF9AE}" pid="3" name="MediaServiceImageTags">
    <vt:lpwstr/>
  </property>
</Properties>
</file>