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4.xml" ContentType="application/vnd.openxmlformats-officedocument.drawing+xml"/>
  <Override PartName="/xl/tables/table1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codeName="ThisWorkbook"/>
  <mc:AlternateContent xmlns:mc="http://schemas.openxmlformats.org/markup-compatibility/2006">
    <mc:Choice Requires="x15">
      <x15ac:absPath xmlns:x15ac="http://schemas.microsoft.com/office/spreadsheetml/2010/11/ac" url="/Users/sebas/Downloads/"/>
    </mc:Choice>
  </mc:AlternateContent>
  <xr:revisionPtr revIDLastSave="0" documentId="13_ncr:1_{86440985-1F52-0640-AEB2-BE9EE95A0FA5}" xr6:coauthVersionLast="47" xr6:coauthVersionMax="47" xr10:uidLastSave="{00000000-0000-0000-0000-000000000000}"/>
  <bookViews>
    <workbookView xWindow="38400" yWindow="500" windowWidth="38400" windowHeight="21100" tabRatio="756" activeTab="4" xr2:uid="{00000000-000D-0000-FFFF-FFFF00000000}"/>
  </bookViews>
  <sheets>
    <sheet name="START" sheetId="6" r:id="rId1"/>
    <sheet name="PLANNED EXPENSES" sheetId="2" r:id="rId2"/>
    <sheet name="Forecast Expenses Database" sheetId="9" r:id="rId3"/>
    <sheet name="Actuals Expenses Database" sheetId="7" r:id="rId4"/>
    <sheet name="Actuals vs Forecast" sheetId="11" r:id="rId5"/>
    <sheet name="ACTUAL EXPENSES" sheetId="3" r:id="rId6"/>
    <sheet name="EXPENSE VARIANCES" sheetId="4" r:id="rId7"/>
    <sheet name="EXPENSE ANALYSIS" sheetId="5" r:id="rId8"/>
  </sheets>
  <definedNames>
    <definedName name="worksheet_title">'PLANNED EXPENSES'!$O$2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9" i="11" l="1"/>
  <c r="D208" i="11"/>
  <c r="D207" i="11"/>
  <c r="D206" i="11"/>
  <c r="D205" i="11"/>
  <c r="D204" i="11"/>
  <c r="D203" i="11"/>
  <c r="D202" i="11"/>
  <c r="D201" i="11"/>
  <c r="D200" i="11"/>
  <c r="D199" i="11"/>
  <c r="D198" i="11"/>
  <c r="D197" i="11"/>
  <c r="D196" i="11"/>
  <c r="D195" i="11"/>
  <c r="D194" i="11"/>
  <c r="D193" i="11"/>
  <c r="D192" i="11"/>
  <c r="D191" i="11"/>
  <c r="D190" i="11"/>
  <c r="D189" i="11"/>
  <c r="D188" i="11"/>
  <c r="D187"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195" i="9"/>
  <c r="D194" i="9"/>
  <c r="D193" i="9"/>
  <c r="D192" i="9"/>
  <c r="D191" i="9"/>
  <c r="D190" i="9"/>
  <c r="D189" i="9"/>
  <c r="D188" i="9"/>
  <c r="D187" i="9"/>
  <c r="D186" i="9"/>
  <c r="D185" i="9"/>
  <c r="D184" i="9"/>
  <c r="D183" i="9"/>
  <c r="D170" i="9"/>
  <c r="D156" i="9"/>
  <c r="D155" i="9"/>
  <c r="D154" i="9"/>
  <c r="D153" i="9"/>
  <c r="D152" i="9"/>
  <c r="D151" i="9"/>
  <c r="D150" i="9"/>
  <c r="D149" i="9"/>
  <c r="D148" i="9"/>
  <c r="D147" i="9"/>
  <c r="D146" i="9"/>
  <c r="D145" i="9"/>
  <c r="D144" i="9"/>
  <c r="D131" i="9"/>
  <c r="D118" i="9"/>
  <c r="D105" i="9"/>
  <c r="D92" i="9"/>
  <c r="D79" i="9"/>
  <c r="D66" i="9"/>
  <c r="D53" i="9"/>
  <c r="D39" i="9"/>
  <c r="D38" i="9"/>
  <c r="D37" i="9"/>
  <c r="D206" i="9" s="1"/>
  <c r="D36" i="9"/>
  <c r="D205" i="9" s="1"/>
  <c r="D35" i="9"/>
  <c r="D34" i="9"/>
  <c r="D203" i="9" s="1"/>
  <c r="D33" i="9"/>
  <c r="D32" i="9"/>
  <c r="D31" i="9"/>
  <c r="D30" i="9"/>
  <c r="D29" i="9"/>
  <c r="D28" i="9"/>
  <c r="D27" i="9"/>
  <c r="D14" i="9"/>
  <c r="D195" i="7"/>
  <c r="D194" i="7"/>
  <c r="D193" i="7"/>
  <c r="D192" i="7"/>
  <c r="D191" i="7"/>
  <c r="D190" i="7"/>
  <c r="D189" i="7"/>
  <c r="D188" i="7"/>
  <c r="D187" i="7"/>
  <c r="D186" i="7"/>
  <c r="D185" i="7"/>
  <c r="D184" i="7"/>
  <c r="D156" i="7"/>
  <c r="D155" i="7"/>
  <c r="D154" i="7"/>
  <c r="D153" i="7"/>
  <c r="D152" i="7"/>
  <c r="D151" i="7"/>
  <c r="D150" i="7"/>
  <c r="D149" i="7"/>
  <c r="D148" i="7"/>
  <c r="D147" i="7"/>
  <c r="D146" i="7"/>
  <c r="D145" i="7"/>
  <c r="D183" i="7"/>
  <c r="D170" i="7"/>
  <c r="D144" i="7"/>
  <c r="D131" i="7"/>
  <c r="D118" i="7"/>
  <c r="D105" i="7"/>
  <c r="D92" i="7"/>
  <c r="D79" i="7"/>
  <c r="D66" i="7"/>
  <c r="D53" i="7"/>
  <c r="D27" i="7"/>
  <c r="D14" i="7"/>
  <c r="D39" i="7"/>
  <c r="D38" i="7"/>
  <c r="D37" i="7"/>
  <c r="D36" i="7"/>
  <c r="D205" i="7" s="1"/>
  <c r="D35" i="7"/>
  <c r="D34" i="7"/>
  <c r="D33" i="7"/>
  <c r="D32" i="7"/>
  <c r="D31" i="7"/>
  <c r="D30" i="7"/>
  <c r="D29" i="7"/>
  <c r="D198" i="7" s="1"/>
  <c r="D28" i="7"/>
  <c r="D197" i="7" s="1"/>
  <c r="G34" i="3"/>
  <c r="M34" i="3"/>
  <c r="I8" i="3"/>
  <c r="J8" i="3"/>
  <c r="K8" i="3"/>
  <c r="L8" i="3"/>
  <c r="M8" i="3"/>
  <c r="N8" i="3"/>
  <c r="H8" i="3"/>
  <c r="G8" i="3"/>
  <c r="F8" i="3"/>
  <c r="E8" i="3"/>
  <c r="D8" i="3"/>
  <c r="C8" i="3"/>
  <c r="D204" i="7" l="1"/>
  <c r="D204" i="9"/>
  <c r="D202" i="9"/>
  <c r="D207" i="9"/>
  <c r="D201" i="9"/>
  <c r="D200" i="9"/>
  <c r="D208" i="9"/>
  <c r="D157" i="9"/>
  <c r="D198" i="9"/>
  <c r="D196" i="9"/>
  <c r="D40" i="9"/>
  <c r="D199" i="9"/>
  <c r="D207" i="7"/>
  <c r="D199" i="7"/>
  <c r="D200" i="7"/>
  <c r="D201" i="7"/>
  <c r="D202" i="7"/>
  <c r="D208" i="7"/>
  <c r="D203" i="7"/>
  <c r="D206" i="7"/>
  <c r="D40" i="7"/>
  <c r="D197" i="9"/>
  <c r="D196" i="7"/>
  <c r="D157" i="7"/>
  <c r="N8" i="2"/>
  <c r="M8" i="2"/>
  <c r="L8" i="2"/>
  <c r="K8" i="2"/>
  <c r="J8" i="2"/>
  <c r="I8" i="2"/>
  <c r="H8" i="2"/>
  <c r="G8" i="2"/>
  <c r="F8" i="2"/>
  <c r="E8" i="2"/>
  <c r="D8" i="2"/>
  <c r="C8" i="2"/>
  <c r="B2" i="4"/>
  <c r="O2" i="3"/>
  <c r="O2" i="4"/>
  <c r="D209" i="9" l="1"/>
  <c r="D209" i="7"/>
  <c r="B2" i="3"/>
  <c r="B2" i="5" l="1"/>
  <c r="C33" i="4" l="1"/>
  <c r="D33" i="4"/>
  <c r="E33" i="4"/>
  <c r="F33" i="4"/>
  <c r="G33" i="4"/>
  <c r="H33" i="4"/>
  <c r="I33" i="4"/>
  <c r="J33" i="4"/>
  <c r="K33" i="4"/>
  <c r="L33" i="4"/>
  <c r="M33" i="4"/>
  <c r="N33" i="4"/>
  <c r="D32" i="4"/>
  <c r="E32" i="4"/>
  <c r="F32" i="4"/>
  <c r="G32" i="4"/>
  <c r="H32" i="4"/>
  <c r="I32" i="4"/>
  <c r="J32" i="4"/>
  <c r="K32" i="4"/>
  <c r="L32" i="4"/>
  <c r="M32" i="4"/>
  <c r="N32" i="4"/>
  <c r="C32" i="4"/>
  <c r="C24" i="4"/>
  <c r="D24" i="4"/>
  <c r="E24" i="4"/>
  <c r="F24" i="4"/>
  <c r="G24" i="4"/>
  <c r="H24" i="4"/>
  <c r="I24" i="4"/>
  <c r="J24" i="4"/>
  <c r="K24" i="4"/>
  <c r="L24" i="4"/>
  <c r="M24" i="4"/>
  <c r="N24" i="4"/>
  <c r="C25" i="4"/>
  <c r="D25" i="4"/>
  <c r="E25" i="4"/>
  <c r="F25" i="4"/>
  <c r="G25" i="4"/>
  <c r="H25" i="4"/>
  <c r="I25" i="4"/>
  <c r="J25" i="4"/>
  <c r="K25" i="4"/>
  <c r="L25" i="4"/>
  <c r="M25" i="4"/>
  <c r="N25" i="4"/>
  <c r="C26" i="4"/>
  <c r="D26" i="4"/>
  <c r="E26" i="4"/>
  <c r="F26" i="4"/>
  <c r="G26" i="4"/>
  <c r="H26" i="4"/>
  <c r="I26" i="4"/>
  <c r="J26" i="4"/>
  <c r="K26" i="4"/>
  <c r="L26" i="4"/>
  <c r="M26" i="4"/>
  <c r="N26" i="4"/>
  <c r="C27" i="4"/>
  <c r="D27" i="4"/>
  <c r="E27" i="4"/>
  <c r="F27" i="4"/>
  <c r="G27" i="4"/>
  <c r="H27" i="4"/>
  <c r="I27" i="4"/>
  <c r="J27" i="4"/>
  <c r="K27" i="4"/>
  <c r="L27" i="4"/>
  <c r="M27" i="4"/>
  <c r="N27" i="4"/>
  <c r="C28" i="4"/>
  <c r="D28" i="4"/>
  <c r="E28" i="4"/>
  <c r="F28" i="4"/>
  <c r="G28" i="4"/>
  <c r="H28" i="4"/>
  <c r="I28" i="4"/>
  <c r="J28" i="4"/>
  <c r="K28" i="4"/>
  <c r="L28" i="4"/>
  <c r="M28" i="4"/>
  <c r="N28" i="4"/>
  <c r="D23" i="4"/>
  <c r="E23" i="4"/>
  <c r="F23" i="4"/>
  <c r="G23" i="4"/>
  <c r="H23" i="4"/>
  <c r="I23" i="4"/>
  <c r="J23" i="4"/>
  <c r="K23" i="4"/>
  <c r="L23" i="4"/>
  <c r="M23" i="4"/>
  <c r="N23" i="4"/>
  <c r="C23" i="4"/>
  <c r="D7" i="4"/>
  <c r="E7" i="4"/>
  <c r="F7" i="4"/>
  <c r="G7" i="4"/>
  <c r="H7" i="4"/>
  <c r="I7" i="4"/>
  <c r="J7" i="4"/>
  <c r="K7" i="4"/>
  <c r="L7" i="4"/>
  <c r="M7" i="4"/>
  <c r="N7" i="4"/>
  <c r="C7" i="4"/>
  <c r="C13" i="4"/>
  <c r="D13" i="4"/>
  <c r="E13" i="4"/>
  <c r="F13" i="4"/>
  <c r="G13" i="4"/>
  <c r="H13" i="4"/>
  <c r="I13" i="4"/>
  <c r="J13" i="4"/>
  <c r="K13" i="4"/>
  <c r="L13" i="4"/>
  <c r="M13" i="4"/>
  <c r="N13" i="4"/>
  <c r="C14" i="4"/>
  <c r="D14" i="4"/>
  <c r="E14" i="4"/>
  <c r="F14" i="4"/>
  <c r="G14" i="4"/>
  <c r="H14" i="4"/>
  <c r="I14" i="4"/>
  <c r="J14" i="4"/>
  <c r="K14" i="4"/>
  <c r="L14" i="4"/>
  <c r="M14" i="4"/>
  <c r="N14" i="4"/>
  <c r="C15" i="4"/>
  <c r="D15" i="4"/>
  <c r="E15" i="4"/>
  <c r="F15" i="4"/>
  <c r="G15" i="4"/>
  <c r="H15" i="4"/>
  <c r="I15" i="4"/>
  <c r="J15" i="4"/>
  <c r="K15" i="4"/>
  <c r="L15" i="4"/>
  <c r="M15" i="4"/>
  <c r="N15" i="4"/>
  <c r="C16" i="4"/>
  <c r="D16" i="4"/>
  <c r="E16" i="4"/>
  <c r="F16" i="4"/>
  <c r="G16" i="4"/>
  <c r="H16" i="4"/>
  <c r="I16" i="4"/>
  <c r="J16" i="4"/>
  <c r="K16" i="4"/>
  <c r="L16" i="4"/>
  <c r="M16" i="4"/>
  <c r="N16" i="4"/>
  <c r="C17" i="4"/>
  <c r="D17" i="4"/>
  <c r="E17" i="4"/>
  <c r="F17" i="4"/>
  <c r="G17" i="4"/>
  <c r="H17" i="4"/>
  <c r="I17" i="4"/>
  <c r="J17" i="4"/>
  <c r="K17" i="4"/>
  <c r="L17" i="4"/>
  <c r="M17" i="4"/>
  <c r="N17" i="4"/>
  <c r="C18" i="4"/>
  <c r="D18" i="4"/>
  <c r="E18" i="4"/>
  <c r="F18" i="4"/>
  <c r="G18" i="4"/>
  <c r="H18" i="4"/>
  <c r="I18" i="4"/>
  <c r="J18" i="4"/>
  <c r="K18" i="4"/>
  <c r="L18" i="4"/>
  <c r="M18" i="4"/>
  <c r="N18" i="4"/>
  <c r="C19" i="4"/>
  <c r="D19" i="4"/>
  <c r="E19" i="4"/>
  <c r="F19" i="4"/>
  <c r="G19" i="4"/>
  <c r="H19" i="4"/>
  <c r="I19" i="4"/>
  <c r="J19" i="4"/>
  <c r="K19" i="4"/>
  <c r="L19" i="4"/>
  <c r="M19" i="4"/>
  <c r="N19" i="4"/>
  <c r="D12" i="4"/>
  <c r="E12" i="4"/>
  <c r="F12" i="4"/>
  <c r="G12" i="4"/>
  <c r="H12" i="4"/>
  <c r="I12" i="4"/>
  <c r="J12" i="4"/>
  <c r="K12" i="4"/>
  <c r="L12" i="4"/>
  <c r="M12" i="4"/>
  <c r="N12" i="4"/>
  <c r="C12" i="4"/>
  <c r="D20" i="3"/>
  <c r="E20" i="3"/>
  <c r="F20" i="3"/>
  <c r="G20" i="3"/>
  <c r="H20" i="3"/>
  <c r="I20" i="3"/>
  <c r="J20" i="3"/>
  <c r="K20" i="3"/>
  <c r="L20" i="3"/>
  <c r="M20" i="3"/>
  <c r="N20" i="3"/>
  <c r="D29" i="3"/>
  <c r="E29" i="3"/>
  <c r="F29" i="3"/>
  <c r="G29" i="3"/>
  <c r="H29" i="3"/>
  <c r="I29" i="3"/>
  <c r="J29" i="3"/>
  <c r="K29" i="3"/>
  <c r="L29" i="3"/>
  <c r="M29" i="3"/>
  <c r="N29" i="3"/>
  <c r="D34" i="3"/>
  <c r="E34" i="3"/>
  <c r="F34" i="3"/>
  <c r="H34" i="3"/>
  <c r="I34" i="3"/>
  <c r="J34" i="3"/>
  <c r="K34" i="3"/>
  <c r="L34" i="3"/>
  <c r="N34" i="3"/>
  <c r="C34" i="3"/>
  <c r="C29" i="3"/>
  <c r="C20" i="3"/>
  <c r="D34" i="2"/>
  <c r="E34" i="2"/>
  <c r="F34" i="2"/>
  <c r="G34" i="2"/>
  <c r="H34" i="2"/>
  <c r="I34" i="2"/>
  <c r="J34" i="2"/>
  <c r="K34" i="2"/>
  <c r="L34" i="2"/>
  <c r="M34" i="2"/>
  <c r="N34" i="2"/>
  <c r="C34" i="2"/>
  <c r="D20" i="2"/>
  <c r="E20" i="2"/>
  <c r="F20" i="2"/>
  <c r="G20" i="2"/>
  <c r="H20" i="2"/>
  <c r="I20" i="2"/>
  <c r="J20" i="2"/>
  <c r="K20" i="2"/>
  <c r="L20" i="2"/>
  <c r="M20" i="2"/>
  <c r="N20" i="2"/>
  <c r="C20" i="2"/>
  <c r="O23" i="4" l="1"/>
  <c r="O25" i="4"/>
  <c r="O7" i="4"/>
  <c r="O24" i="4"/>
  <c r="O33" i="4"/>
  <c r="O28" i="4"/>
  <c r="O27" i="4"/>
  <c r="O26" i="4"/>
  <c r="O32" i="4"/>
  <c r="O18" i="4"/>
  <c r="O17" i="4"/>
  <c r="O16" i="4"/>
  <c r="O15" i="4"/>
  <c r="O13" i="4"/>
  <c r="O19" i="4"/>
  <c r="O14" i="4"/>
  <c r="O12" i="4"/>
  <c r="B10" i="5"/>
  <c r="B9" i="5"/>
  <c r="B8" i="5"/>
  <c r="B7" i="5"/>
  <c r="N34" i="4"/>
  <c r="M34" i="4"/>
  <c r="L34" i="4"/>
  <c r="K34" i="4"/>
  <c r="J34" i="4"/>
  <c r="I34" i="4"/>
  <c r="H34" i="4"/>
  <c r="G34" i="4"/>
  <c r="F34" i="4"/>
  <c r="E34" i="4"/>
  <c r="D34" i="4"/>
  <c r="C34" i="4"/>
  <c r="N29" i="4"/>
  <c r="M29" i="4"/>
  <c r="L29" i="4"/>
  <c r="K29" i="4"/>
  <c r="J29" i="4"/>
  <c r="I29" i="4"/>
  <c r="H29" i="4"/>
  <c r="G29" i="4"/>
  <c r="F29" i="4"/>
  <c r="E29" i="4"/>
  <c r="D29" i="4"/>
  <c r="C29" i="4"/>
  <c r="N20" i="4"/>
  <c r="M20" i="4"/>
  <c r="L20" i="4"/>
  <c r="K20" i="4"/>
  <c r="J20" i="4"/>
  <c r="I20" i="4"/>
  <c r="H20" i="4"/>
  <c r="G20" i="4"/>
  <c r="F20" i="4"/>
  <c r="E20" i="4"/>
  <c r="D20" i="4"/>
  <c r="C20" i="4"/>
  <c r="O33" i="3"/>
  <c r="O32" i="3"/>
  <c r="O28" i="3"/>
  <c r="O27" i="3"/>
  <c r="O26" i="3"/>
  <c r="O25" i="3"/>
  <c r="O24" i="3"/>
  <c r="O23" i="3"/>
  <c r="O19" i="3"/>
  <c r="O18" i="3"/>
  <c r="O17" i="3"/>
  <c r="O16" i="3"/>
  <c r="O15" i="3"/>
  <c r="O14" i="3"/>
  <c r="O13" i="3"/>
  <c r="O12" i="3"/>
  <c r="N9" i="3"/>
  <c r="N37" i="3" s="1"/>
  <c r="M9" i="3"/>
  <c r="M37" i="3" s="1"/>
  <c r="L9" i="3"/>
  <c r="L37" i="3" s="1"/>
  <c r="K9" i="3"/>
  <c r="K37" i="3" s="1"/>
  <c r="J9" i="3"/>
  <c r="J37" i="3" s="1"/>
  <c r="I9" i="3"/>
  <c r="I37" i="3" s="1"/>
  <c r="H9" i="3"/>
  <c r="H37" i="3" s="1"/>
  <c r="G9" i="3"/>
  <c r="G37" i="3" s="1"/>
  <c r="F9" i="3"/>
  <c r="F37" i="3" s="1"/>
  <c r="E9" i="3"/>
  <c r="E37" i="3" s="1"/>
  <c r="D9" i="3"/>
  <c r="D37" i="3" s="1"/>
  <c r="C9" i="3"/>
  <c r="C37" i="3" s="1"/>
  <c r="O7" i="3"/>
  <c r="O33" i="2"/>
  <c r="O32" i="2"/>
  <c r="O19" i="2"/>
  <c r="O18" i="2"/>
  <c r="O17" i="2"/>
  <c r="O16" i="2"/>
  <c r="O15" i="2"/>
  <c r="O14" i="2"/>
  <c r="O13" i="2"/>
  <c r="O12" i="2"/>
  <c r="O7" i="2"/>
  <c r="O34" i="2" l="1"/>
  <c r="C9" i="5" s="1"/>
  <c r="J9" i="2"/>
  <c r="J37" i="2" s="1"/>
  <c r="J8" i="4"/>
  <c r="J9" i="4" s="1"/>
  <c r="J37" i="4" s="1"/>
  <c r="L9" i="2"/>
  <c r="L37" i="2" s="1"/>
  <c r="L8" i="4"/>
  <c r="L9" i="4" s="1"/>
  <c r="L37" i="4" s="1"/>
  <c r="G9" i="2"/>
  <c r="G37" i="2" s="1"/>
  <c r="G8" i="4"/>
  <c r="G9" i="4" s="1"/>
  <c r="G37" i="4" s="1"/>
  <c r="H9" i="2"/>
  <c r="H37" i="2" s="1"/>
  <c r="H8" i="4"/>
  <c r="H9" i="4" s="1"/>
  <c r="H37" i="4" s="1"/>
  <c r="N9" i="2"/>
  <c r="N37" i="2" s="1"/>
  <c r="N8" i="4"/>
  <c r="N9" i="4" s="1"/>
  <c r="N37" i="4" s="1"/>
  <c r="D9" i="2"/>
  <c r="D37" i="2" s="1"/>
  <c r="D8" i="4"/>
  <c r="D9" i="4" s="1"/>
  <c r="D37" i="4" s="1"/>
  <c r="E8" i="4"/>
  <c r="E9" i="4" s="1"/>
  <c r="E37" i="4" s="1"/>
  <c r="E9" i="2"/>
  <c r="E37" i="2" s="1"/>
  <c r="K9" i="2"/>
  <c r="K37" i="2" s="1"/>
  <c r="K8" i="4"/>
  <c r="K9" i="4" s="1"/>
  <c r="K37" i="4" s="1"/>
  <c r="F8" i="4"/>
  <c r="F9" i="4" s="1"/>
  <c r="F37" i="4" s="1"/>
  <c r="F9" i="2"/>
  <c r="F37" i="2" s="1"/>
  <c r="M9" i="2"/>
  <c r="M37" i="2" s="1"/>
  <c r="M8" i="4"/>
  <c r="M9" i="4" s="1"/>
  <c r="M37" i="4" s="1"/>
  <c r="C8" i="4"/>
  <c r="C9" i="4" s="1"/>
  <c r="C37" i="4" s="1"/>
  <c r="C9" i="2"/>
  <c r="C37" i="2" s="1"/>
  <c r="D38" i="2" s="1"/>
  <c r="I8" i="4"/>
  <c r="I9" i="4" s="1"/>
  <c r="I37" i="4" s="1"/>
  <c r="I9" i="2"/>
  <c r="I37" i="2" s="1"/>
  <c r="O34" i="3"/>
  <c r="O29" i="3"/>
  <c r="D8" i="5" s="1"/>
  <c r="O20" i="3"/>
  <c r="D7" i="5" s="1"/>
  <c r="C8" i="5"/>
  <c r="O20" i="2"/>
  <c r="C7" i="5" s="1"/>
  <c r="O8" i="3"/>
  <c r="O9" i="3" s="1"/>
  <c r="D6" i="5" s="1"/>
  <c r="O34" i="4"/>
  <c r="O8" i="2"/>
  <c r="O9" i="2" s="1"/>
  <c r="C6" i="5" s="1"/>
  <c r="E38" i="2" l="1"/>
  <c r="J38" i="2"/>
  <c r="O8" i="4"/>
  <c r="O9" i="4" s="1"/>
  <c r="O37" i="2"/>
  <c r="C10" i="5" s="1"/>
  <c r="I38" i="2"/>
  <c r="C38" i="2"/>
  <c r="F38" i="2"/>
  <c r="E8" i="5"/>
  <c r="F8" i="5" s="1"/>
  <c r="D38" i="4"/>
  <c r="J38" i="4"/>
  <c r="M38" i="4"/>
  <c r="H38" i="4"/>
  <c r="N38" i="4"/>
  <c r="C38" i="4"/>
  <c r="E38" i="4"/>
  <c r="K38" i="4"/>
  <c r="F38" i="4"/>
  <c r="L38" i="4"/>
  <c r="G38" i="4"/>
  <c r="I38" i="4"/>
  <c r="O20" i="4"/>
  <c r="O29" i="4"/>
  <c r="D9" i="5"/>
  <c r="E9" i="5" s="1"/>
  <c r="F9" i="5" s="1"/>
  <c r="O37" i="3"/>
  <c r="D10" i="5" s="1"/>
  <c r="K38" i="2"/>
  <c r="G38" i="3"/>
  <c r="M38" i="3"/>
  <c r="J38" i="3"/>
  <c r="F38" i="3"/>
  <c r="H38" i="3"/>
  <c r="N38" i="3"/>
  <c r="I38" i="3"/>
  <c r="C38" i="3"/>
  <c r="D38" i="3"/>
  <c r="E38" i="3"/>
  <c r="K38" i="3"/>
  <c r="L38" i="3"/>
  <c r="E7" i="5"/>
  <c r="F7" i="5" s="1"/>
  <c r="N38" i="2"/>
  <c r="H38" i="2"/>
  <c r="M38" i="2"/>
  <c r="L38" i="2"/>
  <c r="G38" i="2"/>
  <c r="E6" i="5"/>
  <c r="F6" i="5" s="1"/>
  <c r="O37" i="4" l="1"/>
  <c r="E10" i="5"/>
  <c r="F10" i="5" s="1"/>
</calcChain>
</file>

<file path=xl/sharedStrings.xml><?xml version="1.0" encoding="utf-8"?>
<sst xmlns="http://schemas.openxmlformats.org/spreadsheetml/2006/main" count="2194" uniqueCount="69">
  <si>
    <t>Jan</t>
  </si>
  <si>
    <t>Feb</t>
  </si>
  <si>
    <t>Mar</t>
  </si>
  <si>
    <t>Apr</t>
  </si>
  <si>
    <t>May</t>
  </si>
  <si>
    <t>Jun</t>
  </si>
  <si>
    <t>Jul</t>
  </si>
  <si>
    <t>Aug</t>
  </si>
  <si>
    <t>Sep</t>
  </si>
  <si>
    <t>Oct</t>
  </si>
  <si>
    <t>Nov</t>
  </si>
  <si>
    <t>Dec</t>
  </si>
  <si>
    <t>YEAR</t>
  </si>
  <si>
    <t>Wages</t>
  </si>
  <si>
    <t>Benefits</t>
  </si>
  <si>
    <t>Subtotal</t>
  </si>
  <si>
    <t>Office lease</t>
  </si>
  <si>
    <t>Gas</t>
  </si>
  <si>
    <t>Electric</t>
  </si>
  <si>
    <t>Water</t>
  </si>
  <si>
    <t>Telephone</t>
  </si>
  <si>
    <t>Internet access</t>
  </si>
  <si>
    <t>Office supplies</t>
  </si>
  <si>
    <t>Security</t>
  </si>
  <si>
    <t>Web site hosting</t>
  </si>
  <si>
    <t>Web site updates</t>
  </si>
  <si>
    <t>Collateral preparation</t>
  </si>
  <si>
    <t>Collateral printing</t>
  </si>
  <si>
    <t>Marketing events</t>
  </si>
  <si>
    <t>Miscellaneous expenses</t>
  </si>
  <si>
    <t>Training classes</t>
  </si>
  <si>
    <t>Training-related travel costs</t>
  </si>
  <si>
    <t xml:space="preserve"> </t>
  </si>
  <si>
    <t>PLANNED EXPENSES</t>
  </si>
  <si>
    <t>ACTUAL EXPENSES</t>
  </si>
  <si>
    <t>EXPENSE VARIANCES</t>
  </si>
  <si>
    <t>Year</t>
  </si>
  <si>
    <t>Fill in company name and add logo.</t>
  </si>
  <si>
    <t>SBO Banking</t>
  </si>
  <si>
    <t>Detailed expense estimates</t>
  </si>
  <si>
    <t>Shaded cells are calculations</t>
  </si>
  <si>
    <t>Employee costs</t>
  </si>
  <si>
    <t>Office costs</t>
  </si>
  <si>
    <t>Marketing costs</t>
  </si>
  <si>
    <t>Training/travel</t>
  </si>
  <si>
    <t>Monthly planned expenses</t>
  </si>
  <si>
    <t>TOTAL planned expenses</t>
  </si>
  <si>
    <t>Monthly actual expenses</t>
  </si>
  <si>
    <t>TOTAL actual expenses</t>
  </si>
  <si>
    <t>Expense category</t>
  </si>
  <si>
    <t>Planned expenses</t>
  </si>
  <si>
    <t>Actual expenses</t>
  </si>
  <si>
    <t>Expense variances</t>
  </si>
  <si>
    <t>Variance percentage</t>
  </si>
  <si>
    <t>Totals</t>
  </si>
  <si>
    <t>About this Template</t>
  </si>
  <si>
    <t>Note</t>
  </si>
  <si>
    <t>Monthly variances</t>
  </si>
  <si>
    <t>TOTAL variances</t>
  </si>
  <si>
    <t>HOW TO USE THIS TEMPLATE</t>
  </si>
  <si>
    <t>Use this business expense budget workbook to track planned and 
actual expenses and variances.</t>
  </si>
  <si>
    <t>Enter details in tables in planned expenses 
worksheet and actual expenses worksheet.</t>
  </si>
  <si>
    <t>Tables are auto updated in expense variances worksheet and charts in 
expense analysis worksheet</t>
  </si>
  <si>
    <t>Input data in the white cells on the PLANNED EXPENSES and 
ACTUAL EXPENSES worksheets, and the EXPENSE VARIANCES and 
EXPENSE ANALYSIS will be calculated for you.  If you add a row on 
one sheet, the other sheets need to match.</t>
  </si>
  <si>
    <t xml:space="preserve">Additional instructions have been provided in column A in each 
worksheet. To learn more about tables, press SHIFT and then F10 
within a table, select the TABLE option, and then select 
ALTERNATIVE TEXT.
</t>
  </si>
  <si>
    <t>Category</t>
  </si>
  <si>
    <t>Sucategory</t>
  </si>
  <si>
    <t>Expense</t>
  </si>
  <si>
    <t>Time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</si>
</sst>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_);[Red]\(&quot;$&quot;#,##0.00\)"/>
    <numFmt numFmtId="164" formatCode="_(&quot;$&quot;* #,##0_);_(&quot;$&quot;* \(#,##0\);_(&quot;$&quot;* &quot;-&quot;??_);_(@_)"/>
  </numFmts>
  <fonts count="35" x14ac:knownFonts="1">
    <font>
      <sz val="9"/>
      <color theme="1" tint="0.24994659260841701"/>
      <name val="Posterama"/>
      <family val="2"/>
      <scheme val="minor"/>
    </font>
    <font>
      <sz val="11"/>
      <color theme="1"/>
      <name val="Posterama"/>
      <family val="2"/>
      <scheme val="minor"/>
    </font>
    <font>
      <sz val="11"/>
      <color theme="1"/>
      <name val="Posterama"/>
      <family val="2"/>
      <scheme val="minor"/>
    </font>
    <font>
      <b/>
      <sz val="22"/>
      <color theme="1" tint="0.24994659260841701"/>
      <name val="Posterama"/>
      <family val="2"/>
      <scheme val="major"/>
    </font>
    <font>
      <sz val="11"/>
      <color theme="1" tint="0.24994659260841701"/>
      <name val="Posterama"/>
      <family val="2"/>
      <scheme val="major"/>
    </font>
    <font>
      <b/>
      <sz val="10"/>
      <color theme="2"/>
      <name val="Posterama"/>
      <family val="2"/>
      <scheme val="major"/>
    </font>
    <font>
      <i/>
      <sz val="11"/>
      <color theme="3" tint="0.79998168889431442"/>
      <name val="Posterama"/>
      <family val="2"/>
      <scheme val="minor"/>
    </font>
    <font>
      <b/>
      <sz val="16"/>
      <color theme="0"/>
      <name val="Posterama"/>
      <family val="2"/>
      <scheme val="major"/>
    </font>
    <font>
      <sz val="14"/>
      <color theme="1"/>
      <name val="Posterama"/>
      <family val="2"/>
      <scheme val="minor"/>
    </font>
    <font>
      <b/>
      <sz val="48"/>
      <color theme="4"/>
      <name val="Posterama"/>
      <family val="2"/>
      <scheme val="minor"/>
    </font>
    <font>
      <b/>
      <sz val="14"/>
      <color theme="1"/>
      <name val="Posterama"/>
      <family val="2"/>
      <scheme val="minor"/>
    </font>
    <font>
      <b/>
      <sz val="16"/>
      <color theme="1"/>
      <name val="Posterama"/>
      <family val="2"/>
      <scheme val="minor"/>
    </font>
    <font>
      <b/>
      <sz val="16"/>
      <color theme="4"/>
      <name val="Posterama"/>
      <family val="2"/>
      <scheme val="minor"/>
    </font>
    <font>
      <b/>
      <u/>
      <sz val="10"/>
      <color theme="1"/>
      <name val="Posterama"/>
      <family val="2"/>
      <scheme val="minor"/>
    </font>
    <font>
      <i/>
      <sz val="12"/>
      <color theme="1"/>
      <name val="Posterama"/>
      <family val="2"/>
      <scheme val="minor"/>
    </font>
    <font>
      <i/>
      <sz val="12"/>
      <color theme="4"/>
      <name val="Posterama"/>
      <family val="2"/>
      <scheme val="minor"/>
    </font>
    <font>
      <b/>
      <sz val="36"/>
      <color theme="1"/>
      <name val="Posterama"/>
      <family val="2"/>
      <scheme val="minor"/>
    </font>
    <font>
      <i/>
      <sz val="11"/>
      <color theme="1"/>
      <name val="Posterama"/>
      <family val="2"/>
      <scheme val="minor"/>
    </font>
    <font>
      <sz val="9"/>
      <color theme="1"/>
      <name val="Posterama"/>
      <family val="2"/>
      <scheme val="minor"/>
    </font>
    <font>
      <sz val="16"/>
      <color theme="4"/>
      <name val="Posterama"/>
      <family val="2"/>
      <scheme val="minor"/>
    </font>
    <font>
      <sz val="10"/>
      <color theme="1" tint="0.24994659260841701"/>
      <name val="Posterama"/>
      <family val="2"/>
      <scheme val="minor"/>
    </font>
    <font>
      <sz val="12"/>
      <color theme="1" tint="0.24994659260841701"/>
      <name val="Posterama"/>
      <family val="2"/>
      <scheme val="minor"/>
    </font>
    <font>
      <b/>
      <sz val="10"/>
      <color theme="1"/>
      <name val="Posterama"/>
      <family val="2"/>
      <scheme val="minor"/>
    </font>
    <font>
      <sz val="10"/>
      <color theme="1"/>
      <name val="Posterama"/>
      <family val="2"/>
      <scheme val="minor"/>
    </font>
    <font>
      <b/>
      <sz val="48"/>
      <color theme="4"/>
      <name val="Posterama"/>
      <family val="2"/>
      <scheme val="major"/>
    </font>
    <font>
      <sz val="16"/>
      <color theme="1"/>
      <name val="Posterama"/>
      <family val="2"/>
      <scheme val="minor"/>
    </font>
    <font>
      <sz val="16"/>
      <color theme="1" tint="0.24994659260841701"/>
      <name val="Posterama"/>
      <family val="2"/>
      <scheme val="minor"/>
    </font>
    <font>
      <b/>
      <sz val="10"/>
      <color theme="4"/>
      <name val="Posterama"/>
      <family val="2"/>
      <scheme val="minor"/>
    </font>
    <font>
      <b/>
      <i/>
      <sz val="10"/>
      <color theme="1"/>
      <name val="Posterama"/>
      <family val="2"/>
      <scheme val="minor"/>
    </font>
    <font>
      <sz val="14"/>
      <color theme="6"/>
      <name val="Posterama"/>
      <family val="2"/>
      <scheme val="minor"/>
    </font>
    <font>
      <sz val="9"/>
      <color theme="6"/>
      <name val="Posterama"/>
      <family val="2"/>
      <scheme val="minor"/>
    </font>
    <font>
      <b/>
      <sz val="16"/>
      <color rgb="FF1309A8"/>
      <name val="Posterama"/>
      <family val="2"/>
      <scheme val="minor"/>
    </font>
    <font>
      <b/>
      <sz val="36"/>
      <color theme="6"/>
      <name val="Posterama"/>
      <family val="2"/>
      <scheme val="minor"/>
    </font>
    <font>
      <b/>
      <sz val="14"/>
      <color theme="4"/>
      <name val="Posterama"/>
      <family val="2"/>
      <scheme val="minor"/>
    </font>
    <font>
      <sz val="10"/>
      <color theme="6"/>
      <name val="Posterama"/>
      <family val="2"/>
      <scheme val="minor"/>
    </font>
  </fonts>
  <fills count="8">
    <fill>
      <patternFill patternType="none"/>
    </fill>
    <fill>
      <patternFill patternType="gray125"/>
    </fill>
    <fill>
      <patternFill patternType="solid">
        <fgColor theme="5" tint="-0.499984740745262"/>
        <bgColor indexed="64"/>
      </patternFill>
    </fill>
    <fill>
      <patternFill patternType="solid">
        <fgColor theme="3" tint="0.89996032593768116"/>
        <bgColor indexed="64"/>
      </patternFill>
    </fill>
    <fill>
      <patternFill patternType="solid">
        <fgColor theme="3"/>
        <bgColor indexed="64"/>
      </patternFill>
    </fill>
    <fill>
      <patternFill patternType="solid">
        <fgColor theme="6" tint="0.39994506668294322"/>
        <bgColor indexed="64"/>
      </patternFill>
    </fill>
    <fill>
      <patternFill patternType="solid">
        <fgColor theme="0" tint="-4.9989318521683403E-2"/>
        <bgColor indexed="64"/>
      </patternFill>
    </fill>
    <fill>
      <patternFill patternType="solid">
        <fgColor rgb="FFF2F2F2"/>
        <bgColor rgb="FF000000"/>
      </patternFill>
    </fill>
  </fills>
  <borders count="2">
    <border>
      <left/>
      <right/>
      <top/>
      <bottom/>
      <diagonal/>
    </border>
    <border>
      <left style="thin">
        <color theme="5" tint="-0.499984740745262"/>
      </left>
      <right style="thin">
        <color theme="5" tint="-0.499984740745262"/>
      </right>
      <top style="thin">
        <color theme="5" tint="-0.499984740745262"/>
      </top>
      <bottom style="thin">
        <color theme="5" tint="-0.499984740745262"/>
      </bottom>
      <diagonal/>
    </border>
  </borders>
  <cellStyleXfs count="6">
    <xf numFmtId="0" fontId="0" fillId="5" borderId="0"/>
    <xf numFmtId="0" fontId="3" fillId="0" borderId="0" applyNumberFormat="0" applyFill="0" applyProtection="0">
      <alignment vertical="center"/>
    </xf>
    <xf numFmtId="0" fontId="7" fillId="4" borderId="0" applyNumberFormat="0" applyProtection="0">
      <alignment vertical="center"/>
    </xf>
    <xf numFmtId="0" fontId="5" fillId="2" borderId="0" applyNumberFormat="0" applyProtection="0">
      <alignment vertical="center"/>
    </xf>
    <xf numFmtId="0" fontId="4" fillId="3" borderId="1" applyNumberFormat="0" applyProtection="0">
      <alignment horizontal="left" vertical="center" indent="1"/>
    </xf>
    <xf numFmtId="0" fontId="6" fillId="0" borderId="0" applyNumberFormat="0" applyFill="0" applyBorder="0" applyAlignment="0" applyProtection="0"/>
  </cellStyleXfs>
  <cellXfs count="88">
    <xf numFmtId="0" fontId="0" fillId="5" borderId="0" xfId="0"/>
    <xf numFmtId="0" fontId="8" fillId="6" borderId="0" xfId="0" applyFont="1" applyFill="1" applyAlignment="1">
      <alignment horizontal="left" vertical="top" wrapText="1" indent="1"/>
    </xf>
    <xf numFmtId="0" fontId="8" fillId="6" borderId="0" xfId="0" applyFont="1" applyFill="1" applyAlignment="1">
      <alignment horizontal="left" vertical="top" indent="1"/>
    </xf>
    <xf numFmtId="0" fontId="8" fillId="0" borderId="0" xfId="0" applyFont="1" applyFill="1"/>
    <xf numFmtId="164" fontId="10" fillId="6" borderId="0" xfId="0" applyNumberFormat="1" applyFont="1" applyFill="1" applyAlignment="1">
      <alignment horizontal="left" vertical="top" indent="1"/>
    </xf>
    <xf numFmtId="0" fontId="10" fillId="6" borderId="0" xfId="0" applyFont="1" applyFill="1" applyAlignment="1">
      <alignment horizontal="left" vertical="top" indent="1"/>
    </xf>
    <xf numFmtId="0" fontId="8" fillId="6" borderId="0" xfId="0" applyFont="1" applyFill="1"/>
    <xf numFmtId="0" fontId="11" fillId="6" borderId="0" xfId="2" applyFont="1" applyFill="1" applyAlignment="1">
      <alignment horizontal="left" indent="1"/>
    </xf>
    <xf numFmtId="0" fontId="10" fillId="6" borderId="0" xfId="0" applyFont="1" applyFill="1" applyAlignment="1">
      <alignment horizontal="center" vertical="top"/>
    </xf>
    <xf numFmtId="0" fontId="12" fillId="6" borderId="0" xfId="2" applyFont="1" applyFill="1" applyAlignment="1">
      <alignment horizontal="right"/>
    </xf>
    <xf numFmtId="164" fontId="13" fillId="6" borderId="0" xfId="0" applyNumberFormat="1" applyFont="1" applyFill="1" applyAlignment="1">
      <alignment horizontal="left" vertical="top" indent="1"/>
    </xf>
    <xf numFmtId="0" fontId="13" fillId="6" borderId="0" xfId="0" applyFont="1" applyFill="1" applyAlignment="1">
      <alignment horizontal="left" vertical="top" indent="1"/>
    </xf>
    <xf numFmtId="0" fontId="14" fillId="6" borderId="0" xfId="5" applyFont="1" applyFill="1" applyAlignment="1">
      <alignment horizontal="left" vertical="top" indent="1"/>
    </xf>
    <xf numFmtId="0" fontId="15" fillId="6" borderId="0" xfId="5" applyFont="1" applyFill="1" applyAlignment="1">
      <alignment horizontal="right" vertical="top"/>
    </xf>
    <xf numFmtId="0" fontId="16" fillId="6" borderId="0" xfId="1" applyFont="1" applyFill="1" applyAlignment="1">
      <alignment horizontal="left" vertical="top" indent="1"/>
    </xf>
    <xf numFmtId="0" fontId="17" fillId="6" borderId="0" xfId="5" applyFont="1" applyFill="1" applyAlignment="1">
      <alignment horizontal="left" vertical="top" indent="1"/>
    </xf>
    <xf numFmtId="0" fontId="11" fillId="6" borderId="0" xfId="3" applyFont="1" applyFill="1" applyAlignment="1">
      <alignment horizontal="left" vertical="center"/>
    </xf>
    <xf numFmtId="0" fontId="11" fillId="6" borderId="0" xfId="3" applyFont="1" applyFill="1" applyAlignment="1">
      <alignment horizontal="center" vertical="center"/>
    </xf>
    <xf numFmtId="164" fontId="11" fillId="6" borderId="0" xfId="3" applyNumberFormat="1" applyFont="1" applyFill="1" applyAlignment="1">
      <alignment horizontal="center" vertical="center"/>
    </xf>
    <xf numFmtId="0" fontId="18" fillId="0" borderId="0" xfId="0" applyFont="1" applyFill="1" applyAlignment="1">
      <alignment wrapText="1"/>
    </xf>
    <xf numFmtId="0" fontId="18" fillId="0" borderId="0" xfId="0" applyFont="1" applyFill="1"/>
    <xf numFmtId="0" fontId="19" fillId="5" borderId="0" xfId="4" applyFont="1" applyFill="1" applyBorder="1">
      <alignment horizontal="left" vertical="center" indent="1"/>
    </xf>
    <xf numFmtId="0" fontId="21" fillId="5" borderId="0" xfId="0" applyFont="1" applyAlignment="1">
      <alignment horizontal="left" vertical="center" indent="1"/>
    </xf>
    <xf numFmtId="8" fontId="20" fillId="5" borderId="0" xfId="0" applyNumberFormat="1" applyFont="1" applyAlignment="1">
      <alignment horizontal="center" vertical="center"/>
    </xf>
    <xf numFmtId="0" fontId="22" fillId="6" borderId="0" xfId="0" applyFont="1" applyFill="1" applyAlignment="1">
      <alignment horizontal="center"/>
    </xf>
    <xf numFmtId="0" fontId="23" fillId="6" borderId="0" xfId="0" applyFont="1" applyFill="1" applyAlignment="1">
      <alignment horizontal="center"/>
    </xf>
    <xf numFmtId="0" fontId="22" fillId="6" borderId="0" xfId="0" applyFont="1" applyFill="1"/>
    <xf numFmtId="0" fontId="12" fillId="5" borderId="0" xfId="3" applyFont="1" applyFill="1" applyAlignment="1">
      <alignment horizontal="left" vertical="center" indent="1"/>
    </xf>
    <xf numFmtId="0" fontId="2" fillId="6" borderId="0" xfId="0" applyFont="1" applyFill="1"/>
    <xf numFmtId="0" fontId="9" fillId="6" borderId="0" xfId="2" applyFont="1" applyFill="1" applyAlignment="1">
      <alignment horizontal="left"/>
    </xf>
    <xf numFmtId="0" fontId="2" fillId="6" borderId="0" xfId="0" applyFont="1" applyFill="1" applyAlignment="1">
      <alignment vertical="top" wrapText="1"/>
    </xf>
    <xf numFmtId="0" fontId="2" fillId="6" borderId="0" xfId="0" applyFont="1" applyFill="1" applyAlignment="1">
      <alignment vertical="top"/>
    </xf>
    <xf numFmtId="0" fontId="12" fillId="6" borderId="0" xfId="0" applyFont="1" applyFill="1" applyAlignment="1">
      <alignment vertical="center" wrapText="1"/>
    </xf>
    <xf numFmtId="0" fontId="2" fillId="6" borderId="0" xfId="0" applyFont="1" applyFill="1" applyAlignment="1">
      <alignment vertical="center"/>
    </xf>
    <xf numFmtId="0" fontId="8" fillId="6" borderId="0" xfId="0" applyFont="1" applyFill="1" applyAlignment="1">
      <alignment vertical="center"/>
    </xf>
    <xf numFmtId="0" fontId="8" fillId="0" borderId="0" xfId="0" applyFont="1" applyFill="1" applyAlignment="1">
      <alignment vertical="center"/>
    </xf>
    <xf numFmtId="0" fontId="23" fillId="0" borderId="0" xfId="0" applyFont="1" applyFill="1"/>
    <xf numFmtId="0" fontId="23" fillId="6" borderId="0" xfId="0" applyFont="1" applyFill="1"/>
    <xf numFmtId="0" fontId="21" fillId="5" borderId="0" xfId="0" applyFont="1" applyAlignment="1">
      <alignment horizontal="left" vertical="center" indent="2"/>
    </xf>
    <xf numFmtId="0" fontId="11" fillId="6" borderId="0" xfId="2" applyFont="1" applyFill="1" applyAlignment="1">
      <alignment horizontal="right" indent="1"/>
    </xf>
    <xf numFmtId="0" fontId="11" fillId="0" borderId="0" xfId="2" applyFont="1" applyFill="1" applyAlignment="1">
      <alignment horizontal="right" indent="1"/>
    </xf>
    <xf numFmtId="0" fontId="9" fillId="6" borderId="0" xfId="1" applyFont="1" applyFill="1" applyAlignment="1">
      <alignment horizontal="left" vertical="center" indent="1"/>
    </xf>
    <xf numFmtId="0" fontId="17" fillId="6" borderId="0" xfId="5" applyFont="1" applyFill="1" applyAlignment="1">
      <alignment horizontal="right" vertical="top" indent="1"/>
    </xf>
    <xf numFmtId="0" fontId="17" fillId="0" borderId="0" xfId="5" applyFont="1" applyFill="1" applyAlignment="1">
      <alignment horizontal="right" vertical="top" indent="1"/>
    </xf>
    <xf numFmtId="0" fontId="25" fillId="6" borderId="0" xfId="0" applyFont="1" applyFill="1"/>
    <xf numFmtId="0" fontId="19" fillId="5" borderId="0" xfId="0" applyFont="1" applyAlignment="1">
      <alignment horizontal="left" vertical="center" indent="1"/>
    </xf>
    <xf numFmtId="0" fontId="26" fillId="5" borderId="0" xfId="0" applyFont="1" applyAlignment="1">
      <alignment horizontal="center" vertical="center"/>
    </xf>
    <xf numFmtId="164" fontId="26" fillId="5" borderId="0" xfId="0" applyNumberFormat="1" applyFont="1" applyAlignment="1">
      <alignment horizontal="center" vertical="center"/>
    </xf>
    <xf numFmtId="0" fontId="25" fillId="0" borderId="0" xfId="0" applyFont="1" applyFill="1"/>
    <xf numFmtId="0" fontId="22" fillId="6" borderId="0" xfId="0" applyFont="1" applyFill="1" applyAlignment="1">
      <alignment horizontal="left" indent="1"/>
    </xf>
    <xf numFmtId="37" fontId="23" fillId="6" borderId="0" xfId="0" applyNumberFormat="1" applyFont="1" applyFill="1" applyAlignment="1">
      <alignment horizontal="right"/>
    </xf>
    <xf numFmtId="37" fontId="27" fillId="6" borderId="0" xfId="0" applyNumberFormat="1" applyFont="1" applyFill="1" applyAlignment="1">
      <alignment horizontal="right"/>
    </xf>
    <xf numFmtId="0" fontId="23" fillId="6" borderId="0" xfId="0" applyFont="1" applyFill="1" applyAlignment="1">
      <alignment horizontal="left" indent="1"/>
    </xf>
    <xf numFmtId="37" fontId="28" fillId="6" borderId="0" xfId="0" applyNumberFormat="1" applyFont="1" applyFill="1" applyAlignment="1">
      <alignment horizontal="right"/>
    </xf>
    <xf numFmtId="37" fontId="22" fillId="6" borderId="0" xfId="0" applyNumberFormat="1" applyFont="1" applyFill="1" applyAlignment="1">
      <alignment horizontal="right"/>
    </xf>
    <xf numFmtId="0" fontId="26" fillId="5" borderId="0" xfId="4" applyFont="1" applyFill="1" applyBorder="1" applyAlignment="1">
      <alignment horizontal="center" vertical="center"/>
    </xf>
    <xf numFmtId="164" fontId="26" fillId="5" borderId="0" xfId="4" applyNumberFormat="1" applyFont="1" applyFill="1" applyBorder="1" applyAlignment="1">
      <alignment horizontal="center" vertical="center"/>
    </xf>
    <xf numFmtId="0" fontId="29" fillId="6" borderId="0" xfId="0" applyFont="1" applyFill="1" applyAlignment="1">
      <alignment vertical="top" wrapText="1"/>
    </xf>
    <xf numFmtId="0" fontId="29" fillId="6" borderId="0" xfId="0" applyFont="1" applyFill="1" applyAlignment="1">
      <alignment horizontal="left" vertical="top" indent="1"/>
    </xf>
    <xf numFmtId="0" fontId="29" fillId="6" borderId="0" xfId="0" applyFont="1" applyFill="1" applyAlignment="1">
      <alignment horizontal="right" vertical="top"/>
    </xf>
    <xf numFmtId="0" fontId="29" fillId="0" borderId="0" xfId="0" applyFont="1" applyFill="1"/>
    <xf numFmtId="0" fontId="12" fillId="6" borderId="0" xfId="2" applyFont="1" applyFill="1" applyAlignment="1">
      <alignment horizontal="right" indent="3"/>
    </xf>
    <xf numFmtId="0" fontId="29" fillId="6" borderId="0" xfId="0" applyFont="1" applyFill="1"/>
    <xf numFmtId="0" fontId="31" fillId="7" borderId="0" xfId="0" applyFont="1" applyFill="1" applyAlignment="1">
      <alignment horizontal="right"/>
    </xf>
    <xf numFmtId="0" fontId="12" fillId="7" borderId="0" xfId="0" applyFont="1" applyFill="1" applyAlignment="1">
      <alignment horizontal="right" indent="1"/>
    </xf>
    <xf numFmtId="0" fontId="32" fillId="6" borderId="0" xfId="1" applyFont="1" applyFill="1" applyAlignment="1">
      <alignment horizontal="left" vertical="top" indent="1"/>
    </xf>
    <xf numFmtId="0" fontId="29" fillId="6" borderId="0" xfId="0" applyFont="1" applyFill="1" applyAlignment="1">
      <alignment horizontal="right"/>
    </xf>
    <xf numFmtId="0" fontId="33" fillId="5" borderId="0" xfId="3" applyFont="1" applyFill="1" applyAlignment="1">
      <alignment horizontal="left" vertical="center" wrapText="1" indent="1"/>
    </xf>
    <xf numFmtId="0" fontId="33" fillId="5" borderId="0" xfId="3" applyFont="1" applyFill="1" applyAlignment="1">
      <alignment horizontal="center" vertical="center" wrapText="1"/>
    </xf>
    <xf numFmtId="0" fontId="19" fillId="0" borderId="0" xfId="0" applyFont="1" applyFill="1" applyAlignment="1">
      <alignment wrapText="1"/>
    </xf>
    <xf numFmtId="8" fontId="0" fillId="5" borderId="0" xfId="0" applyNumberFormat="1" applyAlignment="1">
      <alignment horizontal="center" vertical="center"/>
    </xf>
    <xf numFmtId="9" fontId="0" fillId="5" borderId="0" xfId="0" applyNumberFormat="1" applyAlignment="1">
      <alignment horizontal="center" vertical="center"/>
    </xf>
    <xf numFmtId="0" fontId="34" fillId="0" borderId="0" xfId="0" applyFont="1" applyFill="1"/>
    <xf numFmtId="0" fontId="30" fillId="6" borderId="0" xfId="0" applyFont="1" applyFill="1" applyAlignment="1">
      <alignment horizontal="left" indent="1"/>
    </xf>
    <xf numFmtId="8" fontId="30" fillId="6" borderId="0" xfId="0" applyNumberFormat="1" applyFont="1" applyFill="1" applyAlignment="1">
      <alignment horizontal="right"/>
    </xf>
    <xf numFmtId="9" fontId="30" fillId="6" borderId="0" xfId="0" applyNumberFormat="1" applyFont="1" applyFill="1" applyAlignment="1">
      <alignment horizontal="right"/>
    </xf>
    <xf numFmtId="0" fontId="34" fillId="6" borderId="0" xfId="0" applyFont="1" applyFill="1" applyAlignment="1">
      <alignment horizontal="left"/>
    </xf>
    <xf numFmtId="0" fontId="34" fillId="6" borderId="0" xfId="0" applyFont="1" applyFill="1"/>
    <xf numFmtId="0" fontId="34" fillId="6" borderId="0" xfId="0" applyFont="1" applyFill="1" applyAlignment="1">
      <alignment horizontal="right"/>
    </xf>
    <xf numFmtId="0" fontId="34" fillId="6" borderId="0" xfId="0" applyFont="1" applyFill="1" applyAlignment="1">
      <alignment horizontal="center"/>
    </xf>
    <xf numFmtId="0" fontId="29" fillId="0" borderId="0" xfId="0" applyFont="1" applyFill="1" applyAlignment="1">
      <alignment wrapText="1"/>
    </xf>
    <xf numFmtId="0" fontId="34" fillId="0" borderId="0" xfId="0" applyFont="1" applyFill="1" applyAlignment="1">
      <alignment horizontal="left" indent="1"/>
    </xf>
    <xf numFmtId="0" fontId="34" fillId="0" borderId="0" xfId="0" applyFont="1" applyFill="1" applyAlignment="1">
      <alignment horizontal="center"/>
    </xf>
    <xf numFmtId="0" fontId="34" fillId="0" borderId="0" xfId="0" applyFont="1" applyFill="1" applyAlignment="1">
      <alignment horizontal="right"/>
    </xf>
    <xf numFmtId="0" fontId="24" fillId="6" borderId="0" xfId="2" applyFont="1" applyFill="1" applyAlignment="1"/>
    <xf numFmtId="0" fontId="12" fillId="5" borderId="0" xfId="3" applyFont="1" applyFill="1" applyAlignment="1">
      <alignment horizontal="center" vertical="center"/>
    </xf>
    <xf numFmtId="0" fontId="1" fillId="6" borderId="0" xfId="0" applyFont="1" applyFill="1" applyAlignment="1">
      <alignment vertical="top" wrapText="1"/>
    </xf>
    <xf numFmtId="0" fontId="24" fillId="6" borderId="0" xfId="1" applyFont="1" applyFill="1" applyAlignment="1">
      <alignment horizontal="left"/>
    </xf>
  </cellXfs>
  <cellStyles count="6">
    <cellStyle name="Explanatory Text" xfId="5" builtinId="53"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s>
  <dxfs count="440">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b val="0"/>
        <i val="0"/>
        <strike val="0"/>
        <condense val="0"/>
        <extend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u val="none"/>
        <vertAlign val="baseline"/>
        <name val="Posterama"/>
        <family val="2"/>
        <scheme val="minor"/>
      </font>
    </dxf>
    <dxf>
      <font>
        <b/>
        <strike val="0"/>
        <outline val="0"/>
        <shadow val="0"/>
        <u val="none"/>
        <vertAlign val="baseline"/>
        <sz val="14"/>
        <color theme="4"/>
        <name val="Posterama"/>
        <family val="2"/>
        <scheme val="minor"/>
      </font>
      <alignment textRotation="0" wrapText="1"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u val="none"/>
        <vertAlign val="baseline"/>
        <sz val="10"/>
        <color theme="1" tint="0.24994659260841701"/>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u val="none"/>
        <vertAlign val="baseline"/>
        <sz val="9"/>
        <color auto="1"/>
        <name val="Posterama"/>
        <family val="2"/>
        <scheme val="minor"/>
      </font>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b/>
        <strike val="0"/>
        <outline val="0"/>
        <shadow val="0"/>
        <u val="none"/>
        <vertAlign val="baseline"/>
        <sz val="16"/>
        <color theme="4"/>
        <name val="Posterama"/>
        <family val="2"/>
        <scheme val="minor"/>
      </font>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Posterama"/>
        <family val="2"/>
        <scheme val="minor"/>
      </font>
      <fill>
        <patternFill patternType="solid">
          <fgColor indexed="64"/>
          <bgColor theme="6" tint="0.39994506668294322"/>
        </patternFill>
      </fill>
      <alignment horizontal="left" vertical="center"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b/>
        <i val="0"/>
        <color theme="1"/>
      </font>
    </dxf>
    <dxf>
      <font>
        <b/>
        <i val="0"/>
        <color theme="4"/>
      </font>
      <fill>
        <patternFill>
          <fgColor theme="7"/>
          <bgColor theme="7"/>
        </patternFill>
      </fill>
      <border>
        <top/>
        <bottom/>
      </border>
    </dxf>
    <dxf>
      <font>
        <b val="0"/>
        <i val="0"/>
        <color theme="1"/>
      </font>
      <fill>
        <patternFill>
          <bgColor theme="0" tint="-4.9989318521683403E-2"/>
        </patternFill>
      </fill>
      <border diagonalUp="0" diagonalDown="0">
        <left/>
        <right/>
        <top style="thin">
          <color theme="7" tint="-9.9948118533890809E-2"/>
        </top>
        <bottom style="thin">
          <color theme="7" tint="-9.9948118533890809E-2"/>
        </bottom>
        <vertical/>
        <horizontal style="thin">
          <color theme="7" tint="-9.9948118533890809E-2"/>
        </horizontal>
      </border>
    </dxf>
    <dxf>
      <fill>
        <patternFill>
          <bgColor theme="7" tint="-9.9948118533890809E-2"/>
        </patternFill>
      </fill>
    </dxf>
    <dxf>
      <font>
        <b/>
        <i val="0"/>
        <color theme="1"/>
      </font>
    </dxf>
    <dxf>
      <fill>
        <patternFill>
          <bgColor theme="7"/>
        </patternFill>
      </fill>
    </dxf>
    <dxf>
      <font>
        <b/>
        <i val="0"/>
        <color theme="4"/>
      </font>
      <fill>
        <patternFill>
          <bgColor theme="0" tint="-0.14996795556505021"/>
        </patternFill>
      </fill>
      <border>
        <top/>
        <bottom/>
      </border>
    </dxf>
    <dxf>
      <font>
        <b val="0"/>
        <i val="0"/>
        <color theme="1"/>
      </font>
      <fill>
        <patternFill>
          <bgColor theme="0" tint="-4.9989318521683403E-2"/>
        </patternFill>
      </fill>
      <border diagonalUp="0" diagonalDown="0">
        <left/>
        <right/>
        <top style="thin">
          <color theme="7" tint="-9.9948118533890809E-2"/>
        </top>
        <bottom style="thin">
          <color theme="7" tint="-9.9948118533890809E-2"/>
        </bottom>
        <vertical/>
        <horizontal style="thin">
          <color theme="7" tint="-9.9948118533890809E-2"/>
        </horizontal>
      </border>
    </dxf>
  </dxfs>
  <tableStyles count="2" defaultTableStyle="Table Style 1" defaultPivotStyle="PivotStyleLight16">
    <tableStyle name="Table Style 1" pivot="0" count="5" xr9:uid="{7AA7B0EF-616B-1442-B20F-4304D8D88356}">
      <tableStyleElement type="wholeTable" dxfId="439"/>
      <tableStyleElement type="headerRow" dxfId="438"/>
      <tableStyleElement type="totalRow" dxfId="437"/>
      <tableStyleElement type="firstColumn" dxfId="436"/>
      <tableStyleElement type="lastColumn" dxfId="435"/>
    </tableStyle>
    <tableStyle name="Table Style 1 2" pivot="0" count="3" xr9:uid="{DE05F868-6A6C-C147-A62A-4D4CC6888CE7}">
      <tableStyleElement type="wholeTable" dxfId="434"/>
      <tableStyleElement type="headerRow" dxfId="433"/>
      <tableStyleElement type="firstColumn" dxfId="432"/>
    </tableStyle>
  </tableStyles>
  <colors>
    <mruColors>
      <color rgb="FF3B893D"/>
      <color rgb="FF99CCFF"/>
      <color rgb="FFFFCC99"/>
      <color rgb="FF800080"/>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Posterama" panose="020B0504020200020000" pitchFamily="34" charset="0"/>
              </a:defRPr>
            </a:pPr>
            <a:r>
              <a:rPr lang="en-US" sz="1400" b="1" baseline="0">
                <a:solidFill>
                  <a:schemeClr val="accent1"/>
                </a:solidFill>
                <a:latin typeface="+mn-lt"/>
              </a:rPr>
              <a:t>MONTHLY EXPENSES</a:t>
            </a:r>
          </a:p>
        </c:rich>
      </c:tx>
      <c:layout>
        <c:manualLayout>
          <c:xMode val="edge"/>
          <c:yMode val="edge"/>
          <c:x val="1.4306650729700046E-2"/>
          <c:y val="8.9031767943004853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Posterama" panose="020B0504020200020000" pitchFamily="34" charset="0"/>
            </a:defRPr>
          </a:pPr>
          <a:endParaRPr lang="en-US"/>
        </a:p>
      </c:txPr>
    </c:title>
    <c:autoTitleDeleted val="0"/>
    <c:plotArea>
      <c:layout>
        <c:manualLayout>
          <c:layoutTarget val="inner"/>
          <c:xMode val="edge"/>
          <c:yMode val="edge"/>
          <c:x val="0.11905545977794751"/>
          <c:y val="0.17408799313872395"/>
          <c:w val="0.86460183999853069"/>
          <c:h val="0.76958146959708595"/>
        </c:manualLayout>
      </c:layout>
      <c:barChart>
        <c:barDir val="col"/>
        <c:grouping val="clustered"/>
        <c:varyColors val="0"/>
        <c:ser>
          <c:idx val="1"/>
          <c:order val="1"/>
          <c:tx>
            <c:v>Planned</c:v>
          </c:tx>
          <c:spPr>
            <a:solidFill>
              <a:schemeClr val="accent1">
                <a:lumMod val="20000"/>
                <a:lumOff val="80000"/>
              </a:schemeClr>
            </a:solidFill>
            <a:ln>
              <a:noFill/>
            </a:ln>
            <a:effectLst/>
          </c:spPr>
          <c:invertIfNegative val="0"/>
          <c:val>
            <c:numRef>
              <c:f>'PLANNED EXPENSES'!$C$37:$N$37</c:f>
              <c:numCache>
                <c:formatCode>"$"#,##0.00_);[Red]\("$"#,##0.00\)</c:formatCode>
                <c:ptCount val="12"/>
                <c:pt idx="0">
                  <c:v>123620</c:v>
                </c:pt>
                <c:pt idx="1">
                  <c:v>123720</c:v>
                </c:pt>
                <c:pt idx="2">
                  <c:v>123720</c:v>
                </c:pt>
                <c:pt idx="3">
                  <c:v>126595</c:v>
                </c:pt>
                <c:pt idx="4">
                  <c:v>126595</c:v>
                </c:pt>
                <c:pt idx="5">
                  <c:v>126595</c:v>
                </c:pt>
                <c:pt idx="6">
                  <c:v>126595</c:v>
                </c:pt>
                <c:pt idx="7">
                  <c:v>132818</c:v>
                </c:pt>
                <c:pt idx="8">
                  <c:v>132818</c:v>
                </c:pt>
                <c:pt idx="9">
                  <c:v>132818</c:v>
                </c:pt>
                <c:pt idx="10">
                  <c:v>133118</c:v>
                </c:pt>
                <c:pt idx="11">
                  <c:v>133118</c:v>
                </c:pt>
              </c:numCache>
            </c:numRef>
          </c:val>
          <c:extLst>
            <c:ext xmlns:c16="http://schemas.microsoft.com/office/drawing/2014/chart" uri="{C3380CC4-5D6E-409C-BE32-E72D297353CC}">
              <c16:uniqueId val="{00000000-135D-4DB7-A511-401DE3785DC9}"/>
            </c:ext>
          </c:extLst>
        </c:ser>
        <c:ser>
          <c:idx val="2"/>
          <c:order val="2"/>
          <c:tx>
            <c:v>Actual</c:v>
          </c:tx>
          <c:spPr>
            <a:solidFill>
              <a:schemeClr val="accent4"/>
            </a:solidFill>
            <a:ln>
              <a:noFill/>
            </a:ln>
            <a:effectLst/>
          </c:spPr>
          <c:invertIfNegative val="0"/>
          <c:val>
            <c:numRef>
              <c:f>'ACTUAL EXPENSES'!$C$37:$N$37</c:f>
              <c:numCache>
                <c:formatCode>"$"#,##0.00_);[Red]\("$"#,##0.00\)</c:formatCode>
                <c:ptCount val="12"/>
                <c:pt idx="0">
                  <c:v>129682</c:v>
                </c:pt>
                <c:pt idx="1">
                  <c:v>127804</c:v>
                </c:pt>
                <c:pt idx="2">
                  <c:v>125565</c:v>
                </c:pt>
                <c:pt idx="3">
                  <c:v>137394</c:v>
                </c:pt>
                <c:pt idx="4">
                  <c:v>128255</c:v>
                </c:pt>
                <c:pt idx="5">
                  <c:v>134239</c:v>
                </c:pt>
                <c:pt idx="6">
                  <c:v>0</c:v>
                </c:pt>
                <c:pt idx="7">
                  <c:v>0</c:v>
                </c:pt>
                <c:pt idx="8">
                  <c:v>0</c:v>
                </c:pt>
                <c:pt idx="9">
                  <c:v>0</c:v>
                </c:pt>
                <c:pt idx="10">
                  <c:v>0</c:v>
                </c:pt>
                <c:pt idx="11">
                  <c:v>0</c:v>
                </c:pt>
              </c:numCache>
            </c:numRef>
          </c:val>
          <c:extLst>
            <c:ext xmlns:c16="http://schemas.microsoft.com/office/drawing/2014/chart" uri="{C3380CC4-5D6E-409C-BE32-E72D297353CC}">
              <c16:uniqueId val="{00000001-135D-4DB7-A511-401DE3785DC9}"/>
            </c:ext>
          </c:extLst>
        </c:ser>
        <c:dLbls>
          <c:showLegendKey val="0"/>
          <c:showVal val="0"/>
          <c:showCatName val="0"/>
          <c:showSerName val="0"/>
          <c:showPercent val="0"/>
          <c:showBubbleSize val="0"/>
        </c:dLbls>
        <c:gapWidth val="100"/>
        <c:axId val="362146616"/>
        <c:axId val="362147008"/>
      </c:barChart>
      <c:lineChart>
        <c:grouping val="standard"/>
        <c:varyColors val="0"/>
        <c:ser>
          <c:idx val="0"/>
          <c:order val="0"/>
          <c:tx>
            <c:v>Variance</c:v>
          </c:tx>
          <c:spPr>
            <a:ln w="28575" cap="rnd">
              <a:solidFill>
                <a:schemeClr val="accent3"/>
              </a:solidFill>
              <a:round/>
            </a:ln>
            <a:effectLst/>
          </c:spPr>
          <c:marker>
            <c:symbol val="none"/>
          </c:marker>
          <c:val>
            <c:numRef>
              <c:f>'EXPENSE VARIANCES'!$C$37:$N$37</c:f>
              <c:numCache>
                <c:formatCode>"$"#,##0.00_);[Red]\("$"#,##0.00\)</c:formatCode>
                <c:ptCount val="12"/>
                <c:pt idx="0">
                  <c:v>-6062</c:v>
                </c:pt>
                <c:pt idx="1">
                  <c:v>-4084</c:v>
                </c:pt>
                <c:pt idx="2">
                  <c:v>-1845</c:v>
                </c:pt>
                <c:pt idx="3">
                  <c:v>-10799</c:v>
                </c:pt>
                <c:pt idx="4">
                  <c:v>-1660</c:v>
                </c:pt>
                <c:pt idx="5">
                  <c:v>-7644</c:v>
                </c:pt>
                <c:pt idx="6">
                  <c:v>126595</c:v>
                </c:pt>
                <c:pt idx="7">
                  <c:v>132818</c:v>
                </c:pt>
                <c:pt idx="8">
                  <c:v>132818</c:v>
                </c:pt>
                <c:pt idx="9">
                  <c:v>132818</c:v>
                </c:pt>
                <c:pt idx="10">
                  <c:v>133118</c:v>
                </c:pt>
                <c:pt idx="11">
                  <c:v>133118</c:v>
                </c:pt>
              </c:numCache>
            </c:numRef>
          </c:val>
          <c:smooth val="0"/>
          <c:extLst>
            <c:ext xmlns:c16="http://schemas.microsoft.com/office/drawing/2014/chart" uri="{C3380CC4-5D6E-409C-BE32-E72D297353CC}">
              <c16:uniqueId val="{00000002-135D-4DB7-A511-401DE3785DC9}"/>
            </c:ext>
          </c:extLst>
        </c:ser>
        <c:dLbls>
          <c:showLegendKey val="0"/>
          <c:showVal val="0"/>
          <c:showCatName val="0"/>
          <c:showSerName val="0"/>
          <c:showPercent val="0"/>
          <c:showBubbleSize val="0"/>
        </c:dLbls>
        <c:marker val="1"/>
        <c:smooth val="0"/>
        <c:axId val="362146616"/>
        <c:axId val="362147008"/>
      </c:lineChart>
      <c:catAx>
        <c:axId val="3621466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r>
                  <a:rPr lang="en-US" sz="1400" b="1" baseline="0">
                    <a:solidFill>
                      <a:schemeClr val="accent1"/>
                    </a:solidFill>
                    <a:latin typeface="+mn-lt"/>
                  </a:rPr>
                  <a:t>Month</a:t>
                </a:r>
              </a:p>
            </c:rich>
          </c:tx>
          <c:layout>
            <c:manualLayout>
              <c:xMode val="edge"/>
              <c:yMode val="edge"/>
              <c:x val="0.47052448616508263"/>
              <c:y val="0.9456421887955622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362147008"/>
        <c:crosses val="autoZero"/>
        <c:auto val="1"/>
        <c:lblAlgn val="ctr"/>
        <c:lblOffset val="100"/>
        <c:noMultiLvlLbl val="0"/>
      </c:catAx>
      <c:valAx>
        <c:axId val="362147008"/>
        <c:scaling>
          <c:orientation val="minMax"/>
        </c:scaling>
        <c:delete val="0"/>
        <c:axPos val="l"/>
        <c:majorGridlines>
          <c:spPr>
            <a:ln w="3175" cap="flat" cmpd="sng" algn="ctr">
              <a:solidFill>
                <a:schemeClr val="bg1">
                  <a:lumMod val="75000"/>
                  <a:alpha val="2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r>
                  <a:rPr lang="en-US" sz="1400" b="1" baseline="0">
                    <a:solidFill>
                      <a:schemeClr val="accent1"/>
                    </a:solidFill>
                    <a:latin typeface="+mn-lt"/>
                  </a:rPr>
                  <a:t>Expenses</a:t>
                </a:r>
              </a:p>
            </c:rich>
          </c:tx>
          <c:layout>
            <c:manualLayout>
              <c:xMode val="edge"/>
              <c:yMode val="edge"/>
              <c:x val="2.7678591378564675E-2"/>
              <c:y val="0.5063405763422309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endParaRPr lang="en-US"/>
            </a:p>
          </c:txPr>
        </c:title>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362146616"/>
        <c:crosses val="autoZero"/>
        <c:crossBetween val="between"/>
        <c:dispUnits>
          <c:builtInUnit val="tenThousands"/>
          <c:dispUnitsLbl>
            <c:layout>
              <c:manualLayout>
                <c:xMode val="edge"/>
                <c:yMode val="edge"/>
                <c:x val="3.593889912657304E-2"/>
                <c:y val="0.40928018141731348"/>
              </c:manualLayout>
            </c:layout>
            <c:spPr>
              <a:noFill/>
              <a:ln>
                <a:noFill/>
              </a:ln>
              <a:effectLst/>
            </c:spPr>
            <c:txPr>
              <a:bodyPr rot="-5400000" spcFirstLastPara="1" vertOverflow="ellipsis" vert="horz" wrap="square" anchor="ctr" anchorCtr="1"/>
              <a:lstStyle/>
              <a:p>
                <a:pPr>
                  <a:defRPr sz="1000" b="1" i="0" u="none" strike="noStrike" kern="1200" baseline="0">
                    <a:solidFill>
                      <a:schemeClr val="accent1"/>
                    </a:solidFill>
                    <a:latin typeface="+mn-lt"/>
                    <a:ea typeface="+mn-ea"/>
                    <a:cs typeface="Posterama" panose="020B0504020200020000" pitchFamily="34" charset="0"/>
                  </a:defRPr>
                </a:pPr>
                <a:endParaRPr lang="en-US"/>
              </a:p>
            </c:txPr>
          </c:dispUnitsLbl>
        </c:dispUnits>
      </c:valAx>
      <c:spPr>
        <a:noFill/>
        <a:ln>
          <a:noFill/>
        </a:ln>
        <a:effectLst/>
      </c:spPr>
    </c:plotArea>
    <c:legend>
      <c:legendPos val="t"/>
      <c:layout>
        <c:manualLayout>
          <c:xMode val="edge"/>
          <c:yMode val="edge"/>
          <c:x val="1.8587012500585233E-4"/>
          <c:y val="7.4774124621262858E-2"/>
          <c:w val="0.33878368215294763"/>
          <c:h val="3.579789723106797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mn-lt"/>
              <a:ea typeface="+mn-ea"/>
              <a:cs typeface="Posterama" panose="020B0504020200020000" pitchFamily="34" charset="0"/>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latin typeface="Posterama" panose="020B0504020200020000" pitchFamily="34" charset="0"/>
          <a:cs typeface="Posterama" panose="020B0504020200020000"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7698573031214"/>
          <c:y val="0.17330539881195353"/>
          <c:w val="0.79968138263906308"/>
          <c:h val="0.71853463513379401"/>
        </c:manualLayout>
      </c:layout>
      <c:barChart>
        <c:barDir val="bar"/>
        <c:grouping val="clustered"/>
        <c:varyColors val="0"/>
        <c:ser>
          <c:idx val="1"/>
          <c:order val="0"/>
          <c:tx>
            <c:strRef>
              <c:f>'EXPENSE ANALYSIS'!$C$5</c:f>
              <c:strCache>
                <c:ptCount val="1"/>
                <c:pt idx="0">
                  <c:v>Planned expenses</c:v>
                </c:pt>
              </c:strCache>
            </c:strRef>
          </c:tx>
          <c:spPr>
            <a:solidFill>
              <a:schemeClr val="accent4"/>
            </a:solidFill>
            <a:ln w="19050">
              <a:noFill/>
            </a:ln>
            <a:effectLst/>
          </c:spPr>
          <c:invertIfNegative val="0"/>
          <c:cat>
            <c:strRef>
              <c:f>'EXPENSE ANALYSIS'!$B$6:$B$9</c:f>
              <c:strCache>
                <c:ptCount val="4"/>
                <c:pt idx="0">
                  <c:v>Employee costs</c:v>
                </c:pt>
                <c:pt idx="1">
                  <c:v>Office costs</c:v>
                </c:pt>
                <c:pt idx="2">
                  <c:v>Marketing costs</c:v>
                </c:pt>
                <c:pt idx="3">
                  <c:v>Training/travel</c:v>
                </c:pt>
              </c:strCache>
            </c:strRef>
          </c:cat>
          <c:val>
            <c:numRef>
              <c:f>'EXPENSE ANALYSIS'!$C$6:$C$9</c:f>
              <c:numCache>
                <c:formatCode>"$"#,##0.00_);[Red]\("$"#,##0.00\)</c:formatCode>
                <c:ptCount val="4"/>
                <c:pt idx="0">
                  <c:v>1355090</c:v>
                </c:pt>
                <c:pt idx="1">
                  <c:v>139040</c:v>
                </c:pt>
                <c:pt idx="2">
                  <c:v>0</c:v>
                </c:pt>
                <c:pt idx="3">
                  <c:v>48000</c:v>
                </c:pt>
              </c:numCache>
            </c:numRef>
          </c:val>
          <c:extLst>
            <c:ext xmlns:c16="http://schemas.microsoft.com/office/drawing/2014/chart" uri="{C3380CC4-5D6E-409C-BE32-E72D297353CC}">
              <c16:uniqueId val="{00000009-F485-485F-B818-D5944CB69AAB}"/>
            </c:ext>
          </c:extLst>
        </c:ser>
        <c:ser>
          <c:idx val="0"/>
          <c:order val="1"/>
          <c:tx>
            <c:strRef>
              <c:f>'EXPENSE ANALYSIS'!$D$5</c:f>
              <c:strCache>
                <c:ptCount val="1"/>
                <c:pt idx="0">
                  <c:v>Actual expenses</c:v>
                </c:pt>
              </c:strCache>
            </c:strRef>
          </c:tx>
          <c:spPr>
            <a:solidFill>
              <a:schemeClr val="accent1">
                <a:lumMod val="20000"/>
                <a:lumOff val="80000"/>
              </a:schemeClr>
            </a:solidFill>
            <a:ln w="19050">
              <a:noFill/>
            </a:ln>
            <a:effectLst/>
          </c:spPr>
          <c:invertIfNegative val="0"/>
          <c:dPt>
            <c:idx val="0"/>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1-F485-485F-B818-D5944CB69AAB}"/>
              </c:ext>
            </c:extLst>
          </c:dPt>
          <c:dPt>
            <c:idx val="1"/>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3-F485-485F-B818-D5944CB69AAB}"/>
              </c:ext>
            </c:extLst>
          </c:dPt>
          <c:dPt>
            <c:idx val="2"/>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5-F485-485F-B818-D5944CB69AAB}"/>
              </c:ext>
            </c:extLst>
          </c:dPt>
          <c:dPt>
            <c:idx val="3"/>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7-F485-485F-B818-D5944CB69AAB}"/>
              </c:ext>
            </c:extLst>
          </c:dPt>
          <c:cat>
            <c:strRef>
              <c:f>'EXPENSE ANALYSIS'!$B$6:$B$9</c:f>
              <c:strCache>
                <c:ptCount val="4"/>
                <c:pt idx="0">
                  <c:v>Employee costs</c:v>
                </c:pt>
                <c:pt idx="1">
                  <c:v>Office costs</c:v>
                </c:pt>
                <c:pt idx="2">
                  <c:v>Marketing costs</c:v>
                </c:pt>
                <c:pt idx="3">
                  <c:v>Training/travel</c:v>
                </c:pt>
              </c:strCache>
            </c:strRef>
          </c:cat>
          <c:val>
            <c:numRef>
              <c:f>'EXPENSE ANALYSIS'!$D$6:$D$9</c:f>
              <c:numCache>
                <c:formatCode>"$"#,##0.00_);[Red]\("$"#,##0.00\)</c:formatCode>
                <c:ptCount val="4"/>
                <c:pt idx="0">
                  <c:v>659130</c:v>
                </c:pt>
                <c:pt idx="1">
                  <c:v>69350</c:v>
                </c:pt>
                <c:pt idx="2">
                  <c:v>33159</c:v>
                </c:pt>
                <c:pt idx="3">
                  <c:v>21300</c:v>
                </c:pt>
              </c:numCache>
            </c:numRef>
          </c:val>
          <c:extLst>
            <c:ext xmlns:c16="http://schemas.microsoft.com/office/drawing/2014/chart" uri="{C3380CC4-5D6E-409C-BE32-E72D297353CC}">
              <c16:uniqueId val="{00000008-F485-485F-B818-D5944CB69AAB}"/>
            </c:ext>
          </c:extLst>
        </c:ser>
        <c:dLbls>
          <c:showLegendKey val="0"/>
          <c:showVal val="0"/>
          <c:showCatName val="0"/>
          <c:showSerName val="0"/>
          <c:showPercent val="0"/>
          <c:showBubbleSize val="0"/>
        </c:dLbls>
        <c:gapWidth val="100"/>
        <c:axId val="716845712"/>
        <c:axId val="716855552"/>
      </c:barChart>
      <c:valAx>
        <c:axId val="716855552"/>
        <c:scaling>
          <c:orientation val="minMax"/>
          <c:max val="1400000"/>
        </c:scaling>
        <c:delete val="0"/>
        <c:axPos val="t"/>
        <c:majorGridlines>
          <c:spPr>
            <a:ln w="9525" cap="flat" cmpd="sng" algn="ctr">
              <a:solidFill>
                <a:schemeClr val="tx1">
                  <a:lumMod val="15000"/>
                  <a:lumOff val="85000"/>
                </a:schemeClr>
              </a:solidFill>
              <a:round/>
            </a:ln>
            <a:effectLst/>
          </c:spPr>
        </c:majorGridlines>
        <c:numFmt formatCode="&quot;$&quot;#,##0_);[Red]\(&quot;$&quot;#,##0\)" sourceLinked="0"/>
        <c:majorTickMark val="out"/>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716845712"/>
        <c:crosses val="autoZero"/>
        <c:crossBetween val="between"/>
        <c:dispUnits>
          <c:builtInUnit val="tenThousands"/>
          <c:dispUnitsLbl>
            <c:layout>
              <c:manualLayout>
                <c:xMode val="edge"/>
                <c:yMode val="edge"/>
                <c:x val="0.41259125627600957"/>
                <c:y val="6.4574087329992841E-2"/>
              </c:manualLayout>
            </c:layout>
            <c:spPr>
              <a:noFill/>
              <a:ln>
                <a:noFill/>
              </a:ln>
              <a:effectLst/>
            </c:spPr>
            <c:txPr>
              <a:bodyPr rot="0" spcFirstLastPara="1" vertOverflow="ellipsis" vert="horz" wrap="square" anchor="ctr" anchorCtr="1"/>
              <a:lstStyle/>
              <a:p>
                <a:pPr>
                  <a:defRPr sz="1000" b="1" i="0" u="none" strike="noStrike" kern="1200" baseline="0">
                    <a:solidFill>
                      <a:schemeClr val="accent1"/>
                    </a:solidFill>
                    <a:latin typeface="+mn-lt"/>
                    <a:ea typeface="+mn-ea"/>
                    <a:cs typeface="Posterama" panose="020B0504020200020000" pitchFamily="34" charset="0"/>
                  </a:defRPr>
                </a:pPr>
                <a:endParaRPr lang="en-US"/>
              </a:p>
            </c:txPr>
          </c:dispUnitsLbl>
        </c:dispUnits>
      </c:valAx>
      <c:catAx>
        <c:axId val="716845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716855552"/>
        <c:crosses val="autoZero"/>
        <c:auto val="1"/>
        <c:lblAlgn val="ctr"/>
        <c:lblOffset val="100"/>
        <c:noMultiLvlLbl val="0"/>
      </c:catAx>
      <c:spPr>
        <a:noFill/>
        <a:ln>
          <a:noFill/>
        </a:ln>
        <a:effectLst/>
      </c:spPr>
    </c:plotArea>
    <c:legend>
      <c:legendPos val="t"/>
      <c:layout>
        <c:manualLayout>
          <c:xMode val="edge"/>
          <c:yMode val="edge"/>
          <c:x val="1.0971715565888636E-3"/>
          <c:y val="6.2364761223028933E-2"/>
          <c:w val="0.41175334347528603"/>
          <c:h val="5.584425419831195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endParaRPr lang="en-US"/>
        </a:p>
      </c:txPr>
    </c:legend>
    <c:plotVisOnly val="1"/>
    <c:dispBlanksAs val="gap"/>
    <c:showDLblsOverMax val="0"/>
  </c:chart>
  <c:spPr>
    <a:noFill/>
    <a:ln w="9525" cap="flat" cmpd="sng" algn="ctr">
      <a:noFill/>
      <a:round/>
    </a:ln>
    <a:effectLst/>
  </c:spPr>
  <c:txPr>
    <a:bodyPr/>
    <a:lstStyle/>
    <a:p>
      <a:pPr>
        <a:defRPr sz="1000" b="0">
          <a:solidFill>
            <a:schemeClr val="tx1"/>
          </a:solidFill>
          <a:latin typeface="Posterama" panose="020B0504020200020000" pitchFamily="34" charset="0"/>
          <a:cs typeface="Posterama" panose="020B0504020200020000"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1230849</xdr:colOff>
      <xdr:row>1</xdr:row>
      <xdr:rowOff>559308</xdr:rowOff>
    </xdr:to>
    <xdr:pic>
      <xdr:nvPicPr>
        <xdr:cNvPr id="2" name="Picture 18" descr="Logo placeholder">
          <a:extLst>
            <a:ext uri="{FF2B5EF4-FFF2-40B4-BE49-F238E27FC236}">
              <a16:creationId xmlns:a16="http://schemas.microsoft.com/office/drawing/2014/main" id="{6F907B60-A9C9-4D4C-BE67-A40185575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381000" y="419100"/>
          <a:ext cx="1167349" cy="52120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1230849</xdr:colOff>
      <xdr:row>1</xdr:row>
      <xdr:rowOff>559308</xdr:rowOff>
    </xdr:to>
    <xdr:pic>
      <xdr:nvPicPr>
        <xdr:cNvPr id="3" name="Picture 18" descr="Logo placeholder">
          <a:extLst>
            <a:ext uri="{FF2B5EF4-FFF2-40B4-BE49-F238E27FC236}">
              <a16:creationId xmlns:a16="http://schemas.microsoft.com/office/drawing/2014/main" id="{5F165270-C5F4-49A4-A86D-FFE39AAA6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368300" y="419100"/>
          <a:ext cx="1167349" cy="52120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1230849</xdr:colOff>
      <xdr:row>1</xdr:row>
      <xdr:rowOff>559308</xdr:rowOff>
    </xdr:to>
    <xdr:pic>
      <xdr:nvPicPr>
        <xdr:cNvPr id="3" name="Picture 18" descr="Logo placeholder">
          <a:extLst>
            <a:ext uri="{FF2B5EF4-FFF2-40B4-BE49-F238E27FC236}">
              <a16:creationId xmlns:a16="http://schemas.microsoft.com/office/drawing/2014/main" id="{2F43C657-3599-4716-84C9-F84BA153B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368300" y="419100"/>
          <a:ext cx="1167349" cy="52120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28573</xdr:colOff>
      <xdr:row>13</xdr:row>
      <xdr:rowOff>200025</xdr:rowOff>
    </xdr:from>
    <xdr:to>
      <xdr:col>5</xdr:col>
      <xdr:colOff>285750</xdr:colOff>
      <xdr:row>34</xdr:row>
      <xdr:rowOff>287867</xdr:rowOff>
    </xdr:to>
    <xdr:graphicFrame macro="">
      <xdr:nvGraphicFramePr>
        <xdr:cNvPr id="8" name="MonthlyExpensesChart" descr="Chart showing Planned, Actual, and Variance in Monthly Expenses">
          <a:extLst>
            <a:ext uri="{FF2B5EF4-FFF2-40B4-BE49-F238E27FC236}">
              <a16:creationId xmlns:a16="http://schemas.microsoft.com/office/drawing/2014/main" id="{00000000-0008-0000-0300-000008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3174</xdr:colOff>
      <xdr:row>11</xdr:row>
      <xdr:rowOff>0</xdr:rowOff>
    </xdr:from>
    <xdr:to>
      <xdr:col>5</xdr:col>
      <xdr:colOff>260350</xdr:colOff>
      <xdr:row>12</xdr:row>
      <xdr:rowOff>101600</xdr:rowOff>
    </xdr:to>
    <xdr:graphicFrame macro="">
      <xdr:nvGraphicFramePr>
        <xdr:cNvPr id="7" name="ActualExpensesChart" descr="Pie chart showing actual expenses incurred on various categories">
          <a:extLst>
            <a:ext uri="{FF2B5EF4-FFF2-40B4-BE49-F238E27FC236}">
              <a16:creationId xmlns:a16="http://schemas.microsoft.com/office/drawing/2014/main" id="{FE109E8A-EB22-46B1-850C-BFD738E25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63500</xdr:colOff>
      <xdr:row>1</xdr:row>
      <xdr:rowOff>38100</xdr:rowOff>
    </xdr:from>
    <xdr:to>
      <xdr:col>1</xdr:col>
      <xdr:colOff>1230849</xdr:colOff>
      <xdr:row>1</xdr:row>
      <xdr:rowOff>559308</xdr:rowOff>
    </xdr:to>
    <xdr:pic>
      <xdr:nvPicPr>
        <xdr:cNvPr id="5" name="Picture 18" descr="Logo placeholder">
          <a:extLst>
            <a:ext uri="{FF2B5EF4-FFF2-40B4-BE49-F238E27FC236}">
              <a16:creationId xmlns:a16="http://schemas.microsoft.com/office/drawing/2014/main" id="{B91FB734-0171-4CEB-861C-BBF86A2544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bwMode="auto">
        <a:xfrm>
          <a:off x="368300" y="419100"/>
          <a:ext cx="1167349" cy="521208"/>
        </a:xfrm>
        <a:prstGeom prst="rect">
          <a:avLst/>
        </a:prstGeom>
        <a:no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Plan" displayName="OfficePlan" ref="B11:O20" totalsRowCount="1" headerRowDxfId="431" dataDxfId="430" totalsRowDxfId="429">
  <autoFilter ref="B11:O1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000-000001000000}" name="Office costs" totalsRowLabel="Subtotal" dataDxfId="428" totalsRowDxfId="427"/>
    <tableColumn id="2" xr3:uid="{00000000-0010-0000-0000-000002000000}" name="Jan" totalsRowFunction="sum" dataDxfId="426" totalsRowDxfId="425"/>
    <tableColumn id="3" xr3:uid="{00000000-0010-0000-0000-000003000000}" name="Feb" totalsRowFunction="sum" dataDxfId="424" totalsRowDxfId="423"/>
    <tableColumn id="4" xr3:uid="{00000000-0010-0000-0000-000004000000}" name="Mar" totalsRowFunction="sum" dataDxfId="422" totalsRowDxfId="421"/>
    <tableColumn id="5" xr3:uid="{00000000-0010-0000-0000-000005000000}" name="Apr" totalsRowFunction="sum" dataDxfId="420" totalsRowDxfId="419"/>
    <tableColumn id="6" xr3:uid="{00000000-0010-0000-0000-000006000000}" name="May" totalsRowFunction="sum" dataDxfId="418" totalsRowDxfId="417"/>
    <tableColumn id="7" xr3:uid="{00000000-0010-0000-0000-000007000000}" name="Jun" totalsRowFunction="sum" dataDxfId="416" totalsRowDxfId="415"/>
    <tableColumn id="8" xr3:uid="{00000000-0010-0000-0000-000008000000}" name="Jul" totalsRowFunction="sum" dataDxfId="414" totalsRowDxfId="413"/>
    <tableColumn id="9" xr3:uid="{00000000-0010-0000-0000-000009000000}" name="Aug" totalsRowFunction="sum" dataDxfId="412" totalsRowDxfId="411"/>
    <tableColumn id="10" xr3:uid="{00000000-0010-0000-0000-00000A000000}" name="Sep" totalsRowFunction="sum" dataDxfId="410" totalsRowDxfId="409"/>
    <tableColumn id="11" xr3:uid="{00000000-0010-0000-0000-00000B000000}" name="Oct" totalsRowFunction="sum" dataDxfId="408" totalsRowDxfId="407"/>
    <tableColumn id="12" xr3:uid="{00000000-0010-0000-0000-00000C000000}" name="Nov" totalsRowFunction="sum" dataDxfId="406" totalsRowDxfId="405"/>
    <tableColumn id="13" xr3:uid="{00000000-0010-0000-0000-00000D000000}" name="Dec" totalsRowFunction="sum" dataDxfId="404" totalsRowDxfId="403"/>
    <tableColumn id="14" xr3:uid="{00000000-0010-0000-0000-00000E000000}" name="YEAR" totalsRowFunction="sum" dataDxfId="402" totalsRowDxfId="401">
      <calculatedColumnFormula>SUM(C12:N12)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planned monthly office costs in this table. Total is auto calculated at the end"/>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B099C32-C8DE-492A-BEED-550CF2841A11}" name="TotalActual" displayName="TotalActual" ref="B36:O38" totalsRowShown="0" headerRowDxfId="182" dataDxfId="181">
  <autoFilter ref="B36:O38" xr:uid="{527B5B30-B216-4604-BE5A-D760DE033F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59818E9-FD74-4273-8957-D80FFA77ADE8}" name="Totals" dataDxfId="180"/>
    <tableColumn id="2" xr3:uid="{ED08B701-BD0B-43EA-B6B5-8B23D583D505}" name="Jan" dataDxfId="179">
      <calculatedColumnFormula>SUM($C36:C$37)</calculatedColumnFormula>
    </tableColumn>
    <tableColumn id="3" xr3:uid="{953C450B-5235-4234-924F-53796609C439}" name="Feb" dataDxfId="178">
      <calculatedColumnFormula>SUM($C36:D$37)</calculatedColumnFormula>
    </tableColumn>
    <tableColumn id="4" xr3:uid="{A434CE91-3696-411F-8418-02228D13F12E}" name="Mar" dataDxfId="177">
      <calculatedColumnFormula>SUM($C36:E$37)</calculatedColumnFormula>
    </tableColumn>
    <tableColumn id="5" xr3:uid="{1E74C645-B91F-4CDB-9F55-6FEC8EAB0A64}" name="Apr" dataDxfId="176">
      <calculatedColumnFormula>SUM($C36:F$37)</calculatedColumnFormula>
    </tableColumn>
    <tableColumn id="6" xr3:uid="{A3B698F1-9EF3-489A-A70E-8E760D6B713B}" name="May" dataDxfId="175">
      <calculatedColumnFormula>SUM($C36:G$37)</calculatedColumnFormula>
    </tableColumn>
    <tableColumn id="7" xr3:uid="{6CEDC80B-5635-47E7-AA54-EBD827095F7C}" name="Jun" dataDxfId="174">
      <calculatedColumnFormula>SUM($C36:H$37)</calculatedColumnFormula>
    </tableColumn>
    <tableColumn id="8" xr3:uid="{A73C88FE-0ABF-4134-B6B0-043ECC9295D4}" name="Jul" dataDxfId="173">
      <calculatedColumnFormula>SUM($C36:I$37)</calculatedColumnFormula>
    </tableColumn>
    <tableColumn id="9" xr3:uid="{62119987-B16F-44A1-B80E-29460A9513CD}" name="Aug" dataDxfId="172">
      <calculatedColumnFormula>SUM($C36:J$37)</calculatedColumnFormula>
    </tableColumn>
    <tableColumn id="10" xr3:uid="{C84A40CE-DC4A-442E-883F-891CA5A9A166}" name="Sep" dataDxfId="171">
      <calculatedColumnFormula>SUM($C36:K$37)</calculatedColumnFormula>
    </tableColumn>
    <tableColumn id="11" xr3:uid="{4DB975F1-C294-416D-81FB-A8070CC2C3BC}" name="Oct" dataDxfId="170">
      <calculatedColumnFormula>SUM($C36:L$37)</calculatedColumnFormula>
    </tableColumn>
    <tableColumn id="12" xr3:uid="{BC57DA11-9B5C-452D-8026-EF863D07E32E}" name="Nov" dataDxfId="169">
      <calculatedColumnFormula>SUM($C36:M$37)</calculatedColumnFormula>
    </tableColumn>
    <tableColumn id="13" xr3:uid="{904E02FB-FEA8-49B0-ABA0-9B659A7720D8}" name="Dec" dataDxfId="168">
      <calculatedColumnFormula>SUM($C36:N$37)</calculatedColumnFormula>
    </tableColumn>
    <tableColumn id="14" xr3:uid="{8C10E0BB-4735-4718-9538-C4AFB616D92A}" name="Year" dataDxfId="167"/>
  </tableColumns>
  <tableStyleInfo name="Table Style 1 2" showFirstColumn="1" showLastColumn="0" showRowStripes="0" showColumnStripes="0"/>
  <extLst>
    <ext xmlns:x14="http://schemas.microsoft.com/office/spreadsheetml/2009/9/main" uri="{504A1905-F514-4f6f-8877-14C23A59335A}">
      <x14:table altTextSummary="Monthly and Total Actual Expenses are auto calculated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mployeeVariances" displayName="EmployeeVariances" ref="B6:O9" totalsRowCount="1" headerRowDxfId="166" dataDxfId="165" totalsRowDxfId="164">
  <autoFilter ref="B6:O8" xr:uid="{00000000-000C-0000-FFFF-FFFF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Employee costs" totalsRowLabel="Subtotal" dataDxfId="163" totalsRowDxfId="162"/>
    <tableColumn id="2" xr3:uid="{00000000-0010-0000-0800-000002000000}" name="Jan" totalsRowFunction="sum" dataDxfId="161" totalsRowDxfId="160">
      <calculatedColumnFormula>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calculatedColumnFormula>
    </tableColumn>
    <tableColumn id="3" xr3:uid="{00000000-0010-0000-0800-000003000000}" name="Feb" totalsRowFunction="sum" dataDxfId="159" totalsRowDxfId="158">
      <calculatedColumnFormula>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calculatedColumnFormula>
    </tableColumn>
    <tableColumn id="4" xr3:uid="{00000000-0010-0000-0800-000004000000}" name="Mar" totalsRowFunction="sum" dataDxfId="157" totalsRowDxfId="156">
      <calculatedColumnFormula>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calculatedColumnFormula>
    </tableColumn>
    <tableColumn id="5" xr3:uid="{00000000-0010-0000-0800-000005000000}" name="Apr" totalsRowFunction="sum" dataDxfId="155" totalsRowDxfId="154">
      <calculatedColumnFormula>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calculatedColumnFormula>
    </tableColumn>
    <tableColumn id="6" xr3:uid="{00000000-0010-0000-0800-000006000000}" name="May" totalsRowFunction="sum" dataDxfId="153" totalsRowDxfId="152">
      <calculatedColumnFormula>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calculatedColumnFormula>
    </tableColumn>
    <tableColumn id="7" xr3:uid="{00000000-0010-0000-0800-000007000000}" name="Jun" totalsRowFunction="sum" dataDxfId="151" totalsRowDxfId="150">
      <calculatedColumnFormula>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calculatedColumnFormula>
    </tableColumn>
    <tableColumn id="8" xr3:uid="{00000000-0010-0000-0800-000008000000}" name="Jul" totalsRowFunction="sum" dataDxfId="149" totalsRowDxfId="148">
      <calculatedColumnFormula>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calculatedColumnFormula>
    </tableColumn>
    <tableColumn id="9" xr3:uid="{00000000-0010-0000-0800-000009000000}" name="Aug" totalsRowFunction="sum" dataDxfId="147" totalsRowDxfId="146">
      <calculatedColumnFormula>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calculatedColumnFormula>
    </tableColumn>
    <tableColumn id="10" xr3:uid="{00000000-0010-0000-0800-00000A000000}" name="Sep" totalsRowFunction="sum" dataDxfId="145" totalsRowDxfId="144">
      <calculatedColumnFormula>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calculatedColumnFormula>
    </tableColumn>
    <tableColumn id="11" xr3:uid="{00000000-0010-0000-0800-00000B000000}" name="Oct" totalsRowFunction="sum" dataDxfId="143" totalsRowDxfId="142">
      <calculatedColumnFormula>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calculatedColumnFormula>
    </tableColumn>
    <tableColumn id="12" xr3:uid="{00000000-0010-0000-0800-00000C000000}" name="Nov" totalsRowFunction="sum" dataDxfId="141" totalsRowDxfId="140">
      <calculatedColumnFormula>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calculatedColumnFormula>
    </tableColumn>
    <tableColumn id="13" xr3:uid="{00000000-0010-0000-0800-00000D000000}" name="Dec" totalsRowFunction="sum" dataDxfId="139" totalsRowDxfId="138">
      <calculatedColumnFormula>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calculatedColumnFormula>
    </tableColumn>
    <tableColumn id="14" xr3:uid="{00000000-0010-0000-0800-00000E000000}" name="YEAR" totalsRowFunction="sum" dataDxfId="137" totalsRowDxfId="136">
      <calculatedColumnFormula>SUM(EmployeeVariances[[#This Row],[Jan]:[Dec]])</calculatedColumnFormula>
    </tableColumn>
  </tableColumns>
  <tableStyleInfo name="Table Style 1" showFirstColumn="1" showLastColumn="0" showRowStripes="0" showColumnStripes="0"/>
  <extLst>
    <ext xmlns:x14="http://schemas.microsoft.com/office/spreadsheetml/2009/9/main" uri="{504A1905-F514-4f6f-8877-14C23A59335A}">
      <x14:table altTextSummary="Variance in employee costs per month is auto calculated in this 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fficeVariances" displayName="OfficeVariances" ref="B11:O20" totalsRowCount="1" headerRowDxfId="135" dataDxfId="134" totalsRowDxfId="133">
  <autoFilter ref="B11:O19" xr:uid="{00000000-000C-0000-FFFF-FFFF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900-000001000000}" name="Office costs" totalsRowLabel="Subtotal" dataDxfId="132" totalsRowDxfId="131"/>
    <tableColumn id="2" xr3:uid="{00000000-0010-0000-0900-000002000000}" name="Jan" totalsRowFunction="sum" dataDxfId="130" totalsRowDxfId="129">
      <calculatedColumnFormula>INDEX(OfficePlan[],MATCH(INDEX(OfficeVariances[],ROW()-ROW(OfficeVariances[[#Headers],[Jan]]),1),INDEX(OfficePlan[],,1),0),MATCH(OfficeVariances[[#Headers],[Jan]],OfficePlan[#Headers],0))-INDEX(OfficeActual[],MATCH(INDEX(OfficeVariances[],ROW()-ROW(OfficeVariances[[#Headers],[Jan]]),1),INDEX(OfficePlan[],,1),0),MATCH(OfficeVariances[[#Headers],[Jan]],OfficeActual[#Headers],0))</calculatedColumnFormula>
    </tableColumn>
    <tableColumn id="3" xr3:uid="{00000000-0010-0000-0900-000003000000}" name="Feb" totalsRowFunction="sum" dataDxfId="128" totalsRowDxfId="127">
      <calculatedColumnFormula>INDEX(OfficePlan[],MATCH(INDEX(OfficeVariances[],ROW()-ROW(OfficeVariances[[#Headers],[Feb]]),1),INDEX(OfficePlan[],,1),0),MATCH(OfficeVariances[[#Headers],[Feb]],OfficePlan[#Headers],0))-INDEX(OfficeActual[],MATCH(INDEX(OfficeVariances[],ROW()-ROW(OfficeVariances[[#Headers],[Feb]]),1),INDEX(OfficePlan[],,1),0),MATCH(OfficeVariances[[#Headers],[Feb]],OfficeActual[#Headers],0))</calculatedColumnFormula>
    </tableColumn>
    <tableColumn id="4" xr3:uid="{00000000-0010-0000-0900-000004000000}" name="Mar" totalsRowFunction="sum" dataDxfId="126" totalsRowDxfId="125">
      <calculatedColumnFormula>INDEX(OfficePlan[],MATCH(INDEX(OfficeVariances[],ROW()-ROW(OfficeVariances[[#Headers],[Mar]]),1),INDEX(OfficePlan[],,1),0),MATCH(OfficeVariances[[#Headers],[Mar]],OfficePlan[#Headers],0))-INDEX(OfficeActual[],MATCH(INDEX(OfficeVariances[],ROW()-ROW(OfficeVariances[[#Headers],[Mar]]),1),INDEX(OfficePlan[],,1),0),MATCH(OfficeVariances[[#Headers],[Mar]],OfficeActual[#Headers],0))</calculatedColumnFormula>
    </tableColumn>
    <tableColumn id="5" xr3:uid="{00000000-0010-0000-0900-000005000000}" name="Apr" totalsRowFunction="sum" dataDxfId="124" totalsRowDxfId="123">
      <calculatedColumnFormula>INDEX(OfficePlan[],MATCH(INDEX(OfficeVariances[],ROW()-ROW(OfficeVariances[[#Headers],[Apr]]),1),INDEX(OfficePlan[],,1),0),MATCH(OfficeVariances[[#Headers],[Apr]],OfficePlan[#Headers],0))-INDEX(OfficeActual[],MATCH(INDEX(OfficeVariances[],ROW()-ROW(OfficeVariances[[#Headers],[Apr]]),1),INDEX(OfficePlan[],,1),0),MATCH(OfficeVariances[[#Headers],[Apr]],OfficeActual[#Headers],0))</calculatedColumnFormula>
    </tableColumn>
    <tableColumn id="6" xr3:uid="{00000000-0010-0000-0900-000006000000}" name="May" totalsRowFunction="sum" dataDxfId="122" totalsRowDxfId="121">
      <calculatedColumnFormula>INDEX(OfficePlan[],MATCH(INDEX(OfficeVariances[],ROW()-ROW(OfficeVariances[[#Headers],[May]]),1),INDEX(OfficePlan[],,1),0),MATCH(OfficeVariances[[#Headers],[May]],OfficePlan[#Headers],0))-INDEX(OfficeActual[],MATCH(INDEX(OfficeVariances[],ROW()-ROW(OfficeVariances[[#Headers],[May]]),1),INDEX(OfficePlan[],,1),0),MATCH(OfficeVariances[[#Headers],[May]],OfficeActual[#Headers],0))</calculatedColumnFormula>
    </tableColumn>
    <tableColumn id="7" xr3:uid="{00000000-0010-0000-0900-000007000000}" name="Jun" totalsRowFunction="sum" dataDxfId="120" totalsRowDxfId="119">
      <calculatedColumnFormula>INDEX(OfficePlan[],MATCH(INDEX(OfficeVariances[],ROW()-ROW(OfficeVariances[[#Headers],[Jun]]),1),INDEX(OfficePlan[],,1),0),MATCH(OfficeVariances[[#Headers],[Jun]],OfficePlan[#Headers],0))-INDEX(OfficeActual[],MATCH(INDEX(OfficeVariances[],ROW()-ROW(OfficeVariances[[#Headers],[Jun]]),1),INDEX(OfficePlan[],,1),0),MATCH(OfficeVariances[[#Headers],[Jun]],OfficeActual[#Headers],0))</calculatedColumnFormula>
    </tableColumn>
    <tableColumn id="8" xr3:uid="{00000000-0010-0000-0900-000008000000}" name="Jul" totalsRowFunction="sum" dataDxfId="118" totalsRowDxfId="117">
      <calculatedColumnFormula>INDEX(OfficePlan[],MATCH(INDEX(OfficeVariances[],ROW()-ROW(OfficeVariances[[#Headers],[Jul]]),1),INDEX(OfficePlan[],,1),0),MATCH(OfficeVariances[[#Headers],[Jul]],OfficePlan[#Headers],0))-INDEX(OfficeActual[],MATCH(INDEX(OfficeVariances[],ROW()-ROW(OfficeVariances[[#Headers],[Jul]]),1),INDEX(OfficePlan[],,1),0),MATCH(OfficeVariances[[#Headers],[Jul]],OfficeActual[#Headers],0))</calculatedColumnFormula>
    </tableColumn>
    <tableColumn id="9" xr3:uid="{00000000-0010-0000-0900-000009000000}" name="Aug" totalsRowFunction="sum" dataDxfId="116" totalsRowDxfId="115">
      <calculatedColumnFormula>INDEX(OfficePlan[],MATCH(INDEX(OfficeVariances[],ROW()-ROW(OfficeVariances[[#Headers],[Aug]]),1),INDEX(OfficePlan[],,1),0),MATCH(OfficeVariances[[#Headers],[Aug]],OfficePlan[#Headers],0))-INDEX(OfficeActual[],MATCH(INDEX(OfficeVariances[],ROW()-ROW(OfficeVariances[[#Headers],[Aug]]),1),INDEX(OfficePlan[],,1),0),MATCH(OfficeVariances[[#Headers],[Aug]],OfficeActual[#Headers],0))</calculatedColumnFormula>
    </tableColumn>
    <tableColumn id="10" xr3:uid="{00000000-0010-0000-0900-00000A000000}" name="Sep" totalsRowFunction="sum" dataDxfId="114" totalsRowDxfId="113">
      <calculatedColumnFormula>INDEX(OfficePlan[],MATCH(INDEX(OfficeVariances[],ROW()-ROW(OfficeVariances[[#Headers],[Sep]]),1),INDEX(OfficePlan[],,1),0),MATCH(OfficeVariances[[#Headers],[Sep]],OfficePlan[#Headers],0))-INDEX(OfficeActual[],MATCH(INDEX(OfficeVariances[],ROW()-ROW(OfficeVariances[[#Headers],[Sep]]),1),INDEX(OfficePlan[],,1),0),MATCH(OfficeVariances[[#Headers],[Sep]],OfficeActual[#Headers],0))</calculatedColumnFormula>
    </tableColumn>
    <tableColumn id="11" xr3:uid="{00000000-0010-0000-0900-00000B000000}" name="Oct" totalsRowFunction="sum" dataDxfId="112" totalsRowDxfId="111">
      <calculatedColumnFormula>INDEX(OfficePlan[],MATCH(INDEX(OfficeVariances[],ROW()-ROW(OfficeVariances[[#Headers],[Oct]]),1),INDEX(OfficePlan[],,1),0),MATCH(OfficeVariances[[#Headers],[Oct]],OfficePlan[#Headers],0))-INDEX(OfficeActual[],MATCH(INDEX(OfficeVariances[],ROW()-ROW(OfficeVariances[[#Headers],[Oct]]),1),INDEX(OfficePlan[],,1),0),MATCH(OfficeVariances[[#Headers],[Oct]],OfficeActual[#Headers],0))</calculatedColumnFormula>
    </tableColumn>
    <tableColumn id="12" xr3:uid="{00000000-0010-0000-0900-00000C000000}" name="Nov" totalsRowFunction="sum" dataDxfId="110" totalsRowDxfId="109">
      <calculatedColumnFormula>INDEX(OfficePlan[],MATCH(INDEX(OfficeVariances[],ROW()-ROW(OfficeVariances[[#Headers],[Nov]]),1),INDEX(OfficePlan[],,1),0),MATCH(OfficeVariances[[#Headers],[Nov]],OfficePlan[#Headers],0))-INDEX(OfficeActual[],MATCH(INDEX(OfficeVariances[],ROW()-ROW(OfficeVariances[[#Headers],[Nov]]),1),INDEX(OfficePlan[],,1),0),MATCH(OfficeVariances[[#Headers],[Nov]],OfficeActual[#Headers],0))</calculatedColumnFormula>
    </tableColumn>
    <tableColumn id="13" xr3:uid="{00000000-0010-0000-0900-00000D000000}" name="Dec" totalsRowFunction="sum" dataDxfId="108" totalsRowDxfId="107">
      <calculatedColumnFormula>INDEX(OfficePlan[],MATCH(INDEX(OfficeVariances[],ROW()-ROW(OfficeVariances[[#Headers],[Dec]]),1),INDEX(OfficePlan[],,1),0),MATCH(OfficeVariances[[#Headers],[Dec]],OfficePlan[#Headers],0))-INDEX(OfficeActual[],MATCH(INDEX(OfficeVariances[],ROW()-ROW(OfficeVariances[[#Headers],[Dec]]),1),INDEX(OfficePlan[],,1),0),MATCH(OfficeVariances[[#Headers],[Dec]],OfficeActual[#Headers],0))</calculatedColumnFormula>
    </tableColumn>
    <tableColumn id="14" xr3:uid="{00000000-0010-0000-0900-00000E000000}" name="YEAR" totalsRowFunction="sum" dataDxfId="106" totalsRowDxfId="105">
      <calculatedColumnFormula>SUM(OfficeVariances[[#This Row],[Jan]:[Dec]])</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Variance in office costs per month is auto calculated in this 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MarketingVariances" displayName="MarketingVariances" ref="B22:O29" totalsRowCount="1" headerRowDxfId="104" dataDxfId="103" totalsRowDxfId="102">
  <autoFilter ref="B22:O28"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A00-000001000000}" name="Marketing costs" totalsRowLabel="Subtotal" dataDxfId="101" totalsRowDxfId="100"/>
    <tableColumn id="2" xr3:uid="{00000000-0010-0000-0A00-000002000000}" name="Jan" totalsRowFunction="sum" dataDxfId="99" totalsRowDxfId="98">
      <calculatedColumnFormula>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calculatedColumnFormula>
    </tableColumn>
    <tableColumn id="3" xr3:uid="{00000000-0010-0000-0A00-000003000000}" name="Feb" totalsRowFunction="sum" dataDxfId="97" totalsRowDxfId="96">
      <calculatedColumnFormula>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calculatedColumnFormula>
    </tableColumn>
    <tableColumn id="4" xr3:uid="{00000000-0010-0000-0A00-000004000000}" name="Mar" totalsRowFunction="sum" dataDxfId="95" totalsRowDxfId="94">
      <calculatedColumnFormula>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calculatedColumnFormula>
    </tableColumn>
    <tableColumn id="5" xr3:uid="{00000000-0010-0000-0A00-000005000000}" name="Apr" totalsRowFunction="sum" dataDxfId="93" totalsRowDxfId="92">
      <calculatedColumnFormula>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calculatedColumnFormula>
    </tableColumn>
    <tableColumn id="6" xr3:uid="{00000000-0010-0000-0A00-000006000000}" name="May" totalsRowFunction="sum" dataDxfId="91" totalsRowDxfId="90">
      <calculatedColumnFormula>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calculatedColumnFormula>
    </tableColumn>
    <tableColumn id="7" xr3:uid="{00000000-0010-0000-0A00-000007000000}" name="Jun" totalsRowFunction="sum" dataDxfId="89" totalsRowDxfId="88">
      <calculatedColumnFormula>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calculatedColumnFormula>
    </tableColumn>
    <tableColumn id="8" xr3:uid="{00000000-0010-0000-0A00-000008000000}" name="Jul" totalsRowFunction="sum" dataDxfId="87" totalsRowDxfId="86">
      <calculatedColumnFormula>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calculatedColumnFormula>
    </tableColumn>
    <tableColumn id="9" xr3:uid="{00000000-0010-0000-0A00-000009000000}" name="Aug" totalsRowFunction="sum" dataDxfId="85" totalsRowDxfId="84">
      <calculatedColumnFormula>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calculatedColumnFormula>
    </tableColumn>
    <tableColumn id="10" xr3:uid="{00000000-0010-0000-0A00-00000A000000}" name="Sep" totalsRowFunction="sum" dataDxfId="83" totalsRowDxfId="82">
      <calculatedColumnFormula>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calculatedColumnFormula>
    </tableColumn>
    <tableColumn id="11" xr3:uid="{00000000-0010-0000-0A00-00000B000000}" name="Oct" totalsRowFunction="sum" dataDxfId="81" totalsRowDxfId="80">
      <calculatedColumnFormula>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calculatedColumnFormula>
    </tableColumn>
    <tableColumn id="12" xr3:uid="{00000000-0010-0000-0A00-00000C000000}" name="Nov" totalsRowFunction="sum" dataDxfId="79" totalsRowDxfId="78">
      <calculatedColumnFormula>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calculatedColumnFormula>
    </tableColumn>
    <tableColumn id="13" xr3:uid="{00000000-0010-0000-0A00-00000D000000}" name="Dec" totalsRowFunction="sum" dataDxfId="77" totalsRowDxfId="76">
      <calculatedColumnFormula>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calculatedColumnFormula>
    </tableColumn>
    <tableColumn id="14" xr3:uid="{00000000-0010-0000-0A00-00000E000000}" name="YEAR" totalsRowFunction="sum" dataDxfId="75" totalsRowDxfId="74">
      <calculatedColumnFormula>SUM(MarketingVariances[[#This Row],[Jan]:[Dec]])</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Variance in marketing costs per month is auto calculated in this 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rainingAndTravelVariances" displayName="TrainingAndTravelVariances" ref="B31:O34" totalsRowCount="1" headerRowDxfId="73" dataDxfId="72" totalsRowDxfId="71">
  <autoFilter ref="B31:O33"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B00-000001000000}" name="Training/travel" totalsRowLabel="Subtotal" dataDxfId="70" totalsRowDxfId="69"/>
    <tableColumn id="2" xr3:uid="{00000000-0010-0000-0B00-000002000000}" name="Jan" totalsRowFunction="sum" dataDxfId="68" totalsRowDxfId="67">
      <calculatedColumnFormula>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calculatedColumnFormula>
    </tableColumn>
    <tableColumn id="3" xr3:uid="{00000000-0010-0000-0B00-000003000000}" name="Feb" totalsRowFunction="sum" dataDxfId="66" totalsRowDxfId="65">
      <calculatedColumnFormula>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calculatedColumnFormula>
    </tableColumn>
    <tableColumn id="4" xr3:uid="{00000000-0010-0000-0B00-000004000000}" name="Mar" totalsRowFunction="sum" dataDxfId="64" totalsRowDxfId="63">
      <calculatedColumnFormula>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calculatedColumnFormula>
    </tableColumn>
    <tableColumn id="5" xr3:uid="{00000000-0010-0000-0B00-000005000000}" name="Apr" totalsRowFunction="sum" dataDxfId="62" totalsRowDxfId="61">
      <calculatedColumnFormula>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calculatedColumnFormula>
    </tableColumn>
    <tableColumn id="6" xr3:uid="{00000000-0010-0000-0B00-000006000000}" name="May" totalsRowFunction="sum" dataDxfId="60" totalsRowDxfId="59">
      <calculatedColumnFormula>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calculatedColumnFormula>
    </tableColumn>
    <tableColumn id="7" xr3:uid="{00000000-0010-0000-0B00-000007000000}" name="Jun" totalsRowFunction="sum" dataDxfId="58" totalsRowDxfId="57">
      <calculatedColumnFormula>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calculatedColumnFormula>
    </tableColumn>
    <tableColumn id="8" xr3:uid="{00000000-0010-0000-0B00-000008000000}" name="Jul" totalsRowFunction="sum" dataDxfId="56" totalsRowDxfId="55">
      <calculatedColumnFormula>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calculatedColumnFormula>
    </tableColumn>
    <tableColumn id="9" xr3:uid="{00000000-0010-0000-0B00-000009000000}" name="Aug" totalsRowFunction="sum" dataDxfId="54" totalsRowDxfId="53">
      <calculatedColumnFormula>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calculatedColumnFormula>
    </tableColumn>
    <tableColumn id="10" xr3:uid="{00000000-0010-0000-0B00-00000A000000}" name="Sep" totalsRowFunction="sum" dataDxfId="52" totalsRowDxfId="51">
      <calculatedColumnFormula>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calculatedColumnFormula>
    </tableColumn>
    <tableColumn id="11" xr3:uid="{00000000-0010-0000-0B00-00000B000000}" name="Oct" totalsRowFunction="sum" dataDxfId="50" totalsRowDxfId="49">
      <calculatedColumnFormula>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calculatedColumnFormula>
    </tableColumn>
    <tableColumn id="12" xr3:uid="{00000000-0010-0000-0B00-00000C000000}" name="Nov" totalsRowFunction="sum" dataDxfId="48" totalsRowDxfId="47">
      <calculatedColumnFormula>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calculatedColumnFormula>
    </tableColumn>
    <tableColumn id="13" xr3:uid="{00000000-0010-0000-0B00-00000D000000}" name="Dec" totalsRowFunction="sum" dataDxfId="46" totalsRowDxfId="45">
      <calculatedColumnFormula>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calculatedColumnFormula>
    </tableColumn>
    <tableColumn id="14" xr3:uid="{00000000-0010-0000-0B00-00000E000000}" name="YEAR" totalsRowFunction="sum" dataDxfId="44" totalsRowDxfId="43">
      <calculatedColumnFormula>SUM(TrainingAndTravelVariances[[#This Row],[Jan]:[Dec]])</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Variance in training and travel costs per month is auto calculated in this 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D450248-DB77-46F5-B207-E715DE10D029}" name="TotalVariances" displayName="TotalVariances" ref="B36:O38" totalsRowShown="0" headerRowDxfId="42" dataDxfId="41">
  <autoFilter ref="B36:O38" xr:uid="{FD450248-DB77-46F5-B207-E715DE10D02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CA1B301-8171-4BDA-9269-D51F18A1CE72}" name="Totals" dataDxfId="40"/>
    <tableColumn id="2" xr3:uid="{AE0C21A5-398B-42DE-950D-8AE4AD1A8551}" name="Jan" dataDxfId="39">
      <calculatedColumnFormula>SUM($C36:C$37)</calculatedColumnFormula>
    </tableColumn>
    <tableColumn id="3" xr3:uid="{A43B0B0E-F35F-4E04-8A0D-11BB7356D5F1}" name="Feb" dataDxfId="38">
      <calculatedColumnFormula>SUM($C36:D$37)</calculatedColumnFormula>
    </tableColumn>
    <tableColumn id="4" xr3:uid="{F14459A4-8E61-4E04-9A53-A7DA16CE366A}" name="Mar" dataDxfId="37">
      <calculatedColumnFormula>SUM($C36:E$37)</calculatedColumnFormula>
    </tableColumn>
    <tableColumn id="5" xr3:uid="{1C90C974-8801-4A11-B3AF-1DC144BB0C14}" name="Apr" dataDxfId="36">
      <calculatedColumnFormula>SUM($C36:F$37)</calculatedColumnFormula>
    </tableColumn>
    <tableColumn id="6" xr3:uid="{C8E3F4F6-5F27-4CC7-9916-6D86833782C1}" name="May" dataDxfId="35">
      <calculatedColumnFormula>SUM($C36:G$37)</calculatedColumnFormula>
    </tableColumn>
    <tableColumn id="7" xr3:uid="{AF75D92B-7578-4087-BB78-DD5AD8165117}" name="Jun" dataDxfId="34">
      <calculatedColumnFormula>SUM($C36:H$37)</calculatedColumnFormula>
    </tableColumn>
    <tableColumn id="8" xr3:uid="{35F61ABA-09FB-4695-B0F5-A2C6B6580A2E}" name="Jul" dataDxfId="33">
      <calculatedColumnFormula>SUM($C36:I$37)</calculatedColumnFormula>
    </tableColumn>
    <tableColumn id="9" xr3:uid="{59F62437-45DC-439F-945A-D0E79C444E8E}" name="Aug" dataDxfId="32">
      <calculatedColumnFormula>SUM($C36:J$37)</calculatedColumnFormula>
    </tableColumn>
    <tableColumn id="10" xr3:uid="{2BF9DCC5-B211-44A6-BD40-E91602CDA85C}" name="Sep" dataDxfId="31">
      <calculatedColumnFormula>SUM($C36:K$37)</calculatedColumnFormula>
    </tableColumn>
    <tableColumn id="11" xr3:uid="{4280684A-CD23-4103-8664-029757D0A2A2}" name="Oct" dataDxfId="30">
      <calculatedColumnFormula>SUM($C36:L$37)</calculatedColumnFormula>
    </tableColumn>
    <tableColumn id="12" xr3:uid="{07DED434-EC8F-4DAF-83E3-E350A33F2EAE}" name="Nov" dataDxfId="29">
      <calculatedColumnFormula>SUM($C36:M$37)</calculatedColumnFormula>
    </tableColumn>
    <tableColumn id="13" xr3:uid="{32BA0102-0F05-43CF-91BA-724F1FE01DAA}" name="Dec" dataDxfId="28">
      <calculatedColumnFormula>SUM($C36:N$37)</calculatedColumnFormula>
    </tableColumn>
    <tableColumn id="14" xr3:uid="{57A0D710-AEB8-4057-928D-010058E02081}" name="Year" dataDxfId="27"/>
  </tableColumns>
  <tableStyleInfo name="Table Style 1 2" showFirstColumn="1" showLastColumn="0" showRowStripes="0" showColumnStripes="0"/>
  <extLst>
    <ext xmlns:x14="http://schemas.microsoft.com/office/spreadsheetml/2009/9/main" uri="{504A1905-F514-4f6f-8877-14C23A59335A}">
      <x14:table altTextSummary="Monthly and Total Expense Variance are auto calculated in this 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029F34C-CC7A-4C9E-8687-3CBA6E03BB7D}" name="Analysis" displayName="Analysis" ref="B5:F10" totalsRowShown="0" headerRowDxfId="26" dataDxfId="25">
  <autoFilter ref="B5:F10" xr:uid="{FF30FBEE-D7F5-45FA-A994-455B735EFD11}">
    <filterColumn colId="0" hiddenButton="1"/>
    <filterColumn colId="1" hiddenButton="1"/>
    <filterColumn colId="2" hiddenButton="1"/>
    <filterColumn colId="3" hiddenButton="1"/>
    <filterColumn colId="4" hiddenButton="1"/>
  </autoFilter>
  <tableColumns count="5">
    <tableColumn id="1" xr3:uid="{85D5DD3A-2DA8-4CC6-8C75-2348A5B1DCE5}" name="Expense category" dataDxfId="24"/>
    <tableColumn id="2" xr3:uid="{71038352-BC76-49DD-9F6C-B394E5F033ED}" name="Planned expenses" dataDxfId="23"/>
    <tableColumn id="3" xr3:uid="{19ED3EBC-BC10-47F6-9800-62129A32BC8E}" name="Actual expenses" dataDxfId="22"/>
    <tableColumn id="4" xr3:uid="{E8D5E1DD-7CB1-4A1A-8F42-EFBF70790FE7}" name="Expense variances" dataDxfId="21">
      <calculatedColumnFormula>C6-D6</calculatedColumnFormula>
    </tableColumn>
    <tableColumn id="5" xr3:uid="{47E1881E-12A2-4F0E-8364-B79F2DC5D0B1}" name="Variance percentage" dataDxfId="20">
      <calculatedColumnFormula>E6/C6</calculatedColumnFormula>
    </tableColumn>
  </tableColumns>
  <tableStyleInfo name="Table Style 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rketingPlan" displayName="MarketingPlan" ref="B22:O29" totalsRowCount="1" headerRowDxfId="400" dataDxfId="399" totalsRowDxfId="398">
  <autoFilter ref="B22:O28"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Marketing costs" totalsRowLabel="Subtotal" dataDxfId="397" totalsRowDxfId="19"/>
    <tableColumn id="2" xr3:uid="{00000000-0010-0000-0100-000002000000}" name="Jan" dataDxfId="396" totalsRowDxfId="18"/>
    <tableColumn id="3" xr3:uid="{00000000-0010-0000-0100-000003000000}" name="Feb" dataDxfId="395" totalsRowDxfId="17"/>
    <tableColumn id="4" xr3:uid="{00000000-0010-0000-0100-000004000000}" name="Mar" dataDxfId="394" totalsRowDxfId="16"/>
    <tableColumn id="5" xr3:uid="{00000000-0010-0000-0100-000005000000}" name="Apr" dataDxfId="393" totalsRowDxfId="15"/>
    <tableColumn id="6" xr3:uid="{00000000-0010-0000-0100-000006000000}" name="May" dataDxfId="392" totalsRowDxfId="14"/>
    <tableColumn id="7" xr3:uid="{00000000-0010-0000-0100-000007000000}" name="Jun" dataDxfId="391" totalsRowDxfId="13"/>
    <tableColumn id="8" xr3:uid="{00000000-0010-0000-0100-000008000000}" name="Jul" dataDxfId="390" totalsRowDxfId="12"/>
    <tableColumn id="9" xr3:uid="{00000000-0010-0000-0100-000009000000}" name="Aug" dataDxfId="389" totalsRowDxfId="11"/>
    <tableColumn id="10" xr3:uid="{00000000-0010-0000-0100-00000A000000}" name="Sep" dataDxfId="388" totalsRowDxfId="10"/>
    <tableColumn id="11" xr3:uid="{00000000-0010-0000-0100-00000B000000}" name="Oct" dataDxfId="387" totalsRowDxfId="9"/>
    <tableColumn id="12" xr3:uid="{00000000-0010-0000-0100-00000C000000}" name="Nov" dataDxfId="386" totalsRowDxfId="8"/>
    <tableColumn id="13" xr3:uid="{00000000-0010-0000-0100-00000D000000}" name="Dec" dataDxfId="385" totalsRowDxfId="7"/>
    <tableColumn id="14" xr3:uid="{00000000-0010-0000-0100-00000E000000}" name="YEAR" dataDxfId="384" totalsRowDxfId="6"/>
  </tableColumns>
  <tableStyleInfo name="Table Style 1" showFirstColumn="1" showLastColumn="1" showRowStripes="0" showColumnStripes="0"/>
  <extLst>
    <ext xmlns:x14="http://schemas.microsoft.com/office/spreadsheetml/2009/9/main" uri="{504A1905-F514-4f6f-8877-14C23A59335A}">
      <x14:table altTextSummary="Enter planned monthly marketing costs in this table. Total is auto calculated at the 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rainingAndTravelPlan" displayName="TrainingAndTravelPlan" ref="B31:O34" totalsRowCount="1" headerRowDxfId="383" dataDxfId="382" totalsRowDxfId="381">
  <autoFilter ref="B31:O3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Training/travel" totalsRowLabel="Subtotal" dataDxfId="380" totalsRowDxfId="379"/>
    <tableColumn id="2" xr3:uid="{00000000-0010-0000-0200-000002000000}" name="Jan" totalsRowFunction="sum" dataDxfId="378" totalsRowDxfId="377"/>
    <tableColumn id="3" xr3:uid="{00000000-0010-0000-0200-000003000000}" name="Feb" totalsRowFunction="sum" dataDxfId="376" totalsRowDxfId="375"/>
    <tableColumn id="4" xr3:uid="{00000000-0010-0000-0200-000004000000}" name="Mar" totalsRowFunction="sum" dataDxfId="374" totalsRowDxfId="373"/>
    <tableColumn id="5" xr3:uid="{00000000-0010-0000-0200-000005000000}" name="Apr" totalsRowFunction="sum" dataDxfId="372" totalsRowDxfId="371"/>
    <tableColumn id="6" xr3:uid="{00000000-0010-0000-0200-000006000000}" name="May" totalsRowFunction="sum" dataDxfId="370" totalsRowDxfId="369"/>
    <tableColumn id="7" xr3:uid="{00000000-0010-0000-0200-000007000000}" name="Jun" totalsRowFunction="sum" dataDxfId="368" totalsRowDxfId="367"/>
    <tableColumn id="8" xr3:uid="{00000000-0010-0000-0200-000008000000}" name="Jul" totalsRowFunction="sum" dataDxfId="366" totalsRowDxfId="365"/>
    <tableColumn id="9" xr3:uid="{00000000-0010-0000-0200-000009000000}" name="Aug" totalsRowFunction="sum" dataDxfId="364" totalsRowDxfId="363"/>
    <tableColumn id="10" xr3:uid="{00000000-0010-0000-0200-00000A000000}" name="Sep" totalsRowFunction="sum" dataDxfId="362" totalsRowDxfId="361"/>
    <tableColumn id="11" xr3:uid="{00000000-0010-0000-0200-00000B000000}" name="Oct" totalsRowFunction="sum" dataDxfId="360" totalsRowDxfId="359"/>
    <tableColumn id="12" xr3:uid="{00000000-0010-0000-0200-00000C000000}" name="Nov" totalsRowFunction="sum" dataDxfId="358" totalsRowDxfId="357"/>
    <tableColumn id="13" xr3:uid="{00000000-0010-0000-0200-00000D000000}" name="Dec" totalsRowFunction="sum" dataDxfId="356" totalsRowDxfId="355"/>
    <tableColumn id="14" xr3:uid="{00000000-0010-0000-0200-00000E000000}" name="YEAR" totalsRowFunction="sum" dataDxfId="354" totalsRowDxfId="353">
      <calculatedColumnFormula>SUM(C32:N32)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planned monthly training and traveling costs in this table. Total is auto calculated at the 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EmployeePlan" displayName="EmployeePlan" ref="B6:O9" totalsRowCount="1" headerRowDxfId="352" dataDxfId="351" totalsRowDxfId="350">
  <autoFilter ref="B6:O8"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Employee costs" totalsRowLabel="Subtotal" dataDxfId="349" totalsRowDxfId="5"/>
    <tableColumn id="2" xr3:uid="{00000000-0010-0000-0300-000002000000}" name="Jan" totalsRowFunction="sum" dataDxfId="348" totalsRowDxfId="347"/>
    <tableColumn id="3" xr3:uid="{00000000-0010-0000-0300-000003000000}" name="Feb" totalsRowFunction="sum" dataDxfId="346" totalsRowDxfId="345"/>
    <tableColumn id="4" xr3:uid="{00000000-0010-0000-0300-000004000000}" name="Mar" totalsRowFunction="sum" dataDxfId="344" totalsRowDxfId="343"/>
    <tableColumn id="5" xr3:uid="{00000000-0010-0000-0300-000005000000}" name="Apr" totalsRowFunction="sum" dataDxfId="342" totalsRowDxfId="341"/>
    <tableColumn id="6" xr3:uid="{00000000-0010-0000-0300-000006000000}" name="May" totalsRowFunction="sum" dataDxfId="340" totalsRowDxfId="339"/>
    <tableColumn id="7" xr3:uid="{00000000-0010-0000-0300-000007000000}" name="Jun" totalsRowFunction="sum" dataDxfId="338" totalsRowDxfId="337"/>
    <tableColumn id="8" xr3:uid="{00000000-0010-0000-0300-000008000000}" name="Jul" totalsRowFunction="sum" dataDxfId="336" totalsRowDxfId="335"/>
    <tableColumn id="9" xr3:uid="{00000000-0010-0000-0300-000009000000}" name="Aug" totalsRowFunction="sum" dataDxfId="334" totalsRowDxfId="333"/>
    <tableColumn id="10" xr3:uid="{00000000-0010-0000-0300-00000A000000}" name="Sep" totalsRowFunction="sum" dataDxfId="332" totalsRowDxfId="331"/>
    <tableColumn id="11" xr3:uid="{00000000-0010-0000-0300-00000B000000}" name="Oct" totalsRowFunction="sum" dataDxfId="330" totalsRowDxfId="329"/>
    <tableColumn id="12" xr3:uid="{00000000-0010-0000-0300-00000C000000}" name="Nov" totalsRowFunction="sum" dataDxfId="328" totalsRowDxfId="327"/>
    <tableColumn id="13" xr3:uid="{00000000-0010-0000-0300-00000D000000}" name="Dec" totalsRowFunction="sum" dataDxfId="326" totalsRowDxfId="325"/>
    <tableColumn id="14" xr3:uid="{00000000-0010-0000-0300-00000E000000}" name="YEAR" totalsRowFunction="sum" dataDxfId="324" totalsRowDxfId="323">
      <calculatedColumnFormula>SUM(C7:N7)</calculatedColumnFormula>
    </tableColumn>
  </tableColumns>
  <tableStyleInfo name="Table Style 1" showFirstColumn="1" showLastColumn="1" showRowStripes="1" showColumnStripes="0"/>
  <extLst>
    <ext xmlns:x14="http://schemas.microsoft.com/office/spreadsheetml/2009/9/main" uri="{504A1905-F514-4f6f-8877-14C23A59335A}">
      <x14:table altTextSummary="Enter planned monthly employee costs in this table. Total is auto calculated at the 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1654C0-A6E2-4402-ADF4-C02B29E915BD}" name="PlannedTotal" displayName="PlannedTotal" ref="B36:O38" totalsRowShown="0" headerRowDxfId="322" dataDxfId="321">
  <autoFilter ref="B36:O38" xr:uid="{630CA614-6744-438B-8D74-F7C59585F1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DAEAEE0-3B16-417F-B274-1F203D9CFCF2}" name="Totals" dataDxfId="320"/>
    <tableColumn id="2" xr3:uid="{3CBCAAC6-5850-43CE-8A4B-7299FADFEA94}" name="Jan" dataDxfId="319">
      <calculatedColumnFormula>SUM($C36:C$37)</calculatedColumnFormula>
    </tableColumn>
    <tableColumn id="3" xr3:uid="{E78EAAAB-F732-4079-94F1-D17531764B41}" name="Feb" dataDxfId="318">
      <calculatedColumnFormula>SUM($C36:D$37)</calculatedColumnFormula>
    </tableColumn>
    <tableColumn id="4" xr3:uid="{7E178853-B334-4E02-A0B5-9E8AC39D6929}" name="Mar" dataDxfId="317">
      <calculatedColumnFormula>SUM($C36:E$37)</calculatedColumnFormula>
    </tableColumn>
    <tableColumn id="5" xr3:uid="{901BCAA1-7C45-46E6-9DAA-C055B5CC4D9E}" name="Apr" dataDxfId="316">
      <calculatedColumnFormula>SUM($C36:F$37)</calculatedColumnFormula>
    </tableColumn>
    <tableColumn id="6" xr3:uid="{FDC62F5A-FCA8-49DA-AFE4-FBDA22CB588C}" name="May" dataDxfId="315">
      <calculatedColumnFormula>SUM($C36:G$37)</calculatedColumnFormula>
    </tableColumn>
    <tableColumn id="7" xr3:uid="{6B7E4F62-6387-4545-9593-FCFE8EB0E87B}" name="Jun" dataDxfId="314">
      <calculatedColumnFormula>SUM($C36:H$37)</calculatedColumnFormula>
    </tableColumn>
    <tableColumn id="8" xr3:uid="{29C96D76-82C3-4C86-A866-135D2B5F6766}" name="Jul" dataDxfId="313">
      <calculatedColumnFormula>SUM($C36:I$37)</calculatedColumnFormula>
    </tableColumn>
    <tableColumn id="9" xr3:uid="{8EAF7A8A-BCFD-4A07-ADFE-7B3A8A367BB3}" name="Aug" dataDxfId="312">
      <calculatedColumnFormula>SUM($C36:J$37)</calculatedColumnFormula>
    </tableColumn>
    <tableColumn id="10" xr3:uid="{F40CD844-EFB4-4B82-8FEA-F130D1DDE9B6}" name="Sep" dataDxfId="311">
      <calculatedColumnFormula>SUM($C36:K$37)</calculatedColumnFormula>
    </tableColumn>
    <tableColumn id="11" xr3:uid="{42E3BDAF-1274-4A42-93E1-A70D8EFF4D76}" name="Oct" dataDxfId="310">
      <calculatedColumnFormula>SUM($C36:L$37)</calculatedColumnFormula>
    </tableColumn>
    <tableColumn id="12" xr3:uid="{4F7ADDB3-3705-4D5F-B56D-EBBC8E7DFAFB}" name="Nov" dataDxfId="309">
      <calculatedColumnFormula>SUM($C36:M$37)</calculatedColumnFormula>
    </tableColumn>
    <tableColumn id="13" xr3:uid="{56789314-1137-4ED4-BA2B-969187ADECB2}" name="Dec" dataDxfId="308">
      <calculatedColumnFormula>SUM($C36:N$37)</calculatedColumnFormula>
    </tableColumn>
    <tableColumn id="14" xr3:uid="{284F34B8-8D32-4E44-96FD-25CE69A931D2}" name="Year" dataDxfId="307"/>
  </tableColumns>
  <tableStyleInfo name="Table Style 1 2" showFirstColumn="1" showLastColumn="0" showRowStripes="0" showColumnStripes="0"/>
  <extLst>
    <ext xmlns:x14="http://schemas.microsoft.com/office/spreadsheetml/2009/9/main" uri="{504A1905-F514-4f6f-8877-14C23A59335A}">
      <x14:table altTextSummary="Monthly and Total Planned Expenses are auto calculated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OfficeActual" displayName="OfficeActual" ref="B11:O20" totalsRowCount="1" headerRowDxfId="306" dataDxfId="305" totalsRowDxfId="304">
  <autoFilter ref="B11:O1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Office costs" totalsRowLabel="Subtotal" dataDxfId="303" totalsRowDxfId="302"/>
    <tableColumn id="2" xr3:uid="{00000000-0010-0000-0400-000002000000}" name="Jan" totalsRowFunction="sum" dataDxfId="301" totalsRowDxfId="300"/>
    <tableColumn id="3" xr3:uid="{00000000-0010-0000-0400-000003000000}" name="Feb" totalsRowFunction="sum" dataDxfId="299" totalsRowDxfId="298"/>
    <tableColumn id="4" xr3:uid="{00000000-0010-0000-0400-000004000000}" name="Mar" totalsRowFunction="sum" dataDxfId="297" totalsRowDxfId="296"/>
    <tableColumn id="5" xr3:uid="{00000000-0010-0000-0400-000005000000}" name="Apr" totalsRowFunction="sum" dataDxfId="295" totalsRowDxfId="294"/>
    <tableColumn id="6" xr3:uid="{00000000-0010-0000-0400-000006000000}" name="May" totalsRowFunction="sum" dataDxfId="293" totalsRowDxfId="292"/>
    <tableColumn id="7" xr3:uid="{00000000-0010-0000-0400-000007000000}" name="Jun" totalsRowFunction="sum" dataDxfId="291" totalsRowDxfId="290"/>
    <tableColumn id="8" xr3:uid="{00000000-0010-0000-0400-000008000000}" name="Jul" totalsRowFunction="sum" dataDxfId="289" totalsRowDxfId="288"/>
    <tableColumn id="9" xr3:uid="{00000000-0010-0000-0400-000009000000}" name="Aug" totalsRowFunction="sum" dataDxfId="287" totalsRowDxfId="286"/>
    <tableColumn id="10" xr3:uid="{00000000-0010-0000-0400-00000A000000}" name="Sep" totalsRowFunction="sum" dataDxfId="285" totalsRowDxfId="284"/>
    <tableColumn id="11" xr3:uid="{00000000-0010-0000-0400-00000B000000}" name="Oct" totalsRowFunction="sum" dataDxfId="283" totalsRowDxfId="282"/>
    <tableColumn id="12" xr3:uid="{00000000-0010-0000-0400-00000C000000}" name="Nov" totalsRowFunction="sum" dataDxfId="281" totalsRowDxfId="280"/>
    <tableColumn id="13" xr3:uid="{00000000-0010-0000-0400-00000D000000}" name="Dec" totalsRowFunction="sum" dataDxfId="279" totalsRowDxfId="278"/>
    <tableColumn id="14" xr3:uid="{00000000-0010-0000-0400-00000E000000}" name="YEAR" totalsRowFunction="sum" dataDxfId="277" totalsRowDxfId="276">
      <calculatedColumnFormula>SUM(C12:N12)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office costs in this table. Total is auto calculated at the en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MarketingActual" displayName="MarketingActual" ref="B22:O29" totalsRowCount="1" headerRowDxfId="275" dataDxfId="274" totalsRowDxfId="273">
  <autoFilter ref="B22:O28"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Marketing costs" totalsRowLabel="Subtotal" dataDxfId="272" totalsRowDxfId="271"/>
    <tableColumn id="2" xr3:uid="{00000000-0010-0000-0500-000002000000}" name="Jan" totalsRowFunction="sum" dataDxfId="270" totalsRowDxfId="269"/>
    <tableColumn id="3" xr3:uid="{00000000-0010-0000-0500-000003000000}" name="Feb" totalsRowFunction="sum" dataDxfId="268" totalsRowDxfId="267"/>
    <tableColumn id="4" xr3:uid="{00000000-0010-0000-0500-000004000000}" name="Mar" totalsRowFunction="sum" dataDxfId="266" totalsRowDxfId="265"/>
    <tableColumn id="5" xr3:uid="{00000000-0010-0000-0500-000005000000}" name="Apr" totalsRowFunction="sum" dataDxfId="264" totalsRowDxfId="263"/>
    <tableColumn id="6" xr3:uid="{00000000-0010-0000-0500-000006000000}" name="May" totalsRowFunction="sum" dataDxfId="262" totalsRowDxfId="261"/>
    <tableColumn id="7" xr3:uid="{00000000-0010-0000-0500-000007000000}" name="Jun" totalsRowFunction="sum" dataDxfId="260" totalsRowDxfId="259"/>
    <tableColumn id="8" xr3:uid="{00000000-0010-0000-0500-000008000000}" name="Jul" totalsRowFunction="sum" dataDxfId="258" totalsRowDxfId="257"/>
    <tableColumn id="9" xr3:uid="{00000000-0010-0000-0500-000009000000}" name="Aug" totalsRowFunction="sum" dataDxfId="256" totalsRowDxfId="255"/>
    <tableColumn id="10" xr3:uid="{00000000-0010-0000-0500-00000A000000}" name="Sep" totalsRowFunction="sum" dataDxfId="254" totalsRowDxfId="253"/>
    <tableColumn id="11" xr3:uid="{00000000-0010-0000-0500-00000B000000}" name="Oct" totalsRowFunction="sum" dataDxfId="252" totalsRowDxfId="251"/>
    <tableColumn id="12" xr3:uid="{00000000-0010-0000-0500-00000C000000}" name="Nov" totalsRowFunction="sum" dataDxfId="250" totalsRowDxfId="249"/>
    <tableColumn id="13" xr3:uid="{00000000-0010-0000-0500-00000D000000}" name="Dec" totalsRowFunction="sum" dataDxfId="248" totalsRowDxfId="247"/>
    <tableColumn id="14" xr3:uid="{00000000-0010-0000-0500-00000E000000}" name="YEAR" totalsRowFunction="sum" dataDxfId="246" totalsRowDxfId="245">
      <calculatedColumnFormula>SUM(C23:N23)</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marketing costs in this table. Total is auto calculated at the en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rainingAndTravelActual" displayName="TrainingAndTravelActual" ref="B31:O34" totalsRowCount="1" headerRowDxfId="244" dataDxfId="243" totalsRowDxfId="242">
  <autoFilter ref="B31:O33"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Training/travel" totalsRowLabel="Subtotal" dataDxfId="241" totalsRowDxfId="240"/>
    <tableColumn id="2" xr3:uid="{00000000-0010-0000-0600-000002000000}" name="Jan" totalsRowFunction="sum" dataDxfId="239" totalsRowDxfId="238"/>
    <tableColumn id="3" xr3:uid="{00000000-0010-0000-0600-000003000000}" name="Feb" totalsRowFunction="sum" dataDxfId="237" totalsRowDxfId="236"/>
    <tableColumn id="4" xr3:uid="{00000000-0010-0000-0600-000004000000}" name="Mar" totalsRowFunction="sum" dataDxfId="235" totalsRowDxfId="234"/>
    <tableColumn id="5" xr3:uid="{00000000-0010-0000-0600-000005000000}" name="Apr" totalsRowFunction="sum" dataDxfId="233" totalsRowDxfId="232"/>
    <tableColumn id="6" xr3:uid="{00000000-0010-0000-0600-000006000000}" name="May" totalsRowFunction="sum" dataDxfId="231" totalsRowDxfId="230"/>
    <tableColumn id="7" xr3:uid="{00000000-0010-0000-0600-000007000000}" name="Jun" totalsRowFunction="sum" dataDxfId="229" totalsRowDxfId="228"/>
    <tableColumn id="8" xr3:uid="{00000000-0010-0000-0600-000008000000}" name="Jul" totalsRowFunction="sum" dataDxfId="227" totalsRowDxfId="226"/>
    <tableColumn id="9" xr3:uid="{00000000-0010-0000-0600-000009000000}" name="Aug" totalsRowFunction="sum" dataDxfId="225" totalsRowDxfId="224"/>
    <tableColumn id="10" xr3:uid="{00000000-0010-0000-0600-00000A000000}" name="Sep" totalsRowFunction="sum" dataDxfId="223" totalsRowDxfId="222"/>
    <tableColumn id="11" xr3:uid="{00000000-0010-0000-0600-00000B000000}" name="Oct" totalsRowFunction="sum" dataDxfId="221" totalsRowDxfId="220"/>
    <tableColumn id="12" xr3:uid="{00000000-0010-0000-0600-00000C000000}" name="Nov" totalsRowFunction="sum" dataDxfId="219" totalsRowDxfId="218"/>
    <tableColumn id="13" xr3:uid="{00000000-0010-0000-0600-00000D000000}" name="Dec" totalsRowFunction="sum" dataDxfId="217" totalsRowDxfId="216"/>
    <tableColumn id="14" xr3:uid="{00000000-0010-0000-0600-00000E000000}" name="YEAR" totalsRowFunction="sum" dataDxfId="215" totalsRowDxfId="214">
      <calculatedColumnFormula>SUM(C32:N32)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training and traveling costs in this table. Total is auto calculated at the end"/>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mployeeActual" displayName="EmployeeActual" ref="B6:O9" totalsRowCount="1" headerRowDxfId="213" dataDxfId="212" totalsRowDxfId="211">
  <autoFilter ref="B6:O8"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Employee costs" totalsRowLabel="Subtotal" dataDxfId="210" totalsRowDxfId="209"/>
    <tableColumn id="2" xr3:uid="{00000000-0010-0000-0700-000002000000}" name="Jan" totalsRowFunction="sum" dataDxfId="208" totalsRowDxfId="207"/>
    <tableColumn id="3" xr3:uid="{00000000-0010-0000-0700-000003000000}" name="Feb" totalsRowFunction="sum" dataDxfId="206" totalsRowDxfId="205"/>
    <tableColumn id="4" xr3:uid="{00000000-0010-0000-0700-000004000000}" name="Mar" totalsRowFunction="sum" dataDxfId="204" totalsRowDxfId="203"/>
    <tableColumn id="5" xr3:uid="{00000000-0010-0000-0700-000005000000}" name="Apr" totalsRowFunction="sum" dataDxfId="202" totalsRowDxfId="201"/>
    <tableColumn id="6" xr3:uid="{00000000-0010-0000-0700-000006000000}" name="May" totalsRowFunction="sum" dataDxfId="200" totalsRowDxfId="199"/>
    <tableColumn id="7" xr3:uid="{00000000-0010-0000-0700-000007000000}" name="Jun" totalsRowFunction="sum" dataDxfId="198" totalsRowDxfId="197"/>
    <tableColumn id="8" xr3:uid="{00000000-0010-0000-0700-000008000000}" name="Jul" totalsRowFunction="sum" dataDxfId="196" totalsRowDxfId="195">
      <calculatedColumnFormula>I6*0.27</calculatedColumnFormula>
    </tableColumn>
    <tableColumn id="9" xr3:uid="{00000000-0010-0000-0700-000009000000}" name="Aug" totalsRowFunction="sum" dataDxfId="194" totalsRowDxfId="193">
      <calculatedColumnFormula>J6*0.27</calculatedColumnFormula>
    </tableColumn>
    <tableColumn id="10" xr3:uid="{00000000-0010-0000-0700-00000A000000}" name="Sep" totalsRowFunction="sum" dataDxfId="192" totalsRowDxfId="191">
      <calculatedColumnFormula>K6*0.27</calculatedColumnFormula>
    </tableColumn>
    <tableColumn id="11" xr3:uid="{00000000-0010-0000-0700-00000B000000}" name="Oct" totalsRowFunction="sum" dataDxfId="190" totalsRowDxfId="189">
      <calculatedColumnFormula>L6*0.27</calculatedColumnFormula>
    </tableColumn>
    <tableColumn id="12" xr3:uid="{00000000-0010-0000-0700-00000C000000}" name="Nov" totalsRowFunction="sum" dataDxfId="188" totalsRowDxfId="187">
      <calculatedColumnFormula>M6*0.27</calculatedColumnFormula>
    </tableColumn>
    <tableColumn id="13" xr3:uid="{00000000-0010-0000-0700-00000D000000}" name="Dec" totalsRowFunction="sum" dataDxfId="186" totalsRowDxfId="185">
      <calculatedColumnFormula>N6*0.27</calculatedColumnFormula>
    </tableColumn>
    <tableColumn id="14" xr3:uid="{00000000-0010-0000-0700-00000E000000}" name="YEAR" totalsRowFunction="sum" dataDxfId="184" totalsRowDxfId="183">
      <calculatedColumnFormula>SUM(C7:N7)</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employee costs in this table. Total is auto calculated at the end"/>
    </ext>
  </extLst>
</table>
</file>

<file path=xl/theme/theme1.xml><?xml version="1.0" encoding="utf-8"?>
<a:theme xmlns:a="http://schemas.openxmlformats.org/drawingml/2006/main" name="Office Theme">
  <a:themeElements>
    <a:clrScheme name="Resume">
      <a:dk1>
        <a:srgbClr val="000000"/>
      </a:dk1>
      <a:lt1>
        <a:srgbClr val="FFFFFF"/>
      </a:lt1>
      <a:dk2>
        <a:srgbClr val="44546A"/>
      </a:dk2>
      <a:lt2>
        <a:srgbClr val="E7E6E6"/>
      </a:lt2>
      <a:accent1>
        <a:srgbClr val="1309A8"/>
      </a:accent1>
      <a:accent2>
        <a:srgbClr val="875BBB"/>
      </a:accent2>
      <a:accent3>
        <a:srgbClr val="EB433D"/>
      </a:accent3>
      <a:accent4>
        <a:srgbClr val="B7E5ED"/>
      </a:accent4>
      <a:accent5>
        <a:srgbClr val="F6F3EA"/>
      </a:accent5>
      <a:accent6>
        <a:srgbClr val="3C3388"/>
      </a:accent6>
      <a:hlink>
        <a:srgbClr val="0563C1"/>
      </a:hlink>
      <a:folHlink>
        <a:srgbClr val="954F72"/>
      </a:folHlink>
    </a:clrScheme>
    <a:fontScheme name="Custom 10">
      <a:majorFont>
        <a:latin typeface="Posterama"/>
        <a:ea typeface=""/>
        <a:cs typeface=""/>
      </a:majorFont>
      <a:minorFont>
        <a:latin typeface="Postera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5652D-94A4-43B5-AFA7-1A6439101CE6}">
  <sheetPr>
    <tabColor theme="6"/>
    <pageSetUpPr fitToPage="1"/>
  </sheetPr>
  <dimension ref="B1:C12"/>
  <sheetViews>
    <sheetView topLeftCell="A10" workbookViewId="0"/>
  </sheetViews>
  <sheetFormatPr baseColWidth="10" defaultColWidth="8.83203125" defaultRowHeight="15" x14ac:dyDescent="0.2"/>
  <cols>
    <col min="1" max="1" width="4" style="28" customWidth="1"/>
    <col min="2" max="2" width="83.6640625" style="28" customWidth="1"/>
    <col min="3" max="3" width="4" style="28" customWidth="1"/>
    <col min="4" max="16384" width="8.83203125" style="28"/>
  </cols>
  <sheetData>
    <row r="1" spans="2:3" ht="90" customHeight="1" x14ac:dyDescent="0.75">
      <c r="B1" s="84" t="s">
        <v>55</v>
      </c>
      <c r="C1" s="84" t="s">
        <v>32</v>
      </c>
    </row>
    <row r="2" spans="2:3" ht="9.5" customHeight="1" x14ac:dyDescent="0.75">
      <c r="B2" s="84"/>
      <c r="C2" s="84"/>
    </row>
    <row r="3" spans="2:3" ht="20" customHeight="1" x14ac:dyDescent="0.75">
      <c r="B3" s="29"/>
    </row>
    <row r="4" spans="2:3" s="31" customFormat="1" ht="39.5" customHeight="1" x14ac:dyDescent="0.2">
      <c r="B4" s="86" t="s">
        <v>60</v>
      </c>
    </row>
    <row r="5" spans="2:3" s="31" customFormat="1" ht="39.5" customHeight="1" x14ac:dyDescent="0.2">
      <c r="B5" s="30" t="s">
        <v>37</v>
      </c>
    </row>
    <row r="6" spans="2:3" s="31" customFormat="1" ht="39.5" customHeight="1" x14ac:dyDescent="0.2">
      <c r="B6" s="86" t="s">
        <v>61</v>
      </c>
    </row>
    <row r="7" spans="2:3" s="31" customFormat="1" ht="39.5" customHeight="1" x14ac:dyDescent="0.2">
      <c r="B7" s="86" t="s">
        <v>62</v>
      </c>
    </row>
    <row r="8" spans="2:3" ht="30" customHeight="1" x14ac:dyDescent="0.2">
      <c r="B8" s="32" t="s">
        <v>59</v>
      </c>
    </row>
    <row r="9" spans="2:3" ht="70.75" customHeight="1" x14ac:dyDescent="0.2">
      <c r="B9" s="86" t="s">
        <v>63</v>
      </c>
    </row>
    <row r="10" spans="2:3" s="33" customFormat="1" ht="30" customHeight="1" x14ac:dyDescent="0.2">
      <c r="B10" s="32" t="s">
        <v>56</v>
      </c>
    </row>
    <row r="11" spans="2:3" s="33" customFormat="1" ht="80" customHeight="1" x14ac:dyDescent="0.2">
      <c r="B11" s="86" t="s">
        <v>64</v>
      </c>
    </row>
    <row r="12" spans="2:3" s="31" customFormat="1" ht="60" customHeight="1" x14ac:dyDescent="0.2">
      <c r="B12" s="30"/>
    </row>
  </sheetData>
  <printOptions horizontalCentered="1"/>
  <pageMargins left="0.25" right="0.25"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7"/>
    <pageSetUpPr autoPageBreaks="0" fitToPage="1"/>
  </sheetPr>
  <dimension ref="A1:T39"/>
  <sheetViews>
    <sheetView showGridLines="0" topLeftCell="A18" zoomScaleNormal="100" workbookViewId="0">
      <selection activeCell="B9" sqref="B9"/>
    </sheetView>
  </sheetViews>
  <sheetFormatPr baseColWidth="10" defaultColWidth="8.83203125" defaultRowHeight="21" customHeight="1" x14ac:dyDescent="0.25"/>
  <cols>
    <col min="1" max="1" width="4" style="3" customWidth="1"/>
    <col min="2" max="2" width="36.6640625" style="3" customWidth="1"/>
    <col min="3" max="15" width="14.33203125" style="3" customWidth="1"/>
    <col min="16" max="16" width="4" style="3" customWidth="1"/>
    <col min="17" max="17" width="1.5" style="3" customWidth="1"/>
    <col min="18" max="19" width="8.83203125" style="3"/>
    <col min="20" max="20" width="10.83203125" style="3" customWidth="1"/>
    <col min="21" max="16384" width="8.83203125" style="3"/>
  </cols>
  <sheetData>
    <row r="1" spans="1:20" ht="20" customHeight="1" x14ac:dyDescent="0.25">
      <c r="A1" s="1"/>
      <c r="B1" s="2"/>
      <c r="C1" s="2"/>
      <c r="D1" s="2"/>
      <c r="E1" s="2"/>
      <c r="F1" s="2"/>
      <c r="G1" s="2"/>
      <c r="H1" s="2"/>
      <c r="I1" s="2"/>
      <c r="J1" s="2"/>
      <c r="K1" s="2"/>
      <c r="L1" s="2"/>
      <c r="M1" s="2"/>
      <c r="N1" s="2"/>
      <c r="O1" s="2"/>
      <c r="P1" s="2" t="s">
        <v>32</v>
      </c>
    </row>
    <row r="2" spans="1:20" ht="100.25" customHeight="1" x14ac:dyDescent="0.3">
      <c r="A2" s="2"/>
      <c r="B2" s="87" t="s">
        <v>38</v>
      </c>
      <c r="C2" s="87"/>
      <c r="D2" s="87"/>
      <c r="E2" s="4"/>
      <c r="F2" s="5"/>
      <c r="G2" s="5"/>
      <c r="H2" s="5"/>
      <c r="I2" s="5"/>
      <c r="J2" s="5"/>
      <c r="K2" s="6"/>
      <c r="L2" s="7"/>
      <c r="M2" s="7"/>
      <c r="N2" s="8"/>
      <c r="O2" s="9" t="s">
        <v>39</v>
      </c>
      <c r="P2" s="2"/>
    </row>
    <row r="3" spans="1:20" ht="20" customHeight="1" x14ac:dyDescent="0.25">
      <c r="A3" s="2"/>
      <c r="B3" s="87"/>
      <c r="C3" s="87"/>
      <c r="D3" s="87"/>
      <c r="E3" s="10"/>
      <c r="F3" s="11"/>
      <c r="G3" s="11"/>
      <c r="H3" s="11"/>
      <c r="I3" s="11"/>
      <c r="J3" s="11"/>
      <c r="K3" s="6"/>
      <c r="L3" s="12"/>
      <c r="M3" s="12"/>
      <c r="N3" s="8"/>
      <c r="O3" s="13" t="s">
        <v>40</v>
      </c>
      <c r="P3" s="2"/>
    </row>
    <row r="4" spans="1:20" ht="20" customHeight="1" x14ac:dyDescent="0.25">
      <c r="A4" s="2"/>
      <c r="B4" s="14"/>
      <c r="C4" s="14"/>
      <c r="D4" s="14"/>
      <c r="E4" s="10"/>
      <c r="F4" s="11"/>
      <c r="G4" s="11"/>
      <c r="H4" s="11"/>
      <c r="I4" s="11"/>
      <c r="J4" s="11"/>
      <c r="K4" s="15"/>
      <c r="L4" s="15"/>
      <c r="M4" s="15"/>
      <c r="N4" s="8"/>
      <c r="O4" s="8"/>
      <c r="P4" s="2"/>
    </row>
    <row r="5" spans="1:20" ht="50" customHeight="1" x14ac:dyDescent="0.25">
      <c r="A5" s="2"/>
      <c r="B5" s="16" t="s">
        <v>33</v>
      </c>
      <c r="C5" s="17"/>
      <c r="D5" s="17"/>
      <c r="E5" s="18"/>
      <c r="F5" s="17"/>
      <c r="G5" s="17"/>
      <c r="H5" s="17"/>
      <c r="I5" s="18"/>
      <c r="J5" s="17"/>
      <c r="K5" s="17"/>
      <c r="L5" s="17"/>
      <c r="M5" s="17"/>
      <c r="N5" s="18"/>
      <c r="O5" s="17"/>
      <c r="P5" s="6"/>
      <c r="R5" s="19"/>
      <c r="S5" s="20"/>
      <c r="T5" s="20"/>
    </row>
    <row r="6" spans="1:20" s="48" customFormat="1" ht="40.25" customHeight="1" x14ac:dyDescent="0.3">
      <c r="A6" s="44"/>
      <c r="B6" s="21" t="s">
        <v>41</v>
      </c>
      <c r="C6" s="55" t="s">
        <v>0</v>
      </c>
      <c r="D6" s="55" t="s">
        <v>1</v>
      </c>
      <c r="E6" s="56" t="s">
        <v>2</v>
      </c>
      <c r="F6" s="55" t="s">
        <v>3</v>
      </c>
      <c r="G6" s="55" t="s">
        <v>4</v>
      </c>
      <c r="H6" s="55" t="s">
        <v>5</v>
      </c>
      <c r="I6" s="55" t="s">
        <v>6</v>
      </c>
      <c r="J6" s="55" t="s">
        <v>7</v>
      </c>
      <c r="K6" s="55" t="s">
        <v>8</v>
      </c>
      <c r="L6" s="55" t="s">
        <v>9</v>
      </c>
      <c r="M6" s="55" t="s">
        <v>10</v>
      </c>
      <c r="N6" s="55" t="s">
        <v>11</v>
      </c>
      <c r="O6" s="55" t="s">
        <v>12</v>
      </c>
      <c r="P6" s="44"/>
    </row>
    <row r="7" spans="1:20" ht="30" customHeight="1" x14ac:dyDescent="0.25">
      <c r="A7" s="6"/>
      <c r="B7" s="22" t="s">
        <v>13</v>
      </c>
      <c r="C7" s="23">
        <v>85000</v>
      </c>
      <c r="D7" s="23">
        <v>85000</v>
      </c>
      <c r="E7" s="23">
        <v>85000</v>
      </c>
      <c r="F7" s="23">
        <v>87500</v>
      </c>
      <c r="G7" s="23">
        <v>87500</v>
      </c>
      <c r="H7" s="23">
        <v>87500</v>
      </c>
      <c r="I7" s="23">
        <v>87500</v>
      </c>
      <c r="J7" s="23">
        <v>92400</v>
      </c>
      <c r="K7" s="23">
        <v>92400</v>
      </c>
      <c r="L7" s="23">
        <v>92400</v>
      </c>
      <c r="M7" s="23">
        <v>92400</v>
      </c>
      <c r="N7" s="23">
        <v>92400</v>
      </c>
      <c r="O7" s="23">
        <f>SUM(C7:N7)</f>
        <v>1067000</v>
      </c>
      <c r="P7" s="6"/>
      <c r="R7" s="20"/>
      <c r="S7" s="20"/>
      <c r="T7" s="20"/>
    </row>
    <row r="8" spans="1:20" ht="30" customHeight="1" x14ac:dyDescent="0.25">
      <c r="A8" s="6"/>
      <c r="B8" s="22" t="s">
        <v>14</v>
      </c>
      <c r="C8" s="23">
        <f>C7*0.27</f>
        <v>22950</v>
      </c>
      <c r="D8" s="23">
        <f t="shared" ref="D8:N8" si="0">D7*0.27</f>
        <v>22950</v>
      </c>
      <c r="E8" s="23">
        <f t="shared" si="0"/>
        <v>22950</v>
      </c>
      <c r="F8" s="23">
        <f t="shared" si="0"/>
        <v>23625</v>
      </c>
      <c r="G8" s="23">
        <f t="shared" si="0"/>
        <v>23625</v>
      </c>
      <c r="H8" s="23">
        <f t="shared" si="0"/>
        <v>23625</v>
      </c>
      <c r="I8" s="23">
        <f t="shared" si="0"/>
        <v>23625</v>
      </c>
      <c r="J8" s="23">
        <f t="shared" si="0"/>
        <v>24948</v>
      </c>
      <c r="K8" s="23">
        <f t="shared" si="0"/>
        <v>24948</v>
      </c>
      <c r="L8" s="23">
        <f t="shared" si="0"/>
        <v>24948</v>
      </c>
      <c r="M8" s="23">
        <f t="shared" si="0"/>
        <v>24948</v>
      </c>
      <c r="N8" s="23">
        <f t="shared" si="0"/>
        <v>24948</v>
      </c>
      <c r="O8" s="23">
        <f>SUM(C8:N8)</f>
        <v>288090</v>
      </c>
      <c r="P8" s="6"/>
      <c r="R8" s="20"/>
      <c r="S8" s="20"/>
      <c r="T8" s="20"/>
    </row>
    <row r="9" spans="1:20" ht="30" customHeight="1" x14ac:dyDescent="0.25">
      <c r="A9" s="6"/>
      <c r="B9" s="22" t="s">
        <v>15</v>
      </c>
      <c r="C9" s="23">
        <f>SUBTOTAL(109,EmployeePlan[Jan])</f>
        <v>107950</v>
      </c>
      <c r="D9" s="23">
        <f>SUBTOTAL(109,EmployeePlan[Feb])</f>
        <v>107950</v>
      </c>
      <c r="E9" s="23">
        <f>SUBTOTAL(109,EmployeePlan[Mar])</f>
        <v>107950</v>
      </c>
      <c r="F9" s="23">
        <f>SUBTOTAL(109,EmployeePlan[Apr])</f>
        <v>111125</v>
      </c>
      <c r="G9" s="23">
        <f>SUBTOTAL(109,EmployeePlan[May])</f>
        <v>111125</v>
      </c>
      <c r="H9" s="23">
        <f>SUBTOTAL(109,EmployeePlan[Jun])</f>
        <v>111125</v>
      </c>
      <c r="I9" s="23">
        <f>SUBTOTAL(109,EmployeePlan[Jul])</f>
        <v>111125</v>
      </c>
      <c r="J9" s="23">
        <f>SUBTOTAL(109,EmployeePlan[Aug])</f>
        <v>117348</v>
      </c>
      <c r="K9" s="23">
        <f>SUBTOTAL(109,EmployeePlan[Sep])</f>
        <v>117348</v>
      </c>
      <c r="L9" s="23">
        <f>SUBTOTAL(109,EmployeePlan[Oct])</f>
        <v>117348</v>
      </c>
      <c r="M9" s="23">
        <f>SUBTOTAL(109,EmployeePlan[Nov])</f>
        <v>117348</v>
      </c>
      <c r="N9" s="23">
        <f>SUBTOTAL(109,EmployeePlan[Dec])</f>
        <v>117348</v>
      </c>
      <c r="O9" s="23">
        <f>SUBTOTAL(109,EmployeePlan[YEAR])</f>
        <v>1355090</v>
      </c>
      <c r="P9" s="6"/>
      <c r="R9" s="20"/>
      <c r="S9" s="20"/>
      <c r="T9" s="20"/>
    </row>
    <row r="10" spans="1:20" ht="30" customHeight="1" x14ac:dyDescent="0.25">
      <c r="A10" s="6"/>
      <c r="B10" s="24"/>
      <c r="C10" s="24"/>
      <c r="D10" s="24"/>
      <c r="E10" s="24"/>
      <c r="F10" s="24"/>
      <c r="G10" s="24"/>
      <c r="H10" s="24"/>
      <c r="I10" s="24"/>
      <c r="J10" s="24"/>
      <c r="K10" s="24"/>
      <c r="L10" s="24"/>
      <c r="M10" s="24"/>
      <c r="N10" s="24"/>
      <c r="O10" s="24"/>
      <c r="P10" s="6"/>
      <c r="R10" s="20"/>
      <c r="S10" s="20"/>
      <c r="T10" s="20"/>
    </row>
    <row r="11" spans="1:20" s="48" customFormat="1" ht="40.25" customHeight="1" x14ac:dyDescent="0.3">
      <c r="A11" s="44"/>
      <c r="B11" s="21" t="s">
        <v>42</v>
      </c>
      <c r="C11" s="55" t="s">
        <v>0</v>
      </c>
      <c r="D11" s="55" t="s">
        <v>1</v>
      </c>
      <c r="E11" s="56" t="s">
        <v>2</v>
      </c>
      <c r="F11" s="55" t="s">
        <v>3</v>
      </c>
      <c r="G11" s="55" t="s">
        <v>4</v>
      </c>
      <c r="H11" s="55" t="s">
        <v>5</v>
      </c>
      <c r="I11" s="55" t="s">
        <v>6</v>
      </c>
      <c r="J11" s="55" t="s">
        <v>7</v>
      </c>
      <c r="K11" s="55" t="s">
        <v>8</v>
      </c>
      <c r="L11" s="55" t="s">
        <v>9</v>
      </c>
      <c r="M11" s="55" t="s">
        <v>10</v>
      </c>
      <c r="N11" s="55" t="s">
        <v>11</v>
      </c>
      <c r="O11" s="55" t="s">
        <v>12</v>
      </c>
      <c r="P11" s="44"/>
    </row>
    <row r="12" spans="1:20" ht="30" customHeight="1" x14ac:dyDescent="0.25">
      <c r="A12" s="6"/>
      <c r="B12" s="22" t="s">
        <v>16</v>
      </c>
      <c r="C12" s="23">
        <v>9800</v>
      </c>
      <c r="D12" s="23">
        <v>9800</v>
      </c>
      <c r="E12" s="23">
        <v>9800</v>
      </c>
      <c r="F12" s="23">
        <v>9800</v>
      </c>
      <c r="G12" s="23">
        <v>9800</v>
      </c>
      <c r="H12" s="23">
        <v>9800</v>
      </c>
      <c r="I12" s="23">
        <v>9800</v>
      </c>
      <c r="J12" s="23">
        <v>9800</v>
      </c>
      <c r="K12" s="23">
        <v>9800</v>
      </c>
      <c r="L12" s="23">
        <v>9800</v>
      </c>
      <c r="M12" s="23">
        <v>9800</v>
      </c>
      <c r="N12" s="23">
        <v>9800</v>
      </c>
      <c r="O12" s="23">
        <f t="shared" ref="O12:O19" si="1">SUM(C12:N12)</f>
        <v>117600</v>
      </c>
      <c r="P12" s="6"/>
      <c r="R12" s="20"/>
      <c r="S12" s="20"/>
      <c r="T12" s="20"/>
    </row>
    <row r="13" spans="1:20" ht="30" customHeight="1" x14ac:dyDescent="0.25">
      <c r="A13" s="6"/>
      <c r="B13" s="22" t="s">
        <v>17</v>
      </c>
      <c r="C13" s="23">
        <v>300</v>
      </c>
      <c r="D13" s="23">
        <v>400</v>
      </c>
      <c r="E13" s="23">
        <v>400</v>
      </c>
      <c r="F13" s="23">
        <v>100</v>
      </c>
      <c r="G13" s="23">
        <v>100</v>
      </c>
      <c r="H13" s="23">
        <v>100</v>
      </c>
      <c r="I13" s="23">
        <v>100</v>
      </c>
      <c r="J13" s="23">
        <v>100</v>
      </c>
      <c r="K13" s="23">
        <v>100</v>
      </c>
      <c r="L13" s="23">
        <v>100</v>
      </c>
      <c r="M13" s="23">
        <v>400</v>
      </c>
      <c r="N13" s="23">
        <v>400</v>
      </c>
      <c r="O13" s="23">
        <f t="shared" si="1"/>
        <v>2600</v>
      </c>
      <c r="P13" s="6"/>
      <c r="R13" s="20"/>
      <c r="S13" s="20"/>
      <c r="T13" s="20"/>
    </row>
    <row r="14" spans="1:20" ht="30" customHeight="1" x14ac:dyDescent="0.25">
      <c r="A14" s="6"/>
      <c r="B14" s="22" t="s">
        <v>18</v>
      </c>
      <c r="C14" s="23">
        <v>300</v>
      </c>
      <c r="D14" s="23">
        <v>300</v>
      </c>
      <c r="E14" s="23">
        <v>300</v>
      </c>
      <c r="F14" s="23">
        <v>300</v>
      </c>
      <c r="G14" s="23">
        <v>300</v>
      </c>
      <c r="H14" s="23">
        <v>300</v>
      </c>
      <c r="I14" s="23">
        <v>300</v>
      </c>
      <c r="J14" s="23">
        <v>300</v>
      </c>
      <c r="K14" s="23">
        <v>300</v>
      </c>
      <c r="L14" s="23">
        <v>300</v>
      </c>
      <c r="M14" s="23">
        <v>300</v>
      </c>
      <c r="N14" s="23">
        <v>300</v>
      </c>
      <c r="O14" s="23">
        <f t="shared" si="1"/>
        <v>3600</v>
      </c>
      <c r="P14" s="6"/>
      <c r="R14" s="20"/>
      <c r="S14" s="20"/>
      <c r="T14" s="20"/>
    </row>
    <row r="15" spans="1:20" ht="30" customHeight="1" x14ac:dyDescent="0.25">
      <c r="A15" s="6"/>
      <c r="B15" s="22" t="s">
        <v>19</v>
      </c>
      <c r="C15" s="23">
        <v>40</v>
      </c>
      <c r="D15" s="23">
        <v>40</v>
      </c>
      <c r="E15" s="23">
        <v>40</v>
      </c>
      <c r="F15" s="23">
        <v>40</v>
      </c>
      <c r="G15" s="23">
        <v>40</v>
      </c>
      <c r="H15" s="23">
        <v>40</v>
      </c>
      <c r="I15" s="23">
        <v>40</v>
      </c>
      <c r="J15" s="23">
        <v>40</v>
      </c>
      <c r="K15" s="23">
        <v>40</v>
      </c>
      <c r="L15" s="23">
        <v>40</v>
      </c>
      <c r="M15" s="23">
        <v>40</v>
      </c>
      <c r="N15" s="23">
        <v>40</v>
      </c>
      <c r="O15" s="23">
        <f t="shared" si="1"/>
        <v>480</v>
      </c>
      <c r="P15" s="6"/>
    </row>
    <row r="16" spans="1:20" ht="30" customHeight="1" x14ac:dyDescent="0.25">
      <c r="A16" s="6"/>
      <c r="B16" s="22" t="s">
        <v>20</v>
      </c>
      <c r="C16" s="23">
        <v>250</v>
      </c>
      <c r="D16" s="23">
        <v>250</v>
      </c>
      <c r="E16" s="23">
        <v>250</v>
      </c>
      <c r="F16" s="23">
        <v>250</v>
      </c>
      <c r="G16" s="23">
        <v>250</v>
      </c>
      <c r="H16" s="23">
        <v>250</v>
      </c>
      <c r="I16" s="23">
        <v>250</v>
      </c>
      <c r="J16" s="23">
        <v>250</v>
      </c>
      <c r="K16" s="23">
        <v>250</v>
      </c>
      <c r="L16" s="23">
        <v>250</v>
      </c>
      <c r="M16" s="23">
        <v>250</v>
      </c>
      <c r="N16" s="23">
        <v>250</v>
      </c>
      <c r="O16" s="23">
        <f t="shared" si="1"/>
        <v>3000</v>
      </c>
      <c r="P16" s="6"/>
    </row>
    <row r="17" spans="1:16" ht="30" customHeight="1" x14ac:dyDescent="0.25">
      <c r="A17" s="6"/>
      <c r="B17" s="22" t="s">
        <v>21</v>
      </c>
      <c r="C17" s="23">
        <v>180</v>
      </c>
      <c r="D17" s="23">
        <v>180</v>
      </c>
      <c r="E17" s="23">
        <v>180</v>
      </c>
      <c r="F17" s="23">
        <v>180</v>
      </c>
      <c r="G17" s="23">
        <v>180</v>
      </c>
      <c r="H17" s="23">
        <v>180</v>
      </c>
      <c r="I17" s="23">
        <v>180</v>
      </c>
      <c r="J17" s="23">
        <v>180</v>
      </c>
      <c r="K17" s="23">
        <v>180</v>
      </c>
      <c r="L17" s="23">
        <v>180</v>
      </c>
      <c r="M17" s="23">
        <v>180</v>
      </c>
      <c r="N17" s="23">
        <v>180</v>
      </c>
      <c r="O17" s="23">
        <f t="shared" si="1"/>
        <v>2160</v>
      </c>
      <c r="P17" s="6"/>
    </row>
    <row r="18" spans="1:16" ht="30" customHeight="1" x14ac:dyDescent="0.25">
      <c r="A18" s="6"/>
      <c r="B18" s="22" t="s">
        <v>22</v>
      </c>
      <c r="C18" s="23">
        <v>200</v>
      </c>
      <c r="D18" s="23">
        <v>200</v>
      </c>
      <c r="E18" s="23">
        <v>200</v>
      </c>
      <c r="F18" s="23">
        <v>200</v>
      </c>
      <c r="G18" s="23">
        <v>200</v>
      </c>
      <c r="H18" s="23">
        <v>200</v>
      </c>
      <c r="I18" s="23">
        <v>200</v>
      </c>
      <c r="J18" s="23">
        <v>200</v>
      </c>
      <c r="K18" s="23">
        <v>200</v>
      </c>
      <c r="L18" s="23">
        <v>200</v>
      </c>
      <c r="M18" s="23">
        <v>200</v>
      </c>
      <c r="N18" s="23">
        <v>200</v>
      </c>
      <c r="O18" s="23">
        <f t="shared" si="1"/>
        <v>2400</v>
      </c>
      <c r="P18" s="6"/>
    </row>
    <row r="19" spans="1:16" ht="30" customHeight="1" x14ac:dyDescent="0.25">
      <c r="A19" s="6"/>
      <c r="B19" s="22" t="s">
        <v>23</v>
      </c>
      <c r="C19" s="23">
        <v>600</v>
      </c>
      <c r="D19" s="23">
        <v>600</v>
      </c>
      <c r="E19" s="23">
        <v>600</v>
      </c>
      <c r="F19" s="23">
        <v>600</v>
      </c>
      <c r="G19" s="23">
        <v>600</v>
      </c>
      <c r="H19" s="23">
        <v>600</v>
      </c>
      <c r="I19" s="23">
        <v>600</v>
      </c>
      <c r="J19" s="23">
        <v>600</v>
      </c>
      <c r="K19" s="23">
        <v>600</v>
      </c>
      <c r="L19" s="23">
        <v>600</v>
      </c>
      <c r="M19" s="23">
        <v>600</v>
      </c>
      <c r="N19" s="23">
        <v>600</v>
      </c>
      <c r="O19" s="23">
        <f t="shared" si="1"/>
        <v>7200</v>
      </c>
      <c r="P19" s="6"/>
    </row>
    <row r="20" spans="1:16" ht="30" customHeight="1" x14ac:dyDescent="0.25">
      <c r="A20" s="6"/>
      <c r="B20" s="22" t="s">
        <v>15</v>
      </c>
      <c r="C20" s="23">
        <f>SUBTOTAL(109,OfficePlan[Jan])</f>
        <v>11670</v>
      </c>
      <c r="D20" s="23">
        <f>SUBTOTAL(109,OfficePlan[Feb])</f>
        <v>11770</v>
      </c>
      <c r="E20" s="23">
        <f>SUBTOTAL(109,OfficePlan[Mar])</f>
        <v>11770</v>
      </c>
      <c r="F20" s="23">
        <f>SUBTOTAL(109,OfficePlan[Apr])</f>
        <v>11470</v>
      </c>
      <c r="G20" s="23">
        <f>SUBTOTAL(109,OfficePlan[May])</f>
        <v>11470</v>
      </c>
      <c r="H20" s="23">
        <f>SUBTOTAL(109,OfficePlan[Jun])</f>
        <v>11470</v>
      </c>
      <c r="I20" s="23">
        <f>SUBTOTAL(109,OfficePlan[Jul])</f>
        <v>11470</v>
      </c>
      <c r="J20" s="23">
        <f>SUBTOTAL(109,OfficePlan[Aug])</f>
        <v>11470</v>
      </c>
      <c r="K20" s="23">
        <f>SUBTOTAL(109,OfficePlan[Sep])</f>
        <v>11470</v>
      </c>
      <c r="L20" s="23">
        <f>SUBTOTAL(109,OfficePlan[Oct])</f>
        <v>11470</v>
      </c>
      <c r="M20" s="23">
        <f>SUBTOTAL(109,OfficePlan[Nov])</f>
        <v>11770</v>
      </c>
      <c r="N20" s="23">
        <f>SUBTOTAL(109,OfficePlan[Dec])</f>
        <v>11770</v>
      </c>
      <c r="O20" s="23">
        <f>SUBTOTAL(109,OfficePlan[YEAR])</f>
        <v>139040</v>
      </c>
      <c r="P20" s="6"/>
    </row>
    <row r="21" spans="1:16" ht="30" customHeight="1" x14ac:dyDescent="0.25">
      <c r="A21" s="6"/>
      <c r="B21" s="25"/>
      <c r="C21" s="25"/>
      <c r="D21" s="25"/>
      <c r="E21" s="25"/>
      <c r="F21" s="25"/>
      <c r="G21" s="25"/>
      <c r="H21" s="25"/>
      <c r="I21" s="25"/>
      <c r="J21" s="25"/>
      <c r="K21" s="25"/>
      <c r="L21" s="25"/>
      <c r="M21" s="25"/>
      <c r="N21" s="25"/>
      <c r="O21" s="25"/>
      <c r="P21" s="6"/>
    </row>
    <row r="22" spans="1:16" s="48" customFormat="1" ht="40.25" customHeight="1" x14ac:dyDescent="0.3">
      <c r="A22" s="44"/>
      <c r="B22" s="21" t="s">
        <v>43</v>
      </c>
      <c r="C22" s="55" t="s">
        <v>0</v>
      </c>
      <c r="D22" s="55" t="s">
        <v>1</v>
      </c>
      <c r="E22" s="56" t="s">
        <v>2</v>
      </c>
      <c r="F22" s="55" t="s">
        <v>3</v>
      </c>
      <c r="G22" s="55" t="s">
        <v>4</v>
      </c>
      <c r="H22" s="55" t="s">
        <v>5</v>
      </c>
      <c r="I22" s="55" t="s">
        <v>6</v>
      </c>
      <c r="J22" s="55" t="s">
        <v>7</v>
      </c>
      <c r="K22" s="55" t="s">
        <v>8</v>
      </c>
      <c r="L22" s="55" t="s">
        <v>9</v>
      </c>
      <c r="M22" s="55" t="s">
        <v>10</v>
      </c>
      <c r="N22" s="55" t="s">
        <v>11</v>
      </c>
      <c r="O22" s="55" t="s">
        <v>12</v>
      </c>
      <c r="P22" s="44"/>
    </row>
    <row r="23" spans="1:16" ht="30" customHeight="1" x14ac:dyDescent="0.25">
      <c r="A23" s="6"/>
      <c r="B23" s="22" t="s">
        <v>24</v>
      </c>
      <c r="C23" s="23"/>
      <c r="D23" s="23"/>
      <c r="E23" s="23"/>
      <c r="F23" s="23"/>
      <c r="G23" s="23"/>
      <c r="H23" s="23"/>
      <c r="I23" s="23"/>
      <c r="J23" s="23"/>
      <c r="K23" s="23"/>
      <c r="L23" s="23"/>
      <c r="M23" s="23"/>
      <c r="N23" s="23"/>
      <c r="O23" s="23"/>
      <c r="P23" s="6"/>
    </row>
    <row r="24" spans="1:16" ht="30" customHeight="1" x14ac:dyDescent="0.25">
      <c r="A24" s="6"/>
      <c r="B24" s="22" t="s">
        <v>25</v>
      </c>
      <c r="C24" s="23"/>
      <c r="D24" s="23"/>
      <c r="E24" s="23"/>
      <c r="F24" s="23"/>
      <c r="G24" s="23"/>
      <c r="H24" s="23"/>
      <c r="I24" s="23"/>
      <c r="J24" s="23"/>
      <c r="K24" s="23"/>
      <c r="L24" s="23"/>
      <c r="M24" s="23"/>
      <c r="N24" s="23"/>
      <c r="O24" s="23"/>
      <c r="P24" s="6"/>
    </row>
    <row r="25" spans="1:16" ht="30" customHeight="1" x14ac:dyDescent="0.25">
      <c r="A25" s="6"/>
      <c r="B25" s="22" t="s">
        <v>26</v>
      </c>
      <c r="C25" s="23"/>
      <c r="D25" s="23"/>
      <c r="E25" s="23"/>
      <c r="F25" s="23"/>
      <c r="G25" s="23"/>
      <c r="H25" s="23"/>
      <c r="I25" s="23"/>
      <c r="J25" s="23"/>
      <c r="K25" s="23"/>
      <c r="L25" s="23"/>
      <c r="M25" s="23"/>
      <c r="N25" s="23"/>
      <c r="O25" s="23"/>
      <c r="P25" s="6"/>
    </row>
    <row r="26" spans="1:16" ht="30" customHeight="1" x14ac:dyDescent="0.25">
      <c r="A26" s="6"/>
      <c r="B26" s="22" t="s">
        <v>27</v>
      </c>
      <c r="C26" s="23"/>
      <c r="D26" s="23"/>
      <c r="E26" s="23"/>
      <c r="F26" s="23"/>
      <c r="G26" s="23"/>
      <c r="H26" s="23"/>
      <c r="I26" s="23"/>
      <c r="J26" s="23"/>
      <c r="K26" s="23"/>
      <c r="L26" s="23"/>
      <c r="M26" s="23"/>
      <c r="N26" s="23"/>
      <c r="O26" s="23"/>
      <c r="P26" s="6"/>
    </row>
    <row r="27" spans="1:16" ht="30" customHeight="1" x14ac:dyDescent="0.25">
      <c r="A27" s="6"/>
      <c r="B27" s="22" t="s">
        <v>28</v>
      </c>
      <c r="C27" s="23"/>
      <c r="D27" s="23"/>
      <c r="E27" s="23"/>
      <c r="F27" s="23"/>
      <c r="G27" s="23"/>
      <c r="H27" s="23"/>
      <c r="I27" s="23"/>
      <c r="J27" s="23"/>
      <c r="K27" s="23"/>
      <c r="L27" s="23"/>
      <c r="M27" s="23"/>
      <c r="N27" s="23"/>
      <c r="O27" s="23"/>
      <c r="P27" s="6"/>
    </row>
    <row r="28" spans="1:16" ht="30" customHeight="1" x14ac:dyDescent="0.25">
      <c r="A28" s="6"/>
      <c r="B28" s="22" t="s">
        <v>29</v>
      </c>
      <c r="C28" s="23"/>
      <c r="D28" s="23"/>
      <c r="E28" s="23"/>
      <c r="F28" s="23"/>
      <c r="G28" s="23"/>
      <c r="H28" s="23"/>
      <c r="I28" s="23"/>
      <c r="J28" s="23"/>
      <c r="K28" s="23"/>
      <c r="L28" s="23"/>
      <c r="M28" s="23"/>
      <c r="N28" s="23"/>
      <c r="O28" s="23"/>
      <c r="P28" s="6"/>
    </row>
    <row r="29" spans="1:16" ht="30" customHeight="1" x14ac:dyDescent="0.25">
      <c r="A29" s="6"/>
      <c r="B29" s="22" t="s">
        <v>15</v>
      </c>
      <c r="C29" s="23"/>
      <c r="D29" s="23"/>
      <c r="E29" s="23"/>
      <c r="F29" s="23"/>
      <c r="G29" s="23"/>
      <c r="H29" s="23"/>
      <c r="I29" s="23"/>
      <c r="J29" s="23"/>
      <c r="K29" s="23"/>
      <c r="L29" s="23"/>
      <c r="M29" s="23"/>
      <c r="N29" s="23"/>
      <c r="O29" s="23"/>
      <c r="P29" s="6"/>
    </row>
    <row r="30" spans="1:16" ht="30" customHeight="1" x14ac:dyDescent="0.25">
      <c r="A30" s="6"/>
      <c r="B30" s="26"/>
      <c r="C30" s="26"/>
      <c r="D30" s="26"/>
      <c r="E30" s="26"/>
      <c r="F30" s="26"/>
      <c r="G30" s="26"/>
      <c r="H30" s="26"/>
      <c r="I30" s="26"/>
      <c r="J30" s="26"/>
      <c r="K30" s="26"/>
      <c r="L30" s="26"/>
      <c r="M30" s="26"/>
      <c r="N30" s="26"/>
      <c r="O30" s="26"/>
      <c r="P30" s="6"/>
    </row>
    <row r="31" spans="1:16" s="48" customFormat="1" ht="40.25" customHeight="1" x14ac:dyDescent="0.3">
      <c r="A31" s="44"/>
      <c r="B31" s="21" t="s">
        <v>44</v>
      </c>
      <c r="C31" s="55" t="s">
        <v>0</v>
      </c>
      <c r="D31" s="55" t="s">
        <v>1</v>
      </c>
      <c r="E31" s="56" t="s">
        <v>2</v>
      </c>
      <c r="F31" s="55" t="s">
        <v>3</v>
      </c>
      <c r="G31" s="55" t="s">
        <v>4</v>
      </c>
      <c r="H31" s="55" t="s">
        <v>5</v>
      </c>
      <c r="I31" s="55" t="s">
        <v>6</v>
      </c>
      <c r="J31" s="55" t="s">
        <v>7</v>
      </c>
      <c r="K31" s="55" t="s">
        <v>8</v>
      </c>
      <c r="L31" s="55" t="s">
        <v>9</v>
      </c>
      <c r="M31" s="55" t="s">
        <v>10</v>
      </c>
      <c r="N31" s="55" t="s">
        <v>11</v>
      </c>
      <c r="O31" s="55" t="s">
        <v>12</v>
      </c>
      <c r="P31" s="44"/>
    </row>
    <row r="32" spans="1:16" ht="30" customHeight="1" x14ac:dyDescent="0.25">
      <c r="A32" s="6"/>
      <c r="B32" s="22" t="s">
        <v>30</v>
      </c>
      <c r="C32" s="23">
        <v>2000</v>
      </c>
      <c r="D32" s="23">
        <v>2000</v>
      </c>
      <c r="E32" s="23">
        <v>2000</v>
      </c>
      <c r="F32" s="23">
        <v>2000</v>
      </c>
      <c r="G32" s="23">
        <v>2000</v>
      </c>
      <c r="H32" s="23">
        <v>2000</v>
      </c>
      <c r="I32" s="23">
        <v>2000</v>
      </c>
      <c r="J32" s="23">
        <v>2000</v>
      </c>
      <c r="K32" s="23">
        <v>2000</v>
      </c>
      <c r="L32" s="23">
        <v>2000</v>
      </c>
      <c r="M32" s="23">
        <v>2000</v>
      </c>
      <c r="N32" s="23">
        <v>2000</v>
      </c>
      <c r="O32" s="23">
        <f>SUM(C32:N32)</f>
        <v>24000</v>
      </c>
      <c r="P32" s="6"/>
    </row>
    <row r="33" spans="1:16" ht="30" customHeight="1" x14ac:dyDescent="0.25">
      <c r="A33" s="6"/>
      <c r="B33" s="22" t="s">
        <v>31</v>
      </c>
      <c r="C33" s="23">
        <v>2000</v>
      </c>
      <c r="D33" s="23">
        <v>2000</v>
      </c>
      <c r="E33" s="23">
        <v>2000</v>
      </c>
      <c r="F33" s="23">
        <v>2000</v>
      </c>
      <c r="G33" s="23">
        <v>2000</v>
      </c>
      <c r="H33" s="23">
        <v>2000</v>
      </c>
      <c r="I33" s="23">
        <v>2000</v>
      </c>
      <c r="J33" s="23">
        <v>2000</v>
      </c>
      <c r="K33" s="23">
        <v>2000</v>
      </c>
      <c r="L33" s="23">
        <v>2000</v>
      </c>
      <c r="M33" s="23">
        <v>2000</v>
      </c>
      <c r="N33" s="23">
        <v>2000</v>
      </c>
      <c r="O33" s="23">
        <f>SUM(C33:N33)</f>
        <v>24000</v>
      </c>
      <c r="P33" s="6"/>
    </row>
    <row r="34" spans="1:16" ht="30" customHeight="1" x14ac:dyDescent="0.25">
      <c r="A34" s="6"/>
      <c r="B34" s="22" t="s">
        <v>15</v>
      </c>
      <c r="C34" s="23">
        <f>SUBTOTAL(109,TrainingAndTravelPlan[Jan])</f>
        <v>4000</v>
      </c>
      <c r="D34" s="23">
        <f>SUBTOTAL(109,TrainingAndTravelPlan[Feb])</f>
        <v>4000</v>
      </c>
      <c r="E34" s="23">
        <f>SUBTOTAL(109,TrainingAndTravelPlan[Mar])</f>
        <v>4000</v>
      </c>
      <c r="F34" s="23">
        <f>SUBTOTAL(109,TrainingAndTravelPlan[Apr])</f>
        <v>4000</v>
      </c>
      <c r="G34" s="23">
        <f>SUBTOTAL(109,TrainingAndTravelPlan[May])</f>
        <v>4000</v>
      </c>
      <c r="H34" s="23">
        <f>SUBTOTAL(109,TrainingAndTravelPlan[Jun])</f>
        <v>4000</v>
      </c>
      <c r="I34" s="23">
        <f>SUBTOTAL(109,TrainingAndTravelPlan[Jul])</f>
        <v>4000</v>
      </c>
      <c r="J34" s="23">
        <f>SUBTOTAL(109,TrainingAndTravelPlan[Aug])</f>
        <v>4000</v>
      </c>
      <c r="K34" s="23">
        <f>SUBTOTAL(109,TrainingAndTravelPlan[Sep])</f>
        <v>4000</v>
      </c>
      <c r="L34" s="23">
        <f>SUBTOTAL(109,TrainingAndTravelPlan[Oct])</f>
        <v>4000</v>
      </c>
      <c r="M34" s="23">
        <f>SUBTOTAL(109,TrainingAndTravelPlan[Nov])</f>
        <v>4000</v>
      </c>
      <c r="N34" s="23">
        <f>SUBTOTAL(109,TrainingAndTravelPlan[Dec])</f>
        <v>4000</v>
      </c>
      <c r="O34" s="23">
        <f>SUBTOTAL(109,TrainingAndTravelPlan[YEAR])</f>
        <v>48000</v>
      </c>
      <c r="P34" s="6"/>
    </row>
    <row r="35" spans="1:16" ht="30" customHeight="1" x14ac:dyDescent="0.25">
      <c r="A35" s="6"/>
      <c r="B35" s="26"/>
      <c r="C35" s="26"/>
      <c r="D35" s="26"/>
      <c r="E35" s="26"/>
      <c r="F35" s="26"/>
      <c r="G35" s="26"/>
      <c r="H35" s="26"/>
      <c r="I35" s="26"/>
      <c r="J35" s="26"/>
      <c r="K35" s="26"/>
      <c r="L35" s="26"/>
      <c r="M35" s="26"/>
      <c r="N35" s="26"/>
      <c r="O35" s="26"/>
      <c r="P35" s="6"/>
    </row>
    <row r="36" spans="1:16" ht="40.25" customHeight="1" x14ac:dyDescent="0.25">
      <c r="A36" s="6"/>
      <c r="B36" s="27" t="s">
        <v>54</v>
      </c>
      <c r="C36" s="85" t="s">
        <v>0</v>
      </c>
      <c r="D36" s="85" t="s">
        <v>1</v>
      </c>
      <c r="E36" s="85" t="s">
        <v>2</v>
      </c>
      <c r="F36" s="85" t="s">
        <v>3</v>
      </c>
      <c r="G36" s="85" t="s">
        <v>4</v>
      </c>
      <c r="H36" s="85" t="s">
        <v>5</v>
      </c>
      <c r="I36" s="85" t="s">
        <v>6</v>
      </c>
      <c r="J36" s="85" t="s">
        <v>7</v>
      </c>
      <c r="K36" s="85" t="s">
        <v>8</v>
      </c>
      <c r="L36" s="85" t="s">
        <v>9</v>
      </c>
      <c r="M36" s="85" t="s">
        <v>10</v>
      </c>
      <c r="N36" s="85" t="s">
        <v>11</v>
      </c>
      <c r="O36" s="85" t="s">
        <v>36</v>
      </c>
      <c r="P36" s="6"/>
    </row>
    <row r="37" spans="1:16" ht="30" customHeight="1" x14ac:dyDescent="0.25">
      <c r="A37" s="6"/>
      <c r="B37" s="22" t="s">
        <v>45</v>
      </c>
      <c r="C37" s="23">
        <f>TrainingAndTravelPlan[[#Totals],[Jan]]+MarketingPlan[[#Totals],[Jan]]+OfficePlan[[#Totals],[Jan]]+EmployeePlan[[#Totals],[Jan]]</f>
        <v>123620</v>
      </c>
      <c r="D37" s="23">
        <f>TrainingAndTravelPlan[[#Totals],[Feb]]+MarketingPlan[[#Totals],[Feb]]+OfficePlan[[#Totals],[Feb]]+EmployeePlan[[#Totals],[Feb]]</f>
        <v>123720</v>
      </c>
      <c r="E37" s="23">
        <f>TrainingAndTravelPlan[[#Totals],[Mar]]+MarketingPlan[[#Totals],[Mar]]+OfficePlan[[#Totals],[Mar]]+EmployeePlan[[#Totals],[Mar]]</f>
        <v>123720</v>
      </c>
      <c r="F37" s="23">
        <f>TrainingAndTravelPlan[[#Totals],[Apr]]+MarketingPlan[[#Totals],[Apr]]+OfficePlan[[#Totals],[Apr]]+EmployeePlan[[#Totals],[Apr]]</f>
        <v>126595</v>
      </c>
      <c r="G37" s="23">
        <f>TrainingAndTravelPlan[[#Totals],[May]]+MarketingPlan[[#Totals],[May]]+OfficePlan[[#Totals],[May]]+EmployeePlan[[#Totals],[May]]</f>
        <v>126595</v>
      </c>
      <c r="H37" s="23">
        <f>TrainingAndTravelPlan[[#Totals],[Jun]]+MarketingPlan[[#Totals],[Jun]]+OfficePlan[[#Totals],[Jun]]+EmployeePlan[[#Totals],[Jun]]</f>
        <v>126595</v>
      </c>
      <c r="I37" s="23">
        <f>TrainingAndTravelPlan[[#Totals],[Jul]]+MarketingPlan[[#Totals],[Jul]]+OfficePlan[[#Totals],[Jul]]+EmployeePlan[[#Totals],[Jul]]</f>
        <v>126595</v>
      </c>
      <c r="J37" s="23">
        <f>TrainingAndTravelPlan[[#Totals],[Aug]]+MarketingPlan[[#Totals],[Aug]]+OfficePlan[[#Totals],[Aug]]+EmployeePlan[[#Totals],[Aug]]</f>
        <v>132818</v>
      </c>
      <c r="K37" s="23">
        <f>TrainingAndTravelPlan[[#Totals],[Sep]]+MarketingPlan[[#Totals],[Sep]]+OfficePlan[[#Totals],[Sep]]+EmployeePlan[[#Totals],[Sep]]</f>
        <v>132818</v>
      </c>
      <c r="L37" s="23">
        <f>TrainingAndTravelPlan[[#Totals],[Oct]]+MarketingPlan[[#Totals],[Oct]]+OfficePlan[[#Totals],[Oct]]+EmployeePlan[[#Totals],[Oct]]</f>
        <v>132818</v>
      </c>
      <c r="M37" s="23">
        <f>TrainingAndTravelPlan[[#Totals],[Nov]]+MarketingPlan[[#Totals],[Nov]]+OfficePlan[[#Totals],[Nov]]+EmployeePlan[[#Totals],[Nov]]</f>
        <v>133118</v>
      </c>
      <c r="N37" s="23">
        <f>TrainingAndTravelPlan[[#Totals],[Dec]]+MarketingPlan[[#Totals],[Dec]]+OfficePlan[[#Totals],[Dec]]+EmployeePlan[[#Totals],[Dec]]</f>
        <v>133118</v>
      </c>
      <c r="O37" s="23">
        <f>TrainingAndTravelPlan[[#Totals],[YEAR]]+MarketingPlan[[#Totals],[YEAR]]+OfficePlan[[#Totals],[YEAR]]+EmployeePlan[[#Totals],[YEAR]]</f>
        <v>1542130</v>
      </c>
      <c r="P37" s="6"/>
    </row>
    <row r="38" spans="1:16" ht="30" customHeight="1" x14ac:dyDescent="0.25">
      <c r="A38" s="6"/>
      <c r="B38" s="22" t="s">
        <v>46</v>
      </c>
      <c r="C38" s="23">
        <f>SUM($C$37:C37)</f>
        <v>123620</v>
      </c>
      <c r="D38" s="23">
        <f>SUM($C$37:D37)</f>
        <v>247340</v>
      </c>
      <c r="E38" s="23">
        <f>SUM($C$37:E37)</f>
        <v>371060</v>
      </c>
      <c r="F38" s="23">
        <f>SUM($C$37:F37)</f>
        <v>497655</v>
      </c>
      <c r="G38" s="23">
        <f>SUM($C$37:G37)</f>
        <v>624250</v>
      </c>
      <c r="H38" s="23">
        <f>SUM($C$37:H37)</f>
        <v>750845</v>
      </c>
      <c r="I38" s="23">
        <f>SUM($C$37:I37)</f>
        <v>877440</v>
      </c>
      <c r="J38" s="23">
        <f>SUM($C$37:J37)</f>
        <v>1010258</v>
      </c>
      <c r="K38" s="23">
        <f>SUM($C$37:K37)</f>
        <v>1143076</v>
      </c>
      <c r="L38" s="23">
        <f>SUM($C$37:L37)</f>
        <v>1275894</v>
      </c>
      <c r="M38" s="23">
        <f>SUM($C$37:M37)</f>
        <v>1409012</v>
      </c>
      <c r="N38" s="23">
        <f>SUM($C$37:N37)</f>
        <v>1542130</v>
      </c>
      <c r="O38" s="23"/>
      <c r="P38" s="6"/>
    </row>
    <row r="39" spans="1:16" ht="30" customHeight="1" x14ac:dyDescent="0.25">
      <c r="A39" s="6"/>
      <c r="B39" s="37"/>
      <c r="C39" s="37"/>
      <c r="D39" s="37"/>
      <c r="E39" s="37"/>
      <c r="F39" s="37"/>
      <c r="G39" s="37"/>
      <c r="H39" s="37"/>
      <c r="I39" s="37"/>
      <c r="J39" s="37"/>
      <c r="K39" s="37"/>
      <c r="L39" s="37"/>
      <c r="M39" s="37"/>
      <c r="N39" s="37"/>
      <c r="O39" s="37"/>
      <c r="P39" s="6"/>
    </row>
  </sheetData>
  <mergeCells count="1">
    <mergeCell ref="B2:D3"/>
  </mergeCells>
  <dataValidations disablePrompts="1" count="7">
    <dataValidation allowBlank="1" showInputMessage="1" showErrorMessage="1" prompt="Enter Employee Costs in Employee Plan table starting in cell at right. Next instruction is in cell A11." sqref="A6" xr:uid="{EED19FC0-ADDC-4580-BE69-2FEDE2EE49A6}"/>
    <dataValidation allowBlank="1" showInputMessage="1" showErrorMessage="1" prompt="Enter Office Costs in Office Plan table starting in cell at right. Next instruction is in cell A22." sqref="A11" xr:uid="{8C5477C2-13FC-4F55-AAB3-60246BBB7A64}"/>
    <dataValidation allowBlank="1" showInputMessage="1" showErrorMessage="1" prompt="Enter Marketing Costs in Marketing Plan table starting in cell at right. Next instruction is in cell A31." sqref="A22" xr:uid="{66411362-0BD5-4E49-BFA8-E0A0A55D07AD}"/>
    <dataValidation allowBlank="1" showInputMessage="1" showErrorMessage="1" prompt="Totals are auto calculated in Planned Total table starting in cell at right." sqref="A36" xr:uid="{6B0B8404-700F-48B3-AD96-0ED1CE7011E9}"/>
    <dataValidation allowBlank="1" showInputMessage="1" showErrorMessage="1" prompt="Enter Planned Employee Costs, Office Costs, Marketing Costs, and Training or Travel Cost in respective tables in this worksheet. Totals are auto calculated. Instructions on how to use this worksheet are in cells in this column. Arrow down to get started." sqref="A1" xr:uid="{C6D84CBA-4A3E-4161-9004-1D9F785E5541}"/>
    <dataValidation allowBlank="1" showInputMessage="1" showErrorMessage="1" prompt="Enter Company Name in cell B2. Replace placeholder with your company logo. Title of this worksheet is in cell O2." sqref="A2" xr:uid="{B4473BB7-021E-4A63-A5F5-4234C1B5B724}"/>
    <dataValidation allowBlank="1" showInputMessage="1" showErrorMessage="1" prompt="Enter Training/Travel Costs in Training/Travel Plan table starting in cell at right. Next instruction is in cell A36." sqref="A31" xr:uid="{69DE299C-D016-4377-AE79-817C19136F42}"/>
  </dataValidations>
  <printOptions horizontalCentered="1"/>
  <pageMargins left="0.4" right="0.4" top="0.4" bottom="0.4" header="0.3" footer="0.3"/>
  <pageSetup scale="53" fitToHeight="0" orientation="landscape" r:id="rId1"/>
  <headerFooter differentFirst="1">
    <oddFooter>Page &amp;P of &amp;N</oddFooter>
  </headerFooter>
  <ignoredErrors>
    <ignoredError sqref="C37:O38" calculatedColumn="1"/>
  </ignoredErrors>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97BD2-4449-5546-B60F-5442C2C9CEF7}">
  <dimension ref="A1:D209"/>
  <sheetViews>
    <sheetView topLeftCell="A150" workbookViewId="0">
      <selection activeCell="D209" sqref="D209"/>
    </sheetView>
  </sheetViews>
  <sheetFormatPr baseColWidth="10" defaultRowHeight="13" x14ac:dyDescent="0.2"/>
  <cols>
    <col min="1" max="1" width="11.6640625" style="20" bestFit="1" customWidth="1"/>
    <col min="2" max="16384" width="10.83203125" style="20"/>
  </cols>
  <sheetData>
    <row r="1" spans="1:4" x14ac:dyDescent="0.2">
      <c r="A1" s="20" t="s">
        <v>65</v>
      </c>
      <c r="B1" s="20" t="s">
        <v>66</v>
      </c>
      <c r="C1" s="20" t="s">
        <v>68</v>
      </c>
      <c r="D1" s="20" t="s">
        <v>67</v>
      </c>
    </row>
    <row r="2" spans="1:4" x14ac:dyDescent="0.2">
      <c r="A2" s="20" t="s">
        <v>41</v>
      </c>
      <c r="B2" s="20" t="s">
        <v>13</v>
      </c>
      <c r="C2" s="20" t="s">
        <v>0</v>
      </c>
      <c r="D2" s="20">
        <v>85000</v>
      </c>
    </row>
    <row r="3" spans="1:4" x14ac:dyDescent="0.2">
      <c r="A3" s="20" t="s">
        <v>41</v>
      </c>
      <c r="B3" s="20" t="s">
        <v>13</v>
      </c>
      <c r="C3" s="20" t="s">
        <v>1</v>
      </c>
      <c r="D3" s="20">
        <v>85000</v>
      </c>
    </row>
    <row r="4" spans="1:4" x14ac:dyDescent="0.2">
      <c r="A4" s="20" t="s">
        <v>41</v>
      </c>
      <c r="B4" s="20" t="s">
        <v>13</v>
      </c>
      <c r="C4" s="20" t="s">
        <v>2</v>
      </c>
      <c r="D4" s="20">
        <v>85000</v>
      </c>
    </row>
    <row r="5" spans="1:4" x14ac:dyDescent="0.2">
      <c r="A5" s="20" t="s">
        <v>41</v>
      </c>
      <c r="B5" s="20" t="s">
        <v>13</v>
      </c>
      <c r="C5" s="20" t="s">
        <v>3</v>
      </c>
      <c r="D5" s="20">
        <v>87500</v>
      </c>
    </row>
    <row r="6" spans="1:4" x14ac:dyDescent="0.2">
      <c r="A6" s="20" t="s">
        <v>41</v>
      </c>
      <c r="B6" s="20" t="s">
        <v>13</v>
      </c>
      <c r="C6" s="20" t="s">
        <v>4</v>
      </c>
      <c r="D6" s="20">
        <v>87500</v>
      </c>
    </row>
    <row r="7" spans="1:4" x14ac:dyDescent="0.2">
      <c r="A7" s="20" t="s">
        <v>41</v>
      </c>
      <c r="B7" s="20" t="s">
        <v>13</v>
      </c>
      <c r="C7" s="20" t="s">
        <v>5</v>
      </c>
      <c r="D7" s="20">
        <v>87500</v>
      </c>
    </row>
    <row r="8" spans="1:4" x14ac:dyDescent="0.2">
      <c r="A8" s="20" t="s">
        <v>41</v>
      </c>
      <c r="B8" s="20" t="s">
        <v>13</v>
      </c>
      <c r="C8" s="20" t="s">
        <v>6</v>
      </c>
      <c r="D8" s="20">
        <v>87500</v>
      </c>
    </row>
    <row r="9" spans="1:4" x14ac:dyDescent="0.2">
      <c r="A9" s="20" t="s">
        <v>41</v>
      </c>
      <c r="B9" s="20" t="s">
        <v>13</v>
      </c>
      <c r="C9" s="20" t="s">
        <v>7</v>
      </c>
      <c r="D9" s="20">
        <v>92400</v>
      </c>
    </row>
    <row r="10" spans="1:4" x14ac:dyDescent="0.2">
      <c r="A10" s="20" t="s">
        <v>41</v>
      </c>
      <c r="B10" s="20" t="s">
        <v>13</v>
      </c>
      <c r="C10" s="20" t="s">
        <v>8</v>
      </c>
      <c r="D10" s="20">
        <v>92400</v>
      </c>
    </row>
    <row r="11" spans="1:4" x14ac:dyDescent="0.2">
      <c r="A11" s="20" t="s">
        <v>41</v>
      </c>
      <c r="B11" s="20" t="s">
        <v>13</v>
      </c>
      <c r="C11" s="20" t="s">
        <v>9</v>
      </c>
      <c r="D11" s="20">
        <v>92400</v>
      </c>
    </row>
    <row r="12" spans="1:4" x14ac:dyDescent="0.2">
      <c r="A12" s="20" t="s">
        <v>41</v>
      </c>
      <c r="B12" s="20" t="s">
        <v>13</v>
      </c>
      <c r="C12" s="20" t="s">
        <v>10</v>
      </c>
      <c r="D12" s="20">
        <v>92400</v>
      </c>
    </row>
    <row r="13" spans="1:4" x14ac:dyDescent="0.2">
      <c r="A13" s="20" t="s">
        <v>41</v>
      </c>
      <c r="B13" s="20" t="s">
        <v>13</v>
      </c>
      <c r="C13" s="20" t="s">
        <v>11</v>
      </c>
      <c r="D13" s="20">
        <v>92400</v>
      </c>
    </row>
    <row r="14" spans="1:4" x14ac:dyDescent="0.2">
      <c r="A14" s="20" t="s">
        <v>41</v>
      </c>
      <c r="B14" s="20" t="s">
        <v>13</v>
      </c>
      <c r="C14" s="20" t="s">
        <v>12</v>
      </c>
      <c r="D14" s="20">
        <f>+SUM(D2:D13)</f>
        <v>1067000</v>
      </c>
    </row>
    <row r="15" spans="1:4" x14ac:dyDescent="0.2">
      <c r="A15" s="20" t="s">
        <v>41</v>
      </c>
      <c r="B15" s="20" t="s">
        <v>14</v>
      </c>
      <c r="C15" s="20" t="s">
        <v>0</v>
      </c>
      <c r="D15" s="20">
        <v>22950</v>
      </c>
    </row>
    <row r="16" spans="1:4" x14ac:dyDescent="0.2">
      <c r="A16" s="20" t="s">
        <v>41</v>
      </c>
      <c r="B16" s="20" t="s">
        <v>14</v>
      </c>
      <c r="C16" s="20" t="s">
        <v>1</v>
      </c>
      <c r="D16" s="20">
        <v>22950</v>
      </c>
    </row>
    <row r="17" spans="1:4" x14ac:dyDescent="0.2">
      <c r="A17" s="20" t="s">
        <v>41</v>
      </c>
      <c r="B17" s="20" t="s">
        <v>14</v>
      </c>
      <c r="C17" s="20" t="s">
        <v>2</v>
      </c>
      <c r="D17" s="20">
        <v>22950</v>
      </c>
    </row>
    <row r="18" spans="1:4" x14ac:dyDescent="0.2">
      <c r="A18" s="20" t="s">
        <v>41</v>
      </c>
      <c r="B18" s="20" t="s">
        <v>14</v>
      </c>
      <c r="C18" s="20" t="s">
        <v>3</v>
      </c>
      <c r="D18" s="20">
        <v>23625</v>
      </c>
    </row>
    <row r="19" spans="1:4" x14ac:dyDescent="0.2">
      <c r="A19" s="20" t="s">
        <v>41</v>
      </c>
      <c r="B19" s="20" t="s">
        <v>14</v>
      </c>
      <c r="C19" s="20" t="s">
        <v>4</v>
      </c>
      <c r="D19" s="20">
        <v>23625</v>
      </c>
    </row>
    <row r="20" spans="1:4" x14ac:dyDescent="0.2">
      <c r="A20" s="20" t="s">
        <v>41</v>
      </c>
      <c r="B20" s="20" t="s">
        <v>14</v>
      </c>
      <c r="C20" s="20" t="s">
        <v>5</v>
      </c>
      <c r="D20" s="20">
        <v>23625</v>
      </c>
    </row>
    <row r="21" spans="1:4" x14ac:dyDescent="0.2">
      <c r="A21" s="20" t="s">
        <v>41</v>
      </c>
      <c r="B21" s="20" t="s">
        <v>14</v>
      </c>
      <c r="C21" s="20" t="s">
        <v>6</v>
      </c>
      <c r="D21" s="20">
        <v>23625</v>
      </c>
    </row>
    <row r="22" spans="1:4" x14ac:dyDescent="0.2">
      <c r="A22" s="20" t="s">
        <v>41</v>
      </c>
      <c r="B22" s="20" t="s">
        <v>14</v>
      </c>
      <c r="C22" s="20" t="s">
        <v>7</v>
      </c>
      <c r="D22" s="20">
        <v>24948</v>
      </c>
    </row>
    <row r="23" spans="1:4" x14ac:dyDescent="0.2">
      <c r="A23" s="20" t="s">
        <v>41</v>
      </c>
      <c r="B23" s="20" t="s">
        <v>14</v>
      </c>
      <c r="C23" s="20" t="s">
        <v>8</v>
      </c>
      <c r="D23" s="20">
        <v>24948</v>
      </c>
    </row>
    <row r="24" spans="1:4" x14ac:dyDescent="0.2">
      <c r="A24" s="20" t="s">
        <v>41</v>
      </c>
      <c r="B24" s="20" t="s">
        <v>14</v>
      </c>
      <c r="C24" s="20" t="s">
        <v>9</v>
      </c>
      <c r="D24" s="20">
        <v>24948</v>
      </c>
    </row>
    <row r="25" spans="1:4" x14ac:dyDescent="0.2">
      <c r="A25" s="20" t="s">
        <v>41</v>
      </c>
      <c r="B25" s="20" t="s">
        <v>14</v>
      </c>
      <c r="C25" s="20" t="s">
        <v>10</v>
      </c>
      <c r="D25" s="20">
        <v>24948</v>
      </c>
    </row>
    <row r="26" spans="1:4" x14ac:dyDescent="0.2">
      <c r="A26" s="20" t="s">
        <v>41</v>
      </c>
      <c r="B26" s="20" t="s">
        <v>14</v>
      </c>
      <c r="C26" s="20" t="s">
        <v>11</v>
      </c>
      <c r="D26" s="20">
        <v>24948</v>
      </c>
    </row>
    <row r="27" spans="1:4" x14ac:dyDescent="0.2">
      <c r="A27" s="20" t="s">
        <v>41</v>
      </c>
      <c r="B27" s="20" t="s">
        <v>14</v>
      </c>
      <c r="C27" s="20" t="s">
        <v>12</v>
      </c>
      <c r="D27" s="20">
        <f>+SUM(D15:D26)</f>
        <v>288090</v>
      </c>
    </row>
    <row r="28" spans="1:4" x14ac:dyDescent="0.2">
      <c r="A28" s="20" t="s">
        <v>41</v>
      </c>
      <c r="B28" s="20" t="s">
        <v>15</v>
      </c>
      <c r="C28" s="20" t="s">
        <v>0</v>
      </c>
      <c r="D28" s="20">
        <f>+SUMIFS($D$2:$D$27,$C$2:$C$27,C28)</f>
        <v>107950</v>
      </c>
    </row>
    <row r="29" spans="1:4" x14ac:dyDescent="0.2">
      <c r="A29" s="20" t="s">
        <v>41</v>
      </c>
      <c r="B29" s="20" t="s">
        <v>15</v>
      </c>
      <c r="C29" s="20" t="s">
        <v>1</v>
      </c>
      <c r="D29" s="20">
        <f t="shared" ref="D29:D39" si="0">+SUMIFS($D$2:$D$27,$C$2:$C$27,C29)</f>
        <v>107950</v>
      </c>
    </row>
    <row r="30" spans="1:4" x14ac:dyDescent="0.2">
      <c r="A30" s="20" t="s">
        <v>41</v>
      </c>
      <c r="B30" s="20" t="s">
        <v>15</v>
      </c>
      <c r="C30" s="20" t="s">
        <v>2</v>
      </c>
      <c r="D30" s="20">
        <f t="shared" si="0"/>
        <v>107950</v>
      </c>
    </row>
    <row r="31" spans="1:4" x14ac:dyDescent="0.2">
      <c r="A31" s="20" t="s">
        <v>41</v>
      </c>
      <c r="B31" s="20" t="s">
        <v>15</v>
      </c>
      <c r="C31" s="20" t="s">
        <v>3</v>
      </c>
      <c r="D31" s="20">
        <f t="shared" si="0"/>
        <v>111125</v>
      </c>
    </row>
    <row r="32" spans="1:4" x14ac:dyDescent="0.2">
      <c r="A32" s="20" t="s">
        <v>41</v>
      </c>
      <c r="B32" s="20" t="s">
        <v>15</v>
      </c>
      <c r="C32" s="20" t="s">
        <v>4</v>
      </c>
      <c r="D32" s="20">
        <f t="shared" si="0"/>
        <v>111125</v>
      </c>
    </row>
    <row r="33" spans="1:4" x14ac:dyDescent="0.2">
      <c r="A33" s="20" t="s">
        <v>41</v>
      </c>
      <c r="B33" s="20" t="s">
        <v>15</v>
      </c>
      <c r="C33" s="20" t="s">
        <v>5</v>
      </c>
      <c r="D33" s="20">
        <f t="shared" si="0"/>
        <v>111125</v>
      </c>
    </row>
    <row r="34" spans="1:4" x14ac:dyDescent="0.2">
      <c r="A34" s="20" t="s">
        <v>41</v>
      </c>
      <c r="B34" s="20" t="s">
        <v>15</v>
      </c>
      <c r="C34" s="20" t="s">
        <v>6</v>
      </c>
      <c r="D34" s="20">
        <f t="shared" si="0"/>
        <v>111125</v>
      </c>
    </row>
    <row r="35" spans="1:4" x14ac:dyDescent="0.2">
      <c r="A35" s="20" t="s">
        <v>41</v>
      </c>
      <c r="B35" s="20" t="s">
        <v>15</v>
      </c>
      <c r="C35" s="20" t="s">
        <v>7</v>
      </c>
      <c r="D35" s="20">
        <f t="shared" si="0"/>
        <v>117348</v>
      </c>
    </row>
    <row r="36" spans="1:4" x14ac:dyDescent="0.2">
      <c r="A36" s="20" t="s">
        <v>41</v>
      </c>
      <c r="B36" s="20" t="s">
        <v>15</v>
      </c>
      <c r="C36" s="20" t="s">
        <v>8</v>
      </c>
      <c r="D36" s="20">
        <f t="shared" si="0"/>
        <v>117348</v>
      </c>
    </row>
    <row r="37" spans="1:4" x14ac:dyDescent="0.2">
      <c r="A37" s="20" t="s">
        <v>41</v>
      </c>
      <c r="B37" s="20" t="s">
        <v>15</v>
      </c>
      <c r="C37" s="20" t="s">
        <v>9</v>
      </c>
      <c r="D37" s="20">
        <f t="shared" si="0"/>
        <v>117348</v>
      </c>
    </row>
    <row r="38" spans="1:4" x14ac:dyDescent="0.2">
      <c r="A38" s="20" t="s">
        <v>41</v>
      </c>
      <c r="B38" s="20" t="s">
        <v>15</v>
      </c>
      <c r="C38" s="20" t="s">
        <v>10</v>
      </c>
      <c r="D38" s="20">
        <f t="shared" si="0"/>
        <v>117348</v>
      </c>
    </row>
    <row r="39" spans="1:4" x14ac:dyDescent="0.2">
      <c r="A39" s="20" t="s">
        <v>41</v>
      </c>
      <c r="B39" s="20" t="s">
        <v>15</v>
      </c>
      <c r="C39" s="20" t="s">
        <v>11</v>
      </c>
      <c r="D39" s="20">
        <f t="shared" si="0"/>
        <v>117348</v>
      </c>
    </row>
    <row r="40" spans="1:4" x14ac:dyDescent="0.2">
      <c r="A40" s="20" t="s">
        <v>41</v>
      </c>
      <c r="B40" s="20" t="s">
        <v>15</v>
      </c>
      <c r="C40" s="20" t="s">
        <v>12</v>
      </c>
      <c r="D40" s="20">
        <f>+SUM(D28:D39)</f>
        <v>1355090</v>
      </c>
    </row>
    <row r="41" spans="1:4" x14ac:dyDescent="0.2">
      <c r="A41" s="20" t="s">
        <v>42</v>
      </c>
      <c r="B41" s="20" t="s">
        <v>16</v>
      </c>
      <c r="C41" s="20" t="s">
        <v>0</v>
      </c>
      <c r="D41" s="20">
        <v>9800</v>
      </c>
    </row>
    <row r="42" spans="1:4" x14ac:dyDescent="0.2">
      <c r="A42" s="20" t="s">
        <v>42</v>
      </c>
      <c r="B42" s="20" t="s">
        <v>16</v>
      </c>
      <c r="C42" s="20" t="s">
        <v>1</v>
      </c>
      <c r="D42" s="20">
        <v>9800</v>
      </c>
    </row>
    <row r="43" spans="1:4" x14ac:dyDescent="0.2">
      <c r="A43" s="20" t="s">
        <v>42</v>
      </c>
      <c r="B43" s="20" t="s">
        <v>16</v>
      </c>
      <c r="C43" s="20" t="s">
        <v>2</v>
      </c>
      <c r="D43" s="20">
        <v>9800</v>
      </c>
    </row>
    <row r="44" spans="1:4" x14ac:dyDescent="0.2">
      <c r="A44" s="20" t="s">
        <v>42</v>
      </c>
      <c r="B44" s="20" t="s">
        <v>16</v>
      </c>
      <c r="C44" s="20" t="s">
        <v>3</v>
      </c>
      <c r="D44" s="20">
        <v>9800</v>
      </c>
    </row>
    <row r="45" spans="1:4" x14ac:dyDescent="0.2">
      <c r="A45" s="20" t="s">
        <v>42</v>
      </c>
      <c r="B45" s="20" t="s">
        <v>16</v>
      </c>
      <c r="C45" s="20" t="s">
        <v>4</v>
      </c>
      <c r="D45" s="20">
        <v>9800</v>
      </c>
    </row>
    <row r="46" spans="1:4" x14ac:dyDescent="0.2">
      <c r="A46" s="20" t="s">
        <v>42</v>
      </c>
      <c r="B46" s="20" t="s">
        <v>16</v>
      </c>
      <c r="C46" s="20" t="s">
        <v>5</v>
      </c>
      <c r="D46" s="20">
        <v>9800</v>
      </c>
    </row>
    <row r="47" spans="1:4" x14ac:dyDescent="0.2">
      <c r="A47" s="20" t="s">
        <v>42</v>
      </c>
      <c r="B47" s="20" t="s">
        <v>16</v>
      </c>
      <c r="C47" s="20" t="s">
        <v>6</v>
      </c>
      <c r="D47" s="20">
        <v>9800</v>
      </c>
    </row>
    <row r="48" spans="1:4" x14ac:dyDescent="0.2">
      <c r="A48" s="20" t="s">
        <v>42</v>
      </c>
      <c r="B48" s="20" t="s">
        <v>16</v>
      </c>
      <c r="C48" s="20" t="s">
        <v>7</v>
      </c>
      <c r="D48" s="20">
        <v>9800</v>
      </c>
    </row>
    <row r="49" spans="1:4" x14ac:dyDescent="0.2">
      <c r="A49" s="20" t="s">
        <v>42</v>
      </c>
      <c r="B49" s="20" t="s">
        <v>16</v>
      </c>
      <c r="C49" s="20" t="s">
        <v>8</v>
      </c>
      <c r="D49" s="20">
        <v>9800</v>
      </c>
    </row>
    <row r="50" spans="1:4" x14ac:dyDescent="0.2">
      <c r="A50" s="20" t="s">
        <v>42</v>
      </c>
      <c r="B50" s="20" t="s">
        <v>16</v>
      </c>
      <c r="C50" s="20" t="s">
        <v>9</v>
      </c>
      <c r="D50" s="20">
        <v>9800</v>
      </c>
    </row>
    <row r="51" spans="1:4" x14ac:dyDescent="0.2">
      <c r="A51" s="20" t="s">
        <v>42</v>
      </c>
      <c r="B51" s="20" t="s">
        <v>16</v>
      </c>
      <c r="C51" s="20" t="s">
        <v>10</v>
      </c>
      <c r="D51" s="20">
        <v>9800</v>
      </c>
    </row>
    <row r="52" spans="1:4" x14ac:dyDescent="0.2">
      <c r="A52" s="20" t="s">
        <v>42</v>
      </c>
      <c r="B52" s="20" t="s">
        <v>16</v>
      </c>
      <c r="C52" s="20" t="s">
        <v>11</v>
      </c>
      <c r="D52" s="20">
        <v>9800</v>
      </c>
    </row>
    <row r="53" spans="1:4" x14ac:dyDescent="0.2">
      <c r="A53" s="20" t="s">
        <v>42</v>
      </c>
      <c r="B53" s="20" t="s">
        <v>16</v>
      </c>
      <c r="C53" s="20" t="s">
        <v>12</v>
      </c>
      <c r="D53" s="20">
        <f>+SUM(D41:D52)</f>
        <v>117600</v>
      </c>
    </row>
    <row r="54" spans="1:4" x14ac:dyDescent="0.2">
      <c r="A54" s="20" t="s">
        <v>42</v>
      </c>
      <c r="B54" s="20" t="s">
        <v>17</v>
      </c>
      <c r="C54" s="20" t="s">
        <v>0</v>
      </c>
      <c r="D54" s="20">
        <v>300</v>
      </c>
    </row>
    <row r="55" spans="1:4" x14ac:dyDescent="0.2">
      <c r="A55" s="20" t="s">
        <v>42</v>
      </c>
      <c r="B55" s="20" t="s">
        <v>17</v>
      </c>
      <c r="C55" s="20" t="s">
        <v>1</v>
      </c>
      <c r="D55" s="20">
        <v>400</v>
      </c>
    </row>
    <row r="56" spans="1:4" x14ac:dyDescent="0.2">
      <c r="A56" s="20" t="s">
        <v>42</v>
      </c>
      <c r="B56" s="20" t="s">
        <v>17</v>
      </c>
      <c r="C56" s="20" t="s">
        <v>2</v>
      </c>
      <c r="D56" s="20">
        <v>400</v>
      </c>
    </row>
    <row r="57" spans="1:4" x14ac:dyDescent="0.2">
      <c r="A57" s="20" t="s">
        <v>42</v>
      </c>
      <c r="B57" s="20" t="s">
        <v>17</v>
      </c>
      <c r="C57" s="20" t="s">
        <v>3</v>
      </c>
      <c r="D57" s="20">
        <v>100</v>
      </c>
    </row>
    <row r="58" spans="1:4" x14ac:dyDescent="0.2">
      <c r="A58" s="20" t="s">
        <v>42</v>
      </c>
      <c r="B58" s="20" t="s">
        <v>17</v>
      </c>
      <c r="C58" s="20" t="s">
        <v>4</v>
      </c>
      <c r="D58" s="20">
        <v>100</v>
      </c>
    </row>
    <row r="59" spans="1:4" x14ac:dyDescent="0.2">
      <c r="A59" s="20" t="s">
        <v>42</v>
      </c>
      <c r="B59" s="20" t="s">
        <v>17</v>
      </c>
      <c r="C59" s="20" t="s">
        <v>5</v>
      </c>
      <c r="D59" s="20">
        <v>100</v>
      </c>
    </row>
    <row r="60" spans="1:4" x14ac:dyDescent="0.2">
      <c r="A60" s="20" t="s">
        <v>42</v>
      </c>
      <c r="B60" s="20" t="s">
        <v>17</v>
      </c>
      <c r="C60" s="20" t="s">
        <v>6</v>
      </c>
      <c r="D60" s="20">
        <v>100</v>
      </c>
    </row>
    <row r="61" spans="1:4" x14ac:dyDescent="0.2">
      <c r="A61" s="20" t="s">
        <v>42</v>
      </c>
      <c r="B61" s="20" t="s">
        <v>17</v>
      </c>
      <c r="C61" s="20" t="s">
        <v>7</v>
      </c>
      <c r="D61" s="20">
        <v>100</v>
      </c>
    </row>
    <row r="62" spans="1:4" x14ac:dyDescent="0.2">
      <c r="A62" s="20" t="s">
        <v>42</v>
      </c>
      <c r="B62" s="20" t="s">
        <v>17</v>
      </c>
      <c r="C62" s="20" t="s">
        <v>8</v>
      </c>
      <c r="D62" s="20">
        <v>100</v>
      </c>
    </row>
    <row r="63" spans="1:4" x14ac:dyDescent="0.2">
      <c r="A63" s="20" t="s">
        <v>42</v>
      </c>
      <c r="B63" s="20" t="s">
        <v>17</v>
      </c>
      <c r="C63" s="20" t="s">
        <v>9</v>
      </c>
      <c r="D63" s="20">
        <v>100</v>
      </c>
    </row>
    <row r="64" spans="1:4" x14ac:dyDescent="0.2">
      <c r="A64" s="20" t="s">
        <v>42</v>
      </c>
      <c r="B64" s="20" t="s">
        <v>17</v>
      </c>
      <c r="C64" s="20" t="s">
        <v>10</v>
      </c>
      <c r="D64" s="20">
        <v>400</v>
      </c>
    </row>
    <row r="65" spans="1:4" x14ac:dyDescent="0.2">
      <c r="A65" s="20" t="s">
        <v>42</v>
      </c>
      <c r="B65" s="20" t="s">
        <v>17</v>
      </c>
      <c r="C65" s="20" t="s">
        <v>11</v>
      </c>
      <c r="D65" s="20">
        <v>400</v>
      </c>
    </row>
    <row r="66" spans="1:4" x14ac:dyDescent="0.2">
      <c r="A66" s="20" t="s">
        <v>42</v>
      </c>
      <c r="B66" s="20" t="s">
        <v>17</v>
      </c>
      <c r="C66" s="20" t="s">
        <v>12</v>
      </c>
      <c r="D66" s="20">
        <f>+SUM(D54:D65)</f>
        <v>2600</v>
      </c>
    </row>
    <row r="67" spans="1:4" x14ac:dyDescent="0.2">
      <c r="A67" s="20" t="s">
        <v>42</v>
      </c>
      <c r="B67" s="20" t="s">
        <v>18</v>
      </c>
      <c r="C67" s="20" t="s">
        <v>0</v>
      </c>
      <c r="D67" s="20">
        <v>300</v>
      </c>
    </row>
    <row r="68" spans="1:4" x14ac:dyDescent="0.2">
      <c r="A68" s="20" t="s">
        <v>42</v>
      </c>
      <c r="B68" s="20" t="s">
        <v>18</v>
      </c>
      <c r="C68" s="20" t="s">
        <v>1</v>
      </c>
      <c r="D68" s="20">
        <v>300</v>
      </c>
    </row>
    <row r="69" spans="1:4" x14ac:dyDescent="0.2">
      <c r="A69" s="20" t="s">
        <v>42</v>
      </c>
      <c r="B69" s="20" t="s">
        <v>18</v>
      </c>
      <c r="C69" s="20" t="s">
        <v>2</v>
      </c>
      <c r="D69" s="20">
        <v>300</v>
      </c>
    </row>
    <row r="70" spans="1:4" x14ac:dyDescent="0.2">
      <c r="A70" s="20" t="s">
        <v>42</v>
      </c>
      <c r="B70" s="20" t="s">
        <v>18</v>
      </c>
      <c r="C70" s="20" t="s">
        <v>3</v>
      </c>
      <c r="D70" s="20">
        <v>300</v>
      </c>
    </row>
    <row r="71" spans="1:4" x14ac:dyDescent="0.2">
      <c r="A71" s="20" t="s">
        <v>42</v>
      </c>
      <c r="B71" s="20" t="s">
        <v>18</v>
      </c>
      <c r="C71" s="20" t="s">
        <v>4</v>
      </c>
      <c r="D71" s="20">
        <v>300</v>
      </c>
    </row>
    <row r="72" spans="1:4" x14ac:dyDescent="0.2">
      <c r="A72" s="20" t="s">
        <v>42</v>
      </c>
      <c r="B72" s="20" t="s">
        <v>18</v>
      </c>
      <c r="C72" s="20" t="s">
        <v>5</v>
      </c>
      <c r="D72" s="20">
        <v>300</v>
      </c>
    </row>
    <row r="73" spans="1:4" x14ac:dyDescent="0.2">
      <c r="A73" s="20" t="s">
        <v>42</v>
      </c>
      <c r="B73" s="20" t="s">
        <v>18</v>
      </c>
      <c r="C73" s="20" t="s">
        <v>6</v>
      </c>
      <c r="D73" s="20">
        <v>300</v>
      </c>
    </row>
    <row r="74" spans="1:4" x14ac:dyDescent="0.2">
      <c r="A74" s="20" t="s">
        <v>42</v>
      </c>
      <c r="B74" s="20" t="s">
        <v>18</v>
      </c>
      <c r="C74" s="20" t="s">
        <v>7</v>
      </c>
      <c r="D74" s="20">
        <v>300</v>
      </c>
    </row>
    <row r="75" spans="1:4" x14ac:dyDescent="0.2">
      <c r="A75" s="20" t="s">
        <v>42</v>
      </c>
      <c r="B75" s="20" t="s">
        <v>18</v>
      </c>
      <c r="C75" s="20" t="s">
        <v>8</v>
      </c>
      <c r="D75" s="20">
        <v>300</v>
      </c>
    </row>
    <row r="76" spans="1:4" x14ac:dyDescent="0.2">
      <c r="A76" s="20" t="s">
        <v>42</v>
      </c>
      <c r="B76" s="20" t="s">
        <v>18</v>
      </c>
      <c r="C76" s="20" t="s">
        <v>9</v>
      </c>
      <c r="D76" s="20">
        <v>300</v>
      </c>
    </row>
    <row r="77" spans="1:4" x14ac:dyDescent="0.2">
      <c r="A77" s="20" t="s">
        <v>42</v>
      </c>
      <c r="B77" s="20" t="s">
        <v>18</v>
      </c>
      <c r="C77" s="20" t="s">
        <v>10</v>
      </c>
      <c r="D77" s="20">
        <v>300</v>
      </c>
    </row>
    <row r="78" spans="1:4" x14ac:dyDescent="0.2">
      <c r="A78" s="20" t="s">
        <v>42</v>
      </c>
      <c r="B78" s="20" t="s">
        <v>18</v>
      </c>
      <c r="C78" s="20" t="s">
        <v>11</v>
      </c>
      <c r="D78" s="20">
        <v>300</v>
      </c>
    </row>
    <row r="79" spans="1:4" x14ac:dyDescent="0.2">
      <c r="A79" s="20" t="s">
        <v>42</v>
      </c>
      <c r="B79" s="20" t="s">
        <v>18</v>
      </c>
      <c r="C79" s="20" t="s">
        <v>12</v>
      </c>
      <c r="D79" s="20">
        <f>+SUM(D67:D78)</f>
        <v>3600</v>
      </c>
    </row>
    <row r="80" spans="1:4" x14ac:dyDescent="0.2">
      <c r="A80" s="20" t="s">
        <v>42</v>
      </c>
      <c r="B80" s="20" t="s">
        <v>19</v>
      </c>
      <c r="C80" s="20" t="s">
        <v>0</v>
      </c>
      <c r="D80" s="20">
        <v>40</v>
      </c>
    </row>
    <row r="81" spans="1:4" x14ac:dyDescent="0.2">
      <c r="A81" s="20" t="s">
        <v>42</v>
      </c>
      <c r="B81" s="20" t="s">
        <v>19</v>
      </c>
      <c r="C81" s="20" t="s">
        <v>1</v>
      </c>
      <c r="D81" s="20">
        <v>40</v>
      </c>
    </row>
    <row r="82" spans="1:4" x14ac:dyDescent="0.2">
      <c r="A82" s="20" t="s">
        <v>42</v>
      </c>
      <c r="B82" s="20" t="s">
        <v>19</v>
      </c>
      <c r="C82" s="20" t="s">
        <v>2</v>
      </c>
      <c r="D82" s="20">
        <v>40</v>
      </c>
    </row>
    <row r="83" spans="1:4" x14ac:dyDescent="0.2">
      <c r="A83" s="20" t="s">
        <v>42</v>
      </c>
      <c r="B83" s="20" t="s">
        <v>19</v>
      </c>
      <c r="C83" s="20" t="s">
        <v>3</v>
      </c>
      <c r="D83" s="20">
        <v>40</v>
      </c>
    </row>
    <row r="84" spans="1:4" x14ac:dyDescent="0.2">
      <c r="A84" s="20" t="s">
        <v>42</v>
      </c>
      <c r="B84" s="20" t="s">
        <v>19</v>
      </c>
      <c r="C84" s="20" t="s">
        <v>4</v>
      </c>
      <c r="D84" s="20">
        <v>40</v>
      </c>
    </row>
    <row r="85" spans="1:4" x14ac:dyDescent="0.2">
      <c r="A85" s="20" t="s">
        <v>42</v>
      </c>
      <c r="B85" s="20" t="s">
        <v>19</v>
      </c>
      <c r="C85" s="20" t="s">
        <v>5</v>
      </c>
      <c r="D85" s="20">
        <v>40</v>
      </c>
    </row>
    <row r="86" spans="1:4" x14ac:dyDescent="0.2">
      <c r="A86" s="20" t="s">
        <v>42</v>
      </c>
      <c r="B86" s="20" t="s">
        <v>19</v>
      </c>
      <c r="C86" s="20" t="s">
        <v>6</v>
      </c>
      <c r="D86" s="20">
        <v>40</v>
      </c>
    </row>
    <row r="87" spans="1:4" x14ac:dyDescent="0.2">
      <c r="A87" s="20" t="s">
        <v>42</v>
      </c>
      <c r="B87" s="20" t="s">
        <v>19</v>
      </c>
      <c r="C87" s="20" t="s">
        <v>7</v>
      </c>
      <c r="D87" s="20">
        <v>40</v>
      </c>
    </row>
    <row r="88" spans="1:4" x14ac:dyDescent="0.2">
      <c r="A88" s="20" t="s">
        <v>42</v>
      </c>
      <c r="B88" s="20" t="s">
        <v>19</v>
      </c>
      <c r="C88" s="20" t="s">
        <v>8</v>
      </c>
      <c r="D88" s="20">
        <v>40</v>
      </c>
    </row>
    <row r="89" spans="1:4" x14ac:dyDescent="0.2">
      <c r="A89" s="20" t="s">
        <v>42</v>
      </c>
      <c r="B89" s="20" t="s">
        <v>19</v>
      </c>
      <c r="C89" s="20" t="s">
        <v>9</v>
      </c>
      <c r="D89" s="20">
        <v>40</v>
      </c>
    </row>
    <row r="90" spans="1:4" x14ac:dyDescent="0.2">
      <c r="A90" s="20" t="s">
        <v>42</v>
      </c>
      <c r="B90" s="20" t="s">
        <v>19</v>
      </c>
      <c r="C90" s="20" t="s">
        <v>10</v>
      </c>
      <c r="D90" s="20">
        <v>40</v>
      </c>
    </row>
    <row r="91" spans="1:4" x14ac:dyDescent="0.2">
      <c r="A91" s="20" t="s">
        <v>42</v>
      </c>
      <c r="B91" s="20" t="s">
        <v>19</v>
      </c>
      <c r="C91" s="20" t="s">
        <v>11</v>
      </c>
      <c r="D91" s="20">
        <v>40</v>
      </c>
    </row>
    <row r="92" spans="1:4" x14ac:dyDescent="0.2">
      <c r="A92" s="20" t="s">
        <v>42</v>
      </c>
      <c r="B92" s="20" t="s">
        <v>19</v>
      </c>
      <c r="C92" s="20" t="s">
        <v>12</v>
      </c>
      <c r="D92" s="20">
        <f>+SUM(D80:D91)</f>
        <v>480</v>
      </c>
    </row>
    <row r="93" spans="1:4" x14ac:dyDescent="0.2">
      <c r="A93" s="20" t="s">
        <v>42</v>
      </c>
      <c r="B93" s="20" t="s">
        <v>20</v>
      </c>
      <c r="C93" s="20" t="s">
        <v>0</v>
      </c>
      <c r="D93" s="20">
        <v>250</v>
      </c>
    </row>
    <row r="94" spans="1:4" x14ac:dyDescent="0.2">
      <c r="A94" s="20" t="s">
        <v>42</v>
      </c>
      <c r="B94" s="20" t="s">
        <v>20</v>
      </c>
      <c r="C94" s="20" t="s">
        <v>1</v>
      </c>
      <c r="D94" s="20">
        <v>250</v>
      </c>
    </row>
    <row r="95" spans="1:4" x14ac:dyDescent="0.2">
      <c r="A95" s="20" t="s">
        <v>42</v>
      </c>
      <c r="B95" s="20" t="s">
        <v>20</v>
      </c>
      <c r="C95" s="20" t="s">
        <v>2</v>
      </c>
      <c r="D95" s="20">
        <v>250</v>
      </c>
    </row>
    <row r="96" spans="1:4" x14ac:dyDescent="0.2">
      <c r="A96" s="20" t="s">
        <v>42</v>
      </c>
      <c r="B96" s="20" t="s">
        <v>20</v>
      </c>
      <c r="C96" s="20" t="s">
        <v>3</v>
      </c>
      <c r="D96" s="20">
        <v>250</v>
      </c>
    </row>
    <row r="97" spans="1:4" x14ac:dyDescent="0.2">
      <c r="A97" s="20" t="s">
        <v>42</v>
      </c>
      <c r="B97" s="20" t="s">
        <v>20</v>
      </c>
      <c r="C97" s="20" t="s">
        <v>4</v>
      </c>
      <c r="D97" s="20">
        <v>250</v>
      </c>
    </row>
    <row r="98" spans="1:4" x14ac:dyDescent="0.2">
      <c r="A98" s="20" t="s">
        <v>42</v>
      </c>
      <c r="B98" s="20" t="s">
        <v>20</v>
      </c>
      <c r="C98" s="20" t="s">
        <v>5</v>
      </c>
      <c r="D98" s="20">
        <v>250</v>
      </c>
    </row>
    <row r="99" spans="1:4" x14ac:dyDescent="0.2">
      <c r="A99" s="20" t="s">
        <v>42</v>
      </c>
      <c r="B99" s="20" t="s">
        <v>20</v>
      </c>
      <c r="C99" s="20" t="s">
        <v>6</v>
      </c>
      <c r="D99" s="20">
        <v>250</v>
      </c>
    </row>
    <row r="100" spans="1:4" x14ac:dyDescent="0.2">
      <c r="A100" s="20" t="s">
        <v>42</v>
      </c>
      <c r="B100" s="20" t="s">
        <v>20</v>
      </c>
      <c r="C100" s="20" t="s">
        <v>7</v>
      </c>
      <c r="D100" s="20">
        <v>250</v>
      </c>
    </row>
    <row r="101" spans="1:4" x14ac:dyDescent="0.2">
      <c r="A101" s="20" t="s">
        <v>42</v>
      </c>
      <c r="B101" s="20" t="s">
        <v>20</v>
      </c>
      <c r="C101" s="20" t="s">
        <v>8</v>
      </c>
      <c r="D101" s="20">
        <v>250</v>
      </c>
    </row>
    <row r="102" spans="1:4" x14ac:dyDescent="0.2">
      <c r="A102" s="20" t="s">
        <v>42</v>
      </c>
      <c r="B102" s="20" t="s">
        <v>20</v>
      </c>
      <c r="C102" s="20" t="s">
        <v>9</v>
      </c>
      <c r="D102" s="20">
        <v>250</v>
      </c>
    </row>
    <row r="103" spans="1:4" x14ac:dyDescent="0.2">
      <c r="A103" s="20" t="s">
        <v>42</v>
      </c>
      <c r="B103" s="20" t="s">
        <v>20</v>
      </c>
      <c r="C103" s="20" t="s">
        <v>10</v>
      </c>
      <c r="D103" s="20">
        <v>250</v>
      </c>
    </row>
    <row r="104" spans="1:4" x14ac:dyDescent="0.2">
      <c r="A104" s="20" t="s">
        <v>42</v>
      </c>
      <c r="B104" s="20" t="s">
        <v>20</v>
      </c>
      <c r="C104" s="20" t="s">
        <v>11</v>
      </c>
      <c r="D104" s="20">
        <v>250</v>
      </c>
    </row>
    <row r="105" spans="1:4" x14ac:dyDescent="0.2">
      <c r="A105" s="20" t="s">
        <v>42</v>
      </c>
      <c r="B105" s="20" t="s">
        <v>20</v>
      </c>
      <c r="C105" s="20" t="s">
        <v>12</v>
      </c>
      <c r="D105" s="20">
        <f>+SUM(D93:D104)</f>
        <v>3000</v>
      </c>
    </row>
    <row r="106" spans="1:4" x14ac:dyDescent="0.2">
      <c r="A106" s="20" t="s">
        <v>42</v>
      </c>
      <c r="B106" s="20" t="s">
        <v>21</v>
      </c>
      <c r="C106" s="20" t="s">
        <v>0</v>
      </c>
      <c r="D106" s="20">
        <v>180</v>
      </c>
    </row>
    <row r="107" spans="1:4" x14ac:dyDescent="0.2">
      <c r="A107" s="20" t="s">
        <v>42</v>
      </c>
      <c r="B107" s="20" t="s">
        <v>21</v>
      </c>
      <c r="C107" s="20" t="s">
        <v>1</v>
      </c>
      <c r="D107" s="20">
        <v>180</v>
      </c>
    </row>
    <row r="108" spans="1:4" x14ac:dyDescent="0.2">
      <c r="A108" s="20" t="s">
        <v>42</v>
      </c>
      <c r="B108" s="20" t="s">
        <v>21</v>
      </c>
      <c r="C108" s="20" t="s">
        <v>2</v>
      </c>
      <c r="D108" s="20">
        <v>180</v>
      </c>
    </row>
    <row r="109" spans="1:4" x14ac:dyDescent="0.2">
      <c r="A109" s="20" t="s">
        <v>42</v>
      </c>
      <c r="B109" s="20" t="s">
        <v>21</v>
      </c>
      <c r="C109" s="20" t="s">
        <v>3</v>
      </c>
      <c r="D109" s="20">
        <v>180</v>
      </c>
    </row>
    <row r="110" spans="1:4" x14ac:dyDescent="0.2">
      <c r="A110" s="20" t="s">
        <v>42</v>
      </c>
      <c r="B110" s="20" t="s">
        <v>21</v>
      </c>
      <c r="C110" s="20" t="s">
        <v>4</v>
      </c>
      <c r="D110" s="20">
        <v>180</v>
      </c>
    </row>
    <row r="111" spans="1:4" x14ac:dyDescent="0.2">
      <c r="A111" s="20" t="s">
        <v>42</v>
      </c>
      <c r="B111" s="20" t="s">
        <v>21</v>
      </c>
      <c r="C111" s="20" t="s">
        <v>5</v>
      </c>
      <c r="D111" s="20">
        <v>180</v>
      </c>
    </row>
    <row r="112" spans="1:4" x14ac:dyDescent="0.2">
      <c r="A112" s="20" t="s">
        <v>42</v>
      </c>
      <c r="B112" s="20" t="s">
        <v>21</v>
      </c>
      <c r="C112" s="20" t="s">
        <v>6</v>
      </c>
      <c r="D112" s="20">
        <v>180</v>
      </c>
    </row>
    <row r="113" spans="1:4" x14ac:dyDescent="0.2">
      <c r="A113" s="20" t="s">
        <v>42</v>
      </c>
      <c r="B113" s="20" t="s">
        <v>21</v>
      </c>
      <c r="C113" s="20" t="s">
        <v>7</v>
      </c>
      <c r="D113" s="20">
        <v>180</v>
      </c>
    </row>
    <row r="114" spans="1:4" x14ac:dyDescent="0.2">
      <c r="A114" s="20" t="s">
        <v>42</v>
      </c>
      <c r="B114" s="20" t="s">
        <v>21</v>
      </c>
      <c r="C114" s="20" t="s">
        <v>8</v>
      </c>
      <c r="D114" s="20">
        <v>180</v>
      </c>
    </row>
    <row r="115" spans="1:4" x14ac:dyDescent="0.2">
      <c r="A115" s="20" t="s">
        <v>42</v>
      </c>
      <c r="B115" s="20" t="s">
        <v>21</v>
      </c>
      <c r="C115" s="20" t="s">
        <v>9</v>
      </c>
      <c r="D115" s="20">
        <v>180</v>
      </c>
    </row>
    <row r="116" spans="1:4" x14ac:dyDescent="0.2">
      <c r="A116" s="20" t="s">
        <v>42</v>
      </c>
      <c r="B116" s="20" t="s">
        <v>21</v>
      </c>
      <c r="C116" s="20" t="s">
        <v>10</v>
      </c>
      <c r="D116" s="20">
        <v>180</v>
      </c>
    </row>
    <row r="117" spans="1:4" x14ac:dyDescent="0.2">
      <c r="A117" s="20" t="s">
        <v>42</v>
      </c>
      <c r="B117" s="20" t="s">
        <v>21</v>
      </c>
      <c r="C117" s="20" t="s">
        <v>11</v>
      </c>
      <c r="D117" s="20">
        <v>180</v>
      </c>
    </row>
    <row r="118" spans="1:4" x14ac:dyDescent="0.2">
      <c r="A118" s="20" t="s">
        <v>42</v>
      </c>
      <c r="B118" s="20" t="s">
        <v>21</v>
      </c>
      <c r="C118" s="20" t="s">
        <v>12</v>
      </c>
      <c r="D118" s="20">
        <f>+SUM(D106:D117)</f>
        <v>2160</v>
      </c>
    </row>
    <row r="119" spans="1:4" x14ac:dyDescent="0.2">
      <c r="A119" s="20" t="s">
        <v>42</v>
      </c>
      <c r="B119" s="20" t="s">
        <v>22</v>
      </c>
      <c r="C119" s="20" t="s">
        <v>0</v>
      </c>
      <c r="D119" s="20">
        <v>200</v>
      </c>
    </row>
    <row r="120" spans="1:4" x14ac:dyDescent="0.2">
      <c r="A120" s="20" t="s">
        <v>42</v>
      </c>
      <c r="B120" s="20" t="s">
        <v>22</v>
      </c>
      <c r="C120" s="20" t="s">
        <v>1</v>
      </c>
      <c r="D120" s="20">
        <v>200</v>
      </c>
    </row>
    <row r="121" spans="1:4" x14ac:dyDescent="0.2">
      <c r="A121" s="20" t="s">
        <v>42</v>
      </c>
      <c r="B121" s="20" t="s">
        <v>22</v>
      </c>
      <c r="C121" s="20" t="s">
        <v>2</v>
      </c>
      <c r="D121" s="20">
        <v>200</v>
      </c>
    </row>
    <row r="122" spans="1:4" x14ac:dyDescent="0.2">
      <c r="A122" s="20" t="s">
        <v>42</v>
      </c>
      <c r="B122" s="20" t="s">
        <v>22</v>
      </c>
      <c r="C122" s="20" t="s">
        <v>3</v>
      </c>
      <c r="D122" s="20">
        <v>200</v>
      </c>
    </row>
    <row r="123" spans="1:4" x14ac:dyDescent="0.2">
      <c r="A123" s="20" t="s">
        <v>42</v>
      </c>
      <c r="B123" s="20" t="s">
        <v>22</v>
      </c>
      <c r="C123" s="20" t="s">
        <v>4</v>
      </c>
      <c r="D123" s="20">
        <v>200</v>
      </c>
    </row>
    <row r="124" spans="1:4" x14ac:dyDescent="0.2">
      <c r="A124" s="20" t="s">
        <v>42</v>
      </c>
      <c r="B124" s="20" t="s">
        <v>22</v>
      </c>
      <c r="C124" s="20" t="s">
        <v>5</v>
      </c>
      <c r="D124" s="20">
        <v>200</v>
      </c>
    </row>
    <row r="125" spans="1:4" x14ac:dyDescent="0.2">
      <c r="A125" s="20" t="s">
        <v>42</v>
      </c>
      <c r="B125" s="20" t="s">
        <v>22</v>
      </c>
      <c r="C125" s="20" t="s">
        <v>6</v>
      </c>
      <c r="D125" s="20">
        <v>200</v>
      </c>
    </row>
    <row r="126" spans="1:4" x14ac:dyDescent="0.2">
      <c r="A126" s="20" t="s">
        <v>42</v>
      </c>
      <c r="B126" s="20" t="s">
        <v>22</v>
      </c>
      <c r="C126" s="20" t="s">
        <v>7</v>
      </c>
      <c r="D126" s="20">
        <v>200</v>
      </c>
    </row>
    <row r="127" spans="1:4" x14ac:dyDescent="0.2">
      <c r="A127" s="20" t="s">
        <v>42</v>
      </c>
      <c r="B127" s="20" t="s">
        <v>22</v>
      </c>
      <c r="C127" s="20" t="s">
        <v>8</v>
      </c>
      <c r="D127" s="20">
        <v>200</v>
      </c>
    </row>
    <row r="128" spans="1:4" x14ac:dyDescent="0.2">
      <c r="A128" s="20" t="s">
        <v>42</v>
      </c>
      <c r="B128" s="20" t="s">
        <v>22</v>
      </c>
      <c r="C128" s="20" t="s">
        <v>9</v>
      </c>
      <c r="D128" s="20">
        <v>200</v>
      </c>
    </row>
    <row r="129" spans="1:4" x14ac:dyDescent="0.2">
      <c r="A129" s="20" t="s">
        <v>42</v>
      </c>
      <c r="B129" s="20" t="s">
        <v>22</v>
      </c>
      <c r="C129" s="20" t="s">
        <v>10</v>
      </c>
      <c r="D129" s="20">
        <v>200</v>
      </c>
    </row>
    <row r="130" spans="1:4" x14ac:dyDescent="0.2">
      <c r="A130" s="20" t="s">
        <v>42</v>
      </c>
      <c r="B130" s="20" t="s">
        <v>22</v>
      </c>
      <c r="C130" s="20" t="s">
        <v>11</v>
      </c>
      <c r="D130" s="20">
        <v>200</v>
      </c>
    </row>
    <row r="131" spans="1:4" x14ac:dyDescent="0.2">
      <c r="A131" s="20" t="s">
        <v>42</v>
      </c>
      <c r="B131" s="20" t="s">
        <v>22</v>
      </c>
      <c r="C131" s="20" t="s">
        <v>12</v>
      </c>
      <c r="D131" s="20">
        <f>+SUM(D119:D130)</f>
        <v>2400</v>
      </c>
    </row>
    <row r="132" spans="1:4" x14ac:dyDescent="0.2">
      <c r="A132" s="20" t="s">
        <v>42</v>
      </c>
      <c r="B132" s="20" t="s">
        <v>23</v>
      </c>
      <c r="C132" s="20" t="s">
        <v>0</v>
      </c>
      <c r="D132" s="20">
        <v>600</v>
      </c>
    </row>
    <row r="133" spans="1:4" x14ac:dyDescent="0.2">
      <c r="A133" s="20" t="s">
        <v>42</v>
      </c>
      <c r="B133" s="20" t="s">
        <v>23</v>
      </c>
      <c r="C133" s="20" t="s">
        <v>1</v>
      </c>
      <c r="D133" s="20">
        <v>600</v>
      </c>
    </row>
    <row r="134" spans="1:4" x14ac:dyDescent="0.2">
      <c r="A134" s="20" t="s">
        <v>42</v>
      </c>
      <c r="B134" s="20" t="s">
        <v>23</v>
      </c>
      <c r="C134" s="20" t="s">
        <v>2</v>
      </c>
      <c r="D134" s="20">
        <v>600</v>
      </c>
    </row>
    <row r="135" spans="1:4" x14ac:dyDescent="0.2">
      <c r="A135" s="20" t="s">
        <v>42</v>
      </c>
      <c r="B135" s="20" t="s">
        <v>23</v>
      </c>
      <c r="C135" s="20" t="s">
        <v>3</v>
      </c>
      <c r="D135" s="20">
        <v>600</v>
      </c>
    </row>
    <row r="136" spans="1:4" x14ac:dyDescent="0.2">
      <c r="A136" s="20" t="s">
        <v>42</v>
      </c>
      <c r="B136" s="20" t="s">
        <v>23</v>
      </c>
      <c r="C136" s="20" t="s">
        <v>4</v>
      </c>
      <c r="D136" s="20">
        <v>600</v>
      </c>
    </row>
    <row r="137" spans="1:4" x14ac:dyDescent="0.2">
      <c r="A137" s="20" t="s">
        <v>42</v>
      </c>
      <c r="B137" s="20" t="s">
        <v>23</v>
      </c>
      <c r="C137" s="20" t="s">
        <v>5</v>
      </c>
      <c r="D137" s="20">
        <v>600</v>
      </c>
    </row>
    <row r="138" spans="1:4" x14ac:dyDescent="0.2">
      <c r="A138" s="20" t="s">
        <v>42</v>
      </c>
      <c r="B138" s="20" t="s">
        <v>23</v>
      </c>
      <c r="C138" s="20" t="s">
        <v>6</v>
      </c>
      <c r="D138" s="20">
        <v>600</v>
      </c>
    </row>
    <row r="139" spans="1:4" x14ac:dyDescent="0.2">
      <c r="A139" s="20" t="s">
        <v>42</v>
      </c>
      <c r="B139" s="20" t="s">
        <v>23</v>
      </c>
      <c r="C139" s="20" t="s">
        <v>7</v>
      </c>
      <c r="D139" s="20">
        <v>600</v>
      </c>
    </row>
    <row r="140" spans="1:4" x14ac:dyDescent="0.2">
      <c r="A140" s="20" t="s">
        <v>42</v>
      </c>
      <c r="B140" s="20" t="s">
        <v>23</v>
      </c>
      <c r="C140" s="20" t="s">
        <v>8</v>
      </c>
      <c r="D140" s="20">
        <v>600</v>
      </c>
    </row>
    <row r="141" spans="1:4" x14ac:dyDescent="0.2">
      <c r="A141" s="20" t="s">
        <v>42</v>
      </c>
      <c r="B141" s="20" t="s">
        <v>23</v>
      </c>
      <c r="C141" s="20" t="s">
        <v>9</v>
      </c>
      <c r="D141" s="20">
        <v>600</v>
      </c>
    </row>
    <row r="142" spans="1:4" x14ac:dyDescent="0.2">
      <c r="A142" s="20" t="s">
        <v>42</v>
      </c>
      <c r="B142" s="20" t="s">
        <v>23</v>
      </c>
      <c r="C142" s="20" t="s">
        <v>10</v>
      </c>
      <c r="D142" s="20">
        <v>600</v>
      </c>
    </row>
    <row r="143" spans="1:4" x14ac:dyDescent="0.2">
      <c r="A143" s="20" t="s">
        <v>42</v>
      </c>
      <c r="B143" s="20" t="s">
        <v>23</v>
      </c>
      <c r="C143" s="20" t="s">
        <v>11</v>
      </c>
      <c r="D143" s="20">
        <v>600</v>
      </c>
    </row>
    <row r="144" spans="1:4" x14ac:dyDescent="0.2">
      <c r="A144" s="20" t="s">
        <v>42</v>
      </c>
      <c r="B144" s="20" t="s">
        <v>23</v>
      </c>
      <c r="C144" s="20" t="s">
        <v>12</v>
      </c>
      <c r="D144" s="20">
        <f>+SUM(D132:D143)</f>
        <v>7200</v>
      </c>
    </row>
    <row r="145" spans="1:4" x14ac:dyDescent="0.2">
      <c r="A145" s="20" t="s">
        <v>42</v>
      </c>
      <c r="B145" s="20" t="s">
        <v>15</v>
      </c>
      <c r="C145" s="20" t="s">
        <v>0</v>
      </c>
      <c r="D145" s="20">
        <f>+SUMIFS($D$41:$D$144,$C$41:$C$144,C145)</f>
        <v>11670</v>
      </c>
    </row>
    <row r="146" spans="1:4" x14ac:dyDescent="0.2">
      <c r="A146" s="20" t="s">
        <v>42</v>
      </c>
      <c r="B146" s="20" t="s">
        <v>15</v>
      </c>
      <c r="C146" s="20" t="s">
        <v>1</v>
      </c>
      <c r="D146" s="20">
        <f t="shared" ref="D146:D156" si="1">+SUMIFS($D$41:$D$144,$C$41:$C$144,C146)</f>
        <v>11770</v>
      </c>
    </row>
    <row r="147" spans="1:4" x14ac:dyDescent="0.2">
      <c r="A147" s="20" t="s">
        <v>42</v>
      </c>
      <c r="B147" s="20" t="s">
        <v>15</v>
      </c>
      <c r="C147" s="20" t="s">
        <v>2</v>
      </c>
      <c r="D147" s="20">
        <f t="shared" si="1"/>
        <v>11770</v>
      </c>
    </row>
    <row r="148" spans="1:4" x14ac:dyDescent="0.2">
      <c r="A148" s="20" t="s">
        <v>42</v>
      </c>
      <c r="B148" s="20" t="s">
        <v>15</v>
      </c>
      <c r="C148" s="20" t="s">
        <v>3</v>
      </c>
      <c r="D148" s="20">
        <f t="shared" si="1"/>
        <v>11470</v>
      </c>
    </row>
    <row r="149" spans="1:4" x14ac:dyDescent="0.2">
      <c r="A149" s="20" t="s">
        <v>42</v>
      </c>
      <c r="B149" s="20" t="s">
        <v>15</v>
      </c>
      <c r="C149" s="20" t="s">
        <v>4</v>
      </c>
      <c r="D149" s="20">
        <f t="shared" si="1"/>
        <v>11470</v>
      </c>
    </row>
    <row r="150" spans="1:4" x14ac:dyDescent="0.2">
      <c r="A150" s="20" t="s">
        <v>42</v>
      </c>
      <c r="B150" s="20" t="s">
        <v>15</v>
      </c>
      <c r="C150" s="20" t="s">
        <v>5</v>
      </c>
      <c r="D150" s="20">
        <f t="shared" si="1"/>
        <v>11470</v>
      </c>
    </row>
    <row r="151" spans="1:4" x14ac:dyDescent="0.2">
      <c r="A151" s="20" t="s">
        <v>42</v>
      </c>
      <c r="B151" s="20" t="s">
        <v>15</v>
      </c>
      <c r="C151" s="20" t="s">
        <v>6</v>
      </c>
      <c r="D151" s="20">
        <f t="shared" si="1"/>
        <v>11470</v>
      </c>
    </row>
    <row r="152" spans="1:4" x14ac:dyDescent="0.2">
      <c r="A152" s="20" t="s">
        <v>42</v>
      </c>
      <c r="B152" s="20" t="s">
        <v>15</v>
      </c>
      <c r="C152" s="20" t="s">
        <v>7</v>
      </c>
      <c r="D152" s="20">
        <f t="shared" si="1"/>
        <v>11470</v>
      </c>
    </row>
    <row r="153" spans="1:4" x14ac:dyDescent="0.2">
      <c r="A153" s="20" t="s">
        <v>42</v>
      </c>
      <c r="B153" s="20" t="s">
        <v>15</v>
      </c>
      <c r="C153" s="20" t="s">
        <v>8</v>
      </c>
      <c r="D153" s="20">
        <f t="shared" si="1"/>
        <v>11470</v>
      </c>
    </row>
    <row r="154" spans="1:4" x14ac:dyDescent="0.2">
      <c r="A154" s="20" t="s">
        <v>42</v>
      </c>
      <c r="B154" s="20" t="s">
        <v>15</v>
      </c>
      <c r="C154" s="20" t="s">
        <v>9</v>
      </c>
      <c r="D154" s="20">
        <f t="shared" si="1"/>
        <v>11470</v>
      </c>
    </row>
    <row r="155" spans="1:4" x14ac:dyDescent="0.2">
      <c r="A155" s="20" t="s">
        <v>42</v>
      </c>
      <c r="B155" s="20" t="s">
        <v>15</v>
      </c>
      <c r="C155" s="20" t="s">
        <v>10</v>
      </c>
      <c r="D155" s="20">
        <f t="shared" si="1"/>
        <v>11770</v>
      </c>
    </row>
    <row r="156" spans="1:4" x14ac:dyDescent="0.2">
      <c r="A156" s="20" t="s">
        <v>42</v>
      </c>
      <c r="B156" s="20" t="s">
        <v>15</v>
      </c>
      <c r="C156" s="20" t="s">
        <v>11</v>
      </c>
      <c r="D156" s="20">
        <f t="shared" si="1"/>
        <v>11770</v>
      </c>
    </row>
    <row r="157" spans="1:4" x14ac:dyDescent="0.2">
      <c r="A157" s="20" t="s">
        <v>42</v>
      </c>
      <c r="B157" s="20" t="s">
        <v>15</v>
      </c>
      <c r="C157" s="20" t="s">
        <v>12</v>
      </c>
      <c r="D157" s="20">
        <f>+SUM(D145:D156)</f>
        <v>139040</v>
      </c>
    </row>
    <row r="158" spans="1:4" x14ac:dyDescent="0.2">
      <c r="A158" s="20" t="s">
        <v>44</v>
      </c>
      <c r="B158" s="20" t="s">
        <v>30</v>
      </c>
      <c r="C158" s="20" t="s">
        <v>0</v>
      </c>
      <c r="D158" s="20">
        <v>2000</v>
      </c>
    </row>
    <row r="159" spans="1:4" x14ac:dyDescent="0.2">
      <c r="A159" s="20" t="s">
        <v>44</v>
      </c>
      <c r="B159" s="20" t="s">
        <v>30</v>
      </c>
      <c r="C159" s="20" t="s">
        <v>1</v>
      </c>
      <c r="D159" s="20">
        <v>2000</v>
      </c>
    </row>
    <row r="160" spans="1:4" x14ac:dyDescent="0.2">
      <c r="A160" s="20" t="s">
        <v>44</v>
      </c>
      <c r="B160" s="20" t="s">
        <v>30</v>
      </c>
      <c r="C160" s="20" t="s">
        <v>2</v>
      </c>
      <c r="D160" s="20">
        <v>2000</v>
      </c>
    </row>
    <row r="161" spans="1:4" x14ac:dyDescent="0.2">
      <c r="A161" s="20" t="s">
        <v>44</v>
      </c>
      <c r="B161" s="20" t="s">
        <v>30</v>
      </c>
      <c r="C161" s="20" t="s">
        <v>3</v>
      </c>
      <c r="D161" s="20">
        <v>2000</v>
      </c>
    </row>
    <row r="162" spans="1:4" x14ac:dyDescent="0.2">
      <c r="A162" s="20" t="s">
        <v>44</v>
      </c>
      <c r="B162" s="20" t="s">
        <v>30</v>
      </c>
      <c r="C162" s="20" t="s">
        <v>4</v>
      </c>
      <c r="D162" s="20">
        <v>2000</v>
      </c>
    </row>
    <row r="163" spans="1:4" x14ac:dyDescent="0.2">
      <c r="A163" s="20" t="s">
        <v>44</v>
      </c>
      <c r="B163" s="20" t="s">
        <v>30</v>
      </c>
      <c r="C163" s="20" t="s">
        <v>5</v>
      </c>
      <c r="D163" s="20">
        <v>2000</v>
      </c>
    </row>
    <row r="164" spans="1:4" x14ac:dyDescent="0.2">
      <c r="A164" s="20" t="s">
        <v>44</v>
      </c>
      <c r="B164" s="20" t="s">
        <v>30</v>
      </c>
      <c r="C164" s="20" t="s">
        <v>6</v>
      </c>
      <c r="D164" s="20">
        <v>2000</v>
      </c>
    </row>
    <row r="165" spans="1:4" x14ac:dyDescent="0.2">
      <c r="A165" s="20" t="s">
        <v>44</v>
      </c>
      <c r="B165" s="20" t="s">
        <v>30</v>
      </c>
      <c r="C165" s="20" t="s">
        <v>7</v>
      </c>
      <c r="D165" s="20">
        <v>2000</v>
      </c>
    </row>
    <row r="166" spans="1:4" x14ac:dyDescent="0.2">
      <c r="A166" s="20" t="s">
        <v>44</v>
      </c>
      <c r="B166" s="20" t="s">
        <v>30</v>
      </c>
      <c r="C166" s="20" t="s">
        <v>8</v>
      </c>
      <c r="D166" s="20">
        <v>2000</v>
      </c>
    </row>
    <row r="167" spans="1:4" x14ac:dyDescent="0.2">
      <c r="A167" s="20" t="s">
        <v>44</v>
      </c>
      <c r="B167" s="20" t="s">
        <v>30</v>
      </c>
      <c r="C167" s="20" t="s">
        <v>9</v>
      </c>
      <c r="D167" s="20">
        <v>2000</v>
      </c>
    </row>
    <row r="168" spans="1:4" x14ac:dyDescent="0.2">
      <c r="A168" s="20" t="s">
        <v>44</v>
      </c>
      <c r="B168" s="20" t="s">
        <v>30</v>
      </c>
      <c r="C168" s="20" t="s">
        <v>10</v>
      </c>
      <c r="D168" s="20">
        <v>2000</v>
      </c>
    </row>
    <row r="169" spans="1:4" x14ac:dyDescent="0.2">
      <c r="A169" s="20" t="s">
        <v>44</v>
      </c>
      <c r="B169" s="20" t="s">
        <v>30</v>
      </c>
      <c r="C169" s="20" t="s">
        <v>11</v>
      </c>
      <c r="D169" s="20">
        <v>2000</v>
      </c>
    </row>
    <row r="170" spans="1:4" x14ac:dyDescent="0.2">
      <c r="A170" s="20" t="s">
        <v>44</v>
      </c>
      <c r="B170" s="20" t="s">
        <v>30</v>
      </c>
      <c r="C170" s="20" t="s">
        <v>12</v>
      </c>
      <c r="D170" s="20">
        <f>+SUM(D158:D169)</f>
        <v>24000</v>
      </c>
    </row>
    <row r="171" spans="1:4" x14ac:dyDescent="0.2">
      <c r="A171" s="20" t="s">
        <v>44</v>
      </c>
      <c r="B171" s="20" t="s">
        <v>31</v>
      </c>
      <c r="C171" s="20" t="s">
        <v>0</v>
      </c>
      <c r="D171" s="20">
        <v>2000</v>
      </c>
    </row>
    <row r="172" spans="1:4" x14ac:dyDescent="0.2">
      <c r="A172" s="20" t="s">
        <v>44</v>
      </c>
      <c r="B172" s="20" t="s">
        <v>31</v>
      </c>
      <c r="C172" s="20" t="s">
        <v>1</v>
      </c>
      <c r="D172" s="20">
        <v>2000</v>
      </c>
    </row>
    <row r="173" spans="1:4" x14ac:dyDescent="0.2">
      <c r="A173" s="20" t="s">
        <v>44</v>
      </c>
      <c r="B173" s="20" t="s">
        <v>31</v>
      </c>
      <c r="C173" s="20" t="s">
        <v>2</v>
      </c>
      <c r="D173" s="20">
        <v>2000</v>
      </c>
    </row>
    <row r="174" spans="1:4" x14ac:dyDescent="0.2">
      <c r="A174" s="20" t="s">
        <v>44</v>
      </c>
      <c r="B174" s="20" t="s">
        <v>31</v>
      </c>
      <c r="C174" s="20" t="s">
        <v>3</v>
      </c>
      <c r="D174" s="20">
        <v>2000</v>
      </c>
    </row>
    <row r="175" spans="1:4" x14ac:dyDescent="0.2">
      <c r="A175" s="20" t="s">
        <v>44</v>
      </c>
      <c r="B175" s="20" t="s">
        <v>31</v>
      </c>
      <c r="C175" s="20" t="s">
        <v>4</v>
      </c>
      <c r="D175" s="20">
        <v>2000</v>
      </c>
    </row>
    <row r="176" spans="1:4" x14ac:dyDescent="0.2">
      <c r="A176" s="20" t="s">
        <v>44</v>
      </c>
      <c r="B176" s="20" t="s">
        <v>31</v>
      </c>
      <c r="C176" s="20" t="s">
        <v>5</v>
      </c>
      <c r="D176" s="20">
        <v>2000</v>
      </c>
    </row>
    <row r="177" spans="1:4" x14ac:dyDescent="0.2">
      <c r="A177" s="20" t="s">
        <v>44</v>
      </c>
      <c r="B177" s="20" t="s">
        <v>31</v>
      </c>
      <c r="C177" s="20" t="s">
        <v>6</v>
      </c>
      <c r="D177" s="20">
        <v>2000</v>
      </c>
    </row>
    <row r="178" spans="1:4" x14ac:dyDescent="0.2">
      <c r="A178" s="20" t="s">
        <v>44</v>
      </c>
      <c r="B178" s="20" t="s">
        <v>31</v>
      </c>
      <c r="C178" s="20" t="s">
        <v>7</v>
      </c>
      <c r="D178" s="20">
        <v>2000</v>
      </c>
    </row>
    <row r="179" spans="1:4" x14ac:dyDescent="0.2">
      <c r="A179" s="20" t="s">
        <v>44</v>
      </c>
      <c r="B179" s="20" t="s">
        <v>31</v>
      </c>
      <c r="C179" s="20" t="s">
        <v>8</v>
      </c>
      <c r="D179" s="20">
        <v>2000</v>
      </c>
    </row>
    <row r="180" spans="1:4" x14ac:dyDescent="0.2">
      <c r="A180" s="20" t="s">
        <v>44</v>
      </c>
      <c r="B180" s="20" t="s">
        <v>31</v>
      </c>
      <c r="C180" s="20" t="s">
        <v>9</v>
      </c>
      <c r="D180" s="20">
        <v>2000</v>
      </c>
    </row>
    <row r="181" spans="1:4" x14ac:dyDescent="0.2">
      <c r="A181" s="20" t="s">
        <v>44</v>
      </c>
      <c r="B181" s="20" t="s">
        <v>31</v>
      </c>
      <c r="C181" s="20" t="s">
        <v>10</v>
      </c>
      <c r="D181" s="20">
        <v>2000</v>
      </c>
    </row>
    <row r="182" spans="1:4" x14ac:dyDescent="0.2">
      <c r="A182" s="20" t="s">
        <v>44</v>
      </c>
      <c r="B182" s="20" t="s">
        <v>31</v>
      </c>
      <c r="C182" s="20" t="s">
        <v>11</v>
      </c>
      <c r="D182" s="20">
        <v>2000</v>
      </c>
    </row>
    <row r="183" spans="1:4" x14ac:dyDescent="0.2">
      <c r="A183" s="20" t="s">
        <v>44</v>
      </c>
      <c r="B183" s="20" t="s">
        <v>31</v>
      </c>
      <c r="C183" s="20" t="s">
        <v>12</v>
      </c>
      <c r="D183" s="20">
        <f>+SUM(D171:D182)</f>
        <v>24000</v>
      </c>
    </row>
    <row r="184" spans="1:4" x14ac:dyDescent="0.2">
      <c r="A184" s="20" t="s">
        <v>44</v>
      </c>
      <c r="B184" s="20" t="s">
        <v>15</v>
      </c>
      <c r="C184" s="20" t="s">
        <v>0</v>
      </c>
      <c r="D184" s="20">
        <f>+SUMIFS($D$158:$D$183,$C$158:$C$183,C184)</f>
        <v>4000</v>
      </c>
    </row>
    <row r="185" spans="1:4" x14ac:dyDescent="0.2">
      <c r="A185" s="20" t="s">
        <v>44</v>
      </c>
      <c r="B185" s="20" t="s">
        <v>15</v>
      </c>
      <c r="C185" s="20" t="s">
        <v>1</v>
      </c>
      <c r="D185" s="20">
        <f t="shared" ref="D185:D195" si="2">+SUMIFS($D$158:$D$183,$C$158:$C$183,C185)</f>
        <v>4000</v>
      </c>
    </row>
    <row r="186" spans="1:4" x14ac:dyDescent="0.2">
      <c r="A186" s="20" t="s">
        <v>44</v>
      </c>
      <c r="B186" s="20" t="s">
        <v>15</v>
      </c>
      <c r="C186" s="20" t="s">
        <v>2</v>
      </c>
      <c r="D186" s="20">
        <f t="shared" si="2"/>
        <v>4000</v>
      </c>
    </row>
    <row r="187" spans="1:4" x14ac:dyDescent="0.2">
      <c r="A187" s="20" t="s">
        <v>44</v>
      </c>
      <c r="B187" s="20" t="s">
        <v>15</v>
      </c>
      <c r="C187" s="20" t="s">
        <v>3</v>
      </c>
      <c r="D187" s="20">
        <f t="shared" si="2"/>
        <v>4000</v>
      </c>
    </row>
    <row r="188" spans="1:4" x14ac:dyDescent="0.2">
      <c r="A188" s="20" t="s">
        <v>44</v>
      </c>
      <c r="B188" s="20" t="s">
        <v>15</v>
      </c>
      <c r="C188" s="20" t="s">
        <v>4</v>
      </c>
      <c r="D188" s="20">
        <f t="shared" si="2"/>
        <v>4000</v>
      </c>
    </row>
    <row r="189" spans="1:4" x14ac:dyDescent="0.2">
      <c r="A189" s="20" t="s">
        <v>44</v>
      </c>
      <c r="B189" s="20" t="s">
        <v>15</v>
      </c>
      <c r="C189" s="20" t="s">
        <v>5</v>
      </c>
      <c r="D189" s="20">
        <f t="shared" si="2"/>
        <v>4000</v>
      </c>
    </row>
    <row r="190" spans="1:4" x14ac:dyDescent="0.2">
      <c r="A190" s="20" t="s">
        <v>44</v>
      </c>
      <c r="B190" s="20" t="s">
        <v>15</v>
      </c>
      <c r="C190" s="20" t="s">
        <v>6</v>
      </c>
      <c r="D190" s="20">
        <f t="shared" si="2"/>
        <v>4000</v>
      </c>
    </row>
    <row r="191" spans="1:4" x14ac:dyDescent="0.2">
      <c r="A191" s="20" t="s">
        <v>44</v>
      </c>
      <c r="B191" s="20" t="s">
        <v>15</v>
      </c>
      <c r="C191" s="20" t="s">
        <v>7</v>
      </c>
      <c r="D191" s="20">
        <f t="shared" si="2"/>
        <v>4000</v>
      </c>
    </row>
    <row r="192" spans="1:4" x14ac:dyDescent="0.2">
      <c r="A192" s="20" t="s">
        <v>44</v>
      </c>
      <c r="B192" s="20" t="s">
        <v>15</v>
      </c>
      <c r="C192" s="20" t="s">
        <v>8</v>
      </c>
      <c r="D192" s="20">
        <f t="shared" si="2"/>
        <v>4000</v>
      </c>
    </row>
    <row r="193" spans="1:4" x14ac:dyDescent="0.2">
      <c r="A193" s="20" t="s">
        <v>44</v>
      </c>
      <c r="B193" s="20" t="s">
        <v>15</v>
      </c>
      <c r="C193" s="20" t="s">
        <v>9</v>
      </c>
      <c r="D193" s="20">
        <f t="shared" si="2"/>
        <v>4000</v>
      </c>
    </row>
    <row r="194" spans="1:4" x14ac:dyDescent="0.2">
      <c r="A194" s="20" t="s">
        <v>44</v>
      </c>
      <c r="B194" s="20" t="s">
        <v>15</v>
      </c>
      <c r="C194" s="20" t="s">
        <v>10</v>
      </c>
      <c r="D194" s="20">
        <f t="shared" si="2"/>
        <v>4000</v>
      </c>
    </row>
    <row r="195" spans="1:4" x14ac:dyDescent="0.2">
      <c r="A195" s="20" t="s">
        <v>44</v>
      </c>
      <c r="B195" s="20" t="s">
        <v>15</v>
      </c>
      <c r="C195" s="20" t="s">
        <v>11</v>
      </c>
      <c r="D195" s="20">
        <f t="shared" si="2"/>
        <v>4000</v>
      </c>
    </row>
    <row r="196" spans="1:4" x14ac:dyDescent="0.2">
      <c r="A196" s="20" t="s">
        <v>44</v>
      </c>
      <c r="B196" s="20" t="s">
        <v>15</v>
      </c>
      <c r="C196" s="20" t="s">
        <v>12</v>
      </c>
      <c r="D196" s="20">
        <f>+SUM(D184:D195)</f>
        <v>48000</v>
      </c>
    </row>
    <row r="197" spans="1:4" x14ac:dyDescent="0.2">
      <c r="A197" s="20" t="s">
        <v>54</v>
      </c>
      <c r="B197" s="20" t="s">
        <v>15</v>
      </c>
      <c r="C197" s="20" t="s">
        <v>0</v>
      </c>
      <c r="D197" s="20">
        <f>+SUMIFS($D$2:$D$196,$C$2:$C$196,C197,$B$2:$B$196,B197)</f>
        <v>123620</v>
      </c>
    </row>
    <row r="198" spans="1:4" x14ac:dyDescent="0.2">
      <c r="A198" s="20" t="s">
        <v>54</v>
      </c>
      <c r="B198" s="20" t="s">
        <v>15</v>
      </c>
      <c r="C198" s="20" t="s">
        <v>1</v>
      </c>
      <c r="D198" s="20">
        <f t="shared" ref="D198:D208" si="3">+SUMIFS($D$2:$D$196,$C$2:$C$196,C198,$B$2:$B$196,B198)</f>
        <v>123720</v>
      </c>
    </row>
    <row r="199" spans="1:4" x14ac:dyDescent="0.2">
      <c r="A199" s="20" t="s">
        <v>54</v>
      </c>
      <c r="B199" s="20" t="s">
        <v>15</v>
      </c>
      <c r="C199" s="20" t="s">
        <v>2</v>
      </c>
      <c r="D199" s="20">
        <f t="shared" si="3"/>
        <v>123720</v>
      </c>
    </row>
    <row r="200" spans="1:4" x14ac:dyDescent="0.2">
      <c r="A200" s="20" t="s">
        <v>54</v>
      </c>
      <c r="B200" s="20" t="s">
        <v>15</v>
      </c>
      <c r="C200" s="20" t="s">
        <v>3</v>
      </c>
      <c r="D200" s="20">
        <f t="shared" si="3"/>
        <v>126595</v>
      </c>
    </row>
    <row r="201" spans="1:4" x14ac:dyDescent="0.2">
      <c r="A201" s="20" t="s">
        <v>54</v>
      </c>
      <c r="B201" s="20" t="s">
        <v>15</v>
      </c>
      <c r="C201" s="20" t="s">
        <v>4</v>
      </c>
      <c r="D201" s="20">
        <f t="shared" si="3"/>
        <v>126595</v>
      </c>
    </row>
    <row r="202" spans="1:4" x14ac:dyDescent="0.2">
      <c r="A202" s="20" t="s">
        <v>54</v>
      </c>
      <c r="B202" s="20" t="s">
        <v>15</v>
      </c>
      <c r="C202" s="20" t="s">
        <v>5</v>
      </c>
      <c r="D202" s="20">
        <f t="shared" si="3"/>
        <v>126595</v>
      </c>
    </row>
    <row r="203" spans="1:4" x14ac:dyDescent="0.2">
      <c r="A203" s="20" t="s">
        <v>54</v>
      </c>
      <c r="B203" s="20" t="s">
        <v>15</v>
      </c>
      <c r="C203" s="20" t="s">
        <v>6</v>
      </c>
      <c r="D203" s="20">
        <f t="shared" si="3"/>
        <v>126595</v>
      </c>
    </row>
    <row r="204" spans="1:4" x14ac:dyDescent="0.2">
      <c r="A204" s="20" t="s">
        <v>54</v>
      </c>
      <c r="B204" s="20" t="s">
        <v>15</v>
      </c>
      <c r="C204" s="20" t="s">
        <v>7</v>
      </c>
      <c r="D204" s="20">
        <f t="shared" si="3"/>
        <v>132818</v>
      </c>
    </row>
    <row r="205" spans="1:4" x14ac:dyDescent="0.2">
      <c r="A205" s="20" t="s">
        <v>54</v>
      </c>
      <c r="B205" s="20" t="s">
        <v>15</v>
      </c>
      <c r="C205" s="20" t="s">
        <v>8</v>
      </c>
      <c r="D205" s="20">
        <f t="shared" si="3"/>
        <v>132818</v>
      </c>
    </row>
    <row r="206" spans="1:4" x14ac:dyDescent="0.2">
      <c r="A206" s="20" t="s">
        <v>54</v>
      </c>
      <c r="B206" s="20" t="s">
        <v>15</v>
      </c>
      <c r="C206" s="20" t="s">
        <v>9</v>
      </c>
      <c r="D206" s="20">
        <f t="shared" si="3"/>
        <v>132818</v>
      </c>
    </row>
    <row r="207" spans="1:4" x14ac:dyDescent="0.2">
      <c r="A207" s="20" t="s">
        <v>54</v>
      </c>
      <c r="B207" s="20" t="s">
        <v>15</v>
      </c>
      <c r="C207" s="20" t="s">
        <v>10</v>
      </c>
      <c r="D207" s="20">
        <f t="shared" si="3"/>
        <v>133118</v>
      </c>
    </row>
    <row r="208" spans="1:4" x14ac:dyDescent="0.2">
      <c r="A208" s="20" t="s">
        <v>54</v>
      </c>
      <c r="B208" s="20" t="s">
        <v>15</v>
      </c>
      <c r="C208" s="20" t="s">
        <v>11</v>
      </c>
      <c r="D208" s="20">
        <f t="shared" si="3"/>
        <v>133118</v>
      </c>
    </row>
    <row r="209" spans="1:4" x14ac:dyDescent="0.2">
      <c r="A209" s="20" t="s">
        <v>54</v>
      </c>
      <c r="B209" s="20" t="s">
        <v>15</v>
      </c>
      <c r="C209" s="20" t="s">
        <v>12</v>
      </c>
      <c r="D209" s="20">
        <f>+SUM(D197:D208)</f>
        <v>1542130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1B49-F4B1-6743-8B96-82C9B897B046}">
  <dimension ref="A1:D209"/>
  <sheetViews>
    <sheetView topLeftCell="A154" workbookViewId="0">
      <selection activeCell="D209" sqref="D209"/>
    </sheetView>
  </sheetViews>
  <sheetFormatPr baseColWidth="10" defaultRowHeight="13" x14ac:dyDescent="0.2"/>
  <cols>
    <col min="1" max="1" width="11.6640625" style="20" bestFit="1" customWidth="1"/>
    <col min="2" max="16384" width="10.83203125" style="20"/>
  </cols>
  <sheetData>
    <row r="1" spans="1:4" x14ac:dyDescent="0.2">
      <c r="A1" s="20" t="s">
        <v>65</v>
      </c>
      <c r="B1" s="20" t="s">
        <v>66</v>
      </c>
      <c r="C1" s="20" t="s">
        <v>68</v>
      </c>
      <c r="D1" s="20" t="s">
        <v>67</v>
      </c>
    </row>
    <row r="2" spans="1:4" x14ac:dyDescent="0.2">
      <c r="A2" s="20" t="s">
        <v>41</v>
      </c>
      <c r="B2" s="20" t="s">
        <v>13</v>
      </c>
      <c r="C2" s="20" t="s">
        <v>0</v>
      </c>
      <c r="D2" s="20">
        <v>84824.384248595481</v>
      </c>
    </row>
    <row r="3" spans="1:4" x14ac:dyDescent="0.2">
      <c r="A3" s="20" t="s">
        <v>41</v>
      </c>
      <c r="B3" s="20" t="s">
        <v>13</v>
      </c>
      <c r="C3" s="20" t="s">
        <v>1</v>
      </c>
      <c r="D3" s="20">
        <v>84938.026248580791</v>
      </c>
    </row>
    <row r="4" spans="1:4" x14ac:dyDescent="0.2">
      <c r="A4" s="20" t="s">
        <v>41</v>
      </c>
      <c r="B4" s="20" t="s">
        <v>13</v>
      </c>
      <c r="C4" s="20" t="s">
        <v>2</v>
      </c>
      <c r="D4" s="20">
        <v>85035.00923302614</v>
      </c>
    </row>
    <row r="5" spans="1:4" x14ac:dyDescent="0.2">
      <c r="A5" s="20" t="s">
        <v>41</v>
      </c>
      <c r="B5" s="20" t="s">
        <v>13</v>
      </c>
      <c r="C5" s="20" t="s">
        <v>3</v>
      </c>
      <c r="D5" s="20">
        <v>87463.61979296834</v>
      </c>
    </row>
    <row r="6" spans="1:4" x14ac:dyDescent="0.2">
      <c r="A6" s="20" t="s">
        <v>41</v>
      </c>
      <c r="B6" s="20" t="s">
        <v>13</v>
      </c>
      <c r="C6" s="20" t="s">
        <v>4</v>
      </c>
      <c r="D6" s="20">
        <v>87263.353172467847</v>
      </c>
    </row>
    <row r="7" spans="1:4" x14ac:dyDescent="0.2">
      <c r="A7" s="20" t="s">
        <v>41</v>
      </c>
      <c r="B7" s="20" t="s">
        <v>13</v>
      </c>
      <c r="C7" s="20" t="s">
        <v>5</v>
      </c>
      <c r="D7" s="20">
        <v>87240.358391266491</v>
      </c>
    </row>
    <row r="8" spans="1:4" x14ac:dyDescent="0.2">
      <c r="A8" s="20" t="s">
        <v>41</v>
      </c>
      <c r="B8" s="20" t="s">
        <v>13</v>
      </c>
      <c r="C8" s="20" t="s">
        <v>6</v>
      </c>
      <c r="D8" s="20">
        <v>87242.311112460942</v>
      </c>
    </row>
    <row r="9" spans="1:4" x14ac:dyDescent="0.2">
      <c r="A9" s="20" t="s">
        <v>41</v>
      </c>
      <c r="B9" s="20" t="s">
        <v>13</v>
      </c>
      <c r="C9" s="20" t="s">
        <v>7</v>
      </c>
      <c r="D9" s="20">
        <v>92408.249063236959</v>
      </c>
    </row>
    <row r="10" spans="1:4" x14ac:dyDescent="0.2">
      <c r="A10" s="20" t="s">
        <v>41</v>
      </c>
      <c r="B10" s="20" t="s">
        <v>13</v>
      </c>
      <c r="C10" s="20" t="s">
        <v>8</v>
      </c>
      <c r="D10" s="20">
        <v>92522.098471139383</v>
      </c>
    </row>
    <row r="11" spans="1:4" x14ac:dyDescent="0.2">
      <c r="A11" s="20" t="s">
        <v>41</v>
      </c>
      <c r="B11" s="20" t="s">
        <v>13</v>
      </c>
      <c r="C11" s="20" t="s">
        <v>9</v>
      </c>
      <c r="D11" s="20">
        <v>92530.792974688549</v>
      </c>
    </row>
    <row r="12" spans="1:4" x14ac:dyDescent="0.2">
      <c r="A12" s="20" t="s">
        <v>41</v>
      </c>
      <c r="B12" s="20" t="s">
        <v>13</v>
      </c>
      <c r="C12" s="20" t="s">
        <v>10</v>
      </c>
      <c r="D12" s="20">
        <v>92580.940805564489</v>
      </c>
    </row>
    <row r="13" spans="1:4" x14ac:dyDescent="0.2">
      <c r="A13" s="20" t="s">
        <v>41</v>
      </c>
      <c r="B13" s="20" t="s">
        <v>13</v>
      </c>
      <c r="C13" s="20" t="s">
        <v>11</v>
      </c>
      <c r="D13" s="20">
        <v>92383.952042933917</v>
      </c>
    </row>
    <row r="14" spans="1:4" x14ac:dyDescent="0.2">
      <c r="A14" s="20" t="s">
        <v>41</v>
      </c>
      <c r="B14" s="20" t="s">
        <v>13</v>
      </c>
      <c r="C14" s="20" t="s">
        <v>12</v>
      </c>
      <c r="D14" s="20">
        <f>+SUM(D2:D13)</f>
        <v>1066433.0955569295</v>
      </c>
    </row>
    <row r="15" spans="1:4" x14ac:dyDescent="0.2">
      <c r="A15" s="20" t="s">
        <v>41</v>
      </c>
      <c r="B15" s="20" t="s">
        <v>14</v>
      </c>
      <c r="C15" s="20" t="s">
        <v>0</v>
      </c>
      <c r="D15" s="20">
        <v>22489.107218653997</v>
      </c>
    </row>
    <row r="16" spans="1:4" x14ac:dyDescent="0.2">
      <c r="A16" s="20" t="s">
        <v>41</v>
      </c>
      <c r="B16" s="20" t="s">
        <v>14</v>
      </c>
      <c r="C16" s="20" t="s">
        <v>1</v>
      </c>
      <c r="D16" s="20">
        <v>23145.186825128469</v>
      </c>
    </row>
    <row r="17" spans="1:4" x14ac:dyDescent="0.2">
      <c r="A17" s="20" t="s">
        <v>41</v>
      </c>
      <c r="B17" s="20" t="s">
        <v>14</v>
      </c>
      <c r="C17" s="20" t="s">
        <v>2</v>
      </c>
      <c r="D17" s="20">
        <v>23080.06522491097</v>
      </c>
    </row>
    <row r="18" spans="1:4" x14ac:dyDescent="0.2">
      <c r="A18" s="20" t="s">
        <v>41</v>
      </c>
      <c r="B18" s="20" t="s">
        <v>14</v>
      </c>
      <c r="C18" s="20" t="s">
        <v>3</v>
      </c>
      <c r="D18" s="20">
        <v>23711.034619431368</v>
      </c>
    </row>
    <row r="19" spans="1:4" x14ac:dyDescent="0.2">
      <c r="A19" s="20" t="s">
        <v>41</v>
      </c>
      <c r="B19" s="20" t="s">
        <v>14</v>
      </c>
      <c r="C19" s="20" t="s">
        <v>4</v>
      </c>
      <c r="D19" s="20">
        <v>23512.643203948846</v>
      </c>
    </row>
    <row r="20" spans="1:4" x14ac:dyDescent="0.2">
      <c r="A20" s="20" t="s">
        <v>41</v>
      </c>
      <c r="B20" s="20" t="s">
        <v>14</v>
      </c>
      <c r="C20" s="20" t="s">
        <v>5</v>
      </c>
      <c r="D20" s="20">
        <v>23494.907678067852</v>
      </c>
    </row>
    <row r="21" spans="1:4" x14ac:dyDescent="0.2">
      <c r="A21" s="20" t="s">
        <v>41</v>
      </c>
      <c r="B21" s="20" t="s">
        <v>14</v>
      </c>
      <c r="C21" s="20" t="s">
        <v>6</v>
      </c>
      <c r="D21" s="20">
        <v>23762.406251476572</v>
      </c>
    </row>
    <row r="22" spans="1:4" x14ac:dyDescent="0.2">
      <c r="A22" s="20" t="s">
        <v>41</v>
      </c>
      <c r="B22" s="20" t="s">
        <v>14</v>
      </c>
      <c r="C22" s="20" t="s">
        <v>7</v>
      </c>
      <c r="D22" s="20">
        <v>24936.432355847453</v>
      </c>
    </row>
    <row r="23" spans="1:4" x14ac:dyDescent="0.2">
      <c r="A23" s="20" t="s">
        <v>41</v>
      </c>
      <c r="B23" s="20" t="s">
        <v>14</v>
      </c>
      <c r="C23" s="20" t="s">
        <v>8</v>
      </c>
      <c r="D23" s="20">
        <v>25260.079340473894</v>
      </c>
    </row>
    <row r="24" spans="1:4" x14ac:dyDescent="0.2">
      <c r="A24" s="20" t="s">
        <v>41</v>
      </c>
      <c r="B24" s="20" t="s">
        <v>14</v>
      </c>
      <c r="C24" s="20" t="s">
        <v>9</v>
      </c>
      <c r="D24" s="20">
        <v>24824.485208532838</v>
      </c>
    </row>
    <row r="25" spans="1:4" x14ac:dyDescent="0.2">
      <c r="A25" s="20" t="s">
        <v>41</v>
      </c>
      <c r="B25" s="20" t="s">
        <v>14</v>
      </c>
      <c r="C25" s="20" t="s">
        <v>10</v>
      </c>
      <c r="D25" s="20">
        <v>24673.491243870772</v>
      </c>
    </row>
    <row r="26" spans="1:4" x14ac:dyDescent="0.2">
      <c r="A26" s="20" t="s">
        <v>41</v>
      </c>
      <c r="B26" s="20" t="s">
        <v>14</v>
      </c>
      <c r="C26" s="20" t="s">
        <v>11</v>
      </c>
      <c r="D26" s="20">
        <v>25048.617115295889</v>
      </c>
    </row>
    <row r="27" spans="1:4" x14ac:dyDescent="0.2">
      <c r="A27" s="20" t="s">
        <v>41</v>
      </c>
      <c r="B27" s="20" t="s">
        <v>14</v>
      </c>
      <c r="C27" s="20" t="s">
        <v>12</v>
      </c>
      <c r="D27" s="20">
        <f>+SUM(D15:D26)</f>
        <v>287938.45628563891</v>
      </c>
    </row>
    <row r="28" spans="1:4" x14ac:dyDescent="0.2">
      <c r="A28" s="20" t="s">
        <v>41</v>
      </c>
      <c r="B28" s="20" t="s">
        <v>15</v>
      </c>
      <c r="C28" s="20" t="s">
        <v>0</v>
      </c>
      <c r="D28" s="20">
        <f>+SUMIFS($D$2:$D$27,$C$2:$C$27,C28)</f>
        <v>107313.49146724948</v>
      </c>
    </row>
    <row r="29" spans="1:4" x14ac:dyDescent="0.2">
      <c r="A29" s="20" t="s">
        <v>41</v>
      </c>
      <c r="B29" s="20" t="s">
        <v>15</v>
      </c>
      <c r="C29" s="20" t="s">
        <v>1</v>
      </c>
      <c r="D29" s="20">
        <f t="shared" ref="D29:D40" si="0">+SUMIFS($D$2:$D$27,$C$2:$C$27,C29)</f>
        <v>108083.21307370925</v>
      </c>
    </row>
    <row r="30" spans="1:4" x14ac:dyDescent="0.2">
      <c r="A30" s="20" t="s">
        <v>41</v>
      </c>
      <c r="B30" s="20" t="s">
        <v>15</v>
      </c>
      <c r="C30" s="20" t="s">
        <v>2</v>
      </c>
      <c r="D30" s="20">
        <f t="shared" si="0"/>
        <v>108115.07445793711</v>
      </c>
    </row>
    <row r="31" spans="1:4" x14ac:dyDescent="0.2">
      <c r="A31" s="20" t="s">
        <v>41</v>
      </c>
      <c r="B31" s="20" t="s">
        <v>15</v>
      </c>
      <c r="C31" s="20" t="s">
        <v>3</v>
      </c>
      <c r="D31" s="20">
        <f t="shared" si="0"/>
        <v>111174.65441239972</v>
      </c>
    </row>
    <row r="32" spans="1:4" x14ac:dyDescent="0.2">
      <c r="A32" s="20" t="s">
        <v>41</v>
      </c>
      <c r="B32" s="20" t="s">
        <v>15</v>
      </c>
      <c r="C32" s="20" t="s">
        <v>4</v>
      </c>
      <c r="D32" s="20">
        <f t="shared" si="0"/>
        <v>110775.99637641669</v>
      </c>
    </row>
    <row r="33" spans="1:4" x14ac:dyDescent="0.2">
      <c r="A33" s="20" t="s">
        <v>41</v>
      </c>
      <c r="B33" s="20" t="s">
        <v>15</v>
      </c>
      <c r="C33" s="20" t="s">
        <v>5</v>
      </c>
      <c r="D33" s="20">
        <f t="shared" si="0"/>
        <v>110735.26606933435</v>
      </c>
    </row>
    <row r="34" spans="1:4" x14ac:dyDescent="0.2">
      <c r="A34" s="20" t="s">
        <v>41</v>
      </c>
      <c r="B34" s="20" t="s">
        <v>15</v>
      </c>
      <c r="C34" s="20" t="s">
        <v>6</v>
      </c>
      <c r="D34" s="20">
        <f t="shared" si="0"/>
        <v>111004.71736393751</v>
      </c>
    </row>
    <row r="35" spans="1:4" x14ac:dyDescent="0.2">
      <c r="A35" s="20" t="s">
        <v>41</v>
      </c>
      <c r="B35" s="20" t="s">
        <v>15</v>
      </c>
      <c r="C35" s="20" t="s">
        <v>7</v>
      </c>
      <c r="D35" s="20">
        <f t="shared" si="0"/>
        <v>117344.68141908442</v>
      </c>
    </row>
    <row r="36" spans="1:4" x14ac:dyDescent="0.2">
      <c r="A36" s="20" t="s">
        <v>41</v>
      </c>
      <c r="B36" s="20" t="s">
        <v>15</v>
      </c>
      <c r="C36" s="20" t="s">
        <v>8</v>
      </c>
      <c r="D36" s="20">
        <f t="shared" si="0"/>
        <v>117782.17781161328</v>
      </c>
    </row>
    <row r="37" spans="1:4" x14ac:dyDescent="0.2">
      <c r="A37" s="20" t="s">
        <v>41</v>
      </c>
      <c r="B37" s="20" t="s">
        <v>15</v>
      </c>
      <c r="C37" s="20" t="s">
        <v>9</v>
      </c>
      <c r="D37" s="20">
        <f t="shared" si="0"/>
        <v>117355.27818322138</v>
      </c>
    </row>
    <row r="38" spans="1:4" x14ac:dyDescent="0.2">
      <c r="A38" s="20" t="s">
        <v>41</v>
      </c>
      <c r="B38" s="20" t="s">
        <v>15</v>
      </c>
      <c r="C38" s="20" t="s">
        <v>10</v>
      </c>
      <c r="D38" s="20">
        <f t="shared" si="0"/>
        <v>117254.43204943526</v>
      </c>
    </row>
    <row r="39" spans="1:4" x14ac:dyDescent="0.2">
      <c r="A39" s="20" t="s">
        <v>41</v>
      </c>
      <c r="B39" s="20" t="s">
        <v>15</v>
      </c>
      <c r="C39" s="20" t="s">
        <v>11</v>
      </c>
      <c r="D39" s="20">
        <f t="shared" si="0"/>
        <v>117432.5691582298</v>
      </c>
    </row>
    <row r="40" spans="1:4" x14ac:dyDescent="0.2">
      <c r="A40" s="20" t="s">
        <v>41</v>
      </c>
      <c r="B40" s="20" t="s">
        <v>15</v>
      </c>
      <c r="C40" s="20" t="s">
        <v>12</v>
      </c>
      <c r="D40" s="20">
        <f>+SUM(D28:D39)</f>
        <v>1354371.5518425682</v>
      </c>
    </row>
    <row r="41" spans="1:4" x14ac:dyDescent="0.2">
      <c r="A41" s="20" t="s">
        <v>42</v>
      </c>
      <c r="B41" s="20" t="s">
        <v>16</v>
      </c>
      <c r="C41" s="20" t="s">
        <v>0</v>
      </c>
      <c r="D41" s="20">
        <v>10059.386676663889</v>
      </c>
    </row>
    <row r="42" spans="1:4" x14ac:dyDescent="0.2">
      <c r="A42" s="20" t="s">
        <v>42</v>
      </c>
      <c r="B42" s="20" t="s">
        <v>16</v>
      </c>
      <c r="C42" s="20" t="s">
        <v>1</v>
      </c>
      <c r="D42" s="20">
        <v>9881.8918242522832</v>
      </c>
    </row>
    <row r="43" spans="1:4" x14ac:dyDescent="0.2">
      <c r="A43" s="20" t="s">
        <v>42</v>
      </c>
      <c r="B43" s="20" t="s">
        <v>16</v>
      </c>
      <c r="C43" s="20" t="s">
        <v>2</v>
      </c>
      <c r="D43" s="20">
        <v>10153.57609164751</v>
      </c>
    </row>
    <row r="44" spans="1:4" x14ac:dyDescent="0.2">
      <c r="A44" s="20" t="s">
        <v>42</v>
      </c>
      <c r="B44" s="20" t="s">
        <v>16</v>
      </c>
      <c r="C44" s="20" t="s">
        <v>3</v>
      </c>
      <c r="D44" s="20">
        <v>9452.4428790853653</v>
      </c>
    </row>
    <row r="45" spans="1:4" x14ac:dyDescent="0.2">
      <c r="A45" s="20" t="s">
        <v>42</v>
      </c>
      <c r="B45" s="20" t="s">
        <v>16</v>
      </c>
      <c r="C45" s="20" t="s">
        <v>4</v>
      </c>
      <c r="D45" s="20">
        <v>9654.2755094669919</v>
      </c>
    </row>
    <row r="46" spans="1:4" x14ac:dyDescent="0.2">
      <c r="A46" s="20" t="s">
        <v>42</v>
      </c>
      <c r="B46" s="20" t="s">
        <v>16</v>
      </c>
      <c r="C46" s="20" t="s">
        <v>5</v>
      </c>
      <c r="D46" s="20">
        <v>9668.7038391540882</v>
      </c>
    </row>
    <row r="47" spans="1:4" x14ac:dyDescent="0.2">
      <c r="A47" s="20" t="s">
        <v>42</v>
      </c>
      <c r="B47" s="20" t="s">
        <v>16</v>
      </c>
      <c r="C47" s="20" t="s">
        <v>6</v>
      </c>
      <c r="D47" s="20">
        <v>9861.5866548055146</v>
      </c>
    </row>
    <row r="48" spans="1:4" x14ac:dyDescent="0.2">
      <c r="A48" s="20" t="s">
        <v>42</v>
      </c>
      <c r="B48" s="20" t="s">
        <v>16</v>
      </c>
      <c r="C48" s="20" t="s">
        <v>7</v>
      </c>
      <c r="D48" s="20">
        <v>9710.7275559042791</v>
      </c>
    </row>
    <row r="49" spans="1:4" x14ac:dyDescent="0.2">
      <c r="A49" s="20" t="s">
        <v>42</v>
      </c>
      <c r="B49" s="20" t="s">
        <v>16</v>
      </c>
      <c r="C49" s="20" t="s">
        <v>8</v>
      </c>
      <c r="D49" s="20">
        <v>9848.5970469976583</v>
      </c>
    </row>
    <row r="50" spans="1:4" x14ac:dyDescent="0.2">
      <c r="A50" s="20" t="s">
        <v>42</v>
      </c>
      <c r="B50" s="20" t="s">
        <v>16</v>
      </c>
      <c r="C50" s="20" t="s">
        <v>9</v>
      </c>
      <c r="D50" s="20">
        <v>9984.1618448248337</v>
      </c>
    </row>
    <row r="51" spans="1:4" x14ac:dyDescent="0.2">
      <c r="A51" s="20" t="s">
        <v>42</v>
      </c>
      <c r="B51" s="20" t="s">
        <v>16</v>
      </c>
      <c r="C51" s="20" t="s">
        <v>10</v>
      </c>
      <c r="D51" s="20">
        <v>9868.9554210721089</v>
      </c>
    </row>
    <row r="52" spans="1:4" x14ac:dyDescent="0.2">
      <c r="A52" s="20" t="s">
        <v>42</v>
      </c>
      <c r="B52" s="20" t="s">
        <v>16</v>
      </c>
      <c r="C52" s="20" t="s">
        <v>11</v>
      </c>
      <c r="D52" s="20">
        <v>10138.363232913754</v>
      </c>
    </row>
    <row r="53" spans="1:4" x14ac:dyDescent="0.2">
      <c r="A53" s="20" t="s">
        <v>42</v>
      </c>
      <c r="B53" s="20" t="s">
        <v>16</v>
      </c>
      <c r="C53" s="20" t="s">
        <v>12</v>
      </c>
      <c r="D53" s="20">
        <f>+SUM(D41:D52)</f>
        <v>118282.66857678827</v>
      </c>
    </row>
    <row r="54" spans="1:4" x14ac:dyDescent="0.2">
      <c r="A54" s="20" t="s">
        <v>42</v>
      </c>
      <c r="B54" s="20" t="s">
        <v>17</v>
      </c>
      <c r="C54" s="20" t="s">
        <v>0</v>
      </c>
      <c r="D54" s="20">
        <v>300</v>
      </c>
    </row>
    <row r="55" spans="1:4" x14ac:dyDescent="0.2">
      <c r="A55" s="20" t="s">
        <v>42</v>
      </c>
      <c r="B55" s="20" t="s">
        <v>17</v>
      </c>
      <c r="C55" s="20" t="s">
        <v>1</v>
      </c>
      <c r="D55" s="20">
        <v>400</v>
      </c>
    </row>
    <row r="56" spans="1:4" x14ac:dyDescent="0.2">
      <c r="A56" s="20" t="s">
        <v>42</v>
      </c>
      <c r="B56" s="20" t="s">
        <v>17</v>
      </c>
      <c r="C56" s="20" t="s">
        <v>2</v>
      </c>
      <c r="D56" s="20">
        <v>400</v>
      </c>
    </row>
    <row r="57" spans="1:4" x14ac:dyDescent="0.2">
      <c r="A57" s="20" t="s">
        <v>42</v>
      </c>
      <c r="B57" s="20" t="s">
        <v>17</v>
      </c>
      <c r="C57" s="20" t="s">
        <v>3</v>
      </c>
      <c r="D57" s="20">
        <v>100</v>
      </c>
    </row>
    <row r="58" spans="1:4" x14ac:dyDescent="0.2">
      <c r="A58" s="20" t="s">
        <v>42</v>
      </c>
      <c r="B58" s="20" t="s">
        <v>17</v>
      </c>
      <c r="C58" s="20" t="s">
        <v>4</v>
      </c>
      <c r="D58" s="20">
        <v>100</v>
      </c>
    </row>
    <row r="59" spans="1:4" x14ac:dyDescent="0.2">
      <c r="A59" s="20" t="s">
        <v>42</v>
      </c>
      <c r="B59" s="20" t="s">
        <v>17</v>
      </c>
      <c r="C59" s="20" t="s">
        <v>5</v>
      </c>
      <c r="D59" s="20">
        <v>100</v>
      </c>
    </row>
    <row r="60" spans="1:4" x14ac:dyDescent="0.2">
      <c r="A60" s="20" t="s">
        <v>42</v>
      </c>
      <c r="B60" s="20" t="s">
        <v>17</v>
      </c>
      <c r="C60" s="20" t="s">
        <v>6</v>
      </c>
      <c r="D60" s="20">
        <v>100</v>
      </c>
    </row>
    <row r="61" spans="1:4" x14ac:dyDescent="0.2">
      <c r="A61" s="20" t="s">
        <v>42</v>
      </c>
      <c r="B61" s="20" t="s">
        <v>17</v>
      </c>
      <c r="C61" s="20" t="s">
        <v>7</v>
      </c>
      <c r="D61" s="20">
        <v>100</v>
      </c>
    </row>
    <row r="62" spans="1:4" x14ac:dyDescent="0.2">
      <c r="A62" s="20" t="s">
        <v>42</v>
      </c>
      <c r="B62" s="20" t="s">
        <v>17</v>
      </c>
      <c r="C62" s="20" t="s">
        <v>8</v>
      </c>
      <c r="D62" s="20">
        <v>100</v>
      </c>
    </row>
    <row r="63" spans="1:4" x14ac:dyDescent="0.2">
      <c r="A63" s="20" t="s">
        <v>42</v>
      </c>
      <c r="B63" s="20" t="s">
        <v>17</v>
      </c>
      <c r="C63" s="20" t="s">
        <v>9</v>
      </c>
      <c r="D63" s="20">
        <v>100</v>
      </c>
    </row>
    <row r="64" spans="1:4" x14ac:dyDescent="0.2">
      <c r="A64" s="20" t="s">
        <v>42</v>
      </c>
      <c r="B64" s="20" t="s">
        <v>17</v>
      </c>
      <c r="C64" s="20" t="s">
        <v>10</v>
      </c>
      <c r="D64" s="20">
        <v>400</v>
      </c>
    </row>
    <row r="65" spans="1:4" x14ac:dyDescent="0.2">
      <c r="A65" s="20" t="s">
        <v>42</v>
      </c>
      <c r="B65" s="20" t="s">
        <v>17</v>
      </c>
      <c r="C65" s="20" t="s">
        <v>11</v>
      </c>
      <c r="D65" s="20">
        <v>400</v>
      </c>
    </row>
    <row r="66" spans="1:4" x14ac:dyDescent="0.2">
      <c r="A66" s="20" t="s">
        <v>42</v>
      </c>
      <c r="B66" s="20" t="s">
        <v>17</v>
      </c>
      <c r="C66" s="20" t="s">
        <v>12</v>
      </c>
      <c r="D66" s="20">
        <f>+SUM(D54:D65)</f>
        <v>2600</v>
      </c>
    </row>
    <row r="67" spans="1:4" x14ac:dyDescent="0.2">
      <c r="A67" s="20" t="s">
        <v>42</v>
      </c>
      <c r="B67" s="20" t="s">
        <v>18</v>
      </c>
      <c r="C67" s="20" t="s">
        <v>0</v>
      </c>
      <c r="D67" s="20">
        <v>300</v>
      </c>
    </row>
    <row r="68" spans="1:4" x14ac:dyDescent="0.2">
      <c r="A68" s="20" t="s">
        <v>42</v>
      </c>
      <c r="B68" s="20" t="s">
        <v>18</v>
      </c>
      <c r="C68" s="20" t="s">
        <v>1</v>
      </c>
      <c r="D68" s="20">
        <v>300</v>
      </c>
    </row>
    <row r="69" spans="1:4" x14ac:dyDescent="0.2">
      <c r="A69" s="20" t="s">
        <v>42</v>
      </c>
      <c r="B69" s="20" t="s">
        <v>18</v>
      </c>
      <c r="C69" s="20" t="s">
        <v>2</v>
      </c>
      <c r="D69" s="20">
        <v>300</v>
      </c>
    </row>
    <row r="70" spans="1:4" x14ac:dyDescent="0.2">
      <c r="A70" s="20" t="s">
        <v>42</v>
      </c>
      <c r="B70" s="20" t="s">
        <v>18</v>
      </c>
      <c r="C70" s="20" t="s">
        <v>3</v>
      </c>
      <c r="D70" s="20">
        <v>300</v>
      </c>
    </row>
    <row r="71" spans="1:4" x14ac:dyDescent="0.2">
      <c r="A71" s="20" t="s">
        <v>42</v>
      </c>
      <c r="B71" s="20" t="s">
        <v>18</v>
      </c>
      <c r="C71" s="20" t="s">
        <v>4</v>
      </c>
      <c r="D71" s="20">
        <v>300</v>
      </c>
    </row>
    <row r="72" spans="1:4" x14ac:dyDescent="0.2">
      <c r="A72" s="20" t="s">
        <v>42</v>
      </c>
      <c r="B72" s="20" t="s">
        <v>18</v>
      </c>
      <c r="C72" s="20" t="s">
        <v>5</v>
      </c>
      <c r="D72" s="20">
        <v>300</v>
      </c>
    </row>
    <row r="73" spans="1:4" x14ac:dyDescent="0.2">
      <c r="A73" s="20" t="s">
        <v>42</v>
      </c>
      <c r="B73" s="20" t="s">
        <v>18</v>
      </c>
      <c r="C73" s="20" t="s">
        <v>6</v>
      </c>
      <c r="D73" s="20">
        <v>300</v>
      </c>
    </row>
    <row r="74" spans="1:4" x14ac:dyDescent="0.2">
      <c r="A74" s="20" t="s">
        <v>42</v>
      </c>
      <c r="B74" s="20" t="s">
        <v>18</v>
      </c>
      <c r="C74" s="20" t="s">
        <v>7</v>
      </c>
      <c r="D74" s="20">
        <v>300</v>
      </c>
    </row>
    <row r="75" spans="1:4" x14ac:dyDescent="0.2">
      <c r="A75" s="20" t="s">
        <v>42</v>
      </c>
      <c r="B75" s="20" t="s">
        <v>18</v>
      </c>
      <c r="C75" s="20" t="s">
        <v>8</v>
      </c>
      <c r="D75" s="20">
        <v>300</v>
      </c>
    </row>
    <row r="76" spans="1:4" x14ac:dyDescent="0.2">
      <c r="A76" s="20" t="s">
        <v>42</v>
      </c>
      <c r="B76" s="20" t="s">
        <v>18</v>
      </c>
      <c r="C76" s="20" t="s">
        <v>9</v>
      </c>
      <c r="D76" s="20">
        <v>300</v>
      </c>
    </row>
    <row r="77" spans="1:4" x14ac:dyDescent="0.2">
      <c r="A77" s="20" t="s">
        <v>42</v>
      </c>
      <c r="B77" s="20" t="s">
        <v>18</v>
      </c>
      <c r="C77" s="20" t="s">
        <v>10</v>
      </c>
      <c r="D77" s="20">
        <v>300</v>
      </c>
    </row>
    <row r="78" spans="1:4" x14ac:dyDescent="0.2">
      <c r="A78" s="20" t="s">
        <v>42</v>
      </c>
      <c r="B78" s="20" t="s">
        <v>18</v>
      </c>
      <c r="C78" s="20" t="s">
        <v>11</v>
      </c>
      <c r="D78" s="20">
        <v>300</v>
      </c>
    </row>
    <row r="79" spans="1:4" x14ac:dyDescent="0.2">
      <c r="A79" s="20" t="s">
        <v>42</v>
      </c>
      <c r="B79" s="20" t="s">
        <v>18</v>
      </c>
      <c r="C79" s="20" t="s">
        <v>12</v>
      </c>
      <c r="D79" s="20">
        <f>+SUM(D67:D78)</f>
        <v>3600</v>
      </c>
    </row>
    <row r="80" spans="1:4" x14ac:dyDescent="0.2">
      <c r="A80" s="20" t="s">
        <v>42</v>
      </c>
      <c r="B80" s="20" t="s">
        <v>19</v>
      </c>
      <c r="C80" s="20" t="s">
        <v>0</v>
      </c>
      <c r="D80" s="20">
        <v>40</v>
      </c>
    </row>
    <row r="81" spans="1:4" x14ac:dyDescent="0.2">
      <c r="A81" s="20" t="s">
        <v>42</v>
      </c>
      <c r="B81" s="20" t="s">
        <v>19</v>
      </c>
      <c r="C81" s="20" t="s">
        <v>1</v>
      </c>
      <c r="D81" s="20">
        <v>40</v>
      </c>
    </row>
    <row r="82" spans="1:4" x14ac:dyDescent="0.2">
      <c r="A82" s="20" t="s">
        <v>42</v>
      </c>
      <c r="B82" s="20" t="s">
        <v>19</v>
      </c>
      <c r="C82" s="20" t="s">
        <v>2</v>
      </c>
      <c r="D82" s="20">
        <v>40</v>
      </c>
    </row>
    <row r="83" spans="1:4" x14ac:dyDescent="0.2">
      <c r="A83" s="20" t="s">
        <v>42</v>
      </c>
      <c r="B83" s="20" t="s">
        <v>19</v>
      </c>
      <c r="C83" s="20" t="s">
        <v>3</v>
      </c>
      <c r="D83" s="20">
        <v>40</v>
      </c>
    </row>
    <row r="84" spans="1:4" x14ac:dyDescent="0.2">
      <c r="A84" s="20" t="s">
        <v>42</v>
      </c>
      <c r="B84" s="20" t="s">
        <v>19</v>
      </c>
      <c r="C84" s="20" t="s">
        <v>4</v>
      </c>
      <c r="D84" s="20">
        <v>40</v>
      </c>
    </row>
    <row r="85" spans="1:4" x14ac:dyDescent="0.2">
      <c r="A85" s="20" t="s">
        <v>42</v>
      </c>
      <c r="B85" s="20" t="s">
        <v>19</v>
      </c>
      <c r="C85" s="20" t="s">
        <v>5</v>
      </c>
      <c r="D85" s="20">
        <v>40</v>
      </c>
    </row>
    <row r="86" spans="1:4" x14ac:dyDescent="0.2">
      <c r="A86" s="20" t="s">
        <v>42</v>
      </c>
      <c r="B86" s="20" t="s">
        <v>19</v>
      </c>
      <c r="C86" s="20" t="s">
        <v>6</v>
      </c>
      <c r="D86" s="20">
        <v>40</v>
      </c>
    </row>
    <row r="87" spans="1:4" x14ac:dyDescent="0.2">
      <c r="A87" s="20" t="s">
        <v>42</v>
      </c>
      <c r="B87" s="20" t="s">
        <v>19</v>
      </c>
      <c r="C87" s="20" t="s">
        <v>7</v>
      </c>
      <c r="D87" s="20">
        <v>40</v>
      </c>
    </row>
    <row r="88" spans="1:4" x14ac:dyDescent="0.2">
      <c r="A88" s="20" t="s">
        <v>42</v>
      </c>
      <c r="B88" s="20" t="s">
        <v>19</v>
      </c>
      <c r="C88" s="20" t="s">
        <v>8</v>
      </c>
      <c r="D88" s="20">
        <v>40</v>
      </c>
    </row>
    <row r="89" spans="1:4" x14ac:dyDescent="0.2">
      <c r="A89" s="20" t="s">
        <v>42</v>
      </c>
      <c r="B89" s="20" t="s">
        <v>19</v>
      </c>
      <c r="C89" s="20" t="s">
        <v>9</v>
      </c>
      <c r="D89" s="20">
        <v>40</v>
      </c>
    </row>
    <row r="90" spans="1:4" x14ac:dyDescent="0.2">
      <c r="A90" s="20" t="s">
        <v>42</v>
      </c>
      <c r="B90" s="20" t="s">
        <v>19</v>
      </c>
      <c r="C90" s="20" t="s">
        <v>10</v>
      </c>
      <c r="D90" s="20">
        <v>40</v>
      </c>
    </row>
    <row r="91" spans="1:4" x14ac:dyDescent="0.2">
      <c r="A91" s="20" t="s">
        <v>42</v>
      </c>
      <c r="B91" s="20" t="s">
        <v>19</v>
      </c>
      <c r="C91" s="20" t="s">
        <v>11</v>
      </c>
      <c r="D91" s="20">
        <v>40</v>
      </c>
    </row>
    <row r="92" spans="1:4" x14ac:dyDescent="0.2">
      <c r="A92" s="20" t="s">
        <v>42</v>
      </c>
      <c r="B92" s="20" t="s">
        <v>19</v>
      </c>
      <c r="C92" s="20" t="s">
        <v>12</v>
      </c>
      <c r="D92" s="20">
        <f>+SUM(D80:D91)</f>
        <v>480</v>
      </c>
    </row>
    <row r="93" spans="1:4" x14ac:dyDescent="0.2">
      <c r="A93" s="20" t="s">
        <v>42</v>
      </c>
      <c r="B93" s="20" t="s">
        <v>20</v>
      </c>
      <c r="C93" s="20" t="s">
        <v>0</v>
      </c>
      <c r="D93" s="20">
        <v>250</v>
      </c>
    </row>
    <row r="94" spans="1:4" x14ac:dyDescent="0.2">
      <c r="A94" s="20" t="s">
        <v>42</v>
      </c>
      <c r="B94" s="20" t="s">
        <v>20</v>
      </c>
      <c r="C94" s="20" t="s">
        <v>1</v>
      </c>
      <c r="D94" s="20">
        <v>250</v>
      </c>
    </row>
    <row r="95" spans="1:4" x14ac:dyDescent="0.2">
      <c r="A95" s="20" t="s">
        <v>42</v>
      </c>
      <c r="B95" s="20" t="s">
        <v>20</v>
      </c>
      <c r="C95" s="20" t="s">
        <v>2</v>
      </c>
      <c r="D95" s="20">
        <v>250</v>
      </c>
    </row>
    <row r="96" spans="1:4" x14ac:dyDescent="0.2">
      <c r="A96" s="20" t="s">
        <v>42</v>
      </c>
      <c r="B96" s="20" t="s">
        <v>20</v>
      </c>
      <c r="C96" s="20" t="s">
        <v>3</v>
      </c>
      <c r="D96" s="20">
        <v>250</v>
      </c>
    </row>
    <row r="97" spans="1:4" x14ac:dyDescent="0.2">
      <c r="A97" s="20" t="s">
        <v>42</v>
      </c>
      <c r="B97" s="20" t="s">
        <v>20</v>
      </c>
      <c r="C97" s="20" t="s">
        <v>4</v>
      </c>
      <c r="D97" s="20">
        <v>250</v>
      </c>
    </row>
    <row r="98" spans="1:4" x14ac:dyDescent="0.2">
      <c r="A98" s="20" t="s">
        <v>42</v>
      </c>
      <c r="B98" s="20" t="s">
        <v>20</v>
      </c>
      <c r="C98" s="20" t="s">
        <v>5</v>
      </c>
      <c r="D98" s="20">
        <v>250</v>
      </c>
    </row>
    <row r="99" spans="1:4" x14ac:dyDescent="0.2">
      <c r="A99" s="20" t="s">
        <v>42</v>
      </c>
      <c r="B99" s="20" t="s">
        <v>20</v>
      </c>
      <c r="C99" s="20" t="s">
        <v>6</v>
      </c>
      <c r="D99" s="20">
        <v>250</v>
      </c>
    </row>
    <row r="100" spans="1:4" x14ac:dyDescent="0.2">
      <c r="A100" s="20" t="s">
        <v>42</v>
      </c>
      <c r="B100" s="20" t="s">
        <v>20</v>
      </c>
      <c r="C100" s="20" t="s">
        <v>7</v>
      </c>
      <c r="D100" s="20">
        <v>250</v>
      </c>
    </row>
    <row r="101" spans="1:4" x14ac:dyDescent="0.2">
      <c r="A101" s="20" t="s">
        <v>42</v>
      </c>
      <c r="B101" s="20" t="s">
        <v>20</v>
      </c>
      <c r="C101" s="20" t="s">
        <v>8</v>
      </c>
      <c r="D101" s="20">
        <v>250</v>
      </c>
    </row>
    <row r="102" spans="1:4" x14ac:dyDescent="0.2">
      <c r="A102" s="20" t="s">
        <v>42</v>
      </c>
      <c r="B102" s="20" t="s">
        <v>20</v>
      </c>
      <c r="C102" s="20" t="s">
        <v>9</v>
      </c>
      <c r="D102" s="20">
        <v>250</v>
      </c>
    </row>
    <row r="103" spans="1:4" x14ac:dyDescent="0.2">
      <c r="A103" s="20" t="s">
        <v>42</v>
      </c>
      <c r="B103" s="20" t="s">
        <v>20</v>
      </c>
      <c r="C103" s="20" t="s">
        <v>10</v>
      </c>
      <c r="D103" s="20">
        <v>250</v>
      </c>
    </row>
    <row r="104" spans="1:4" x14ac:dyDescent="0.2">
      <c r="A104" s="20" t="s">
        <v>42</v>
      </c>
      <c r="B104" s="20" t="s">
        <v>20</v>
      </c>
      <c r="C104" s="20" t="s">
        <v>11</v>
      </c>
      <c r="D104" s="20">
        <v>250</v>
      </c>
    </row>
    <row r="105" spans="1:4" x14ac:dyDescent="0.2">
      <c r="A105" s="20" t="s">
        <v>42</v>
      </c>
      <c r="B105" s="20" t="s">
        <v>20</v>
      </c>
      <c r="C105" s="20" t="s">
        <v>12</v>
      </c>
      <c r="D105" s="20">
        <f>+SUM(D93:D104)</f>
        <v>3000</v>
      </c>
    </row>
    <row r="106" spans="1:4" x14ac:dyDescent="0.2">
      <c r="A106" s="20" t="s">
        <v>42</v>
      </c>
      <c r="B106" s="20" t="s">
        <v>21</v>
      </c>
      <c r="C106" s="20" t="s">
        <v>0</v>
      </c>
      <c r="D106" s="20">
        <v>180</v>
      </c>
    </row>
    <row r="107" spans="1:4" x14ac:dyDescent="0.2">
      <c r="A107" s="20" t="s">
        <v>42</v>
      </c>
      <c r="B107" s="20" t="s">
        <v>21</v>
      </c>
      <c r="C107" s="20" t="s">
        <v>1</v>
      </c>
      <c r="D107" s="20">
        <v>180</v>
      </c>
    </row>
    <row r="108" spans="1:4" x14ac:dyDescent="0.2">
      <c r="A108" s="20" t="s">
        <v>42</v>
      </c>
      <c r="B108" s="20" t="s">
        <v>21</v>
      </c>
      <c r="C108" s="20" t="s">
        <v>2</v>
      </c>
      <c r="D108" s="20">
        <v>180</v>
      </c>
    </row>
    <row r="109" spans="1:4" x14ac:dyDescent="0.2">
      <c r="A109" s="20" t="s">
        <v>42</v>
      </c>
      <c r="B109" s="20" t="s">
        <v>21</v>
      </c>
      <c r="C109" s="20" t="s">
        <v>3</v>
      </c>
      <c r="D109" s="20">
        <v>180</v>
      </c>
    </row>
    <row r="110" spans="1:4" x14ac:dyDescent="0.2">
      <c r="A110" s="20" t="s">
        <v>42</v>
      </c>
      <c r="B110" s="20" t="s">
        <v>21</v>
      </c>
      <c r="C110" s="20" t="s">
        <v>4</v>
      </c>
      <c r="D110" s="20">
        <v>180</v>
      </c>
    </row>
    <row r="111" spans="1:4" x14ac:dyDescent="0.2">
      <c r="A111" s="20" t="s">
        <v>42</v>
      </c>
      <c r="B111" s="20" t="s">
        <v>21</v>
      </c>
      <c r="C111" s="20" t="s">
        <v>5</v>
      </c>
      <c r="D111" s="20">
        <v>180</v>
      </c>
    </row>
    <row r="112" spans="1:4" x14ac:dyDescent="0.2">
      <c r="A112" s="20" t="s">
        <v>42</v>
      </c>
      <c r="B112" s="20" t="s">
        <v>21</v>
      </c>
      <c r="C112" s="20" t="s">
        <v>6</v>
      </c>
      <c r="D112" s="20">
        <v>180</v>
      </c>
    </row>
    <row r="113" spans="1:4" x14ac:dyDescent="0.2">
      <c r="A113" s="20" t="s">
        <v>42</v>
      </c>
      <c r="B113" s="20" t="s">
        <v>21</v>
      </c>
      <c r="C113" s="20" t="s">
        <v>7</v>
      </c>
      <c r="D113" s="20">
        <v>180</v>
      </c>
    </row>
    <row r="114" spans="1:4" x14ac:dyDescent="0.2">
      <c r="A114" s="20" t="s">
        <v>42</v>
      </c>
      <c r="B114" s="20" t="s">
        <v>21</v>
      </c>
      <c r="C114" s="20" t="s">
        <v>8</v>
      </c>
      <c r="D114" s="20">
        <v>180</v>
      </c>
    </row>
    <row r="115" spans="1:4" x14ac:dyDescent="0.2">
      <c r="A115" s="20" t="s">
        <v>42</v>
      </c>
      <c r="B115" s="20" t="s">
        <v>21</v>
      </c>
      <c r="C115" s="20" t="s">
        <v>9</v>
      </c>
      <c r="D115" s="20">
        <v>180</v>
      </c>
    </row>
    <row r="116" spans="1:4" x14ac:dyDescent="0.2">
      <c r="A116" s="20" t="s">
        <v>42</v>
      </c>
      <c r="B116" s="20" t="s">
        <v>21</v>
      </c>
      <c r="C116" s="20" t="s">
        <v>10</v>
      </c>
      <c r="D116" s="20">
        <v>180</v>
      </c>
    </row>
    <row r="117" spans="1:4" x14ac:dyDescent="0.2">
      <c r="A117" s="20" t="s">
        <v>42</v>
      </c>
      <c r="B117" s="20" t="s">
        <v>21</v>
      </c>
      <c r="C117" s="20" t="s">
        <v>11</v>
      </c>
      <c r="D117" s="20">
        <v>180</v>
      </c>
    </row>
    <row r="118" spans="1:4" x14ac:dyDescent="0.2">
      <c r="A118" s="20" t="s">
        <v>42</v>
      </c>
      <c r="B118" s="20" t="s">
        <v>21</v>
      </c>
      <c r="C118" s="20" t="s">
        <v>12</v>
      </c>
      <c r="D118" s="20">
        <f>+SUM(D106:D117)</f>
        <v>2160</v>
      </c>
    </row>
    <row r="119" spans="1:4" x14ac:dyDescent="0.2">
      <c r="A119" s="20" t="s">
        <v>42</v>
      </c>
      <c r="B119" s="20" t="s">
        <v>22</v>
      </c>
      <c r="C119" s="20" t="s">
        <v>0</v>
      </c>
      <c r="D119" s="20">
        <v>200</v>
      </c>
    </row>
    <row r="120" spans="1:4" x14ac:dyDescent="0.2">
      <c r="A120" s="20" t="s">
        <v>42</v>
      </c>
      <c r="B120" s="20" t="s">
        <v>22</v>
      </c>
      <c r="C120" s="20" t="s">
        <v>1</v>
      </c>
      <c r="D120" s="20">
        <v>200</v>
      </c>
    </row>
    <row r="121" spans="1:4" x14ac:dyDescent="0.2">
      <c r="A121" s="20" t="s">
        <v>42</v>
      </c>
      <c r="B121" s="20" t="s">
        <v>22</v>
      </c>
      <c r="C121" s="20" t="s">
        <v>2</v>
      </c>
      <c r="D121" s="20">
        <v>200</v>
      </c>
    </row>
    <row r="122" spans="1:4" x14ac:dyDescent="0.2">
      <c r="A122" s="20" t="s">
        <v>42</v>
      </c>
      <c r="B122" s="20" t="s">
        <v>22</v>
      </c>
      <c r="C122" s="20" t="s">
        <v>3</v>
      </c>
      <c r="D122" s="20">
        <v>200</v>
      </c>
    </row>
    <row r="123" spans="1:4" x14ac:dyDescent="0.2">
      <c r="A123" s="20" t="s">
        <v>42</v>
      </c>
      <c r="B123" s="20" t="s">
        <v>22</v>
      </c>
      <c r="C123" s="20" t="s">
        <v>4</v>
      </c>
      <c r="D123" s="20">
        <v>200</v>
      </c>
    </row>
    <row r="124" spans="1:4" x14ac:dyDescent="0.2">
      <c r="A124" s="20" t="s">
        <v>42</v>
      </c>
      <c r="B124" s="20" t="s">
        <v>22</v>
      </c>
      <c r="C124" s="20" t="s">
        <v>5</v>
      </c>
      <c r="D124" s="20">
        <v>200</v>
      </c>
    </row>
    <row r="125" spans="1:4" x14ac:dyDescent="0.2">
      <c r="A125" s="20" t="s">
        <v>42</v>
      </c>
      <c r="B125" s="20" t="s">
        <v>22</v>
      </c>
      <c r="C125" s="20" t="s">
        <v>6</v>
      </c>
      <c r="D125" s="20">
        <v>200</v>
      </c>
    </row>
    <row r="126" spans="1:4" x14ac:dyDescent="0.2">
      <c r="A126" s="20" t="s">
        <v>42</v>
      </c>
      <c r="B126" s="20" t="s">
        <v>22</v>
      </c>
      <c r="C126" s="20" t="s">
        <v>7</v>
      </c>
      <c r="D126" s="20">
        <v>200</v>
      </c>
    </row>
    <row r="127" spans="1:4" x14ac:dyDescent="0.2">
      <c r="A127" s="20" t="s">
        <v>42</v>
      </c>
      <c r="B127" s="20" t="s">
        <v>22</v>
      </c>
      <c r="C127" s="20" t="s">
        <v>8</v>
      </c>
      <c r="D127" s="20">
        <v>200</v>
      </c>
    </row>
    <row r="128" spans="1:4" x14ac:dyDescent="0.2">
      <c r="A128" s="20" t="s">
        <v>42</v>
      </c>
      <c r="B128" s="20" t="s">
        <v>22</v>
      </c>
      <c r="C128" s="20" t="s">
        <v>9</v>
      </c>
      <c r="D128" s="20">
        <v>200</v>
      </c>
    </row>
    <row r="129" spans="1:4" x14ac:dyDescent="0.2">
      <c r="A129" s="20" t="s">
        <v>42</v>
      </c>
      <c r="B129" s="20" t="s">
        <v>22</v>
      </c>
      <c r="C129" s="20" t="s">
        <v>10</v>
      </c>
      <c r="D129" s="20">
        <v>200</v>
      </c>
    </row>
    <row r="130" spans="1:4" x14ac:dyDescent="0.2">
      <c r="A130" s="20" t="s">
        <v>42</v>
      </c>
      <c r="B130" s="20" t="s">
        <v>22</v>
      </c>
      <c r="C130" s="20" t="s">
        <v>11</v>
      </c>
      <c r="D130" s="20">
        <v>200</v>
      </c>
    </row>
    <row r="131" spans="1:4" x14ac:dyDescent="0.2">
      <c r="A131" s="20" t="s">
        <v>42</v>
      </c>
      <c r="B131" s="20" t="s">
        <v>22</v>
      </c>
      <c r="C131" s="20" t="s">
        <v>12</v>
      </c>
      <c r="D131" s="20">
        <f>+SUM(D119:D130)</f>
        <v>2400</v>
      </c>
    </row>
    <row r="132" spans="1:4" x14ac:dyDescent="0.2">
      <c r="A132" s="20" t="s">
        <v>42</v>
      </c>
      <c r="B132" s="20" t="s">
        <v>23</v>
      </c>
      <c r="C132" s="20" t="s">
        <v>0</v>
      </c>
      <c r="D132" s="20">
        <v>526.37639943446629</v>
      </c>
    </row>
    <row r="133" spans="1:4" x14ac:dyDescent="0.2">
      <c r="A133" s="20" t="s">
        <v>42</v>
      </c>
      <c r="B133" s="20" t="s">
        <v>23</v>
      </c>
      <c r="C133" s="20" t="s">
        <v>1</v>
      </c>
      <c r="D133" s="20">
        <v>448.87411173405741</v>
      </c>
    </row>
    <row r="134" spans="1:4" x14ac:dyDescent="0.2">
      <c r="A134" s="20" t="s">
        <v>42</v>
      </c>
      <c r="B134" s="20" t="s">
        <v>23</v>
      </c>
      <c r="C134" s="20" t="s">
        <v>2</v>
      </c>
      <c r="D134" s="20">
        <v>744.165831443868</v>
      </c>
    </row>
    <row r="135" spans="1:4" x14ac:dyDescent="0.2">
      <c r="A135" s="20" t="s">
        <v>42</v>
      </c>
      <c r="B135" s="20" t="s">
        <v>23</v>
      </c>
      <c r="C135" s="20" t="s">
        <v>3</v>
      </c>
      <c r="D135" s="20">
        <v>758.74436326821183</v>
      </c>
    </row>
    <row r="136" spans="1:4" x14ac:dyDescent="0.2">
      <c r="A136" s="20" t="s">
        <v>42</v>
      </c>
      <c r="B136" s="20" t="s">
        <v>23</v>
      </c>
      <c r="C136" s="20" t="s">
        <v>4</v>
      </c>
      <c r="D136" s="20">
        <v>589.21709784067002</v>
      </c>
    </row>
    <row r="137" spans="1:4" x14ac:dyDescent="0.2">
      <c r="A137" s="20" t="s">
        <v>42</v>
      </c>
      <c r="B137" s="20" t="s">
        <v>23</v>
      </c>
      <c r="C137" s="20" t="s">
        <v>5</v>
      </c>
      <c r="D137" s="20">
        <v>733.71863041374729</v>
      </c>
    </row>
    <row r="138" spans="1:4" x14ac:dyDescent="0.2">
      <c r="A138" s="20" t="s">
        <v>42</v>
      </c>
      <c r="B138" s="20" t="s">
        <v>23</v>
      </c>
      <c r="C138" s="20" t="s">
        <v>6</v>
      </c>
      <c r="D138" s="20">
        <v>729.46241887343592</v>
      </c>
    </row>
    <row r="139" spans="1:4" x14ac:dyDescent="0.2">
      <c r="A139" s="20" t="s">
        <v>42</v>
      </c>
      <c r="B139" s="20" t="s">
        <v>23</v>
      </c>
      <c r="C139" s="20" t="s">
        <v>7</v>
      </c>
      <c r="D139" s="20">
        <v>666.71146607371179</v>
      </c>
    </row>
    <row r="140" spans="1:4" x14ac:dyDescent="0.2">
      <c r="A140" s="20" t="s">
        <v>42</v>
      </c>
      <c r="B140" s="20" t="s">
        <v>23</v>
      </c>
      <c r="C140" s="20" t="s">
        <v>8</v>
      </c>
      <c r="D140" s="20">
        <v>735.67306071726398</v>
      </c>
    </row>
    <row r="141" spans="1:4" x14ac:dyDescent="0.2">
      <c r="A141" s="20" t="s">
        <v>42</v>
      </c>
      <c r="B141" s="20" t="s">
        <v>23</v>
      </c>
      <c r="C141" s="20" t="s">
        <v>9</v>
      </c>
      <c r="D141" s="20">
        <v>651.34036628934246</v>
      </c>
    </row>
    <row r="142" spans="1:4" x14ac:dyDescent="0.2">
      <c r="A142" s="20" t="s">
        <v>42</v>
      </c>
      <c r="B142" s="20" t="s">
        <v>23</v>
      </c>
      <c r="C142" s="20" t="s">
        <v>10</v>
      </c>
      <c r="D142" s="20">
        <v>700.30651576774267</v>
      </c>
    </row>
    <row r="143" spans="1:4" x14ac:dyDescent="0.2">
      <c r="A143" s="20" t="s">
        <v>42</v>
      </c>
      <c r="B143" s="20" t="s">
        <v>23</v>
      </c>
      <c r="C143" s="20" t="s">
        <v>11</v>
      </c>
      <c r="D143" s="20">
        <v>842.12127357705424</v>
      </c>
    </row>
    <row r="144" spans="1:4" x14ac:dyDescent="0.2">
      <c r="A144" s="20" t="s">
        <v>42</v>
      </c>
      <c r="B144" s="20" t="s">
        <v>23</v>
      </c>
      <c r="C144" s="20" t="s">
        <v>12</v>
      </c>
      <c r="D144" s="20">
        <f>+SUM(D132:D143)</f>
        <v>8126.711535433571</v>
      </c>
    </row>
    <row r="145" spans="1:4" x14ac:dyDescent="0.2">
      <c r="A145" s="20" t="s">
        <v>42</v>
      </c>
      <c r="B145" s="20" t="s">
        <v>15</v>
      </c>
      <c r="C145" s="20" t="s">
        <v>0</v>
      </c>
      <c r="D145" s="20">
        <f>+SUMIFS($D$41:$D$144,$C$41:$C$144,C145)</f>
        <v>11855.763076098356</v>
      </c>
    </row>
    <row r="146" spans="1:4" x14ac:dyDescent="0.2">
      <c r="A146" s="20" t="s">
        <v>42</v>
      </c>
      <c r="B146" s="20" t="s">
        <v>15</v>
      </c>
      <c r="C146" s="20" t="s">
        <v>1</v>
      </c>
      <c r="D146" s="20">
        <f t="shared" ref="D146:D156" si="1">+SUMIFS($D$41:$D$144,$C$41:$C$144,C146)</f>
        <v>11700.765935986341</v>
      </c>
    </row>
    <row r="147" spans="1:4" x14ac:dyDescent="0.2">
      <c r="A147" s="20" t="s">
        <v>42</v>
      </c>
      <c r="B147" s="20" t="s">
        <v>15</v>
      </c>
      <c r="C147" s="20" t="s">
        <v>2</v>
      </c>
      <c r="D147" s="20">
        <f t="shared" si="1"/>
        <v>12267.741923091378</v>
      </c>
    </row>
    <row r="148" spans="1:4" x14ac:dyDescent="0.2">
      <c r="A148" s="20" t="s">
        <v>42</v>
      </c>
      <c r="B148" s="20" t="s">
        <v>15</v>
      </c>
      <c r="C148" s="20" t="s">
        <v>3</v>
      </c>
      <c r="D148" s="20">
        <f t="shared" si="1"/>
        <v>11281.187242353577</v>
      </c>
    </row>
    <row r="149" spans="1:4" x14ac:dyDescent="0.2">
      <c r="A149" s="20" t="s">
        <v>42</v>
      </c>
      <c r="B149" s="20" t="s">
        <v>15</v>
      </c>
      <c r="C149" s="20" t="s">
        <v>4</v>
      </c>
      <c r="D149" s="20">
        <f t="shared" si="1"/>
        <v>11313.492607307662</v>
      </c>
    </row>
    <row r="150" spans="1:4" x14ac:dyDescent="0.2">
      <c r="A150" s="20" t="s">
        <v>42</v>
      </c>
      <c r="B150" s="20" t="s">
        <v>15</v>
      </c>
      <c r="C150" s="20" t="s">
        <v>5</v>
      </c>
      <c r="D150" s="20">
        <f t="shared" si="1"/>
        <v>11472.422469567835</v>
      </c>
    </row>
    <row r="151" spans="1:4" x14ac:dyDescent="0.2">
      <c r="A151" s="20" t="s">
        <v>42</v>
      </c>
      <c r="B151" s="20" t="s">
        <v>15</v>
      </c>
      <c r="C151" s="20" t="s">
        <v>6</v>
      </c>
      <c r="D151" s="20">
        <f t="shared" si="1"/>
        <v>11661.049073678951</v>
      </c>
    </row>
    <row r="152" spans="1:4" x14ac:dyDescent="0.2">
      <c r="A152" s="20" t="s">
        <v>42</v>
      </c>
      <c r="B152" s="20" t="s">
        <v>15</v>
      </c>
      <c r="C152" s="20" t="s">
        <v>7</v>
      </c>
      <c r="D152" s="20">
        <f t="shared" si="1"/>
        <v>11447.439021977991</v>
      </c>
    </row>
    <row r="153" spans="1:4" x14ac:dyDescent="0.2">
      <c r="A153" s="20" t="s">
        <v>42</v>
      </c>
      <c r="B153" s="20" t="s">
        <v>15</v>
      </c>
      <c r="C153" s="20" t="s">
        <v>8</v>
      </c>
      <c r="D153" s="20">
        <f t="shared" si="1"/>
        <v>11654.270107714921</v>
      </c>
    </row>
    <row r="154" spans="1:4" x14ac:dyDescent="0.2">
      <c r="A154" s="20" t="s">
        <v>42</v>
      </c>
      <c r="B154" s="20" t="s">
        <v>15</v>
      </c>
      <c r="C154" s="20" t="s">
        <v>9</v>
      </c>
      <c r="D154" s="20">
        <f t="shared" si="1"/>
        <v>11705.502211114177</v>
      </c>
    </row>
    <row r="155" spans="1:4" x14ac:dyDescent="0.2">
      <c r="A155" s="20" t="s">
        <v>42</v>
      </c>
      <c r="B155" s="20" t="s">
        <v>15</v>
      </c>
      <c r="C155" s="20" t="s">
        <v>10</v>
      </c>
      <c r="D155" s="20">
        <f t="shared" si="1"/>
        <v>11939.261936839852</v>
      </c>
    </row>
    <row r="156" spans="1:4" x14ac:dyDescent="0.2">
      <c r="A156" s="20" t="s">
        <v>42</v>
      </c>
      <c r="B156" s="20" t="s">
        <v>15</v>
      </c>
      <c r="C156" s="20" t="s">
        <v>11</v>
      </c>
      <c r="D156" s="20">
        <f t="shared" si="1"/>
        <v>12350.48450649081</v>
      </c>
    </row>
    <row r="157" spans="1:4" x14ac:dyDescent="0.2">
      <c r="A157" s="20" t="s">
        <v>42</v>
      </c>
      <c r="B157" s="20" t="s">
        <v>15</v>
      </c>
      <c r="C157" s="20" t="s">
        <v>12</v>
      </c>
      <c r="D157" s="20">
        <f>+SUM(D145:D156)</f>
        <v>140649.38011222187</v>
      </c>
    </row>
    <row r="158" spans="1:4" x14ac:dyDescent="0.2">
      <c r="A158" s="20" t="s">
        <v>44</v>
      </c>
      <c r="B158" s="20" t="s">
        <v>30</v>
      </c>
      <c r="C158" s="20" t="s">
        <v>0</v>
      </c>
      <c r="D158" s="20">
        <v>2314.758400247506</v>
      </c>
    </row>
    <row r="159" spans="1:4" x14ac:dyDescent="0.2">
      <c r="A159" s="20" t="s">
        <v>44</v>
      </c>
      <c r="B159" s="20" t="s">
        <v>30</v>
      </c>
      <c r="C159" s="20" t="s">
        <v>1</v>
      </c>
      <c r="D159" s="20">
        <v>1634.1240376379196</v>
      </c>
    </row>
    <row r="160" spans="1:4" x14ac:dyDescent="0.2">
      <c r="A160" s="20" t="s">
        <v>44</v>
      </c>
      <c r="B160" s="20" t="s">
        <v>30</v>
      </c>
      <c r="C160" s="20" t="s">
        <v>2</v>
      </c>
      <c r="D160" s="20">
        <v>1939.9965833690133</v>
      </c>
    </row>
    <row r="161" spans="1:4" x14ac:dyDescent="0.2">
      <c r="A161" s="20" t="s">
        <v>44</v>
      </c>
      <c r="B161" s="20" t="s">
        <v>30</v>
      </c>
      <c r="C161" s="20" t="s">
        <v>3</v>
      </c>
      <c r="D161" s="20">
        <v>1787.7068403486319</v>
      </c>
    </row>
    <row r="162" spans="1:4" x14ac:dyDescent="0.2">
      <c r="A162" s="20" t="s">
        <v>44</v>
      </c>
      <c r="B162" s="20" t="s">
        <v>30</v>
      </c>
      <c r="C162" s="20" t="s">
        <v>4</v>
      </c>
      <c r="D162" s="20">
        <v>2081.3858923233893</v>
      </c>
    </row>
    <row r="163" spans="1:4" x14ac:dyDescent="0.2">
      <c r="A163" s="20" t="s">
        <v>44</v>
      </c>
      <c r="B163" s="20" t="s">
        <v>30</v>
      </c>
      <c r="C163" s="20" t="s">
        <v>5</v>
      </c>
      <c r="D163" s="20">
        <v>2062.6025024549995</v>
      </c>
    </row>
    <row r="164" spans="1:4" x14ac:dyDescent="0.2">
      <c r="A164" s="20" t="s">
        <v>44</v>
      </c>
      <c r="B164" s="20" t="s">
        <v>30</v>
      </c>
      <c r="C164" s="20" t="s">
        <v>6</v>
      </c>
      <c r="D164" s="20">
        <v>2064.7955044019936</v>
      </c>
    </row>
    <row r="165" spans="1:4" x14ac:dyDescent="0.2">
      <c r="A165" s="20" t="s">
        <v>44</v>
      </c>
      <c r="B165" s="20" t="s">
        <v>30</v>
      </c>
      <c r="C165" s="20" t="s">
        <v>7</v>
      </c>
      <c r="D165" s="20">
        <v>2288.7018873088782</v>
      </c>
    </row>
    <row r="166" spans="1:4" x14ac:dyDescent="0.2">
      <c r="A166" s="20" t="s">
        <v>44</v>
      </c>
      <c r="B166" s="20" t="s">
        <v>30</v>
      </c>
      <c r="C166" s="20" t="s">
        <v>8</v>
      </c>
      <c r="D166" s="20">
        <v>1789.1225441923198</v>
      </c>
    </row>
    <row r="167" spans="1:4" x14ac:dyDescent="0.2">
      <c r="A167" s="20" t="s">
        <v>44</v>
      </c>
      <c r="B167" s="20" t="s">
        <v>30</v>
      </c>
      <c r="C167" s="20" t="s">
        <v>9</v>
      </c>
      <c r="D167" s="20">
        <v>1635.9231722793038</v>
      </c>
    </row>
    <row r="168" spans="1:4" x14ac:dyDescent="0.2">
      <c r="A168" s="20" t="s">
        <v>44</v>
      </c>
      <c r="B168" s="20" t="s">
        <v>30</v>
      </c>
      <c r="C168" s="20" t="s">
        <v>10</v>
      </c>
      <c r="D168" s="20">
        <v>1911.1461080144063</v>
      </c>
    </row>
    <row r="169" spans="1:4" x14ac:dyDescent="0.2">
      <c r="A169" s="20" t="s">
        <v>44</v>
      </c>
      <c r="B169" s="20" t="s">
        <v>30</v>
      </c>
      <c r="C169" s="20" t="s">
        <v>11</v>
      </c>
      <c r="D169" s="20">
        <v>1982.2802601067453</v>
      </c>
    </row>
    <row r="170" spans="1:4" x14ac:dyDescent="0.2">
      <c r="A170" s="20" t="s">
        <v>44</v>
      </c>
      <c r="B170" s="20" t="s">
        <v>30</v>
      </c>
      <c r="C170" s="20" t="s">
        <v>12</v>
      </c>
      <c r="D170" s="20">
        <f>+SUM(D158:D169)</f>
        <v>23492.54373268511</v>
      </c>
    </row>
    <row r="171" spans="1:4" x14ac:dyDescent="0.2">
      <c r="A171" s="20" t="s">
        <v>44</v>
      </c>
      <c r="B171" s="20" t="s">
        <v>31</v>
      </c>
      <c r="C171" s="20" t="s">
        <v>0</v>
      </c>
      <c r="D171" s="20">
        <v>473.60826809702274</v>
      </c>
    </row>
    <row r="172" spans="1:4" x14ac:dyDescent="0.2">
      <c r="A172" s="20" t="s">
        <v>44</v>
      </c>
      <c r="B172" s="20" t="s">
        <v>31</v>
      </c>
      <c r="C172" s="20" t="s">
        <v>1</v>
      </c>
      <c r="D172" s="20">
        <v>303.5573084668398</v>
      </c>
    </row>
    <row r="173" spans="1:4" x14ac:dyDescent="0.2">
      <c r="A173" s="20" t="s">
        <v>44</v>
      </c>
      <c r="B173" s="20" t="s">
        <v>31</v>
      </c>
      <c r="C173" s="20" t="s">
        <v>2</v>
      </c>
      <c r="D173" s="20">
        <v>-73.058047527324746</v>
      </c>
    </row>
    <row r="174" spans="1:4" x14ac:dyDescent="0.2">
      <c r="A174" s="20" t="s">
        <v>44</v>
      </c>
      <c r="B174" s="20" t="s">
        <v>31</v>
      </c>
      <c r="C174" s="20" t="s">
        <v>3</v>
      </c>
      <c r="D174" s="20">
        <v>-300.06958943145077</v>
      </c>
    </row>
    <row r="175" spans="1:4" x14ac:dyDescent="0.2">
      <c r="A175" s="20" t="s">
        <v>44</v>
      </c>
      <c r="B175" s="20" t="s">
        <v>31</v>
      </c>
      <c r="C175" s="20" t="s">
        <v>4</v>
      </c>
      <c r="D175" s="20">
        <v>137.73295605990123</v>
      </c>
    </row>
    <row r="176" spans="1:4" x14ac:dyDescent="0.2">
      <c r="A176" s="20" t="s">
        <v>44</v>
      </c>
      <c r="B176" s="20" t="s">
        <v>31</v>
      </c>
      <c r="C176" s="20" t="s">
        <v>5</v>
      </c>
      <c r="D176" s="20">
        <v>-113.9546131729184</v>
      </c>
    </row>
    <row r="177" spans="1:4" x14ac:dyDescent="0.2">
      <c r="A177" s="20" t="s">
        <v>44</v>
      </c>
      <c r="B177" s="20" t="s">
        <v>31</v>
      </c>
      <c r="C177" s="20" t="s">
        <v>6</v>
      </c>
      <c r="D177" s="20">
        <v>-330.20222009176405</v>
      </c>
    </row>
    <row r="178" spans="1:4" x14ac:dyDescent="0.2">
      <c r="A178" s="20" t="s">
        <v>44</v>
      </c>
      <c r="B178" s="20" t="s">
        <v>31</v>
      </c>
      <c r="C178" s="20" t="s">
        <v>7</v>
      </c>
      <c r="D178" s="20">
        <v>78.240813807835039</v>
      </c>
    </row>
    <row r="179" spans="1:4" x14ac:dyDescent="0.2">
      <c r="A179" s="20" t="s">
        <v>44</v>
      </c>
      <c r="B179" s="20" t="s">
        <v>31</v>
      </c>
      <c r="C179" s="20" t="s">
        <v>8</v>
      </c>
      <c r="D179" s="20">
        <v>191.10352914725311</v>
      </c>
    </row>
    <row r="180" spans="1:4" x14ac:dyDescent="0.2">
      <c r="A180" s="20" t="s">
        <v>44</v>
      </c>
      <c r="B180" s="20" t="s">
        <v>31</v>
      </c>
      <c r="C180" s="20" t="s">
        <v>9</v>
      </c>
      <c r="D180" s="20">
        <v>-176.35322220742665</v>
      </c>
    </row>
    <row r="181" spans="1:4" x14ac:dyDescent="0.2">
      <c r="A181" s="20" t="s">
        <v>44</v>
      </c>
      <c r="B181" s="20" t="s">
        <v>31</v>
      </c>
      <c r="C181" s="20" t="s">
        <v>10</v>
      </c>
      <c r="D181" s="20">
        <v>-174.45856254612622</v>
      </c>
    </row>
    <row r="182" spans="1:4" x14ac:dyDescent="0.2">
      <c r="A182" s="20" t="s">
        <v>44</v>
      </c>
      <c r="B182" s="20" t="s">
        <v>31</v>
      </c>
      <c r="C182" s="20" t="s">
        <v>11</v>
      </c>
      <c r="D182" s="20">
        <v>11.194406316220974</v>
      </c>
    </row>
    <row r="183" spans="1:4" x14ac:dyDescent="0.2">
      <c r="A183" s="20" t="s">
        <v>44</v>
      </c>
      <c r="B183" s="20" t="s">
        <v>31</v>
      </c>
      <c r="C183" s="20" t="s">
        <v>12</v>
      </c>
      <c r="D183" s="20">
        <f>+SUM(D171:D182)</f>
        <v>27.341026918061996</v>
      </c>
    </row>
    <row r="184" spans="1:4" x14ac:dyDescent="0.2">
      <c r="A184" s="20" t="s">
        <v>44</v>
      </c>
      <c r="B184" s="20" t="s">
        <v>15</v>
      </c>
      <c r="C184" s="20" t="s">
        <v>0</v>
      </c>
      <c r="D184" s="20">
        <f>+SUMIFS($D$158:$D$183,$C$158:$C$183,C184)</f>
        <v>2788.3666683445285</v>
      </c>
    </row>
    <row r="185" spans="1:4" x14ac:dyDescent="0.2">
      <c r="A185" s="20" t="s">
        <v>44</v>
      </c>
      <c r="B185" s="20" t="s">
        <v>15</v>
      </c>
      <c r="C185" s="20" t="s">
        <v>1</v>
      </c>
      <c r="D185" s="20">
        <f t="shared" ref="D185:D195" si="2">+SUMIFS($D$158:$D$183,$C$158:$C$183,C185)</f>
        <v>1937.6813461047595</v>
      </c>
    </row>
    <row r="186" spans="1:4" x14ac:dyDescent="0.2">
      <c r="A186" s="20" t="s">
        <v>44</v>
      </c>
      <c r="B186" s="20" t="s">
        <v>15</v>
      </c>
      <c r="C186" s="20" t="s">
        <v>2</v>
      </c>
      <c r="D186" s="20">
        <f t="shared" si="2"/>
        <v>1866.9385358416885</v>
      </c>
    </row>
    <row r="187" spans="1:4" x14ac:dyDescent="0.2">
      <c r="A187" s="20" t="s">
        <v>44</v>
      </c>
      <c r="B187" s="20" t="s">
        <v>15</v>
      </c>
      <c r="C187" s="20" t="s">
        <v>3</v>
      </c>
      <c r="D187" s="20">
        <f t="shared" si="2"/>
        <v>1487.6372509171811</v>
      </c>
    </row>
    <row r="188" spans="1:4" x14ac:dyDescent="0.2">
      <c r="A188" s="20" t="s">
        <v>44</v>
      </c>
      <c r="B188" s="20" t="s">
        <v>15</v>
      </c>
      <c r="C188" s="20" t="s">
        <v>4</v>
      </c>
      <c r="D188" s="20">
        <f t="shared" si="2"/>
        <v>2219.1188483832907</v>
      </c>
    </row>
    <row r="189" spans="1:4" x14ac:dyDescent="0.2">
      <c r="A189" s="20" t="s">
        <v>44</v>
      </c>
      <c r="B189" s="20" t="s">
        <v>15</v>
      </c>
      <c r="C189" s="20" t="s">
        <v>5</v>
      </c>
      <c r="D189" s="20">
        <f t="shared" si="2"/>
        <v>1948.647889282081</v>
      </c>
    </row>
    <row r="190" spans="1:4" x14ac:dyDescent="0.2">
      <c r="A190" s="20" t="s">
        <v>44</v>
      </c>
      <c r="B190" s="20" t="s">
        <v>15</v>
      </c>
      <c r="C190" s="20" t="s">
        <v>6</v>
      </c>
      <c r="D190" s="20">
        <f t="shared" si="2"/>
        <v>1734.5932843102296</v>
      </c>
    </row>
    <row r="191" spans="1:4" x14ac:dyDescent="0.2">
      <c r="A191" s="20" t="s">
        <v>44</v>
      </c>
      <c r="B191" s="20" t="s">
        <v>15</v>
      </c>
      <c r="C191" s="20" t="s">
        <v>7</v>
      </c>
      <c r="D191" s="20">
        <f t="shared" si="2"/>
        <v>2366.9427011167131</v>
      </c>
    </row>
    <row r="192" spans="1:4" x14ac:dyDescent="0.2">
      <c r="A192" s="20" t="s">
        <v>44</v>
      </c>
      <c r="B192" s="20" t="s">
        <v>15</v>
      </c>
      <c r="C192" s="20" t="s">
        <v>8</v>
      </c>
      <c r="D192" s="20">
        <f t="shared" si="2"/>
        <v>1980.2260733395728</v>
      </c>
    </row>
    <row r="193" spans="1:4" x14ac:dyDescent="0.2">
      <c r="A193" s="20" t="s">
        <v>44</v>
      </c>
      <c r="B193" s="20" t="s">
        <v>15</v>
      </c>
      <c r="C193" s="20" t="s">
        <v>9</v>
      </c>
      <c r="D193" s="20">
        <f t="shared" si="2"/>
        <v>1459.5699500718772</v>
      </c>
    </row>
    <row r="194" spans="1:4" x14ac:dyDescent="0.2">
      <c r="A194" s="20" t="s">
        <v>44</v>
      </c>
      <c r="B194" s="20" t="s">
        <v>15</v>
      </c>
      <c r="C194" s="20" t="s">
        <v>10</v>
      </c>
      <c r="D194" s="20">
        <f t="shared" si="2"/>
        <v>1736.6875454682802</v>
      </c>
    </row>
    <row r="195" spans="1:4" x14ac:dyDescent="0.2">
      <c r="A195" s="20" t="s">
        <v>44</v>
      </c>
      <c r="B195" s="20" t="s">
        <v>15</v>
      </c>
      <c r="C195" s="20" t="s">
        <v>11</v>
      </c>
      <c r="D195" s="20">
        <f t="shared" si="2"/>
        <v>1993.4746664229663</v>
      </c>
    </row>
    <row r="196" spans="1:4" x14ac:dyDescent="0.2">
      <c r="A196" s="20" t="s">
        <v>44</v>
      </c>
      <c r="B196" s="20" t="s">
        <v>15</v>
      </c>
      <c r="C196" s="20" t="s">
        <v>12</v>
      </c>
      <c r="D196" s="20">
        <f>+SUM(D184:D195)</f>
        <v>23519.88475960317</v>
      </c>
    </row>
    <row r="197" spans="1:4" x14ac:dyDescent="0.2">
      <c r="A197" s="20" t="s">
        <v>54</v>
      </c>
      <c r="B197" s="20" t="s">
        <v>15</v>
      </c>
      <c r="C197" s="20" t="s">
        <v>0</v>
      </c>
      <c r="D197" s="20">
        <f>+SUMIFS($D$2:$D$196,$C$2:$C$196,C197,$B$2:$B$196,B197)</f>
        <v>121957.62121169237</v>
      </c>
    </row>
    <row r="198" spans="1:4" x14ac:dyDescent="0.2">
      <c r="A198" s="20" t="s">
        <v>54</v>
      </c>
      <c r="B198" s="20" t="s">
        <v>15</v>
      </c>
      <c r="C198" s="20" t="s">
        <v>1</v>
      </c>
      <c r="D198" s="20">
        <f t="shared" ref="D198:D208" si="3">+SUMIFS($D$2:$D$196,$C$2:$C$196,C198,$B$2:$B$196,B198)</f>
        <v>121721.66035580036</v>
      </c>
    </row>
    <row r="199" spans="1:4" x14ac:dyDescent="0.2">
      <c r="A199" s="20" t="s">
        <v>54</v>
      </c>
      <c r="B199" s="20" t="s">
        <v>15</v>
      </c>
      <c r="C199" s="20" t="s">
        <v>2</v>
      </c>
      <c r="D199" s="20">
        <f t="shared" si="3"/>
        <v>122249.75491687018</v>
      </c>
    </row>
    <row r="200" spans="1:4" x14ac:dyDescent="0.2">
      <c r="A200" s="20" t="s">
        <v>54</v>
      </c>
      <c r="B200" s="20" t="s">
        <v>15</v>
      </c>
      <c r="C200" s="20" t="s">
        <v>3</v>
      </c>
      <c r="D200" s="20">
        <f t="shared" si="3"/>
        <v>123943.47890567048</v>
      </c>
    </row>
    <row r="201" spans="1:4" x14ac:dyDescent="0.2">
      <c r="A201" s="20" t="s">
        <v>54</v>
      </c>
      <c r="B201" s="20" t="s">
        <v>15</v>
      </c>
      <c r="C201" s="20" t="s">
        <v>4</v>
      </c>
      <c r="D201" s="20">
        <f t="shared" si="3"/>
        <v>124308.60783210765</v>
      </c>
    </row>
    <row r="202" spans="1:4" x14ac:dyDescent="0.2">
      <c r="A202" s="20" t="s">
        <v>54</v>
      </c>
      <c r="B202" s="20" t="s">
        <v>15</v>
      </c>
      <c r="C202" s="20" t="s">
        <v>5</v>
      </c>
      <c r="D202" s="20">
        <f t="shared" si="3"/>
        <v>124156.33642818425</v>
      </c>
    </row>
    <row r="203" spans="1:4" x14ac:dyDescent="0.2">
      <c r="A203" s="20" t="s">
        <v>54</v>
      </c>
      <c r="B203" s="20" t="s">
        <v>15</v>
      </c>
      <c r="C203" s="20" t="s">
        <v>6</v>
      </c>
      <c r="D203" s="20">
        <f t="shared" si="3"/>
        <v>124400.3597219267</v>
      </c>
    </row>
    <row r="204" spans="1:4" x14ac:dyDescent="0.2">
      <c r="A204" s="20" t="s">
        <v>54</v>
      </c>
      <c r="B204" s="20" t="s">
        <v>15</v>
      </c>
      <c r="C204" s="20" t="s">
        <v>7</v>
      </c>
      <c r="D204" s="20">
        <f t="shared" si="3"/>
        <v>131159.0631421791</v>
      </c>
    </row>
    <row r="205" spans="1:4" x14ac:dyDescent="0.2">
      <c r="A205" s="20" t="s">
        <v>54</v>
      </c>
      <c r="B205" s="20" t="s">
        <v>15</v>
      </c>
      <c r="C205" s="20" t="s">
        <v>8</v>
      </c>
      <c r="D205" s="20">
        <f t="shared" si="3"/>
        <v>131416.67399266778</v>
      </c>
    </row>
    <row r="206" spans="1:4" x14ac:dyDescent="0.2">
      <c r="A206" s="20" t="s">
        <v>54</v>
      </c>
      <c r="B206" s="20" t="s">
        <v>15</v>
      </c>
      <c r="C206" s="20" t="s">
        <v>9</v>
      </c>
      <c r="D206" s="20">
        <f t="shared" si="3"/>
        <v>130520.35034440743</v>
      </c>
    </row>
    <row r="207" spans="1:4" x14ac:dyDescent="0.2">
      <c r="A207" s="20" t="s">
        <v>54</v>
      </c>
      <c r="B207" s="20" t="s">
        <v>15</v>
      </c>
      <c r="C207" s="20" t="s">
        <v>10</v>
      </c>
      <c r="D207" s="20">
        <f t="shared" si="3"/>
        <v>130930.38153174339</v>
      </c>
    </row>
    <row r="208" spans="1:4" x14ac:dyDescent="0.2">
      <c r="A208" s="20" t="s">
        <v>54</v>
      </c>
      <c r="B208" s="20" t="s">
        <v>15</v>
      </c>
      <c r="C208" s="20" t="s">
        <v>11</v>
      </c>
      <c r="D208" s="20">
        <f t="shared" si="3"/>
        <v>131776.52833114358</v>
      </c>
    </row>
    <row r="209" spans="1:4" x14ac:dyDescent="0.2">
      <c r="A209" s="20" t="s">
        <v>54</v>
      </c>
      <c r="B209" s="20" t="s">
        <v>15</v>
      </c>
      <c r="C209" s="20" t="s">
        <v>12</v>
      </c>
      <c r="D209" s="20">
        <f>+SUM(D197:D208)</f>
        <v>1518540.8167143932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36B2D-73D3-F549-9277-6D6C9E4CF2BB}">
  <dimension ref="A1:D209"/>
  <sheetViews>
    <sheetView tabSelected="1" topLeftCell="A63" workbookViewId="0">
      <selection activeCell="O103" sqref="O103"/>
    </sheetView>
  </sheetViews>
  <sheetFormatPr baseColWidth="10" defaultRowHeight="13" x14ac:dyDescent="0.2"/>
  <cols>
    <col min="1" max="1" width="11.6640625" style="20" bestFit="1" customWidth="1"/>
    <col min="2" max="16384" width="10.83203125" style="20"/>
  </cols>
  <sheetData>
    <row r="1" spans="1:4" x14ac:dyDescent="0.2">
      <c r="A1" s="20" t="s">
        <v>65</v>
      </c>
      <c r="B1" s="20" t="s">
        <v>66</v>
      </c>
      <c r="C1" s="20" t="s">
        <v>68</v>
      </c>
      <c r="D1" s="20" t="s">
        <v>67</v>
      </c>
    </row>
    <row r="2" spans="1:4" x14ac:dyDescent="0.2">
      <c r="A2" s="20" t="s">
        <v>41</v>
      </c>
      <c r="B2" s="20" t="s">
        <v>13</v>
      </c>
      <c r="C2" s="20" t="s">
        <v>0</v>
      </c>
      <c r="D2" s="20">
        <f>+'Actuals Expenses Database'!D2-'Forecast Expenses Database'!D2</f>
        <v>-175.61575140451896</v>
      </c>
    </row>
    <row r="3" spans="1:4" x14ac:dyDescent="0.2">
      <c r="A3" s="20" t="s">
        <v>41</v>
      </c>
      <c r="B3" s="20" t="s">
        <v>13</v>
      </c>
      <c r="C3" s="20" t="s">
        <v>1</v>
      </c>
      <c r="D3" s="20">
        <f>+'Actuals Expenses Database'!D3-'Forecast Expenses Database'!D3</f>
        <v>-61.973751419209293</v>
      </c>
    </row>
    <row r="4" spans="1:4" x14ac:dyDescent="0.2">
      <c r="A4" s="20" t="s">
        <v>41</v>
      </c>
      <c r="B4" s="20" t="s">
        <v>13</v>
      </c>
      <c r="C4" s="20" t="s">
        <v>2</v>
      </c>
      <c r="D4" s="20">
        <f>+'Actuals Expenses Database'!D4-'Forecast Expenses Database'!D4</f>
        <v>35.009233026139555</v>
      </c>
    </row>
    <row r="5" spans="1:4" x14ac:dyDescent="0.2">
      <c r="A5" s="20" t="s">
        <v>41</v>
      </c>
      <c r="B5" s="20" t="s">
        <v>13</v>
      </c>
      <c r="C5" s="20" t="s">
        <v>3</v>
      </c>
      <c r="D5" s="20">
        <f>+'Actuals Expenses Database'!D5-'Forecast Expenses Database'!D5</f>
        <v>-36.380207031659666</v>
      </c>
    </row>
    <row r="6" spans="1:4" x14ac:dyDescent="0.2">
      <c r="A6" s="20" t="s">
        <v>41</v>
      </c>
      <c r="B6" s="20" t="s">
        <v>13</v>
      </c>
      <c r="C6" s="20" t="s">
        <v>4</v>
      </c>
      <c r="D6" s="20">
        <f>+'Actuals Expenses Database'!D6-'Forecast Expenses Database'!D6</f>
        <v>-236.64682753215311</v>
      </c>
    </row>
    <row r="7" spans="1:4" x14ac:dyDescent="0.2">
      <c r="A7" s="20" t="s">
        <v>41</v>
      </c>
      <c r="B7" s="20" t="s">
        <v>13</v>
      </c>
      <c r="C7" s="20" t="s">
        <v>5</v>
      </c>
      <c r="D7" s="20">
        <f>+'Actuals Expenses Database'!D7-'Forecast Expenses Database'!D7</f>
        <v>-259.6416087335092</v>
      </c>
    </row>
    <row r="8" spans="1:4" x14ac:dyDescent="0.2">
      <c r="A8" s="20" t="s">
        <v>41</v>
      </c>
      <c r="B8" s="20" t="s">
        <v>13</v>
      </c>
      <c r="C8" s="20" t="s">
        <v>6</v>
      </c>
      <c r="D8" s="20">
        <f>+'Actuals Expenses Database'!D8-'Forecast Expenses Database'!D8</f>
        <v>-257.68888753905776</v>
      </c>
    </row>
    <row r="9" spans="1:4" x14ac:dyDescent="0.2">
      <c r="A9" s="20" t="s">
        <v>41</v>
      </c>
      <c r="B9" s="20" t="s">
        <v>13</v>
      </c>
      <c r="C9" s="20" t="s">
        <v>7</v>
      </c>
      <c r="D9" s="20">
        <f>+'Actuals Expenses Database'!D9-'Forecast Expenses Database'!D9</f>
        <v>8.2490632369590458</v>
      </c>
    </row>
    <row r="10" spans="1:4" x14ac:dyDescent="0.2">
      <c r="A10" s="20" t="s">
        <v>41</v>
      </c>
      <c r="B10" s="20" t="s">
        <v>13</v>
      </c>
      <c r="C10" s="20" t="s">
        <v>8</v>
      </c>
      <c r="D10" s="20">
        <f>+'Actuals Expenses Database'!D10-'Forecast Expenses Database'!D10</f>
        <v>122.09847113938304</v>
      </c>
    </row>
    <row r="11" spans="1:4" x14ac:dyDescent="0.2">
      <c r="A11" s="20" t="s">
        <v>41</v>
      </c>
      <c r="B11" s="20" t="s">
        <v>13</v>
      </c>
      <c r="C11" s="20" t="s">
        <v>9</v>
      </c>
      <c r="D11" s="20">
        <f>+'Actuals Expenses Database'!D11-'Forecast Expenses Database'!D11</f>
        <v>130.79297468854929</v>
      </c>
    </row>
    <row r="12" spans="1:4" x14ac:dyDescent="0.2">
      <c r="A12" s="20" t="s">
        <v>41</v>
      </c>
      <c r="B12" s="20" t="s">
        <v>13</v>
      </c>
      <c r="C12" s="20" t="s">
        <v>10</v>
      </c>
      <c r="D12" s="20">
        <f>+'Actuals Expenses Database'!D12-'Forecast Expenses Database'!D12</f>
        <v>180.94080556448898</v>
      </c>
    </row>
    <row r="13" spans="1:4" x14ac:dyDescent="0.2">
      <c r="A13" s="20" t="s">
        <v>41</v>
      </c>
      <c r="B13" s="20" t="s">
        <v>13</v>
      </c>
      <c r="C13" s="20" t="s">
        <v>11</v>
      </c>
      <c r="D13" s="20">
        <f>+'Actuals Expenses Database'!D13-'Forecast Expenses Database'!D13</f>
        <v>-16.047957066082745</v>
      </c>
    </row>
    <row r="14" spans="1:4" x14ac:dyDescent="0.2">
      <c r="A14" s="20" t="s">
        <v>41</v>
      </c>
      <c r="B14" s="20" t="s">
        <v>13</v>
      </c>
      <c r="C14" s="20" t="s">
        <v>12</v>
      </c>
      <c r="D14" s="20">
        <f>+'Actuals Expenses Database'!D14-'Forecast Expenses Database'!D14</f>
        <v>-566.9044430705253</v>
      </c>
    </row>
    <row r="15" spans="1:4" x14ac:dyDescent="0.2">
      <c r="A15" s="20" t="s">
        <v>41</v>
      </c>
      <c r="B15" s="20" t="s">
        <v>14</v>
      </c>
      <c r="C15" s="20" t="s">
        <v>0</v>
      </c>
      <c r="D15" s="20">
        <f>+'Actuals Expenses Database'!D15-'Forecast Expenses Database'!D15</f>
        <v>-460.89278134600318</v>
      </c>
    </row>
    <row r="16" spans="1:4" x14ac:dyDescent="0.2">
      <c r="A16" s="20" t="s">
        <v>41</v>
      </c>
      <c r="B16" s="20" t="s">
        <v>14</v>
      </c>
      <c r="C16" s="20" t="s">
        <v>1</v>
      </c>
      <c r="D16" s="20">
        <f>+'Actuals Expenses Database'!D16-'Forecast Expenses Database'!D16</f>
        <v>195.18682512846863</v>
      </c>
    </row>
    <row r="17" spans="1:4" x14ac:dyDescent="0.2">
      <c r="A17" s="20" t="s">
        <v>41</v>
      </c>
      <c r="B17" s="20" t="s">
        <v>14</v>
      </c>
      <c r="C17" s="20" t="s">
        <v>2</v>
      </c>
      <c r="D17" s="20">
        <f>+'Actuals Expenses Database'!D17-'Forecast Expenses Database'!D17</f>
        <v>130.06522491096985</v>
      </c>
    </row>
    <row r="18" spans="1:4" x14ac:dyDescent="0.2">
      <c r="A18" s="20" t="s">
        <v>41</v>
      </c>
      <c r="B18" s="20" t="s">
        <v>14</v>
      </c>
      <c r="C18" s="20" t="s">
        <v>3</v>
      </c>
      <c r="D18" s="20">
        <f>+'Actuals Expenses Database'!D18-'Forecast Expenses Database'!D18</f>
        <v>86.034619431367901</v>
      </c>
    </row>
    <row r="19" spans="1:4" x14ac:dyDescent="0.2">
      <c r="A19" s="20" t="s">
        <v>41</v>
      </c>
      <c r="B19" s="20" t="s">
        <v>14</v>
      </c>
      <c r="C19" s="20" t="s">
        <v>4</v>
      </c>
      <c r="D19" s="20">
        <f>+'Actuals Expenses Database'!D19-'Forecast Expenses Database'!D19</f>
        <v>-112.35679605115365</v>
      </c>
    </row>
    <row r="20" spans="1:4" x14ac:dyDescent="0.2">
      <c r="A20" s="20" t="s">
        <v>41</v>
      </c>
      <c r="B20" s="20" t="s">
        <v>14</v>
      </c>
      <c r="C20" s="20" t="s">
        <v>5</v>
      </c>
      <c r="D20" s="20">
        <f>+'Actuals Expenses Database'!D20-'Forecast Expenses Database'!D20</f>
        <v>-130.09232193214848</v>
      </c>
    </row>
    <row r="21" spans="1:4" x14ac:dyDescent="0.2">
      <c r="A21" s="20" t="s">
        <v>41</v>
      </c>
      <c r="B21" s="20" t="s">
        <v>14</v>
      </c>
      <c r="C21" s="20" t="s">
        <v>6</v>
      </c>
      <c r="D21" s="20">
        <f>+'Actuals Expenses Database'!D21-'Forecast Expenses Database'!D21</f>
        <v>137.40625147657192</v>
      </c>
    </row>
    <row r="22" spans="1:4" x14ac:dyDescent="0.2">
      <c r="A22" s="20" t="s">
        <v>41</v>
      </c>
      <c r="B22" s="20" t="s">
        <v>14</v>
      </c>
      <c r="C22" s="20" t="s">
        <v>7</v>
      </c>
      <c r="D22" s="20">
        <f>+'Actuals Expenses Database'!D22-'Forecast Expenses Database'!D22</f>
        <v>-11.567644152546563</v>
      </c>
    </row>
    <row r="23" spans="1:4" x14ac:dyDescent="0.2">
      <c r="A23" s="20" t="s">
        <v>41</v>
      </c>
      <c r="B23" s="20" t="s">
        <v>14</v>
      </c>
      <c r="C23" s="20" t="s">
        <v>8</v>
      </c>
      <c r="D23" s="20">
        <f>+'Actuals Expenses Database'!D23-'Forecast Expenses Database'!D23</f>
        <v>312.07934047389426</v>
      </c>
    </row>
    <row r="24" spans="1:4" x14ac:dyDescent="0.2">
      <c r="A24" s="20" t="s">
        <v>41</v>
      </c>
      <c r="B24" s="20" t="s">
        <v>14</v>
      </c>
      <c r="C24" s="20" t="s">
        <v>9</v>
      </c>
      <c r="D24" s="20">
        <f>+'Actuals Expenses Database'!D24-'Forecast Expenses Database'!D24</f>
        <v>-123.51479146716156</v>
      </c>
    </row>
    <row r="25" spans="1:4" x14ac:dyDescent="0.2">
      <c r="A25" s="20" t="s">
        <v>41</v>
      </c>
      <c r="B25" s="20" t="s">
        <v>14</v>
      </c>
      <c r="C25" s="20" t="s">
        <v>10</v>
      </c>
      <c r="D25" s="20">
        <f>+'Actuals Expenses Database'!D25-'Forecast Expenses Database'!D25</f>
        <v>-274.50875612922755</v>
      </c>
    </row>
    <row r="26" spans="1:4" x14ac:dyDescent="0.2">
      <c r="A26" s="20" t="s">
        <v>41</v>
      </c>
      <c r="B26" s="20" t="s">
        <v>14</v>
      </c>
      <c r="C26" s="20" t="s">
        <v>11</v>
      </c>
      <c r="D26" s="20">
        <f>+'Actuals Expenses Database'!D26-'Forecast Expenses Database'!D26</f>
        <v>100.61711529588865</v>
      </c>
    </row>
    <row r="27" spans="1:4" x14ac:dyDescent="0.2">
      <c r="A27" s="20" t="s">
        <v>41</v>
      </c>
      <c r="B27" s="20" t="s">
        <v>14</v>
      </c>
      <c r="C27" s="20" t="s">
        <v>12</v>
      </c>
      <c r="D27" s="20">
        <f>+'Actuals Expenses Database'!D27-'Forecast Expenses Database'!D27</f>
        <v>-151.54371436109068</v>
      </c>
    </row>
    <row r="28" spans="1:4" x14ac:dyDescent="0.2">
      <c r="A28" s="20" t="s">
        <v>41</v>
      </c>
      <c r="B28" s="20" t="s">
        <v>15</v>
      </c>
      <c r="C28" s="20" t="s">
        <v>0</v>
      </c>
      <c r="D28" s="20">
        <f>+'Actuals Expenses Database'!D28-'Forecast Expenses Database'!D28</f>
        <v>-636.50853275052214</v>
      </c>
    </row>
    <row r="29" spans="1:4" x14ac:dyDescent="0.2">
      <c r="A29" s="20" t="s">
        <v>41</v>
      </c>
      <c r="B29" s="20" t="s">
        <v>15</v>
      </c>
      <c r="C29" s="20" t="s">
        <v>1</v>
      </c>
      <c r="D29" s="20">
        <f>+'Actuals Expenses Database'!D29-'Forecast Expenses Database'!D29</f>
        <v>133.21307370925206</v>
      </c>
    </row>
    <row r="30" spans="1:4" x14ac:dyDescent="0.2">
      <c r="A30" s="20" t="s">
        <v>41</v>
      </c>
      <c r="B30" s="20" t="s">
        <v>15</v>
      </c>
      <c r="C30" s="20" t="s">
        <v>2</v>
      </c>
      <c r="D30" s="20">
        <f>+'Actuals Expenses Database'!D30-'Forecast Expenses Database'!D30</f>
        <v>165.0744579371094</v>
      </c>
    </row>
    <row r="31" spans="1:4" x14ac:dyDescent="0.2">
      <c r="A31" s="20" t="s">
        <v>41</v>
      </c>
      <c r="B31" s="20" t="s">
        <v>15</v>
      </c>
      <c r="C31" s="20" t="s">
        <v>3</v>
      </c>
      <c r="D31" s="20">
        <f>+'Actuals Expenses Database'!D31-'Forecast Expenses Database'!D31</f>
        <v>49.654412399715511</v>
      </c>
    </row>
    <row r="32" spans="1:4" x14ac:dyDescent="0.2">
      <c r="A32" s="20" t="s">
        <v>41</v>
      </c>
      <c r="B32" s="20" t="s">
        <v>15</v>
      </c>
      <c r="C32" s="20" t="s">
        <v>4</v>
      </c>
      <c r="D32" s="20">
        <f>+'Actuals Expenses Database'!D32-'Forecast Expenses Database'!D32</f>
        <v>-349.0036235833104</v>
      </c>
    </row>
    <row r="33" spans="1:4" x14ac:dyDescent="0.2">
      <c r="A33" s="20" t="s">
        <v>41</v>
      </c>
      <c r="B33" s="20" t="s">
        <v>15</v>
      </c>
      <c r="C33" s="20" t="s">
        <v>5</v>
      </c>
      <c r="D33" s="20">
        <f>+'Actuals Expenses Database'!D33-'Forecast Expenses Database'!D33</f>
        <v>-389.7339306656504</v>
      </c>
    </row>
    <row r="34" spans="1:4" x14ac:dyDescent="0.2">
      <c r="A34" s="20" t="s">
        <v>41</v>
      </c>
      <c r="B34" s="20" t="s">
        <v>15</v>
      </c>
      <c r="C34" s="20" t="s">
        <v>6</v>
      </c>
      <c r="D34" s="20">
        <f>+'Actuals Expenses Database'!D34-'Forecast Expenses Database'!D34</f>
        <v>-120.28263606248947</v>
      </c>
    </row>
    <row r="35" spans="1:4" x14ac:dyDescent="0.2">
      <c r="A35" s="20" t="s">
        <v>41</v>
      </c>
      <c r="B35" s="20" t="s">
        <v>15</v>
      </c>
      <c r="C35" s="20" t="s">
        <v>7</v>
      </c>
      <c r="D35" s="20">
        <f>+'Actuals Expenses Database'!D35-'Forecast Expenses Database'!D35</f>
        <v>-3.3185809155838797</v>
      </c>
    </row>
    <row r="36" spans="1:4" x14ac:dyDescent="0.2">
      <c r="A36" s="20" t="s">
        <v>41</v>
      </c>
      <c r="B36" s="20" t="s">
        <v>15</v>
      </c>
      <c r="C36" s="20" t="s">
        <v>8</v>
      </c>
      <c r="D36" s="20">
        <f>+'Actuals Expenses Database'!D36-'Forecast Expenses Database'!D36</f>
        <v>434.1778116132773</v>
      </c>
    </row>
    <row r="37" spans="1:4" x14ac:dyDescent="0.2">
      <c r="A37" s="20" t="s">
        <v>41</v>
      </c>
      <c r="B37" s="20" t="s">
        <v>15</v>
      </c>
      <c r="C37" s="20" t="s">
        <v>9</v>
      </c>
      <c r="D37" s="20">
        <f>+'Actuals Expenses Database'!D37-'Forecast Expenses Database'!D37</f>
        <v>7.2781832213804591</v>
      </c>
    </row>
    <row r="38" spans="1:4" x14ac:dyDescent="0.2">
      <c r="A38" s="20" t="s">
        <v>41</v>
      </c>
      <c r="B38" s="20" t="s">
        <v>15</v>
      </c>
      <c r="C38" s="20" t="s">
        <v>10</v>
      </c>
      <c r="D38" s="20">
        <f>+'Actuals Expenses Database'!D38-'Forecast Expenses Database'!D38</f>
        <v>-93.567950564742205</v>
      </c>
    </row>
    <row r="39" spans="1:4" x14ac:dyDescent="0.2">
      <c r="A39" s="20" t="s">
        <v>41</v>
      </c>
      <c r="B39" s="20" t="s">
        <v>15</v>
      </c>
      <c r="C39" s="20" t="s">
        <v>11</v>
      </c>
      <c r="D39" s="20">
        <f>+'Actuals Expenses Database'!D39-'Forecast Expenses Database'!D39</f>
        <v>84.569158229802269</v>
      </c>
    </row>
    <row r="40" spans="1:4" x14ac:dyDescent="0.2">
      <c r="A40" s="20" t="s">
        <v>41</v>
      </c>
      <c r="B40" s="20" t="s">
        <v>15</v>
      </c>
      <c r="C40" s="20" t="s">
        <v>12</v>
      </c>
      <c r="D40" s="20">
        <f>+'Actuals Expenses Database'!D40-'Forecast Expenses Database'!D40</f>
        <v>-718.44815743179061</v>
      </c>
    </row>
    <row r="41" spans="1:4" x14ac:dyDescent="0.2">
      <c r="A41" s="20" t="s">
        <v>42</v>
      </c>
      <c r="B41" s="20" t="s">
        <v>16</v>
      </c>
      <c r="C41" s="20" t="s">
        <v>0</v>
      </c>
      <c r="D41" s="20">
        <f>+'Actuals Expenses Database'!D41-'Forecast Expenses Database'!D41</f>
        <v>259.38667666388938</v>
      </c>
    </row>
    <row r="42" spans="1:4" x14ac:dyDescent="0.2">
      <c r="A42" s="20" t="s">
        <v>42</v>
      </c>
      <c r="B42" s="20" t="s">
        <v>16</v>
      </c>
      <c r="C42" s="20" t="s">
        <v>1</v>
      </c>
      <c r="D42" s="20">
        <f>+'Actuals Expenses Database'!D42-'Forecast Expenses Database'!D42</f>
        <v>81.891824252283186</v>
      </c>
    </row>
    <row r="43" spans="1:4" x14ac:dyDescent="0.2">
      <c r="A43" s="20" t="s">
        <v>42</v>
      </c>
      <c r="B43" s="20" t="s">
        <v>16</v>
      </c>
      <c r="C43" s="20" t="s">
        <v>2</v>
      </c>
      <c r="D43" s="20">
        <f>+'Actuals Expenses Database'!D43-'Forecast Expenses Database'!D43</f>
        <v>353.57609164751011</v>
      </c>
    </row>
    <row r="44" spans="1:4" x14ac:dyDescent="0.2">
      <c r="A44" s="20" t="s">
        <v>42</v>
      </c>
      <c r="B44" s="20" t="s">
        <v>16</v>
      </c>
      <c r="C44" s="20" t="s">
        <v>3</v>
      </c>
      <c r="D44" s="20">
        <f>+'Actuals Expenses Database'!D44-'Forecast Expenses Database'!D44</f>
        <v>-347.55712091463465</v>
      </c>
    </row>
    <row r="45" spans="1:4" x14ac:dyDescent="0.2">
      <c r="A45" s="20" t="s">
        <v>42</v>
      </c>
      <c r="B45" s="20" t="s">
        <v>16</v>
      </c>
      <c r="C45" s="20" t="s">
        <v>4</v>
      </c>
      <c r="D45" s="20">
        <f>+'Actuals Expenses Database'!D45-'Forecast Expenses Database'!D45</f>
        <v>-145.72449053300807</v>
      </c>
    </row>
    <row r="46" spans="1:4" x14ac:dyDescent="0.2">
      <c r="A46" s="20" t="s">
        <v>42</v>
      </c>
      <c r="B46" s="20" t="s">
        <v>16</v>
      </c>
      <c r="C46" s="20" t="s">
        <v>5</v>
      </c>
      <c r="D46" s="20">
        <f>+'Actuals Expenses Database'!D46-'Forecast Expenses Database'!D46</f>
        <v>-131.2961608459118</v>
      </c>
    </row>
    <row r="47" spans="1:4" x14ac:dyDescent="0.2">
      <c r="A47" s="20" t="s">
        <v>42</v>
      </c>
      <c r="B47" s="20" t="s">
        <v>16</v>
      </c>
      <c r="C47" s="20" t="s">
        <v>6</v>
      </c>
      <c r="D47" s="20">
        <f>+'Actuals Expenses Database'!D47-'Forecast Expenses Database'!D47</f>
        <v>61.586654805514627</v>
      </c>
    </row>
    <row r="48" spans="1:4" x14ac:dyDescent="0.2">
      <c r="A48" s="20" t="s">
        <v>42</v>
      </c>
      <c r="B48" s="20" t="s">
        <v>16</v>
      </c>
      <c r="C48" s="20" t="s">
        <v>7</v>
      </c>
      <c r="D48" s="20">
        <f>+'Actuals Expenses Database'!D48-'Forecast Expenses Database'!D48</f>
        <v>-89.272444095720857</v>
      </c>
    </row>
    <row r="49" spans="1:4" x14ac:dyDescent="0.2">
      <c r="A49" s="20" t="s">
        <v>42</v>
      </c>
      <c r="B49" s="20" t="s">
        <v>16</v>
      </c>
      <c r="C49" s="20" t="s">
        <v>8</v>
      </c>
      <c r="D49" s="20">
        <f>+'Actuals Expenses Database'!D49-'Forecast Expenses Database'!D49</f>
        <v>48.597046997658254</v>
      </c>
    </row>
    <row r="50" spans="1:4" x14ac:dyDescent="0.2">
      <c r="A50" s="20" t="s">
        <v>42</v>
      </c>
      <c r="B50" s="20" t="s">
        <v>16</v>
      </c>
      <c r="C50" s="20" t="s">
        <v>9</v>
      </c>
      <c r="D50" s="20">
        <f>+'Actuals Expenses Database'!D50-'Forecast Expenses Database'!D50</f>
        <v>184.16184482483368</v>
      </c>
    </row>
    <row r="51" spans="1:4" x14ac:dyDescent="0.2">
      <c r="A51" s="20" t="s">
        <v>42</v>
      </c>
      <c r="B51" s="20" t="s">
        <v>16</v>
      </c>
      <c r="C51" s="20" t="s">
        <v>10</v>
      </c>
      <c r="D51" s="20">
        <f>+'Actuals Expenses Database'!D51-'Forecast Expenses Database'!D51</f>
        <v>68.955421072108948</v>
      </c>
    </row>
    <row r="52" spans="1:4" x14ac:dyDescent="0.2">
      <c r="A52" s="20" t="s">
        <v>42</v>
      </c>
      <c r="B52" s="20" t="s">
        <v>16</v>
      </c>
      <c r="C52" s="20" t="s">
        <v>11</v>
      </c>
      <c r="D52" s="20">
        <f>+'Actuals Expenses Database'!D52-'Forecast Expenses Database'!D52</f>
        <v>338.36323291375447</v>
      </c>
    </row>
    <row r="53" spans="1:4" x14ac:dyDescent="0.2">
      <c r="A53" s="20" t="s">
        <v>42</v>
      </c>
      <c r="B53" s="20" t="s">
        <v>16</v>
      </c>
      <c r="C53" s="20" t="s">
        <v>12</v>
      </c>
      <c r="D53" s="20">
        <f>+'Actuals Expenses Database'!D53-'Forecast Expenses Database'!D53</f>
        <v>682.66857678827364</v>
      </c>
    </row>
    <row r="54" spans="1:4" x14ac:dyDescent="0.2">
      <c r="A54" s="20" t="s">
        <v>42</v>
      </c>
      <c r="B54" s="20" t="s">
        <v>17</v>
      </c>
      <c r="C54" s="20" t="s">
        <v>0</v>
      </c>
      <c r="D54" s="20">
        <f>+'Actuals Expenses Database'!D54-'Forecast Expenses Database'!D54</f>
        <v>0</v>
      </c>
    </row>
    <row r="55" spans="1:4" x14ac:dyDescent="0.2">
      <c r="A55" s="20" t="s">
        <v>42</v>
      </c>
      <c r="B55" s="20" t="s">
        <v>17</v>
      </c>
      <c r="C55" s="20" t="s">
        <v>1</v>
      </c>
      <c r="D55" s="20">
        <f>+'Actuals Expenses Database'!D55-'Forecast Expenses Database'!D55</f>
        <v>0</v>
      </c>
    </row>
    <row r="56" spans="1:4" x14ac:dyDescent="0.2">
      <c r="A56" s="20" t="s">
        <v>42</v>
      </c>
      <c r="B56" s="20" t="s">
        <v>17</v>
      </c>
      <c r="C56" s="20" t="s">
        <v>2</v>
      </c>
      <c r="D56" s="20">
        <f>+'Actuals Expenses Database'!D56-'Forecast Expenses Database'!D56</f>
        <v>0</v>
      </c>
    </row>
    <row r="57" spans="1:4" x14ac:dyDescent="0.2">
      <c r="A57" s="20" t="s">
        <v>42</v>
      </c>
      <c r="B57" s="20" t="s">
        <v>17</v>
      </c>
      <c r="C57" s="20" t="s">
        <v>3</v>
      </c>
      <c r="D57" s="20">
        <f>+'Actuals Expenses Database'!D57-'Forecast Expenses Database'!D57</f>
        <v>0</v>
      </c>
    </row>
    <row r="58" spans="1:4" x14ac:dyDescent="0.2">
      <c r="A58" s="20" t="s">
        <v>42</v>
      </c>
      <c r="B58" s="20" t="s">
        <v>17</v>
      </c>
      <c r="C58" s="20" t="s">
        <v>4</v>
      </c>
      <c r="D58" s="20">
        <f>+'Actuals Expenses Database'!D58-'Forecast Expenses Database'!D58</f>
        <v>0</v>
      </c>
    </row>
    <row r="59" spans="1:4" x14ac:dyDescent="0.2">
      <c r="A59" s="20" t="s">
        <v>42</v>
      </c>
      <c r="B59" s="20" t="s">
        <v>17</v>
      </c>
      <c r="C59" s="20" t="s">
        <v>5</v>
      </c>
      <c r="D59" s="20">
        <f>+'Actuals Expenses Database'!D59-'Forecast Expenses Database'!D59</f>
        <v>0</v>
      </c>
    </row>
    <row r="60" spans="1:4" x14ac:dyDescent="0.2">
      <c r="A60" s="20" t="s">
        <v>42</v>
      </c>
      <c r="B60" s="20" t="s">
        <v>17</v>
      </c>
      <c r="C60" s="20" t="s">
        <v>6</v>
      </c>
      <c r="D60" s="20">
        <f>+'Actuals Expenses Database'!D60-'Forecast Expenses Database'!D60</f>
        <v>0</v>
      </c>
    </row>
    <row r="61" spans="1:4" x14ac:dyDescent="0.2">
      <c r="A61" s="20" t="s">
        <v>42</v>
      </c>
      <c r="B61" s="20" t="s">
        <v>17</v>
      </c>
      <c r="C61" s="20" t="s">
        <v>7</v>
      </c>
      <c r="D61" s="20">
        <f>+'Actuals Expenses Database'!D61-'Forecast Expenses Database'!D61</f>
        <v>0</v>
      </c>
    </row>
    <row r="62" spans="1:4" x14ac:dyDescent="0.2">
      <c r="A62" s="20" t="s">
        <v>42</v>
      </c>
      <c r="B62" s="20" t="s">
        <v>17</v>
      </c>
      <c r="C62" s="20" t="s">
        <v>8</v>
      </c>
      <c r="D62" s="20">
        <f>+'Actuals Expenses Database'!D62-'Forecast Expenses Database'!D62</f>
        <v>0</v>
      </c>
    </row>
    <row r="63" spans="1:4" x14ac:dyDescent="0.2">
      <c r="A63" s="20" t="s">
        <v>42</v>
      </c>
      <c r="B63" s="20" t="s">
        <v>17</v>
      </c>
      <c r="C63" s="20" t="s">
        <v>9</v>
      </c>
      <c r="D63" s="20">
        <f>+'Actuals Expenses Database'!D63-'Forecast Expenses Database'!D63</f>
        <v>0</v>
      </c>
    </row>
    <row r="64" spans="1:4" x14ac:dyDescent="0.2">
      <c r="A64" s="20" t="s">
        <v>42</v>
      </c>
      <c r="B64" s="20" t="s">
        <v>17</v>
      </c>
      <c r="C64" s="20" t="s">
        <v>10</v>
      </c>
      <c r="D64" s="20">
        <f>+'Actuals Expenses Database'!D64-'Forecast Expenses Database'!D64</f>
        <v>0</v>
      </c>
    </row>
    <row r="65" spans="1:4" x14ac:dyDescent="0.2">
      <c r="A65" s="20" t="s">
        <v>42</v>
      </c>
      <c r="B65" s="20" t="s">
        <v>17</v>
      </c>
      <c r="C65" s="20" t="s">
        <v>11</v>
      </c>
      <c r="D65" s="20">
        <f>+'Actuals Expenses Database'!D65-'Forecast Expenses Database'!D65</f>
        <v>0</v>
      </c>
    </row>
    <row r="66" spans="1:4" x14ac:dyDescent="0.2">
      <c r="A66" s="20" t="s">
        <v>42</v>
      </c>
      <c r="B66" s="20" t="s">
        <v>17</v>
      </c>
      <c r="C66" s="20" t="s">
        <v>12</v>
      </c>
      <c r="D66" s="20">
        <f>+'Actuals Expenses Database'!D66-'Forecast Expenses Database'!D66</f>
        <v>0</v>
      </c>
    </row>
    <row r="67" spans="1:4" x14ac:dyDescent="0.2">
      <c r="A67" s="20" t="s">
        <v>42</v>
      </c>
      <c r="B67" s="20" t="s">
        <v>18</v>
      </c>
      <c r="C67" s="20" t="s">
        <v>0</v>
      </c>
      <c r="D67" s="20">
        <f>+'Actuals Expenses Database'!D67-'Forecast Expenses Database'!D67</f>
        <v>0</v>
      </c>
    </row>
    <row r="68" spans="1:4" x14ac:dyDescent="0.2">
      <c r="A68" s="20" t="s">
        <v>42</v>
      </c>
      <c r="B68" s="20" t="s">
        <v>18</v>
      </c>
      <c r="C68" s="20" t="s">
        <v>1</v>
      </c>
      <c r="D68" s="20">
        <f>+'Actuals Expenses Database'!D68-'Forecast Expenses Database'!D68</f>
        <v>0</v>
      </c>
    </row>
    <row r="69" spans="1:4" x14ac:dyDescent="0.2">
      <c r="A69" s="20" t="s">
        <v>42</v>
      </c>
      <c r="B69" s="20" t="s">
        <v>18</v>
      </c>
      <c r="C69" s="20" t="s">
        <v>2</v>
      </c>
      <c r="D69" s="20">
        <f>+'Actuals Expenses Database'!D69-'Forecast Expenses Database'!D69</f>
        <v>0</v>
      </c>
    </row>
    <row r="70" spans="1:4" x14ac:dyDescent="0.2">
      <c r="A70" s="20" t="s">
        <v>42</v>
      </c>
      <c r="B70" s="20" t="s">
        <v>18</v>
      </c>
      <c r="C70" s="20" t="s">
        <v>3</v>
      </c>
      <c r="D70" s="20">
        <f>+'Actuals Expenses Database'!D70-'Forecast Expenses Database'!D70</f>
        <v>0</v>
      </c>
    </row>
    <row r="71" spans="1:4" x14ac:dyDescent="0.2">
      <c r="A71" s="20" t="s">
        <v>42</v>
      </c>
      <c r="B71" s="20" t="s">
        <v>18</v>
      </c>
      <c r="C71" s="20" t="s">
        <v>4</v>
      </c>
      <c r="D71" s="20">
        <f>+'Actuals Expenses Database'!D71-'Forecast Expenses Database'!D71</f>
        <v>0</v>
      </c>
    </row>
    <row r="72" spans="1:4" x14ac:dyDescent="0.2">
      <c r="A72" s="20" t="s">
        <v>42</v>
      </c>
      <c r="B72" s="20" t="s">
        <v>18</v>
      </c>
      <c r="C72" s="20" t="s">
        <v>5</v>
      </c>
      <c r="D72" s="20">
        <f>+'Actuals Expenses Database'!D72-'Forecast Expenses Database'!D72</f>
        <v>0</v>
      </c>
    </row>
    <row r="73" spans="1:4" x14ac:dyDescent="0.2">
      <c r="A73" s="20" t="s">
        <v>42</v>
      </c>
      <c r="B73" s="20" t="s">
        <v>18</v>
      </c>
      <c r="C73" s="20" t="s">
        <v>6</v>
      </c>
      <c r="D73" s="20">
        <f>+'Actuals Expenses Database'!D73-'Forecast Expenses Database'!D73</f>
        <v>0</v>
      </c>
    </row>
    <row r="74" spans="1:4" x14ac:dyDescent="0.2">
      <c r="A74" s="20" t="s">
        <v>42</v>
      </c>
      <c r="B74" s="20" t="s">
        <v>18</v>
      </c>
      <c r="C74" s="20" t="s">
        <v>7</v>
      </c>
      <c r="D74" s="20">
        <f>+'Actuals Expenses Database'!D74-'Forecast Expenses Database'!D74</f>
        <v>0</v>
      </c>
    </row>
    <row r="75" spans="1:4" x14ac:dyDescent="0.2">
      <c r="A75" s="20" t="s">
        <v>42</v>
      </c>
      <c r="B75" s="20" t="s">
        <v>18</v>
      </c>
      <c r="C75" s="20" t="s">
        <v>8</v>
      </c>
      <c r="D75" s="20">
        <f>+'Actuals Expenses Database'!D75-'Forecast Expenses Database'!D75</f>
        <v>0</v>
      </c>
    </row>
    <row r="76" spans="1:4" x14ac:dyDescent="0.2">
      <c r="A76" s="20" t="s">
        <v>42</v>
      </c>
      <c r="B76" s="20" t="s">
        <v>18</v>
      </c>
      <c r="C76" s="20" t="s">
        <v>9</v>
      </c>
      <c r="D76" s="20">
        <f>+'Actuals Expenses Database'!D76-'Forecast Expenses Database'!D76</f>
        <v>0</v>
      </c>
    </row>
    <row r="77" spans="1:4" x14ac:dyDescent="0.2">
      <c r="A77" s="20" t="s">
        <v>42</v>
      </c>
      <c r="B77" s="20" t="s">
        <v>18</v>
      </c>
      <c r="C77" s="20" t="s">
        <v>10</v>
      </c>
      <c r="D77" s="20">
        <f>+'Actuals Expenses Database'!D77-'Forecast Expenses Database'!D77</f>
        <v>0</v>
      </c>
    </row>
    <row r="78" spans="1:4" x14ac:dyDescent="0.2">
      <c r="A78" s="20" t="s">
        <v>42</v>
      </c>
      <c r="B78" s="20" t="s">
        <v>18</v>
      </c>
      <c r="C78" s="20" t="s">
        <v>11</v>
      </c>
      <c r="D78" s="20">
        <f>+'Actuals Expenses Database'!D78-'Forecast Expenses Database'!D78</f>
        <v>0</v>
      </c>
    </row>
    <row r="79" spans="1:4" x14ac:dyDescent="0.2">
      <c r="A79" s="20" t="s">
        <v>42</v>
      </c>
      <c r="B79" s="20" t="s">
        <v>18</v>
      </c>
      <c r="C79" s="20" t="s">
        <v>12</v>
      </c>
      <c r="D79" s="20">
        <f>+'Actuals Expenses Database'!D79-'Forecast Expenses Database'!D79</f>
        <v>0</v>
      </c>
    </row>
    <row r="80" spans="1:4" x14ac:dyDescent="0.2">
      <c r="A80" s="20" t="s">
        <v>42</v>
      </c>
      <c r="B80" s="20" t="s">
        <v>19</v>
      </c>
      <c r="C80" s="20" t="s">
        <v>0</v>
      </c>
      <c r="D80" s="20">
        <f>+'Actuals Expenses Database'!D80-'Forecast Expenses Database'!D80</f>
        <v>0</v>
      </c>
    </row>
    <row r="81" spans="1:4" x14ac:dyDescent="0.2">
      <c r="A81" s="20" t="s">
        <v>42</v>
      </c>
      <c r="B81" s="20" t="s">
        <v>19</v>
      </c>
      <c r="C81" s="20" t="s">
        <v>1</v>
      </c>
      <c r="D81" s="20">
        <f>+'Actuals Expenses Database'!D81-'Forecast Expenses Database'!D81</f>
        <v>0</v>
      </c>
    </row>
    <row r="82" spans="1:4" x14ac:dyDescent="0.2">
      <c r="A82" s="20" t="s">
        <v>42</v>
      </c>
      <c r="B82" s="20" t="s">
        <v>19</v>
      </c>
      <c r="C82" s="20" t="s">
        <v>2</v>
      </c>
      <c r="D82" s="20">
        <f>+'Actuals Expenses Database'!D82-'Forecast Expenses Database'!D82</f>
        <v>0</v>
      </c>
    </row>
    <row r="83" spans="1:4" x14ac:dyDescent="0.2">
      <c r="A83" s="20" t="s">
        <v>42</v>
      </c>
      <c r="B83" s="20" t="s">
        <v>19</v>
      </c>
      <c r="C83" s="20" t="s">
        <v>3</v>
      </c>
      <c r="D83" s="20">
        <f>+'Actuals Expenses Database'!D83-'Forecast Expenses Database'!D83</f>
        <v>0</v>
      </c>
    </row>
    <row r="84" spans="1:4" x14ac:dyDescent="0.2">
      <c r="A84" s="20" t="s">
        <v>42</v>
      </c>
      <c r="B84" s="20" t="s">
        <v>19</v>
      </c>
      <c r="C84" s="20" t="s">
        <v>4</v>
      </c>
      <c r="D84" s="20">
        <f>+'Actuals Expenses Database'!D84-'Forecast Expenses Database'!D84</f>
        <v>0</v>
      </c>
    </row>
    <row r="85" spans="1:4" x14ac:dyDescent="0.2">
      <c r="A85" s="20" t="s">
        <v>42</v>
      </c>
      <c r="B85" s="20" t="s">
        <v>19</v>
      </c>
      <c r="C85" s="20" t="s">
        <v>5</v>
      </c>
      <c r="D85" s="20">
        <f>+'Actuals Expenses Database'!D85-'Forecast Expenses Database'!D85</f>
        <v>0</v>
      </c>
    </row>
    <row r="86" spans="1:4" x14ac:dyDescent="0.2">
      <c r="A86" s="20" t="s">
        <v>42</v>
      </c>
      <c r="B86" s="20" t="s">
        <v>19</v>
      </c>
      <c r="C86" s="20" t="s">
        <v>6</v>
      </c>
      <c r="D86" s="20">
        <f>+'Actuals Expenses Database'!D86-'Forecast Expenses Database'!D86</f>
        <v>0</v>
      </c>
    </row>
    <row r="87" spans="1:4" x14ac:dyDescent="0.2">
      <c r="A87" s="20" t="s">
        <v>42</v>
      </c>
      <c r="B87" s="20" t="s">
        <v>19</v>
      </c>
      <c r="C87" s="20" t="s">
        <v>7</v>
      </c>
      <c r="D87" s="20">
        <f>+'Actuals Expenses Database'!D87-'Forecast Expenses Database'!D87</f>
        <v>0</v>
      </c>
    </row>
    <row r="88" spans="1:4" x14ac:dyDescent="0.2">
      <c r="A88" s="20" t="s">
        <v>42</v>
      </c>
      <c r="B88" s="20" t="s">
        <v>19</v>
      </c>
      <c r="C88" s="20" t="s">
        <v>8</v>
      </c>
      <c r="D88" s="20">
        <f>+'Actuals Expenses Database'!D88-'Forecast Expenses Database'!D88</f>
        <v>0</v>
      </c>
    </row>
    <row r="89" spans="1:4" x14ac:dyDescent="0.2">
      <c r="A89" s="20" t="s">
        <v>42</v>
      </c>
      <c r="B89" s="20" t="s">
        <v>19</v>
      </c>
      <c r="C89" s="20" t="s">
        <v>9</v>
      </c>
      <c r="D89" s="20">
        <f>+'Actuals Expenses Database'!D89-'Forecast Expenses Database'!D89</f>
        <v>0</v>
      </c>
    </row>
    <row r="90" spans="1:4" x14ac:dyDescent="0.2">
      <c r="A90" s="20" t="s">
        <v>42</v>
      </c>
      <c r="B90" s="20" t="s">
        <v>19</v>
      </c>
      <c r="C90" s="20" t="s">
        <v>10</v>
      </c>
      <c r="D90" s="20">
        <f>+'Actuals Expenses Database'!D90-'Forecast Expenses Database'!D90</f>
        <v>0</v>
      </c>
    </row>
    <row r="91" spans="1:4" x14ac:dyDescent="0.2">
      <c r="A91" s="20" t="s">
        <v>42</v>
      </c>
      <c r="B91" s="20" t="s">
        <v>19</v>
      </c>
      <c r="C91" s="20" t="s">
        <v>11</v>
      </c>
      <c r="D91" s="20">
        <f>+'Actuals Expenses Database'!D91-'Forecast Expenses Database'!D91</f>
        <v>0</v>
      </c>
    </row>
    <row r="92" spans="1:4" x14ac:dyDescent="0.2">
      <c r="A92" s="20" t="s">
        <v>42</v>
      </c>
      <c r="B92" s="20" t="s">
        <v>19</v>
      </c>
      <c r="C92" s="20" t="s">
        <v>12</v>
      </c>
      <c r="D92" s="20">
        <f>+'Actuals Expenses Database'!D92-'Forecast Expenses Database'!D92</f>
        <v>0</v>
      </c>
    </row>
    <row r="93" spans="1:4" x14ac:dyDescent="0.2">
      <c r="A93" s="20" t="s">
        <v>42</v>
      </c>
      <c r="B93" s="20" t="s">
        <v>20</v>
      </c>
      <c r="C93" s="20" t="s">
        <v>0</v>
      </c>
      <c r="D93" s="20">
        <f>+'Actuals Expenses Database'!D93-'Forecast Expenses Database'!D93</f>
        <v>0</v>
      </c>
    </row>
    <row r="94" spans="1:4" x14ac:dyDescent="0.2">
      <c r="A94" s="20" t="s">
        <v>42</v>
      </c>
      <c r="B94" s="20" t="s">
        <v>20</v>
      </c>
      <c r="C94" s="20" t="s">
        <v>1</v>
      </c>
      <c r="D94" s="20">
        <f>+'Actuals Expenses Database'!D94-'Forecast Expenses Database'!D94</f>
        <v>0</v>
      </c>
    </row>
    <row r="95" spans="1:4" x14ac:dyDescent="0.2">
      <c r="A95" s="20" t="s">
        <v>42</v>
      </c>
      <c r="B95" s="20" t="s">
        <v>20</v>
      </c>
      <c r="C95" s="20" t="s">
        <v>2</v>
      </c>
      <c r="D95" s="20">
        <f>+'Actuals Expenses Database'!D95-'Forecast Expenses Database'!D95</f>
        <v>0</v>
      </c>
    </row>
    <row r="96" spans="1:4" x14ac:dyDescent="0.2">
      <c r="A96" s="20" t="s">
        <v>42</v>
      </c>
      <c r="B96" s="20" t="s">
        <v>20</v>
      </c>
      <c r="C96" s="20" t="s">
        <v>3</v>
      </c>
      <c r="D96" s="20">
        <f>+'Actuals Expenses Database'!D96-'Forecast Expenses Database'!D96</f>
        <v>0</v>
      </c>
    </row>
    <row r="97" spans="1:4" x14ac:dyDescent="0.2">
      <c r="A97" s="20" t="s">
        <v>42</v>
      </c>
      <c r="B97" s="20" t="s">
        <v>20</v>
      </c>
      <c r="C97" s="20" t="s">
        <v>4</v>
      </c>
      <c r="D97" s="20">
        <f>+'Actuals Expenses Database'!D97-'Forecast Expenses Database'!D97</f>
        <v>0</v>
      </c>
    </row>
    <row r="98" spans="1:4" x14ac:dyDescent="0.2">
      <c r="A98" s="20" t="s">
        <v>42</v>
      </c>
      <c r="B98" s="20" t="s">
        <v>20</v>
      </c>
      <c r="C98" s="20" t="s">
        <v>5</v>
      </c>
      <c r="D98" s="20">
        <f>+'Actuals Expenses Database'!D98-'Forecast Expenses Database'!D98</f>
        <v>0</v>
      </c>
    </row>
    <row r="99" spans="1:4" x14ac:dyDescent="0.2">
      <c r="A99" s="20" t="s">
        <v>42</v>
      </c>
      <c r="B99" s="20" t="s">
        <v>20</v>
      </c>
      <c r="C99" s="20" t="s">
        <v>6</v>
      </c>
      <c r="D99" s="20">
        <f>+'Actuals Expenses Database'!D99-'Forecast Expenses Database'!D99</f>
        <v>0</v>
      </c>
    </row>
    <row r="100" spans="1:4" x14ac:dyDescent="0.2">
      <c r="A100" s="20" t="s">
        <v>42</v>
      </c>
      <c r="B100" s="20" t="s">
        <v>20</v>
      </c>
      <c r="C100" s="20" t="s">
        <v>7</v>
      </c>
      <c r="D100" s="20">
        <f>+'Actuals Expenses Database'!D100-'Forecast Expenses Database'!D100</f>
        <v>0</v>
      </c>
    </row>
    <row r="101" spans="1:4" x14ac:dyDescent="0.2">
      <c r="A101" s="20" t="s">
        <v>42</v>
      </c>
      <c r="B101" s="20" t="s">
        <v>20</v>
      </c>
      <c r="C101" s="20" t="s">
        <v>8</v>
      </c>
      <c r="D101" s="20">
        <f>+'Actuals Expenses Database'!D101-'Forecast Expenses Database'!D101</f>
        <v>0</v>
      </c>
    </row>
    <row r="102" spans="1:4" x14ac:dyDescent="0.2">
      <c r="A102" s="20" t="s">
        <v>42</v>
      </c>
      <c r="B102" s="20" t="s">
        <v>20</v>
      </c>
      <c r="C102" s="20" t="s">
        <v>9</v>
      </c>
      <c r="D102" s="20">
        <f>+'Actuals Expenses Database'!D102-'Forecast Expenses Database'!D102</f>
        <v>0</v>
      </c>
    </row>
    <row r="103" spans="1:4" x14ac:dyDescent="0.2">
      <c r="A103" s="20" t="s">
        <v>42</v>
      </c>
      <c r="B103" s="20" t="s">
        <v>20</v>
      </c>
      <c r="C103" s="20" t="s">
        <v>10</v>
      </c>
      <c r="D103" s="20">
        <f>+'Actuals Expenses Database'!D103-'Forecast Expenses Database'!D103</f>
        <v>0</v>
      </c>
    </row>
    <row r="104" spans="1:4" x14ac:dyDescent="0.2">
      <c r="A104" s="20" t="s">
        <v>42</v>
      </c>
      <c r="B104" s="20" t="s">
        <v>20</v>
      </c>
      <c r="C104" s="20" t="s">
        <v>11</v>
      </c>
      <c r="D104" s="20">
        <f>+'Actuals Expenses Database'!D104-'Forecast Expenses Database'!D104</f>
        <v>0</v>
      </c>
    </row>
    <row r="105" spans="1:4" x14ac:dyDescent="0.2">
      <c r="A105" s="20" t="s">
        <v>42</v>
      </c>
      <c r="B105" s="20" t="s">
        <v>20</v>
      </c>
      <c r="C105" s="20" t="s">
        <v>12</v>
      </c>
      <c r="D105" s="20">
        <f>+'Actuals Expenses Database'!D105-'Forecast Expenses Database'!D105</f>
        <v>0</v>
      </c>
    </row>
    <row r="106" spans="1:4" x14ac:dyDescent="0.2">
      <c r="A106" s="20" t="s">
        <v>42</v>
      </c>
      <c r="B106" s="20" t="s">
        <v>21</v>
      </c>
      <c r="C106" s="20" t="s">
        <v>0</v>
      </c>
      <c r="D106" s="20">
        <f>+'Actuals Expenses Database'!D106-'Forecast Expenses Database'!D106</f>
        <v>0</v>
      </c>
    </row>
    <row r="107" spans="1:4" x14ac:dyDescent="0.2">
      <c r="A107" s="20" t="s">
        <v>42</v>
      </c>
      <c r="B107" s="20" t="s">
        <v>21</v>
      </c>
      <c r="C107" s="20" t="s">
        <v>1</v>
      </c>
      <c r="D107" s="20">
        <f>+'Actuals Expenses Database'!D107-'Forecast Expenses Database'!D107</f>
        <v>0</v>
      </c>
    </row>
    <row r="108" spans="1:4" x14ac:dyDescent="0.2">
      <c r="A108" s="20" t="s">
        <v>42</v>
      </c>
      <c r="B108" s="20" t="s">
        <v>21</v>
      </c>
      <c r="C108" s="20" t="s">
        <v>2</v>
      </c>
      <c r="D108" s="20">
        <f>+'Actuals Expenses Database'!D108-'Forecast Expenses Database'!D108</f>
        <v>0</v>
      </c>
    </row>
    <row r="109" spans="1:4" x14ac:dyDescent="0.2">
      <c r="A109" s="20" t="s">
        <v>42</v>
      </c>
      <c r="B109" s="20" t="s">
        <v>21</v>
      </c>
      <c r="C109" s="20" t="s">
        <v>3</v>
      </c>
      <c r="D109" s="20">
        <f>+'Actuals Expenses Database'!D109-'Forecast Expenses Database'!D109</f>
        <v>0</v>
      </c>
    </row>
    <row r="110" spans="1:4" x14ac:dyDescent="0.2">
      <c r="A110" s="20" t="s">
        <v>42</v>
      </c>
      <c r="B110" s="20" t="s">
        <v>21</v>
      </c>
      <c r="C110" s="20" t="s">
        <v>4</v>
      </c>
      <c r="D110" s="20">
        <f>+'Actuals Expenses Database'!D110-'Forecast Expenses Database'!D110</f>
        <v>0</v>
      </c>
    </row>
    <row r="111" spans="1:4" x14ac:dyDescent="0.2">
      <c r="A111" s="20" t="s">
        <v>42</v>
      </c>
      <c r="B111" s="20" t="s">
        <v>21</v>
      </c>
      <c r="C111" s="20" t="s">
        <v>5</v>
      </c>
      <c r="D111" s="20">
        <f>+'Actuals Expenses Database'!D111-'Forecast Expenses Database'!D111</f>
        <v>0</v>
      </c>
    </row>
    <row r="112" spans="1:4" x14ac:dyDescent="0.2">
      <c r="A112" s="20" t="s">
        <v>42</v>
      </c>
      <c r="B112" s="20" t="s">
        <v>21</v>
      </c>
      <c r="C112" s="20" t="s">
        <v>6</v>
      </c>
      <c r="D112" s="20">
        <f>+'Actuals Expenses Database'!D112-'Forecast Expenses Database'!D112</f>
        <v>0</v>
      </c>
    </row>
    <row r="113" spans="1:4" x14ac:dyDescent="0.2">
      <c r="A113" s="20" t="s">
        <v>42</v>
      </c>
      <c r="B113" s="20" t="s">
        <v>21</v>
      </c>
      <c r="C113" s="20" t="s">
        <v>7</v>
      </c>
      <c r="D113" s="20">
        <f>+'Actuals Expenses Database'!D113-'Forecast Expenses Database'!D113</f>
        <v>0</v>
      </c>
    </row>
    <row r="114" spans="1:4" x14ac:dyDescent="0.2">
      <c r="A114" s="20" t="s">
        <v>42</v>
      </c>
      <c r="B114" s="20" t="s">
        <v>21</v>
      </c>
      <c r="C114" s="20" t="s">
        <v>8</v>
      </c>
      <c r="D114" s="20">
        <f>+'Actuals Expenses Database'!D114-'Forecast Expenses Database'!D114</f>
        <v>0</v>
      </c>
    </row>
    <row r="115" spans="1:4" x14ac:dyDescent="0.2">
      <c r="A115" s="20" t="s">
        <v>42</v>
      </c>
      <c r="B115" s="20" t="s">
        <v>21</v>
      </c>
      <c r="C115" s="20" t="s">
        <v>9</v>
      </c>
      <c r="D115" s="20">
        <f>+'Actuals Expenses Database'!D115-'Forecast Expenses Database'!D115</f>
        <v>0</v>
      </c>
    </row>
    <row r="116" spans="1:4" x14ac:dyDescent="0.2">
      <c r="A116" s="20" t="s">
        <v>42</v>
      </c>
      <c r="B116" s="20" t="s">
        <v>21</v>
      </c>
      <c r="C116" s="20" t="s">
        <v>10</v>
      </c>
      <c r="D116" s="20">
        <f>+'Actuals Expenses Database'!D116-'Forecast Expenses Database'!D116</f>
        <v>0</v>
      </c>
    </row>
    <row r="117" spans="1:4" x14ac:dyDescent="0.2">
      <c r="A117" s="20" t="s">
        <v>42</v>
      </c>
      <c r="B117" s="20" t="s">
        <v>21</v>
      </c>
      <c r="C117" s="20" t="s">
        <v>11</v>
      </c>
      <c r="D117" s="20">
        <f>+'Actuals Expenses Database'!D117-'Forecast Expenses Database'!D117</f>
        <v>0</v>
      </c>
    </row>
    <row r="118" spans="1:4" x14ac:dyDescent="0.2">
      <c r="A118" s="20" t="s">
        <v>42</v>
      </c>
      <c r="B118" s="20" t="s">
        <v>21</v>
      </c>
      <c r="C118" s="20" t="s">
        <v>12</v>
      </c>
      <c r="D118" s="20">
        <f>+'Actuals Expenses Database'!D118-'Forecast Expenses Database'!D118</f>
        <v>0</v>
      </c>
    </row>
    <row r="119" spans="1:4" x14ac:dyDescent="0.2">
      <c r="A119" s="20" t="s">
        <v>42</v>
      </c>
      <c r="B119" s="20" t="s">
        <v>22</v>
      </c>
      <c r="C119" s="20" t="s">
        <v>0</v>
      </c>
      <c r="D119" s="20">
        <f>+'Actuals Expenses Database'!D119-'Forecast Expenses Database'!D119</f>
        <v>0</v>
      </c>
    </row>
    <row r="120" spans="1:4" x14ac:dyDescent="0.2">
      <c r="A120" s="20" t="s">
        <v>42</v>
      </c>
      <c r="B120" s="20" t="s">
        <v>22</v>
      </c>
      <c r="C120" s="20" t="s">
        <v>1</v>
      </c>
      <c r="D120" s="20">
        <f>+'Actuals Expenses Database'!D120-'Forecast Expenses Database'!D120</f>
        <v>0</v>
      </c>
    </row>
    <row r="121" spans="1:4" x14ac:dyDescent="0.2">
      <c r="A121" s="20" t="s">
        <v>42</v>
      </c>
      <c r="B121" s="20" t="s">
        <v>22</v>
      </c>
      <c r="C121" s="20" t="s">
        <v>2</v>
      </c>
      <c r="D121" s="20">
        <f>+'Actuals Expenses Database'!D121-'Forecast Expenses Database'!D121</f>
        <v>0</v>
      </c>
    </row>
    <row r="122" spans="1:4" x14ac:dyDescent="0.2">
      <c r="A122" s="20" t="s">
        <v>42</v>
      </c>
      <c r="B122" s="20" t="s">
        <v>22</v>
      </c>
      <c r="C122" s="20" t="s">
        <v>3</v>
      </c>
      <c r="D122" s="20">
        <f>+'Actuals Expenses Database'!D122-'Forecast Expenses Database'!D122</f>
        <v>0</v>
      </c>
    </row>
    <row r="123" spans="1:4" x14ac:dyDescent="0.2">
      <c r="A123" s="20" t="s">
        <v>42</v>
      </c>
      <c r="B123" s="20" t="s">
        <v>22</v>
      </c>
      <c r="C123" s="20" t="s">
        <v>4</v>
      </c>
      <c r="D123" s="20">
        <f>+'Actuals Expenses Database'!D123-'Forecast Expenses Database'!D123</f>
        <v>0</v>
      </c>
    </row>
    <row r="124" spans="1:4" x14ac:dyDescent="0.2">
      <c r="A124" s="20" t="s">
        <v>42</v>
      </c>
      <c r="B124" s="20" t="s">
        <v>22</v>
      </c>
      <c r="C124" s="20" t="s">
        <v>5</v>
      </c>
      <c r="D124" s="20">
        <f>+'Actuals Expenses Database'!D124-'Forecast Expenses Database'!D124</f>
        <v>0</v>
      </c>
    </row>
    <row r="125" spans="1:4" x14ac:dyDescent="0.2">
      <c r="A125" s="20" t="s">
        <v>42</v>
      </c>
      <c r="B125" s="20" t="s">
        <v>22</v>
      </c>
      <c r="C125" s="20" t="s">
        <v>6</v>
      </c>
      <c r="D125" s="20">
        <f>+'Actuals Expenses Database'!D125-'Forecast Expenses Database'!D125</f>
        <v>0</v>
      </c>
    </row>
    <row r="126" spans="1:4" x14ac:dyDescent="0.2">
      <c r="A126" s="20" t="s">
        <v>42</v>
      </c>
      <c r="B126" s="20" t="s">
        <v>22</v>
      </c>
      <c r="C126" s="20" t="s">
        <v>7</v>
      </c>
      <c r="D126" s="20">
        <f>+'Actuals Expenses Database'!D126-'Forecast Expenses Database'!D126</f>
        <v>0</v>
      </c>
    </row>
    <row r="127" spans="1:4" x14ac:dyDescent="0.2">
      <c r="A127" s="20" t="s">
        <v>42</v>
      </c>
      <c r="B127" s="20" t="s">
        <v>22</v>
      </c>
      <c r="C127" s="20" t="s">
        <v>8</v>
      </c>
      <c r="D127" s="20">
        <f>+'Actuals Expenses Database'!D127-'Forecast Expenses Database'!D127</f>
        <v>0</v>
      </c>
    </row>
    <row r="128" spans="1:4" x14ac:dyDescent="0.2">
      <c r="A128" s="20" t="s">
        <v>42</v>
      </c>
      <c r="B128" s="20" t="s">
        <v>22</v>
      </c>
      <c r="C128" s="20" t="s">
        <v>9</v>
      </c>
      <c r="D128" s="20">
        <f>+'Actuals Expenses Database'!D128-'Forecast Expenses Database'!D128</f>
        <v>0</v>
      </c>
    </row>
    <row r="129" spans="1:4" x14ac:dyDescent="0.2">
      <c r="A129" s="20" t="s">
        <v>42</v>
      </c>
      <c r="B129" s="20" t="s">
        <v>22</v>
      </c>
      <c r="C129" s="20" t="s">
        <v>10</v>
      </c>
      <c r="D129" s="20">
        <f>+'Actuals Expenses Database'!D129-'Forecast Expenses Database'!D129</f>
        <v>0</v>
      </c>
    </row>
    <row r="130" spans="1:4" x14ac:dyDescent="0.2">
      <c r="A130" s="20" t="s">
        <v>42</v>
      </c>
      <c r="B130" s="20" t="s">
        <v>22</v>
      </c>
      <c r="C130" s="20" t="s">
        <v>11</v>
      </c>
      <c r="D130" s="20">
        <f>+'Actuals Expenses Database'!D130-'Forecast Expenses Database'!D130</f>
        <v>0</v>
      </c>
    </row>
    <row r="131" spans="1:4" x14ac:dyDescent="0.2">
      <c r="A131" s="20" t="s">
        <v>42</v>
      </c>
      <c r="B131" s="20" t="s">
        <v>22</v>
      </c>
      <c r="C131" s="20" t="s">
        <v>12</v>
      </c>
      <c r="D131" s="20">
        <f>+'Actuals Expenses Database'!D131-'Forecast Expenses Database'!D131</f>
        <v>0</v>
      </c>
    </row>
    <row r="132" spans="1:4" x14ac:dyDescent="0.2">
      <c r="A132" s="20" t="s">
        <v>42</v>
      </c>
      <c r="B132" s="20" t="s">
        <v>23</v>
      </c>
      <c r="C132" s="20" t="s">
        <v>0</v>
      </c>
      <c r="D132" s="20">
        <f>+'Actuals Expenses Database'!D132-'Forecast Expenses Database'!D132</f>
        <v>-73.623600565533707</v>
      </c>
    </row>
    <row r="133" spans="1:4" x14ac:dyDescent="0.2">
      <c r="A133" s="20" t="s">
        <v>42</v>
      </c>
      <c r="B133" s="20" t="s">
        <v>23</v>
      </c>
      <c r="C133" s="20" t="s">
        <v>1</v>
      </c>
      <c r="D133" s="20">
        <f>+'Actuals Expenses Database'!D133-'Forecast Expenses Database'!D133</f>
        <v>-151.12588826594259</v>
      </c>
    </row>
    <row r="134" spans="1:4" x14ac:dyDescent="0.2">
      <c r="A134" s="20" t="s">
        <v>42</v>
      </c>
      <c r="B134" s="20" t="s">
        <v>23</v>
      </c>
      <c r="C134" s="20" t="s">
        <v>2</v>
      </c>
      <c r="D134" s="20">
        <f>+'Actuals Expenses Database'!D134-'Forecast Expenses Database'!D134</f>
        <v>144.165831443868</v>
      </c>
    </row>
    <row r="135" spans="1:4" x14ac:dyDescent="0.2">
      <c r="A135" s="20" t="s">
        <v>42</v>
      </c>
      <c r="B135" s="20" t="s">
        <v>23</v>
      </c>
      <c r="C135" s="20" t="s">
        <v>3</v>
      </c>
      <c r="D135" s="20">
        <f>+'Actuals Expenses Database'!D135-'Forecast Expenses Database'!D135</f>
        <v>158.74436326821183</v>
      </c>
    </row>
    <row r="136" spans="1:4" x14ac:dyDescent="0.2">
      <c r="A136" s="20" t="s">
        <v>42</v>
      </c>
      <c r="B136" s="20" t="s">
        <v>23</v>
      </c>
      <c r="C136" s="20" t="s">
        <v>4</v>
      </c>
      <c r="D136" s="20">
        <f>+'Actuals Expenses Database'!D136-'Forecast Expenses Database'!D136</f>
        <v>-10.782902159329979</v>
      </c>
    </row>
    <row r="137" spans="1:4" x14ac:dyDescent="0.2">
      <c r="A137" s="20" t="s">
        <v>42</v>
      </c>
      <c r="B137" s="20" t="s">
        <v>23</v>
      </c>
      <c r="C137" s="20" t="s">
        <v>5</v>
      </c>
      <c r="D137" s="20">
        <f>+'Actuals Expenses Database'!D137-'Forecast Expenses Database'!D137</f>
        <v>133.71863041374729</v>
      </c>
    </row>
    <row r="138" spans="1:4" x14ac:dyDescent="0.2">
      <c r="A138" s="20" t="s">
        <v>42</v>
      </c>
      <c r="B138" s="20" t="s">
        <v>23</v>
      </c>
      <c r="C138" s="20" t="s">
        <v>6</v>
      </c>
      <c r="D138" s="20">
        <f>+'Actuals Expenses Database'!D138-'Forecast Expenses Database'!D138</f>
        <v>129.46241887343592</v>
      </c>
    </row>
    <row r="139" spans="1:4" x14ac:dyDescent="0.2">
      <c r="A139" s="20" t="s">
        <v>42</v>
      </c>
      <c r="B139" s="20" t="s">
        <v>23</v>
      </c>
      <c r="C139" s="20" t="s">
        <v>7</v>
      </c>
      <c r="D139" s="20">
        <f>+'Actuals Expenses Database'!D139-'Forecast Expenses Database'!D139</f>
        <v>66.71146607371179</v>
      </c>
    </row>
    <row r="140" spans="1:4" x14ac:dyDescent="0.2">
      <c r="A140" s="20" t="s">
        <v>42</v>
      </c>
      <c r="B140" s="20" t="s">
        <v>23</v>
      </c>
      <c r="C140" s="20" t="s">
        <v>8</v>
      </c>
      <c r="D140" s="20">
        <f>+'Actuals Expenses Database'!D140-'Forecast Expenses Database'!D140</f>
        <v>135.67306071726398</v>
      </c>
    </row>
    <row r="141" spans="1:4" x14ac:dyDescent="0.2">
      <c r="A141" s="20" t="s">
        <v>42</v>
      </c>
      <c r="B141" s="20" t="s">
        <v>23</v>
      </c>
      <c r="C141" s="20" t="s">
        <v>9</v>
      </c>
      <c r="D141" s="20">
        <f>+'Actuals Expenses Database'!D141-'Forecast Expenses Database'!D141</f>
        <v>51.340366289342455</v>
      </c>
    </row>
    <row r="142" spans="1:4" x14ac:dyDescent="0.2">
      <c r="A142" s="20" t="s">
        <v>42</v>
      </c>
      <c r="B142" s="20" t="s">
        <v>23</v>
      </c>
      <c r="C142" s="20" t="s">
        <v>10</v>
      </c>
      <c r="D142" s="20">
        <f>+'Actuals Expenses Database'!D142-'Forecast Expenses Database'!D142</f>
        <v>100.30651576774267</v>
      </c>
    </row>
    <row r="143" spans="1:4" x14ac:dyDescent="0.2">
      <c r="A143" s="20" t="s">
        <v>42</v>
      </c>
      <c r="B143" s="20" t="s">
        <v>23</v>
      </c>
      <c r="C143" s="20" t="s">
        <v>11</v>
      </c>
      <c r="D143" s="20">
        <f>+'Actuals Expenses Database'!D143-'Forecast Expenses Database'!D143</f>
        <v>242.12127357705424</v>
      </c>
    </row>
    <row r="144" spans="1:4" x14ac:dyDescent="0.2">
      <c r="A144" s="20" t="s">
        <v>42</v>
      </c>
      <c r="B144" s="20" t="s">
        <v>23</v>
      </c>
      <c r="C144" s="20" t="s">
        <v>12</v>
      </c>
      <c r="D144" s="20">
        <f>+'Actuals Expenses Database'!D144-'Forecast Expenses Database'!D144</f>
        <v>926.71153543357104</v>
      </c>
    </row>
    <row r="145" spans="1:4" x14ac:dyDescent="0.2">
      <c r="A145" s="20" t="s">
        <v>42</v>
      </c>
      <c r="B145" s="20" t="s">
        <v>15</v>
      </c>
      <c r="C145" s="20" t="s">
        <v>0</v>
      </c>
      <c r="D145" s="20">
        <f>+'Actuals Expenses Database'!D145-'Forecast Expenses Database'!D145</f>
        <v>185.76307609835567</v>
      </c>
    </row>
    <row r="146" spans="1:4" x14ac:dyDescent="0.2">
      <c r="A146" s="20" t="s">
        <v>42</v>
      </c>
      <c r="B146" s="20" t="s">
        <v>15</v>
      </c>
      <c r="C146" s="20" t="s">
        <v>1</v>
      </c>
      <c r="D146" s="20">
        <f>+'Actuals Expenses Database'!D146-'Forecast Expenses Database'!D146</f>
        <v>-69.234064013659008</v>
      </c>
    </row>
    <row r="147" spans="1:4" x14ac:dyDescent="0.2">
      <c r="A147" s="20" t="s">
        <v>42</v>
      </c>
      <c r="B147" s="20" t="s">
        <v>15</v>
      </c>
      <c r="C147" s="20" t="s">
        <v>2</v>
      </c>
      <c r="D147" s="20">
        <f>+'Actuals Expenses Database'!D147-'Forecast Expenses Database'!D147</f>
        <v>497.74192309137834</v>
      </c>
    </row>
    <row r="148" spans="1:4" x14ac:dyDescent="0.2">
      <c r="A148" s="20" t="s">
        <v>42</v>
      </c>
      <c r="B148" s="20" t="s">
        <v>15</v>
      </c>
      <c r="C148" s="20" t="s">
        <v>3</v>
      </c>
      <c r="D148" s="20">
        <f>+'Actuals Expenses Database'!D148-'Forecast Expenses Database'!D148</f>
        <v>-188.81275764642305</v>
      </c>
    </row>
    <row r="149" spans="1:4" x14ac:dyDescent="0.2">
      <c r="A149" s="20" t="s">
        <v>42</v>
      </c>
      <c r="B149" s="20" t="s">
        <v>15</v>
      </c>
      <c r="C149" s="20" t="s">
        <v>4</v>
      </c>
      <c r="D149" s="20">
        <f>+'Actuals Expenses Database'!D149-'Forecast Expenses Database'!D149</f>
        <v>-156.50739269233782</v>
      </c>
    </row>
    <row r="150" spans="1:4" x14ac:dyDescent="0.2">
      <c r="A150" s="20" t="s">
        <v>42</v>
      </c>
      <c r="B150" s="20" t="s">
        <v>15</v>
      </c>
      <c r="C150" s="20" t="s">
        <v>5</v>
      </c>
      <c r="D150" s="20">
        <f>+'Actuals Expenses Database'!D150-'Forecast Expenses Database'!D150</f>
        <v>2.4224695678349235</v>
      </c>
    </row>
    <row r="151" spans="1:4" x14ac:dyDescent="0.2">
      <c r="A151" s="20" t="s">
        <v>42</v>
      </c>
      <c r="B151" s="20" t="s">
        <v>15</v>
      </c>
      <c r="C151" s="20" t="s">
        <v>6</v>
      </c>
      <c r="D151" s="20">
        <f>+'Actuals Expenses Database'!D151-'Forecast Expenses Database'!D151</f>
        <v>191.04907367895066</v>
      </c>
    </row>
    <row r="152" spans="1:4" x14ac:dyDescent="0.2">
      <c r="A152" s="20" t="s">
        <v>42</v>
      </c>
      <c r="B152" s="20" t="s">
        <v>15</v>
      </c>
      <c r="C152" s="20" t="s">
        <v>7</v>
      </c>
      <c r="D152" s="20">
        <f>+'Actuals Expenses Database'!D152-'Forecast Expenses Database'!D152</f>
        <v>-22.560978022009294</v>
      </c>
    </row>
    <row r="153" spans="1:4" x14ac:dyDescent="0.2">
      <c r="A153" s="20" t="s">
        <v>42</v>
      </c>
      <c r="B153" s="20" t="s">
        <v>15</v>
      </c>
      <c r="C153" s="20" t="s">
        <v>8</v>
      </c>
      <c r="D153" s="20">
        <f>+'Actuals Expenses Database'!D153-'Forecast Expenses Database'!D153</f>
        <v>184.27010771492132</v>
      </c>
    </row>
    <row r="154" spans="1:4" x14ac:dyDescent="0.2">
      <c r="A154" s="20" t="s">
        <v>42</v>
      </c>
      <c r="B154" s="20" t="s">
        <v>15</v>
      </c>
      <c r="C154" s="20" t="s">
        <v>9</v>
      </c>
      <c r="D154" s="20">
        <f>+'Actuals Expenses Database'!D154-'Forecast Expenses Database'!D154</f>
        <v>235.50221111417704</v>
      </c>
    </row>
    <row r="155" spans="1:4" x14ac:dyDescent="0.2">
      <c r="A155" s="20" t="s">
        <v>42</v>
      </c>
      <c r="B155" s="20" t="s">
        <v>15</v>
      </c>
      <c r="C155" s="20" t="s">
        <v>10</v>
      </c>
      <c r="D155" s="20">
        <f>+'Actuals Expenses Database'!D155-'Forecast Expenses Database'!D155</f>
        <v>169.26193683985184</v>
      </c>
    </row>
    <row r="156" spans="1:4" x14ac:dyDescent="0.2">
      <c r="A156" s="20" t="s">
        <v>42</v>
      </c>
      <c r="B156" s="20" t="s">
        <v>15</v>
      </c>
      <c r="C156" s="20" t="s">
        <v>11</v>
      </c>
      <c r="D156" s="20">
        <f>+'Actuals Expenses Database'!D156-'Forecast Expenses Database'!D156</f>
        <v>580.48450649080951</v>
      </c>
    </row>
    <row r="157" spans="1:4" x14ac:dyDescent="0.2">
      <c r="A157" s="20" t="s">
        <v>42</v>
      </c>
      <c r="B157" s="20" t="s">
        <v>15</v>
      </c>
      <c r="C157" s="20" t="s">
        <v>12</v>
      </c>
      <c r="D157" s="20">
        <f>+'Actuals Expenses Database'!D157-'Forecast Expenses Database'!D157</f>
        <v>1609.380112221872</v>
      </c>
    </row>
    <row r="158" spans="1:4" x14ac:dyDescent="0.2">
      <c r="A158" s="20" t="s">
        <v>44</v>
      </c>
      <c r="B158" s="20" t="s">
        <v>30</v>
      </c>
      <c r="C158" s="20" t="s">
        <v>0</v>
      </c>
      <c r="D158" s="20">
        <f>+'Actuals Expenses Database'!D158-'Forecast Expenses Database'!D158</f>
        <v>314.75840024750596</v>
      </c>
    </row>
    <row r="159" spans="1:4" x14ac:dyDescent="0.2">
      <c r="A159" s="20" t="s">
        <v>44</v>
      </c>
      <c r="B159" s="20" t="s">
        <v>30</v>
      </c>
      <c r="C159" s="20" t="s">
        <v>1</v>
      </c>
      <c r="D159" s="20">
        <f>+'Actuals Expenses Database'!D159-'Forecast Expenses Database'!D159</f>
        <v>-365.87596236208037</v>
      </c>
    </row>
    <row r="160" spans="1:4" x14ac:dyDescent="0.2">
      <c r="A160" s="20" t="s">
        <v>44</v>
      </c>
      <c r="B160" s="20" t="s">
        <v>30</v>
      </c>
      <c r="C160" s="20" t="s">
        <v>2</v>
      </c>
      <c r="D160" s="20">
        <f>+'Actuals Expenses Database'!D160-'Forecast Expenses Database'!D160</f>
        <v>-60.003416630986749</v>
      </c>
    </row>
    <row r="161" spans="1:4" x14ac:dyDescent="0.2">
      <c r="A161" s="20" t="s">
        <v>44</v>
      </c>
      <c r="B161" s="20" t="s">
        <v>30</v>
      </c>
      <c r="C161" s="20" t="s">
        <v>3</v>
      </c>
      <c r="D161" s="20">
        <f>+'Actuals Expenses Database'!D161-'Forecast Expenses Database'!D161</f>
        <v>-212.29315965136811</v>
      </c>
    </row>
    <row r="162" spans="1:4" x14ac:dyDescent="0.2">
      <c r="A162" s="20" t="s">
        <v>44</v>
      </c>
      <c r="B162" s="20" t="s">
        <v>30</v>
      </c>
      <c r="C162" s="20" t="s">
        <v>4</v>
      </c>
      <c r="D162" s="20">
        <f>+'Actuals Expenses Database'!D162-'Forecast Expenses Database'!D162</f>
        <v>81.385892323389271</v>
      </c>
    </row>
    <row r="163" spans="1:4" x14ac:dyDescent="0.2">
      <c r="A163" s="20" t="s">
        <v>44</v>
      </c>
      <c r="B163" s="20" t="s">
        <v>30</v>
      </c>
      <c r="C163" s="20" t="s">
        <v>5</v>
      </c>
      <c r="D163" s="20">
        <f>+'Actuals Expenses Database'!D163-'Forecast Expenses Database'!D163</f>
        <v>62.602502454999467</v>
      </c>
    </row>
    <row r="164" spans="1:4" x14ac:dyDescent="0.2">
      <c r="A164" s="20" t="s">
        <v>44</v>
      </c>
      <c r="B164" s="20" t="s">
        <v>30</v>
      </c>
      <c r="C164" s="20" t="s">
        <v>6</v>
      </c>
      <c r="D164" s="20">
        <f>+'Actuals Expenses Database'!D164-'Forecast Expenses Database'!D164</f>
        <v>64.795504401993639</v>
      </c>
    </row>
    <row r="165" spans="1:4" x14ac:dyDescent="0.2">
      <c r="A165" s="20" t="s">
        <v>44</v>
      </c>
      <c r="B165" s="20" t="s">
        <v>30</v>
      </c>
      <c r="C165" s="20" t="s">
        <v>7</v>
      </c>
      <c r="D165" s="20">
        <f>+'Actuals Expenses Database'!D165-'Forecast Expenses Database'!D165</f>
        <v>288.70188730887821</v>
      </c>
    </row>
    <row r="166" spans="1:4" x14ac:dyDescent="0.2">
      <c r="A166" s="20" t="s">
        <v>44</v>
      </c>
      <c r="B166" s="20" t="s">
        <v>30</v>
      </c>
      <c r="C166" s="20" t="s">
        <v>8</v>
      </c>
      <c r="D166" s="20">
        <f>+'Actuals Expenses Database'!D166-'Forecast Expenses Database'!D166</f>
        <v>-210.87745580768024</v>
      </c>
    </row>
    <row r="167" spans="1:4" x14ac:dyDescent="0.2">
      <c r="A167" s="20" t="s">
        <v>44</v>
      </c>
      <c r="B167" s="20" t="s">
        <v>30</v>
      </c>
      <c r="C167" s="20" t="s">
        <v>9</v>
      </c>
      <c r="D167" s="20">
        <f>+'Actuals Expenses Database'!D167-'Forecast Expenses Database'!D167</f>
        <v>-364.0768277206962</v>
      </c>
    </row>
    <row r="168" spans="1:4" x14ac:dyDescent="0.2">
      <c r="A168" s="20" t="s">
        <v>44</v>
      </c>
      <c r="B168" s="20" t="s">
        <v>30</v>
      </c>
      <c r="C168" s="20" t="s">
        <v>10</v>
      </c>
      <c r="D168" s="20">
        <f>+'Actuals Expenses Database'!D168-'Forecast Expenses Database'!D168</f>
        <v>-88.853891985593691</v>
      </c>
    </row>
    <row r="169" spans="1:4" x14ac:dyDescent="0.2">
      <c r="A169" s="20" t="s">
        <v>44</v>
      </c>
      <c r="B169" s="20" t="s">
        <v>30</v>
      </c>
      <c r="C169" s="20" t="s">
        <v>11</v>
      </c>
      <c r="D169" s="20">
        <f>+'Actuals Expenses Database'!D169-'Forecast Expenses Database'!D169</f>
        <v>-17.719739893254655</v>
      </c>
    </row>
    <row r="170" spans="1:4" x14ac:dyDescent="0.2">
      <c r="A170" s="20" t="s">
        <v>44</v>
      </c>
      <c r="B170" s="20" t="s">
        <v>30</v>
      </c>
      <c r="C170" s="20" t="s">
        <v>12</v>
      </c>
      <c r="D170" s="20">
        <f>+'Actuals Expenses Database'!D170-'Forecast Expenses Database'!D170</f>
        <v>-507.45626731489028</v>
      </c>
    </row>
    <row r="171" spans="1:4" x14ac:dyDescent="0.2">
      <c r="A171" s="20" t="s">
        <v>44</v>
      </c>
      <c r="B171" s="20" t="s">
        <v>31</v>
      </c>
      <c r="C171" s="20" t="s">
        <v>0</v>
      </c>
      <c r="D171" s="20">
        <f>+'Actuals Expenses Database'!D171-'Forecast Expenses Database'!D171</f>
        <v>-1526.3917319029772</v>
      </c>
    </row>
    <row r="172" spans="1:4" x14ac:dyDescent="0.2">
      <c r="A172" s="20" t="s">
        <v>44</v>
      </c>
      <c r="B172" s="20" t="s">
        <v>31</v>
      </c>
      <c r="C172" s="20" t="s">
        <v>1</v>
      </c>
      <c r="D172" s="20">
        <f>+'Actuals Expenses Database'!D172-'Forecast Expenses Database'!D172</f>
        <v>-1696.4426915331601</v>
      </c>
    </row>
    <row r="173" spans="1:4" x14ac:dyDescent="0.2">
      <c r="A173" s="20" t="s">
        <v>44</v>
      </c>
      <c r="B173" s="20" t="s">
        <v>31</v>
      </c>
      <c r="C173" s="20" t="s">
        <v>2</v>
      </c>
      <c r="D173" s="20">
        <f>+'Actuals Expenses Database'!D173-'Forecast Expenses Database'!D173</f>
        <v>-2073.0580475273246</v>
      </c>
    </row>
    <row r="174" spans="1:4" x14ac:dyDescent="0.2">
      <c r="A174" s="20" t="s">
        <v>44</v>
      </c>
      <c r="B174" s="20" t="s">
        <v>31</v>
      </c>
      <c r="C174" s="20" t="s">
        <v>3</v>
      </c>
      <c r="D174" s="20">
        <f>+'Actuals Expenses Database'!D174-'Forecast Expenses Database'!D174</f>
        <v>-2300.0695894314508</v>
      </c>
    </row>
    <row r="175" spans="1:4" x14ac:dyDescent="0.2">
      <c r="A175" s="20" t="s">
        <v>44</v>
      </c>
      <c r="B175" s="20" t="s">
        <v>31</v>
      </c>
      <c r="C175" s="20" t="s">
        <v>4</v>
      </c>
      <c r="D175" s="20">
        <f>+'Actuals Expenses Database'!D175-'Forecast Expenses Database'!D175</f>
        <v>-1862.2670439400988</v>
      </c>
    </row>
    <row r="176" spans="1:4" x14ac:dyDescent="0.2">
      <c r="A176" s="20" t="s">
        <v>44</v>
      </c>
      <c r="B176" s="20" t="s">
        <v>31</v>
      </c>
      <c r="C176" s="20" t="s">
        <v>5</v>
      </c>
      <c r="D176" s="20">
        <f>+'Actuals Expenses Database'!D176-'Forecast Expenses Database'!D176</f>
        <v>-2113.9546131729185</v>
      </c>
    </row>
    <row r="177" spans="1:4" x14ac:dyDescent="0.2">
      <c r="A177" s="20" t="s">
        <v>44</v>
      </c>
      <c r="B177" s="20" t="s">
        <v>31</v>
      </c>
      <c r="C177" s="20" t="s">
        <v>6</v>
      </c>
      <c r="D177" s="20">
        <f>+'Actuals Expenses Database'!D177-'Forecast Expenses Database'!D177</f>
        <v>-2330.202220091764</v>
      </c>
    </row>
    <row r="178" spans="1:4" x14ac:dyDescent="0.2">
      <c r="A178" s="20" t="s">
        <v>44</v>
      </c>
      <c r="B178" s="20" t="s">
        <v>31</v>
      </c>
      <c r="C178" s="20" t="s">
        <v>7</v>
      </c>
      <c r="D178" s="20">
        <f>+'Actuals Expenses Database'!D178-'Forecast Expenses Database'!D178</f>
        <v>-1921.7591861921649</v>
      </c>
    </row>
    <row r="179" spans="1:4" x14ac:dyDescent="0.2">
      <c r="A179" s="20" t="s">
        <v>44</v>
      </c>
      <c r="B179" s="20" t="s">
        <v>31</v>
      </c>
      <c r="C179" s="20" t="s">
        <v>8</v>
      </c>
      <c r="D179" s="20">
        <f>+'Actuals Expenses Database'!D179-'Forecast Expenses Database'!D179</f>
        <v>-1808.8964708527469</v>
      </c>
    </row>
    <row r="180" spans="1:4" x14ac:dyDescent="0.2">
      <c r="A180" s="20" t="s">
        <v>44</v>
      </c>
      <c r="B180" s="20" t="s">
        <v>31</v>
      </c>
      <c r="C180" s="20" t="s">
        <v>9</v>
      </c>
      <c r="D180" s="20">
        <f>+'Actuals Expenses Database'!D180-'Forecast Expenses Database'!D180</f>
        <v>-2176.3532222074268</v>
      </c>
    </row>
    <row r="181" spans="1:4" x14ac:dyDescent="0.2">
      <c r="A181" s="20" t="s">
        <v>44</v>
      </c>
      <c r="B181" s="20" t="s">
        <v>31</v>
      </c>
      <c r="C181" s="20" t="s">
        <v>10</v>
      </c>
      <c r="D181" s="20">
        <f>+'Actuals Expenses Database'!D181-'Forecast Expenses Database'!D181</f>
        <v>-2174.4585625461264</v>
      </c>
    </row>
    <row r="182" spans="1:4" x14ac:dyDescent="0.2">
      <c r="A182" s="20" t="s">
        <v>44</v>
      </c>
      <c r="B182" s="20" t="s">
        <v>31</v>
      </c>
      <c r="C182" s="20" t="s">
        <v>11</v>
      </c>
      <c r="D182" s="20">
        <f>+'Actuals Expenses Database'!D182-'Forecast Expenses Database'!D182</f>
        <v>-1988.8055936837791</v>
      </c>
    </row>
    <row r="183" spans="1:4" x14ac:dyDescent="0.2">
      <c r="A183" s="20" t="s">
        <v>44</v>
      </c>
      <c r="B183" s="20" t="s">
        <v>31</v>
      </c>
      <c r="C183" s="20" t="s">
        <v>12</v>
      </c>
      <c r="D183" s="20">
        <f>+'Actuals Expenses Database'!D183-'Forecast Expenses Database'!D183</f>
        <v>-23972.65897308194</v>
      </c>
    </row>
    <row r="184" spans="1:4" x14ac:dyDescent="0.2">
      <c r="A184" s="20" t="s">
        <v>44</v>
      </c>
      <c r="B184" s="20" t="s">
        <v>15</v>
      </c>
      <c r="C184" s="20" t="s">
        <v>0</v>
      </c>
      <c r="D184" s="20">
        <f>+'Actuals Expenses Database'!D184-'Forecast Expenses Database'!D184</f>
        <v>-1211.6333316554715</v>
      </c>
    </row>
    <row r="185" spans="1:4" x14ac:dyDescent="0.2">
      <c r="A185" s="20" t="s">
        <v>44</v>
      </c>
      <c r="B185" s="20" t="s">
        <v>15</v>
      </c>
      <c r="C185" s="20" t="s">
        <v>1</v>
      </c>
      <c r="D185" s="20">
        <f>+'Actuals Expenses Database'!D185-'Forecast Expenses Database'!D185</f>
        <v>-2062.3186538952405</v>
      </c>
    </row>
    <row r="186" spans="1:4" x14ac:dyDescent="0.2">
      <c r="A186" s="20" t="s">
        <v>44</v>
      </c>
      <c r="B186" s="20" t="s">
        <v>15</v>
      </c>
      <c r="C186" s="20" t="s">
        <v>2</v>
      </c>
      <c r="D186" s="20">
        <f>+'Actuals Expenses Database'!D186-'Forecast Expenses Database'!D186</f>
        <v>-2133.0614641583115</v>
      </c>
    </row>
    <row r="187" spans="1:4" x14ac:dyDescent="0.2">
      <c r="A187" s="20" t="s">
        <v>44</v>
      </c>
      <c r="B187" s="20" t="s">
        <v>15</v>
      </c>
      <c r="C187" s="20" t="s">
        <v>3</v>
      </c>
      <c r="D187" s="20">
        <f>+'Actuals Expenses Database'!D187-'Forecast Expenses Database'!D187</f>
        <v>-2512.3627490828189</v>
      </c>
    </row>
    <row r="188" spans="1:4" x14ac:dyDescent="0.2">
      <c r="A188" s="20" t="s">
        <v>44</v>
      </c>
      <c r="B188" s="20" t="s">
        <v>15</v>
      </c>
      <c r="C188" s="20" t="s">
        <v>4</v>
      </c>
      <c r="D188" s="20">
        <f>+'Actuals Expenses Database'!D188-'Forecast Expenses Database'!D188</f>
        <v>-1780.8811516167093</v>
      </c>
    </row>
    <row r="189" spans="1:4" x14ac:dyDescent="0.2">
      <c r="A189" s="20" t="s">
        <v>44</v>
      </c>
      <c r="B189" s="20" t="s">
        <v>15</v>
      </c>
      <c r="C189" s="20" t="s">
        <v>5</v>
      </c>
      <c r="D189" s="20">
        <f>+'Actuals Expenses Database'!D189-'Forecast Expenses Database'!D189</f>
        <v>-2051.352110717919</v>
      </c>
    </row>
    <row r="190" spans="1:4" x14ac:dyDescent="0.2">
      <c r="A190" s="20" t="s">
        <v>44</v>
      </c>
      <c r="B190" s="20" t="s">
        <v>15</v>
      </c>
      <c r="C190" s="20" t="s">
        <v>6</v>
      </c>
      <c r="D190" s="20">
        <f>+'Actuals Expenses Database'!D190-'Forecast Expenses Database'!D190</f>
        <v>-2265.4067156897704</v>
      </c>
    </row>
    <row r="191" spans="1:4" x14ac:dyDescent="0.2">
      <c r="A191" s="20" t="s">
        <v>44</v>
      </c>
      <c r="B191" s="20" t="s">
        <v>15</v>
      </c>
      <c r="C191" s="20" t="s">
        <v>7</v>
      </c>
      <c r="D191" s="20">
        <f>+'Actuals Expenses Database'!D191-'Forecast Expenses Database'!D191</f>
        <v>-1633.0572988832869</v>
      </c>
    </row>
    <row r="192" spans="1:4" x14ac:dyDescent="0.2">
      <c r="A192" s="20" t="s">
        <v>44</v>
      </c>
      <c r="B192" s="20" t="s">
        <v>15</v>
      </c>
      <c r="C192" s="20" t="s">
        <v>8</v>
      </c>
      <c r="D192" s="20">
        <f>+'Actuals Expenses Database'!D192-'Forecast Expenses Database'!D192</f>
        <v>-2019.7739266604272</v>
      </c>
    </row>
    <row r="193" spans="1:4" x14ac:dyDescent="0.2">
      <c r="A193" s="20" t="s">
        <v>44</v>
      </c>
      <c r="B193" s="20" t="s">
        <v>15</v>
      </c>
      <c r="C193" s="20" t="s">
        <v>9</v>
      </c>
      <c r="D193" s="20">
        <f>+'Actuals Expenses Database'!D193-'Forecast Expenses Database'!D193</f>
        <v>-2540.4300499281226</v>
      </c>
    </row>
    <row r="194" spans="1:4" x14ac:dyDescent="0.2">
      <c r="A194" s="20" t="s">
        <v>44</v>
      </c>
      <c r="B194" s="20" t="s">
        <v>15</v>
      </c>
      <c r="C194" s="20" t="s">
        <v>10</v>
      </c>
      <c r="D194" s="20">
        <f>+'Actuals Expenses Database'!D194-'Forecast Expenses Database'!D194</f>
        <v>-2263.3124545317196</v>
      </c>
    </row>
    <row r="195" spans="1:4" x14ac:dyDescent="0.2">
      <c r="A195" s="20" t="s">
        <v>44</v>
      </c>
      <c r="B195" s="20" t="s">
        <v>15</v>
      </c>
      <c r="C195" s="20" t="s">
        <v>11</v>
      </c>
      <c r="D195" s="20">
        <f>+'Actuals Expenses Database'!D195-'Forecast Expenses Database'!D195</f>
        <v>-2006.5253335770337</v>
      </c>
    </row>
    <row r="196" spans="1:4" x14ac:dyDescent="0.2">
      <c r="A196" s="20" t="s">
        <v>44</v>
      </c>
      <c r="B196" s="20" t="s">
        <v>15</v>
      </c>
      <c r="C196" s="20" t="s">
        <v>12</v>
      </c>
      <c r="D196" s="20">
        <f>+'Actuals Expenses Database'!D196-'Forecast Expenses Database'!D196</f>
        <v>-24480.11524039683</v>
      </c>
    </row>
    <row r="197" spans="1:4" x14ac:dyDescent="0.2">
      <c r="A197" s="20" t="s">
        <v>54</v>
      </c>
      <c r="B197" s="20" t="s">
        <v>15</v>
      </c>
      <c r="C197" s="20" t="s">
        <v>0</v>
      </c>
      <c r="D197" s="20">
        <f>+'Actuals Expenses Database'!D197-'Forecast Expenses Database'!D197</f>
        <v>-1662.3787883076293</v>
      </c>
    </row>
    <row r="198" spans="1:4" x14ac:dyDescent="0.2">
      <c r="A198" s="20" t="s">
        <v>54</v>
      </c>
      <c r="B198" s="20" t="s">
        <v>15</v>
      </c>
      <c r="C198" s="20" t="s">
        <v>1</v>
      </c>
      <c r="D198" s="20">
        <f>+'Actuals Expenses Database'!D198-'Forecast Expenses Database'!D198</f>
        <v>-1998.3396441996447</v>
      </c>
    </row>
    <row r="199" spans="1:4" x14ac:dyDescent="0.2">
      <c r="A199" s="20" t="s">
        <v>54</v>
      </c>
      <c r="B199" s="20" t="s">
        <v>15</v>
      </c>
      <c r="C199" s="20" t="s">
        <v>2</v>
      </c>
      <c r="D199" s="20">
        <f>+'Actuals Expenses Database'!D199-'Forecast Expenses Database'!D199</f>
        <v>-1470.2450831298192</v>
      </c>
    </row>
    <row r="200" spans="1:4" x14ac:dyDescent="0.2">
      <c r="A200" s="20" t="s">
        <v>54</v>
      </c>
      <c r="B200" s="20" t="s">
        <v>15</v>
      </c>
      <c r="C200" s="20" t="s">
        <v>3</v>
      </c>
      <c r="D200" s="20">
        <f>+'Actuals Expenses Database'!D200-'Forecast Expenses Database'!D200</f>
        <v>-2651.5210943295242</v>
      </c>
    </row>
    <row r="201" spans="1:4" x14ac:dyDescent="0.2">
      <c r="A201" s="20" t="s">
        <v>54</v>
      </c>
      <c r="B201" s="20" t="s">
        <v>15</v>
      </c>
      <c r="C201" s="20" t="s">
        <v>4</v>
      </c>
      <c r="D201" s="20">
        <f>+'Actuals Expenses Database'!D201-'Forecast Expenses Database'!D201</f>
        <v>-2286.3921678923507</v>
      </c>
    </row>
    <row r="202" spans="1:4" x14ac:dyDescent="0.2">
      <c r="A202" s="20" t="s">
        <v>54</v>
      </c>
      <c r="B202" s="20" t="s">
        <v>15</v>
      </c>
      <c r="C202" s="20" t="s">
        <v>5</v>
      </c>
      <c r="D202" s="20">
        <f>+'Actuals Expenses Database'!D202-'Forecast Expenses Database'!D202</f>
        <v>-2438.6635718157486</v>
      </c>
    </row>
    <row r="203" spans="1:4" x14ac:dyDescent="0.2">
      <c r="A203" s="20" t="s">
        <v>54</v>
      </c>
      <c r="B203" s="20" t="s">
        <v>15</v>
      </c>
      <c r="C203" s="20" t="s">
        <v>6</v>
      </c>
      <c r="D203" s="20">
        <f>+'Actuals Expenses Database'!D203-'Forecast Expenses Database'!D203</f>
        <v>-2194.6402780733042</v>
      </c>
    </row>
    <row r="204" spans="1:4" x14ac:dyDescent="0.2">
      <c r="A204" s="20" t="s">
        <v>54</v>
      </c>
      <c r="B204" s="20" t="s">
        <v>15</v>
      </c>
      <c r="C204" s="20" t="s">
        <v>7</v>
      </c>
      <c r="D204" s="20">
        <f>+'Actuals Expenses Database'!D204-'Forecast Expenses Database'!D204</f>
        <v>-1658.936857820896</v>
      </c>
    </row>
    <row r="205" spans="1:4" x14ac:dyDescent="0.2">
      <c r="A205" s="20" t="s">
        <v>54</v>
      </c>
      <c r="B205" s="20" t="s">
        <v>15</v>
      </c>
      <c r="C205" s="20" t="s">
        <v>8</v>
      </c>
      <c r="D205" s="20">
        <f>+'Actuals Expenses Database'!D205-'Forecast Expenses Database'!D205</f>
        <v>-1401.3260073322162</v>
      </c>
    </row>
    <row r="206" spans="1:4" x14ac:dyDescent="0.2">
      <c r="A206" s="20" t="s">
        <v>54</v>
      </c>
      <c r="B206" s="20" t="s">
        <v>15</v>
      </c>
      <c r="C206" s="20" t="s">
        <v>9</v>
      </c>
      <c r="D206" s="20">
        <f>+'Actuals Expenses Database'!D206-'Forecast Expenses Database'!D206</f>
        <v>-2297.6496555925696</v>
      </c>
    </row>
    <row r="207" spans="1:4" x14ac:dyDescent="0.2">
      <c r="A207" s="20" t="s">
        <v>54</v>
      </c>
      <c r="B207" s="20" t="s">
        <v>15</v>
      </c>
      <c r="C207" s="20" t="s">
        <v>10</v>
      </c>
      <c r="D207" s="20">
        <f>+'Actuals Expenses Database'!D207-'Forecast Expenses Database'!D207</f>
        <v>-2187.618468256609</v>
      </c>
    </row>
    <row r="208" spans="1:4" x14ac:dyDescent="0.2">
      <c r="A208" s="20" t="s">
        <v>54</v>
      </c>
      <c r="B208" s="20" t="s">
        <v>15</v>
      </c>
      <c r="C208" s="20" t="s">
        <v>11</v>
      </c>
      <c r="D208" s="20">
        <f>+'Actuals Expenses Database'!D208-'Forecast Expenses Database'!D208</f>
        <v>-1341.4716688564222</v>
      </c>
    </row>
    <row r="209" spans="1:4" x14ac:dyDescent="0.2">
      <c r="A209" s="20" t="s">
        <v>54</v>
      </c>
      <c r="B209" s="20" t="s">
        <v>15</v>
      </c>
      <c r="C209" s="20" t="s">
        <v>12</v>
      </c>
      <c r="D209" s="20">
        <f>+'Actuals Expenses Database'!D209-'Forecast Expenses Database'!D209</f>
        <v>-23589.183285606792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4"/>
    <pageSetUpPr autoPageBreaks="0" fitToPage="1"/>
  </sheetPr>
  <dimension ref="A1:P39"/>
  <sheetViews>
    <sheetView showGridLines="0" topLeftCell="A5" zoomScaleNormal="100" workbookViewId="0">
      <selection activeCell="C14" sqref="C14"/>
    </sheetView>
  </sheetViews>
  <sheetFormatPr baseColWidth="10" defaultColWidth="8.83203125" defaultRowHeight="21" customHeight="1" x14ac:dyDescent="0.25"/>
  <cols>
    <col min="1" max="1" width="4" style="3" customWidth="1"/>
    <col min="2" max="2" width="36.6640625" style="36" customWidth="1"/>
    <col min="3" max="15" width="14.33203125" style="36" customWidth="1"/>
    <col min="16" max="16" width="4" style="3" customWidth="1"/>
    <col min="17" max="16384" width="8.83203125" style="36"/>
  </cols>
  <sheetData>
    <row r="1" spans="1:16" s="3" customFormat="1" ht="20" customHeight="1" x14ac:dyDescent="0.25">
      <c r="A1" s="1"/>
      <c r="B1" s="2"/>
      <c r="C1" s="2"/>
      <c r="D1" s="2"/>
      <c r="E1" s="2"/>
      <c r="F1" s="2"/>
      <c r="G1" s="2"/>
      <c r="H1" s="2"/>
      <c r="I1" s="2"/>
      <c r="J1" s="2"/>
      <c r="K1" s="2"/>
      <c r="L1" s="2"/>
      <c r="M1" s="2"/>
      <c r="N1" s="2"/>
      <c r="O1" s="2"/>
      <c r="P1" s="2" t="s">
        <v>32</v>
      </c>
    </row>
    <row r="2" spans="1:16" s="3" customFormat="1" ht="100.25" customHeight="1" x14ac:dyDescent="0.3">
      <c r="A2" s="2"/>
      <c r="B2" s="87" t="str">
        <f>'PLANNED EXPENSES'!B2:D3</f>
        <v>SBO Banking</v>
      </c>
      <c r="C2" s="87"/>
      <c r="D2" s="87"/>
      <c r="E2" s="87"/>
      <c r="F2" s="87"/>
      <c r="G2" s="5"/>
      <c r="H2" s="5"/>
      <c r="I2" s="5"/>
      <c r="J2" s="5"/>
      <c r="K2" s="6"/>
      <c r="L2" s="7"/>
      <c r="M2" s="7"/>
      <c r="N2" s="8"/>
      <c r="O2" s="9" t="str">
        <f>worksheet_title</f>
        <v>Detailed expense estimates</v>
      </c>
      <c r="P2" s="2"/>
    </row>
    <row r="3" spans="1:16" s="3" customFormat="1" ht="20" customHeight="1" x14ac:dyDescent="0.25">
      <c r="A3" s="2"/>
      <c r="B3" s="87"/>
      <c r="C3" s="87"/>
      <c r="D3" s="87"/>
      <c r="E3" s="87"/>
      <c r="F3" s="87"/>
      <c r="G3" s="11"/>
      <c r="H3" s="11"/>
      <c r="I3" s="11"/>
      <c r="J3" s="11"/>
      <c r="K3" s="6"/>
      <c r="L3" s="15"/>
      <c r="M3" s="15"/>
      <c r="N3" s="8"/>
      <c r="O3" s="13" t="s">
        <v>40</v>
      </c>
      <c r="P3" s="2"/>
    </row>
    <row r="4" spans="1:16" s="3" customFormat="1" ht="20" customHeight="1" x14ac:dyDescent="0.25">
      <c r="A4" s="2"/>
      <c r="B4" s="14"/>
      <c r="C4" s="14"/>
      <c r="D4" s="14"/>
      <c r="E4" s="10"/>
      <c r="F4" s="11"/>
      <c r="G4" s="11"/>
      <c r="H4" s="11"/>
      <c r="I4" s="11"/>
      <c r="J4" s="11"/>
      <c r="K4" s="15"/>
      <c r="L4" s="15"/>
      <c r="M4" s="15"/>
      <c r="N4" s="8"/>
      <c r="O4" s="8"/>
      <c r="P4" s="2"/>
    </row>
    <row r="5" spans="1:16" s="35" customFormat="1" ht="50" customHeight="1" x14ac:dyDescent="0.2">
      <c r="A5" s="2"/>
      <c r="B5" s="16" t="s">
        <v>34</v>
      </c>
      <c r="C5" s="17"/>
      <c r="D5" s="17"/>
      <c r="E5" s="18"/>
      <c r="F5" s="17"/>
      <c r="G5" s="17"/>
      <c r="H5" s="17"/>
      <c r="I5" s="18"/>
      <c r="J5" s="17"/>
      <c r="K5" s="17"/>
      <c r="L5" s="17"/>
      <c r="M5" s="17"/>
      <c r="N5" s="18"/>
      <c r="O5" s="17"/>
      <c r="P5" s="34"/>
    </row>
    <row r="6" spans="1:16" s="48" customFormat="1" ht="40.25" customHeight="1" x14ac:dyDescent="0.3">
      <c r="A6" s="44"/>
      <c r="B6" s="21" t="s">
        <v>41</v>
      </c>
      <c r="C6" s="55" t="s">
        <v>0</v>
      </c>
      <c r="D6" s="55" t="s">
        <v>1</v>
      </c>
      <c r="E6" s="56" t="s">
        <v>2</v>
      </c>
      <c r="F6" s="55" t="s">
        <v>3</v>
      </c>
      <c r="G6" s="55" t="s">
        <v>4</v>
      </c>
      <c r="H6" s="55" t="s">
        <v>5</v>
      </c>
      <c r="I6" s="55" t="s">
        <v>6</v>
      </c>
      <c r="J6" s="55" t="s">
        <v>7</v>
      </c>
      <c r="K6" s="55" t="s">
        <v>8</v>
      </c>
      <c r="L6" s="55" t="s">
        <v>9</v>
      </c>
      <c r="M6" s="55" t="s">
        <v>10</v>
      </c>
      <c r="N6" s="55" t="s">
        <v>11</v>
      </c>
      <c r="O6" s="55" t="s">
        <v>12</v>
      </c>
      <c r="P6" s="44"/>
    </row>
    <row r="7" spans="1:16" ht="30" customHeight="1" x14ac:dyDescent="0.25">
      <c r="A7" s="6"/>
      <c r="B7" s="22" t="s">
        <v>13</v>
      </c>
      <c r="C7" s="23">
        <v>85000</v>
      </c>
      <c r="D7" s="23">
        <v>85000</v>
      </c>
      <c r="E7" s="23">
        <v>85000</v>
      </c>
      <c r="F7" s="23">
        <v>88000</v>
      </c>
      <c r="G7" s="23">
        <v>88000</v>
      </c>
      <c r="H7" s="23">
        <v>88000</v>
      </c>
      <c r="I7" s="23"/>
      <c r="J7" s="23"/>
      <c r="K7" s="23"/>
      <c r="L7" s="23"/>
      <c r="M7" s="23"/>
      <c r="N7" s="23"/>
      <c r="O7" s="23">
        <f>SUM(C7:N7)</f>
        <v>519000</v>
      </c>
      <c r="P7" s="6"/>
    </row>
    <row r="8" spans="1:16" ht="30" customHeight="1" x14ac:dyDescent="0.25">
      <c r="A8" s="6"/>
      <c r="B8" s="22" t="s">
        <v>14</v>
      </c>
      <c r="C8" s="23">
        <f>C7*0.27</f>
        <v>22950</v>
      </c>
      <c r="D8" s="23">
        <f t="shared" ref="D8:H8" si="0">D7*0.27</f>
        <v>22950</v>
      </c>
      <c r="E8" s="23">
        <f t="shared" si="0"/>
        <v>22950</v>
      </c>
      <c r="F8" s="23">
        <f t="shared" si="0"/>
        <v>23760</v>
      </c>
      <c r="G8" s="23">
        <f t="shared" si="0"/>
        <v>23760</v>
      </c>
      <c r="H8" s="23">
        <f t="shared" si="0"/>
        <v>23760</v>
      </c>
      <c r="I8" s="23">
        <f t="shared" ref="I8" si="1">I7*0.27</f>
        <v>0</v>
      </c>
      <c r="J8" s="23">
        <f t="shared" ref="J8" si="2">J7*0.27</f>
        <v>0</v>
      </c>
      <c r="K8" s="23">
        <f t="shared" ref="K8" si="3">K7*0.27</f>
        <v>0</v>
      </c>
      <c r="L8" s="23">
        <f t="shared" ref="L8" si="4">L7*0.27</f>
        <v>0</v>
      </c>
      <c r="M8" s="23">
        <f t="shared" ref="M8" si="5">M7*0.27</f>
        <v>0</v>
      </c>
      <c r="N8" s="23">
        <f t="shared" ref="N8" si="6">N7*0.27</f>
        <v>0</v>
      </c>
      <c r="O8" s="23">
        <f>SUM(C8:N8)</f>
        <v>140130</v>
      </c>
      <c r="P8" s="6"/>
    </row>
    <row r="9" spans="1:16" ht="30" customHeight="1" x14ac:dyDescent="0.25">
      <c r="A9" s="6"/>
      <c r="B9" s="22" t="s">
        <v>15</v>
      </c>
      <c r="C9" s="23">
        <f>SUBTOTAL(109,EmployeeActual[Jan])</f>
        <v>107950</v>
      </c>
      <c r="D9" s="23">
        <f>SUBTOTAL(109,EmployeeActual[Feb])</f>
        <v>107950</v>
      </c>
      <c r="E9" s="23">
        <f>SUBTOTAL(109,EmployeeActual[Mar])</f>
        <v>107950</v>
      </c>
      <c r="F9" s="23">
        <f>SUBTOTAL(109,EmployeeActual[Apr])</f>
        <v>111760</v>
      </c>
      <c r="G9" s="23">
        <f>SUBTOTAL(109,EmployeeActual[May])</f>
        <v>111760</v>
      </c>
      <c r="H9" s="23">
        <f>SUBTOTAL(109,EmployeeActual[Jun])</f>
        <v>111760</v>
      </c>
      <c r="I9" s="23">
        <f>SUBTOTAL(109,EmployeeActual[Jul])</f>
        <v>0</v>
      </c>
      <c r="J9" s="23">
        <f>SUBTOTAL(109,EmployeeActual[Aug])</f>
        <v>0</v>
      </c>
      <c r="K9" s="23">
        <f>SUBTOTAL(109,EmployeeActual[Sep])</f>
        <v>0</v>
      </c>
      <c r="L9" s="23">
        <f>SUBTOTAL(109,EmployeeActual[Oct])</f>
        <v>0</v>
      </c>
      <c r="M9" s="23">
        <f>SUBTOTAL(109,EmployeeActual[Nov])</f>
        <v>0</v>
      </c>
      <c r="N9" s="23">
        <f>SUBTOTAL(109,EmployeeActual[Dec])</f>
        <v>0</v>
      </c>
      <c r="O9" s="23">
        <f>SUBTOTAL(109,EmployeeActual[YEAR])</f>
        <v>659130</v>
      </c>
      <c r="P9" s="6"/>
    </row>
    <row r="10" spans="1:16" s="3" customFormat="1" ht="30" customHeight="1" x14ac:dyDescent="0.25">
      <c r="A10" s="6"/>
      <c r="B10" s="26"/>
      <c r="C10" s="26"/>
      <c r="D10" s="26"/>
      <c r="E10" s="26"/>
      <c r="F10" s="26"/>
      <c r="G10" s="26"/>
      <c r="H10" s="26"/>
      <c r="I10" s="26"/>
      <c r="J10" s="26"/>
      <c r="K10" s="26"/>
      <c r="L10" s="26"/>
      <c r="M10" s="26"/>
      <c r="N10" s="26"/>
      <c r="O10" s="26"/>
      <c r="P10" s="6"/>
    </row>
    <row r="11" spans="1:16" s="48" customFormat="1" ht="40.25" customHeight="1" x14ac:dyDescent="0.3">
      <c r="A11" s="44"/>
      <c r="B11" s="21" t="s">
        <v>42</v>
      </c>
      <c r="C11" s="55" t="s">
        <v>0</v>
      </c>
      <c r="D11" s="55" t="s">
        <v>1</v>
      </c>
      <c r="E11" s="56" t="s">
        <v>2</v>
      </c>
      <c r="F11" s="55" t="s">
        <v>3</v>
      </c>
      <c r="G11" s="55" t="s">
        <v>4</v>
      </c>
      <c r="H11" s="55" t="s">
        <v>5</v>
      </c>
      <c r="I11" s="55" t="s">
        <v>6</v>
      </c>
      <c r="J11" s="55" t="s">
        <v>7</v>
      </c>
      <c r="K11" s="55" t="s">
        <v>8</v>
      </c>
      <c r="L11" s="55" t="s">
        <v>9</v>
      </c>
      <c r="M11" s="55" t="s">
        <v>10</v>
      </c>
      <c r="N11" s="55" t="s">
        <v>11</v>
      </c>
      <c r="O11" s="55" t="s">
        <v>12</v>
      </c>
      <c r="P11" s="44"/>
    </row>
    <row r="12" spans="1:16" ht="30" customHeight="1" x14ac:dyDescent="0.25">
      <c r="A12" s="6"/>
      <c r="B12" s="22" t="s">
        <v>16</v>
      </c>
      <c r="C12" s="23">
        <v>9800</v>
      </c>
      <c r="D12" s="23">
        <v>9800</v>
      </c>
      <c r="E12" s="23">
        <v>9800</v>
      </c>
      <c r="F12" s="23">
        <v>9800</v>
      </c>
      <c r="G12" s="23">
        <v>9800</v>
      </c>
      <c r="H12" s="23">
        <v>9800</v>
      </c>
      <c r="I12" s="23"/>
      <c r="J12" s="23"/>
      <c r="K12" s="23"/>
      <c r="L12" s="23"/>
      <c r="M12" s="23"/>
      <c r="N12" s="23"/>
      <c r="O12" s="23">
        <f t="shared" ref="O12:O19" si="7">SUM(C12:N12)</f>
        <v>58800</v>
      </c>
      <c r="P12" s="6"/>
    </row>
    <row r="13" spans="1:16" ht="30" customHeight="1" x14ac:dyDescent="0.25">
      <c r="A13" s="6"/>
      <c r="B13" s="22" t="s">
        <v>17</v>
      </c>
      <c r="C13" s="23">
        <v>4</v>
      </c>
      <c r="D13" s="23">
        <v>430</v>
      </c>
      <c r="E13" s="23">
        <v>385</v>
      </c>
      <c r="F13" s="23">
        <v>230</v>
      </c>
      <c r="G13" s="23">
        <v>87</v>
      </c>
      <c r="H13" s="23">
        <v>88</v>
      </c>
      <c r="I13" s="23"/>
      <c r="J13" s="23"/>
      <c r="K13" s="23"/>
      <c r="L13" s="23"/>
      <c r="M13" s="23"/>
      <c r="N13" s="23"/>
      <c r="O13" s="23">
        <f t="shared" si="7"/>
        <v>1224</v>
      </c>
      <c r="P13" s="6"/>
    </row>
    <row r="14" spans="1:16" ht="30" customHeight="1" x14ac:dyDescent="0.25">
      <c r="A14" s="6"/>
      <c r="B14" s="22" t="s">
        <v>18</v>
      </c>
      <c r="C14" s="23">
        <v>288</v>
      </c>
      <c r="D14" s="23">
        <v>278</v>
      </c>
      <c r="E14" s="23">
        <v>268</v>
      </c>
      <c r="F14" s="23">
        <v>299</v>
      </c>
      <c r="G14" s="23">
        <v>306</v>
      </c>
      <c r="H14" s="23">
        <v>290</v>
      </c>
      <c r="I14" s="23"/>
      <c r="J14" s="23"/>
      <c r="K14" s="23"/>
      <c r="L14" s="23"/>
      <c r="M14" s="23"/>
      <c r="N14" s="23"/>
      <c r="O14" s="23">
        <f t="shared" si="7"/>
        <v>1729</v>
      </c>
      <c r="P14" s="6"/>
    </row>
    <row r="15" spans="1:16" ht="30" customHeight="1" x14ac:dyDescent="0.25">
      <c r="A15" s="6"/>
      <c r="B15" s="22" t="s">
        <v>19</v>
      </c>
      <c r="C15" s="23">
        <v>35</v>
      </c>
      <c r="D15" s="23">
        <v>33</v>
      </c>
      <c r="E15" s="23">
        <v>34</v>
      </c>
      <c r="F15" s="23">
        <v>36</v>
      </c>
      <c r="G15" s="23">
        <v>34</v>
      </c>
      <c r="H15" s="23">
        <v>36</v>
      </c>
      <c r="I15" s="23"/>
      <c r="J15" s="23"/>
      <c r="K15" s="23"/>
      <c r="L15" s="23"/>
      <c r="M15" s="23"/>
      <c r="N15" s="23"/>
      <c r="O15" s="23">
        <f t="shared" si="7"/>
        <v>208</v>
      </c>
      <c r="P15" s="6"/>
    </row>
    <row r="16" spans="1:16" ht="30" customHeight="1" x14ac:dyDescent="0.25">
      <c r="A16" s="6"/>
      <c r="B16" s="22" t="s">
        <v>20</v>
      </c>
      <c r="C16" s="23">
        <v>224</v>
      </c>
      <c r="D16" s="23">
        <v>235</v>
      </c>
      <c r="E16" s="23">
        <v>265</v>
      </c>
      <c r="F16" s="23">
        <v>245</v>
      </c>
      <c r="G16" s="23">
        <v>245</v>
      </c>
      <c r="H16" s="23">
        <v>220</v>
      </c>
      <c r="I16" s="23"/>
      <c r="J16" s="23"/>
      <c r="K16" s="23"/>
      <c r="L16" s="23"/>
      <c r="M16" s="23"/>
      <c r="N16" s="23"/>
      <c r="O16" s="23">
        <f t="shared" si="7"/>
        <v>1434</v>
      </c>
      <c r="P16" s="6"/>
    </row>
    <row r="17" spans="1:16" ht="30" customHeight="1" x14ac:dyDescent="0.25">
      <c r="A17" s="6"/>
      <c r="B17" s="22" t="s">
        <v>21</v>
      </c>
      <c r="C17" s="23">
        <v>180</v>
      </c>
      <c r="D17" s="23">
        <v>180</v>
      </c>
      <c r="E17" s="23">
        <v>180</v>
      </c>
      <c r="F17" s="23">
        <v>180</v>
      </c>
      <c r="G17" s="23">
        <v>180</v>
      </c>
      <c r="H17" s="23">
        <v>180</v>
      </c>
      <c r="I17" s="23"/>
      <c r="J17" s="23"/>
      <c r="K17" s="23"/>
      <c r="L17" s="23"/>
      <c r="M17" s="23"/>
      <c r="N17" s="23"/>
      <c r="O17" s="23">
        <f t="shared" si="7"/>
        <v>1080</v>
      </c>
      <c r="P17" s="6"/>
    </row>
    <row r="18" spans="1:16" ht="30" customHeight="1" x14ac:dyDescent="0.25">
      <c r="A18" s="6"/>
      <c r="B18" s="22" t="s">
        <v>22</v>
      </c>
      <c r="C18" s="23">
        <v>256</v>
      </c>
      <c r="D18" s="23">
        <v>142</v>
      </c>
      <c r="E18" s="23">
        <v>160</v>
      </c>
      <c r="F18" s="23">
        <v>221</v>
      </c>
      <c r="G18" s="23">
        <v>256</v>
      </c>
      <c r="H18" s="23">
        <v>240</v>
      </c>
      <c r="I18" s="23"/>
      <c r="J18" s="23"/>
      <c r="K18" s="23"/>
      <c r="L18" s="23"/>
      <c r="M18" s="23"/>
      <c r="N18" s="23"/>
      <c r="O18" s="23">
        <f t="shared" si="7"/>
        <v>1275</v>
      </c>
      <c r="P18" s="6"/>
    </row>
    <row r="19" spans="1:16" ht="30" customHeight="1" x14ac:dyDescent="0.25">
      <c r="A19" s="6"/>
      <c r="B19" s="22" t="s">
        <v>23</v>
      </c>
      <c r="C19" s="23">
        <v>600</v>
      </c>
      <c r="D19" s="23">
        <v>600</v>
      </c>
      <c r="E19" s="23">
        <v>600</v>
      </c>
      <c r="F19" s="23">
        <v>600</v>
      </c>
      <c r="G19" s="23">
        <v>600</v>
      </c>
      <c r="H19" s="23">
        <v>600</v>
      </c>
      <c r="I19" s="23"/>
      <c r="J19" s="23"/>
      <c r="K19" s="23"/>
      <c r="L19" s="23"/>
      <c r="M19" s="23"/>
      <c r="N19" s="23"/>
      <c r="O19" s="23">
        <f t="shared" si="7"/>
        <v>3600</v>
      </c>
      <c r="P19" s="6"/>
    </row>
    <row r="20" spans="1:16" ht="30" customHeight="1" x14ac:dyDescent="0.25">
      <c r="A20" s="6"/>
      <c r="B20" s="22" t="s">
        <v>15</v>
      </c>
      <c r="C20" s="23">
        <f>SUBTOTAL(109,OfficeActual[Jan])</f>
        <v>11387</v>
      </c>
      <c r="D20" s="23">
        <f>SUBTOTAL(109,OfficeActual[Feb])</f>
        <v>11698</v>
      </c>
      <c r="E20" s="23">
        <f>SUBTOTAL(109,OfficeActual[Mar])</f>
        <v>11692</v>
      </c>
      <c r="F20" s="23">
        <f>SUBTOTAL(109,OfficeActual[Apr])</f>
        <v>11611</v>
      </c>
      <c r="G20" s="23">
        <f>SUBTOTAL(109,OfficeActual[May])</f>
        <v>11508</v>
      </c>
      <c r="H20" s="23">
        <f>SUBTOTAL(109,OfficeActual[Jun])</f>
        <v>11454</v>
      </c>
      <c r="I20" s="23">
        <f>SUBTOTAL(109,OfficeActual[Jul])</f>
        <v>0</v>
      </c>
      <c r="J20" s="23">
        <f>SUBTOTAL(109,OfficeActual[Aug])</f>
        <v>0</v>
      </c>
      <c r="K20" s="23">
        <f>SUBTOTAL(109,OfficeActual[Sep])</f>
        <v>0</v>
      </c>
      <c r="L20" s="23">
        <f>SUBTOTAL(109,OfficeActual[Oct])</f>
        <v>0</v>
      </c>
      <c r="M20" s="23">
        <f>SUBTOTAL(109,OfficeActual[Nov])</f>
        <v>0</v>
      </c>
      <c r="N20" s="23">
        <f>SUBTOTAL(109,OfficeActual[Dec])</f>
        <v>0</v>
      </c>
      <c r="O20" s="23">
        <f>SUBTOTAL(109,OfficeActual[YEAR])</f>
        <v>69350</v>
      </c>
      <c r="P20" s="6"/>
    </row>
    <row r="21" spans="1:16" ht="30" customHeight="1" x14ac:dyDescent="0.25">
      <c r="A21" s="6"/>
      <c r="B21" s="37"/>
      <c r="C21" s="37"/>
      <c r="D21" s="37"/>
      <c r="E21" s="37"/>
      <c r="F21" s="37"/>
      <c r="G21" s="37"/>
      <c r="H21" s="37"/>
      <c r="I21" s="37"/>
      <c r="J21" s="37"/>
      <c r="K21" s="37"/>
      <c r="L21" s="37"/>
      <c r="M21" s="37"/>
      <c r="N21" s="37"/>
      <c r="O21" s="37"/>
      <c r="P21" s="6"/>
    </row>
    <row r="22" spans="1:16" s="48" customFormat="1" ht="40.25" customHeight="1" x14ac:dyDescent="0.3">
      <c r="A22" s="44"/>
      <c r="B22" s="21" t="s">
        <v>43</v>
      </c>
      <c r="C22" s="55" t="s">
        <v>0</v>
      </c>
      <c r="D22" s="55" t="s">
        <v>1</v>
      </c>
      <c r="E22" s="56" t="s">
        <v>2</v>
      </c>
      <c r="F22" s="55" t="s">
        <v>3</v>
      </c>
      <c r="G22" s="55" t="s">
        <v>4</v>
      </c>
      <c r="H22" s="55" t="s">
        <v>5</v>
      </c>
      <c r="I22" s="55" t="s">
        <v>6</v>
      </c>
      <c r="J22" s="55" t="s">
        <v>7</v>
      </c>
      <c r="K22" s="55" t="s">
        <v>8</v>
      </c>
      <c r="L22" s="55" t="s">
        <v>9</v>
      </c>
      <c r="M22" s="55" t="s">
        <v>10</v>
      </c>
      <c r="N22" s="55" t="s">
        <v>11</v>
      </c>
      <c r="O22" s="55" t="s">
        <v>12</v>
      </c>
      <c r="P22" s="44"/>
    </row>
    <row r="23" spans="1:16" ht="30" customHeight="1" x14ac:dyDescent="0.25">
      <c r="A23" s="6"/>
      <c r="B23" s="22" t="s">
        <v>24</v>
      </c>
      <c r="C23" s="23">
        <v>500</v>
      </c>
      <c r="D23" s="23">
        <v>500</v>
      </c>
      <c r="E23" s="23">
        <v>500</v>
      </c>
      <c r="F23" s="23">
        <v>500</v>
      </c>
      <c r="G23" s="23">
        <v>500</v>
      </c>
      <c r="H23" s="23">
        <v>500</v>
      </c>
      <c r="I23" s="23"/>
      <c r="J23" s="23"/>
      <c r="K23" s="23"/>
      <c r="L23" s="23"/>
      <c r="M23" s="23"/>
      <c r="N23" s="23"/>
      <c r="O23" s="23">
        <f t="shared" ref="O23:O28" si="8">SUM(C23:N23)</f>
        <v>3000</v>
      </c>
      <c r="P23" s="6"/>
    </row>
    <row r="24" spans="1:16" ht="30" customHeight="1" x14ac:dyDescent="0.25">
      <c r="A24" s="6"/>
      <c r="B24" s="22" t="s">
        <v>25</v>
      </c>
      <c r="C24" s="23">
        <v>200</v>
      </c>
      <c r="D24" s="23">
        <v>200</v>
      </c>
      <c r="E24" s="23">
        <v>200</v>
      </c>
      <c r="F24" s="23">
        <v>200</v>
      </c>
      <c r="G24" s="23">
        <v>200</v>
      </c>
      <c r="H24" s="23">
        <v>1500</v>
      </c>
      <c r="I24" s="23"/>
      <c r="J24" s="23"/>
      <c r="K24" s="23"/>
      <c r="L24" s="23"/>
      <c r="M24" s="23"/>
      <c r="N24" s="23"/>
      <c r="O24" s="23">
        <f t="shared" si="8"/>
        <v>2500</v>
      </c>
      <c r="P24" s="6"/>
    </row>
    <row r="25" spans="1:16" ht="30" customHeight="1" x14ac:dyDescent="0.25">
      <c r="A25" s="6"/>
      <c r="B25" s="22" t="s">
        <v>26</v>
      </c>
      <c r="C25" s="23">
        <v>4800</v>
      </c>
      <c r="D25" s="23">
        <v>0</v>
      </c>
      <c r="E25" s="23">
        <v>0</v>
      </c>
      <c r="F25" s="23">
        <v>5500</v>
      </c>
      <c r="G25" s="23">
        <v>0</v>
      </c>
      <c r="H25" s="23">
        <v>0</v>
      </c>
      <c r="I25" s="23"/>
      <c r="J25" s="23"/>
      <c r="K25" s="23"/>
      <c r="L25" s="23"/>
      <c r="M25" s="23"/>
      <c r="N25" s="23"/>
      <c r="O25" s="23">
        <f t="shared" si="8"/>
        <v>10300</v>
      </c>
      <c r="P25" s="6"/>
    </row>
    <row r="26" spans="1:16" ht="30" customHeight="1" x14ac:dyDescent="0.25">
      <c r="A26" s="6"/>
      <c r="B26" s="22" t="s">
        <v>27</v>
      </c>
      <c r="C26" s="23">
        <v>100</v>
      </c>
      <c r="D26" s="23">
        <v>500</v>
      </c>
      <c r="E26" s="23">
        <v>100</v>
      </c>
      <c r="F26" s="23">
        <v>100</v>
      </c>
      <c r="G26" s="23">
        <v>600</v>
      </c>
      <c r="H26" s="23">
        <v>180</v>
      </c>
      <c r="I26" s="23"/>
      <c r="J26" s="23"/>
      <c r="K26" s="23"/>
      <c r="L26" s="23"/>
      <c r="M26" s="23"/>
      <c r="N26" s="23"/>
      <c r="O26" s="23">
        <f t="shared" si="8"/>
        <v>1580</v>
      </c>
      <c r="P26" s="6"/>
    </row>
    <row r="27" spans="1:16" ht="30" customHeight="1" x14ac:dyDescent="0.25">
      <c r="A27" s="6"/>
      <c r="B27" s="22" t="s">
        <v>28</v>
      </c>
      <c r="C27" s="23">
        <v>1800</v>
      </c>
      <c r="D27" s="23">
        <v>2200</v>
      </c>
      <c r="E27" s="23">
        <v>2200</v>
      </c>
      <c r="F27" s="23">
        <v>4700</v>
      </c>
      <c r="G27" s="23">
        <v>1500</v>
      </c>
      <c r="H27" s="23">
        <v>2300</v>
      </c>
      <c r="I27" s="23"/>
      <c r="J27" s="23"/>
      <c r="K27" s="23"/>
      <c r="L27" s="23"/>
      <c r="M27" s="23"/>
      <c r="N27" s="23"/>
      <c r="O27" s="23">
        <f t="shared" si="8"/>
        <v>14700</v>
      </c>
      <c r="P27" s="6"/>
    </row>
    <row r="28" spans="1:16" ht="30" customHeight="1" x14ac:dyDescent="0.25">
      <c r="A28" s="6"/>
      <c r="B28" s="22" t="s">
        <v>29</v>
      </c>
      <c r="C28" s="23">
        <v>145</v>
      </c>
      <c r="D28" s="23">
        <v>156</v>
      </c>
      <c r="E28" s="23">
        <v>123</v>
      </c>
      <c r="F28" s="23">
        <v>223</v>
      </c>
      <c r="G28" s="23">
        <v>187</v>
      </c>
      <c r="H28" s="23">
        <v>245</v>
      </c>
      <c r="I28" s="23"/>
      <c r="J28" s="23"/>
      <c r="K28" s="23"/>
      <c r="L28" s="23"/>
      <c r="M28" s="23"/>
      <c r="N28" s="23"/>
      <c r="O28" s="23">
        <f t="shared" si="8"/>
        <v>1079</v>
      </c>
      <c r="P28" s="6"/>
    </row>
    <row r="29" spans="1:16" ht="30" customHeight="1" x14ac:dyDescent="0.25">
      <c r="A29" s="6"/>
      <c r="B29" s="22" t="s">
        <v>15</v>
      </c>
      <c r="C29" s="23">
        <f>SUBTOTAL(109,MarketingActual[Jan])</f>
        <v>7545</v>
      </c>
      <c r="D29" s="23">
        <f>SUBTOTAL(109,MarketingActual[Feb])</f>
        <v>3556</v>
      </c>
      <c r="E29" s="23">
        <f>SUBTOTAL(109,MarketingActual[Mar])</f>
        <v>3123</v>
      </c>
      <c r="F29" s="23">
        <f>SUBTOTAL(109,MarketingActual[Apr])</f>
        <v>11223</v>
      </c>
      <c r="G29" s="23">
        <f>SUBTOTAL(109,MarketingActual[May])</f>
        <v>2987</v>
      </c>
      <c r="H29" s="23">
        <f>SUBTOTAL(109,MarketingActual[Jun])</f>
        <v>4725</v>
      </c>
      <c r="I29" s="23">
        <f>SUBTOTAL(109,MarketingActual[Jul])</f>
        <v>0</v>
      </c>
      <c r="J29" s="23">
        <f>SUBTOTAL(109,MarketingActual[Aug])</f>
        <v>0</v>
      </c>
      <c r="K29" s="23">
        <f>SUBTOTAL(109,MarketingActual[Sep])</f>
        <v>0</v>
      </c>
      <c r="L29" s="23">
        <f>SUBTOTAL(109,MarketingActual[Oct])</f>
        <v>0</v>
      </c>
      <c r="M29" s="23">
        <f>SUBTOTAL(109,MarketingActual[Nov])</f>
        <v>0</v>
      </c>
      <c r="N29" s="23">
        <f>SUBTOTAL(109,MarketingActual[Dec])</f>
        <v>0</v>
      </c>
      <c r="O29" s="23">
        <f>SUBTOTAL(109,MarketingActual[YEAR])</f>
        <v>33159</v>
      </c>
      <c r="P29" s="6"/>
    </row>
    <row r="30" spans="1:16" ht="30" customHeight="1" x14ac:dyDescent="0.25">
      <c r="A30" s="6"/>
      <c r="B30" s="26"/>
      <c r="C30" s="26"/>
      <c r="D30" s="26"/>
      <c r="E30" s="26"/>
      <c r="F30" s="26"/>
      <c r="G30" s="26"/>
      <c r="H30" s="26"/>
      <c r="I30" s="26"/>
      <c r="J30" s="26"/>
      <c r="K30" s="26"/>
      <c r="L30" s="26"/>
      <c r="M30" s="26"/>
      <c r="N30" s="26"/>
      <c r="O30" s="26"/>
      <c r="P30" s="6"/>
    </row>
    <row r="31" spans="1:16" s="48" customFormat="1" ht="40.25" customHeight="1" x14ac:dyDescent="0.3">
      <c r="A31" s="44"/>
      <c r="B31" s="21" t="s">
        <v>44</v>
      </c>
      <c r="C31" s="55" t="s">
        <v>0</v>
      </c>
      <c r="D31" s="55" t="s">
        <v>1</v>
      </c>
      <c r="E31" s="56" t="s">
        <v>2</v>
      </c>
      <c r="F31" s="55" t="s">
        <v>3</v>
      </c>
      <c r="G31" s="55" t="s">
        <v>4</v>
      </c>
      <c r="H31" s="55" t="s">
        <v>5</v>
      </c>
      <c r="I31" s="55" t="s">
        <v>6</v>
      </c>
      <c r="J31" s="55" t="s">
        <v>7</v>
      </c>
      <c r="K31" s="55" t="s">
        <v>8</v>
      </c>
      <c r="L31" s="55" t="s">
        <v>9</v>
      </c>
      <c r="M31" s="55" t="s">
        <v>10</v>
      </c>
      <c r="N31" s="55" t="s">
        <v>11</v>
      </c>
      <c r="O31" s="55" t="s">
        <v>12</v>
      </c>
      <c r="P31" s="44"/>
    </row>
    <row r="32" spans="1:16" ht="30" customHeight="1" x14ac:dyDescent="0.25">
      <c r="A32" s="6"/>
      <c r="B32" s="22" t="s">
        <v>30</v>
      </c>
      <c r="C32" s="23">
        <v>1600</v>
      </c>
      <c r="D32" s="23">
        <v>2400</v>
      </c>
      <c r="E32" s="23">
        <v>1400</v>
      </c>
      <c r="F32" s="23">
        <v>1600</v>
      </c>
      <c r="G32" s="23">
        <v>1200</v>
      </c>
      <c r="H32" s="23">
        <v>2800</v>
      </c>
      <c r="I32" s="23"/>
      <c r="J32" s="23"/>
      <c r="K32" s="23"/>
      <c r="L32" s="23"/>
      <c r="M32" s="23"/>
      <c r="N32" s="23"/>
      <c r="O32" s="23">
        <f>SUM(C32:N32)</f>
        <v>11000</v>
      </c>
      <c r="P32" s="6"/>
    </row>
    <row r="33" spans="1:16" ht="30" customHeight="1" x14ac:dyDescent="0.25">
      <c r="A33" s="6"/>
      <c r="B33" s="22" t="s">
        <v>31</v>
      </c>
      <c r="C33" s="23">
        <v>1200</v>
      </c>
      <c r="D33" s="23">
        <v>2200</v>
      </c>
      <c r="E33" s="23">
        <v>1400</v>
      </c>
      <c r="F33" s="23">
        <v>1200</v>
      </c>
      <c r="G33" s="23">
        <v>800</v>
      </c>
      <c r="H33" s="23">
        <v>3500</v>
      </c>
      <c r="I33" s="23"/>
      <c r="J33" s="23"/>
      <c r="K33" s="23"/>
      <c r="L33" s="23"/>
      <c r="M33" s="23"/>
      <c r="N33" s="23"/>
      <c r="O33" s="23">
        <f>SUM(C33:N33)</f>
        <v>10300</v>
      </c>
      <c r="P33" s="6"/>
    </row>
    <row r="34" spans="1:16" ht="30" customHeight="1" x14ac:dyDescent="0.25">
      <c r="A34" s="6"/>
      <c r="B34" s="38" t="s">
        <v>15</v>
      </c>
      <c r="C34" s="23">
        <f>SUBTOTAL(109,TrainingAndTravelActual[Jan])</f>
        <v>2800</v>
      </c>
      <c r="D34" s="23">
        <f>SUBTOTAL(109,TrainingAndTravelActual[Feb])</f>
        <v>4600</v>
      </c>
      <c r="E34" s="23">
        <f>SUBTOTAL(109,TrainingAndTravelActual[Mar])</f>
        <v>2800</v>
      </c>
      <c r="F34" s="23">
        <f>SUBTOTAL(109,TrainingAndTravelActual[Apr])</f>
        <v>2800</v>
      </c>
      <c r="G34" s="23">
        <f>SUBTOTAL(109,TrainingAndTravelActual[May])</f>
        <v>2000</v>
      </c>
      <c r="H34" s="23">
        <f>SUBTOTAL(109,TrainingAndTravelActual[Jun])</f>
        <v>6300</v>
      </c>
      <c r="I34" s="23">
        <f>SUBTOTAL(109,TrainingAndTravelActual[Jul])</f>
        <v>0</v>
      </c>
      <c r="J34" s="23">
        <f>SUBTOTAL(109,TrainingAndTravelActual[Aug])</f>
        <v>0</v>
      </c>
      <c r="K34" s="23">
        <f>SUBTOTAL(109,TrainingAndTravelActual[Sep])</f>
        <v>0</v>
      </c>
      <c r="L34" s="23">
        <f>SUBTOTAL(109,TrainingAndTravelActual[Oct])</f>
        <v>0</v>
      </c>
      <c r="M34" s="23">
        <f>SUBTOTAL(109,TrainingAndTravelActual[Nov])</f>
        <v>0</v>
      </c>
      <c r="N34" s="23">
        <f>SUBTOTAL(109,TrainingAndTravelActual[Dec])</f>
        <v>0</v>
      </c>
      <c r="O34" s="23">
        <f>SUBTOTAL(109,TrainingAndTravelActual[YEAR])</f>
        <v>21300</v>
      </c>
      <c r="P34" s="6"/>
    </row>
    <row r="35" spans="1:16" ht="30" customHeight="1" x14ac:dyDescent="0.25">
      <c r="A35" s="6"/>
      <c r="B35" s="26"/>
      <c r="C35" s="26"/>
      <c r="D35" s="26"/>
      <c r="E35" s="26"/>
      <c r="F35" s="26"/>
      <c r="G35" s="26"/>
      <c r="H35" s="26"/>
      <c r="I35" s="26"/>
      <c r="J35" s="26"/>
      <c r="K35" s="26"/>
      <c r="L35" s="26"/>
      <c r="M35" s="26"/>
      <c r="N35" s="26"/>
      <c r="O35" s="26"/>
      <c r="P35" s="6"/>
    </row>
    <row r="36" spans="1:16" ht="40.25" customHeight="1" x14ac:dyDescent="0.25">
      <c r="A36" s="34"/>
      <c r="B36" s="27" t="s">
        <v>54</v>
      </c>
      <c r="C36" s="85" t="s">
        <v>0</v>
      </c>
      <c r="D36" s="85" t="s">
        <v>1</v>
      </c>
      <c r="E36" s="85" t="s">
        <v>2</v>
      </c>
      <c r="F36" s="85" t="s">
        <v>3</v>
      </c>
      <c r="G36" s="85" t="s">
        <v>4</v>
      </c>
      <c r="H36" s="85" t="s">
        <v>5</v>
      </c>
      <c r="I36" s="85" t="s">
        <v>6</v>
      </c>
      <c r="J36" s="85" t="s">
        <v>7</v>
      </c>
      <c r="K36" s="85" t="s">
        <v>8</v>
      </c>
      <c r="L36" s="85" t="s">
        <v>9</v>
      </c>
      <c r="M36" s="85" t="s">
        <v>10</v>
      </c>
      <c r="N36" s="85" t="s">
        <v>11</v>
      </c>
      <c r="O36" s="85" t="s">
        <v>36</v>
      </c>
      <c r="P36" s="6"/>
    </row>
    <row r="37" spans="1:16" ht="30" customHeight="1" x14ac:dyDescent="0.25">
      <c r="A37" s="6"/>
      <c r="B37" s="22" t="s">
        <v>47</v>
      </c>
      <c r="C37" s="23">
        <f>TrainingAndTravelActual[[#Totals],[Jan]]+MarketingActual[[#Totals],[Jan]]+OfficeActual[[#Totals],[Jan]]+EmployeeActual[[#Totals],[Jan]]</f>
        <v>129682</v>
      </c>
      <c r="D37" s="23">
        <f>TrainingAndTravelActual[[#Totals],[Feb]]+MarketingActual[[#Totals],[Feb]]+OfficeActual[[#Totals],[Feb]]+EmployeeActual[[#Totals],[Feb]]</f>
        <v>127804</v>
      </c>
      <c r="E37" s="23">
        <f>TrainingAndTravelActual[[#Totals],[Mar]]+MarketingActual[[#Totals],[Mar]]+OfficeActual[[#Totals],[Mar]]+EmployeeActual[[#Totals],[Mar]]</f>
        <v>125565</v>
      </c>
      <c r="F37" s="23">
        <f>TrainingAndTravelActual[[#Totals],[Apr]]+MarketingActual[[#Totals],[Apr]]+OfficeActual[[#Totals],[Apr]]+EmployeeActual[[#Totals],[Apr]]</f>
        <v>137394</v>
      </c>
      <c r="G37" s="23">
        <f>TrainingAndTravelActual[[#Totals],[May]]+MarketingActual[[#Totals],[May]]+OfficeActual[[#Totals],[May]]+EmployeeActual[[#Totals],[May]]</f>
        <v>128255</v>
      </c>
      <c r="H37" s="23">
        <f>TrainingAndTravelActual[[#Totals],[Jun]]+MarketingActual[[#Totals],[Jun]]+OfficeActual[[#Totals],[Jun]]+EmployeeActual[[#Totals],[Jun]]</f>
        <v>134239</v>
      </c>
      <c r="I37" s="23">
        <f>TrainingAndTravelActual[[#Totals],[Jul]]+MarketingActual[[#Totals],[Jul]]+OfficeActual[[#Totals],[Jul]]+EmployeeActual[[#Totals],[Jul]]</f>
        <v>0</v>
      </c>
      <c r="J37" s="23">
        <f>TrainingAndTravelActual[[#Totals],[Aug]]+MarketingActual[[#Totals],[Aug]]+OfficeActual[[#Totals],[Aug]]+EmployeeActual[[#Totals],[Aug]]</f>
        <v>0</v>
      </c>
      <c r="K37" s="23">
        <f>TrainingAndTravelActual[[#Totals],[Sep]]+MarketingActual[[#Totals],[Sep]]+OfficeActual[[#Totals],[Sep]]+EmployeeActual[[#Totals],[Sep]]</f>
        <v>0</v>
      </c>
      <c r="L37" s="23">
        <f>TrainingAndTravelActual[[#Totals],[Oct]]+MarketingActual[[#Totals],[Oct]]+OfficeActual[[#Totals],[Oct]]+EmployeeActual[[#Totals],[Oct]]</f>
        <v>0</v>
      </c>
      <c r="M37" s="23">
        <f>TrainingAndTravelActual[[#Totals],[Nov]]+MarketingActual[[#Totals],[Nov]]+OfficeActual[[#Totals],[Nov]]+EmployeeActual[[#Totals],[Nov]]</f>
        <v>0</v>
      </c>
      <c r="N37" s="23">
        <f>TrainingAndTravelActual[[#Totals],[Dec]]+MarketingActual[[#Totals],[Dec]]+OfficeActual[[#Totals],[Dec]]+EmployeeActual[[#Totals],[Dec]]</f>
        <v>0</v>
      </c>
      <c r="O37" s="23">
        <f>TrainingAndTravelActual[[#Totals],[YEAR]]+MarketingActual[[#Totals],[YEAR]]+OfficeActual[[#Totals],[YEAR]]+EmployeeActual[[#Totals],[YEAR]]</f>
        <v>782939</v>
      </c>
      <c r="P37" s="6"/>
    </row>
    <row r="38" spans="1:16" ht="30" customHeight="1" x14ac:dyDescent="0.25">
      <c r="A38" s="6"/>
      <c r="B38" s="22" t="s">
        <v>48</v>
      </c>
      <c r="C38" s="23">
        <f>SUM($C$37:C37)</f>
        <v>129682</v>
      </c>
      <c r="D38" s="23">
        <f>SUM($C$37:D37)</f>
        <v>257486</v>
      </c>
      <c r="E38" s="23">
        <f>SUM($C$37:E37)</f>
        <v>383051</v>
      </c>
      <c r="F38" s="23">
        <f>SUM($C$37:F37)</f>
        <v>520445</v>
      </c>
      <c r="G38" s="23">
        <f>SUM($C$37:G37)</f>
        <v>648700</v>
      </c>
      <c r="H38" s="23">
        <f>SUM($C$37:H37)</f>
        <v>782939</v>
      </c>
      <c r="I38" s="23">
        <f>SUM($C$37:I37)</f>
        <v>782939</v>
      </c>
      <c r="J38" s="23">
        <f>SUM($C$37:J37)</f>
        <v>782939</v>
      </c>
      <c r="K38" s="23">
        <f>SUM($C$37:K37)</f>
        <v>782939</v>
      </c>
      <c r="L38" s="23">
        <f>SUM($C$37:L37)</f>
        <v>782939</v>
      </c>
      <c r="M38" s="23">
        <f>SUM($C$37:M37)</f>
        <v>782939</v>
      </c>
      <c r="N38" s="23">
        <f>SUM($C$37:N37)</f>
        <v>782939</v>
      </c>
      <c r="O38" s="23"/>
      <c r="P38" s="6"/>
    </row>
    <row r="39" spans="1:16" ht="30" customHeight="1" x14ac:dyDescent="0.25">
      <c r="A39" s="6"/>
      <c r="B39" s="37"/>
      <c r="C39" s="37"/>
      <c r="D39" s="37"/>
      <c r="E39" s="37"/>
      <c r="F39" s="37"/>
      <c r="G39" s="37"/>
      <c r="H39" s="37"/>
      <c r="I39" s="37"/>
      <c r="J39" s="37"/>
      <c r="K39" s="37"/>
      <c r="L39" s="37"/>
      <c r="M39" s="37"/>
      <c r="N39" s="37"/>
      <c r="O39" s="37"/>
      <c r="P39" s="6"/>
    </row>
  </sheetData>
  <mergeCells count="1">
    <mergeCell ref="B2:F3"/>
  </mergeCells>
  <dataValidations count="7">
    <dataValidation allowBlank="1" showInputMessage="1" showErrorMessage="1" prompt="Total Actual Expenses are auto calculated in Total Actual table starting in cell at right." sqref="A36" xr:uid="{177C6CBD-70F5-4EE0-A8BD-78C9CA33B2BD}"/>
    <dataValidation allowBlank="1" showInputMessage="1" showErrorMessage="1" prompt="Enter Employee Costs in Employee Actual table starting in cell at right. Next instruction is in cell A11." sqref="A6" xr:uid="{C3141D3D-0B91-4F53-BE3F-38687FD87D6B}"/>
    <dataValidation allowBlank="1" showInputMessage="1" showErrorMessage="1" prompt="Enter Actual Employee Costs, Office Costs, Marketing Costs, and Training or Travel Cost in respective tables in this worksheet. Totals are auto calculated. Instructions on how to use this worksheet are in cells in this column. Arrow down to get started." sqref="A1" xr:uid="{79AE6394-A51C-466A-B4A1-C38D88BF4EBB}"/>
    <dataValidation allowBlank="1" showInputMessage="1" showErrorMessage="1" prompt="Company Name is auto updated in cell at right. Title of this worksheet is in cell O2. Replace placeholder with your company logo." sqref="A2" xr:uid="{26A4B1D9-8F73-440F-9A07-A3F7DBC9AEEF}"/>
    <dataValidation allowBlank="1" showInputMessage="1" showErrorMessage="1" prompt="Enter Office Costs in Office Actual table starting in cell at right. Next instruction is in cell A22." sqref="A11" xr:uid="{24622921-A782-422F-94FE-1A58853DAC35}"/>
    <dataValidation allowBlank="1" showInputMessage="1" showErrorMessage="1" prompt="Enter Marketing Costs in Marketing Actual table starting in cell at right. Next instruction is in cell A31." sqref="A22" xr:uid="{0850388B-F6F9-44F2-87C4-F13C6AC8A8DC}"/>
    <dataValidation allowBlank="1" showInputMessage="1" showErrorMessage="1" prompt="Enter Training/Travel Costs in Training/Travel Actual table starting in cell at right. Next instruction is in cell A36." sqref="A31" xr:uid="{CF03B604-2051-4E32-9523-974B19529F2B}"/>
  </dataValidations>
  <printOptions horizontalCentered="1"/>
  <pageMargins left="0.4" right="0.4" top="0.4" bottom="0.4" header="0.3" footer="0.3"/>
  <pageSetup scale="53" fitToHeight="0" orientation="landscape" r:id="rId1"/>
  <headerFooter differentFirst="1">
    <oddFooter>Page &amp;P of &amp;N</oddFooter>
  </headerFooter>
  <ignoredErrors>
    <ignoredError sqref="B2" emptyCellReference="1"/>
    <ignoredError sqref="C37:O38" calculatedColumn="1"/>
  </ignoredErrors>
  <drawing r:id="rId2"/>
  <tableParts count="5">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7" tint="-0.499984740745262"/>
    <pageSetUpPr autoPageBreaks="0" fitToPage="1"/>
  </sheetPr>
  <dimension ref="A1:Q39"/>
  <sheetViews>
    <sheetView showGridLines="0" topLeftCell="A11" zoomScaleNormal="100" workbookViewId="0">
      <selection activeCell="E14" sqref="E14"/>
    </sheetView>
  </sheetViews>
  <sheetFormatPr baseColWidth="10" defaultColWidth="8.83203125" defaultRowHeight="21" customHeight="1" x14ac:dyDescent="0.25"/>
  <cols>
    <col min="1" max="1" width="4" style="3" customWidth="1"/>
    <col min="2" max="2" width="36.6640625" style="36" customWidth="1"/>
    <col min="3" max="15" width="14.33203125" style="36" customWidth="1"/>
    <col min="16" max="16" width="4" style="3" customWidth="1"/>
    <col min="17" max="16384" width="8.83203125" style="36"/>
  </cols>
  <sheetData>
    <row r="1" spans="1:17" s="3" customFormat="1" ht="20" customHeight="1" x14ac:dyDescent="0.25">
      <c r="A1" s="1"/>
      <c r="B1" s="2"/>
      <c r="C1" s="2"/>
      <c r="D1" s="2"/>
      <c r="E1" s="2"/>
      <c r="F1" s="2"/>
      <c r="G1" s="2"/>
      <c r="H1" s="2"/>
      <c r="I1" s="2"/>
      <c r="J1" s="2"/>
      <c r="K1" s="2"/>
      <c r="L1" s="2"/>
      <c r="M1" s="2"/>
      <c r="N1" s="2"/>
      <c r="O1" s="2"/>
      <c r="P1" s="2" t="s">
        <v>32</v>
      </c>
    </row>
    <row r="2" spans="1:17" s="3" customFormat="1" ht="100.25" customHeight="1" x14ac:dyDescent="0.3">
      <c r="A2" s="2"/>
      <c r="B2" s="87" t="str">
        <f>'PLANNED EXPENSES'!B2:D3</f>
        <v>SBO Banking</v>
      </c>
      <c r="C2" s="87"/>
      <c r="D2" s="87"/>
      <c r="E2" s="87"/>
      <c r="F2" s="5"/>
      <c r="G2" s="5"/>
      <c r="H2" s="5"/>
      <c r="I2" s="5"/>
      <c r="J2" s="5"/>
      <c r="K2" s="6"/>
      <c r="L2" s="6"/>
      <c r="M2" s="6"/>
      <c r="N2" s="8"/>
      <c r="O2" s="9" t="str">
        <f>worksheet_title</f>
        <v>Detailed expense estimates</v>
      </c>
      <c r="P2" s="39"/>
      <c r="Q2" s="40"/>
    </row>
    <row r="3" spans="1:17" s="3" customFormat="1" ht="20" customHeight="1" x14ac:dyDescent="0.3">
      <c r="A3" s="2"/>
      <c r="B3" s="87"/>
      <c r="C3" s="87"/>
      <c r="D3" s="87"/>
      <c r="E3" s="87"/>
      <c r="F3" s="5"/>
      <c r="G3" s="5"/>
      <c r="H3" s="5"/>
      <c r="I3" s="5"/>
      <c r="J3" s="5"/>
      <c r="K3" s="6"/>
      <c r="L3" s="6"/>
      <c r="M3" s="6"/>
      <c r="N3" s="8"/>
      <c r="O3" s="13" t="s">
        <v>40</v>
      </c>
      <c r="P3" s="39"/>
      <c r="Q3" s="40"/>
    </row>
    <row r="4" spans="1:17" s="3" customFormat="1" ht="20" customHeight="1" x14ac:dyDescent="0.25">
      <c r="A4" s="2"/>
      <c r="B4" s="41"/>
      <c r="C4" s="41"/>
      <c r="D4" s="41"/>
      <c r="E4" s="41"/>
      <c r="F4" s="11"/>
      <c r="G4" s="11"/>
      <c r="H4" s="11"/>
      <c r="I4" s="11"/>
      <c r="J4" s="11"/>
      <c r="K4" s="6"/>
      <c r="L4" s="6"/>
      <c r="M4" s="6"/>
      <c r="N4" s="8"/>
      <c r="O4" s="6"/>
      <c r="P4" s="42"/>
      <c r="Q4" s="43"/>
    </row>
    <row r="5" spans="1:17" s="35" customFormat="1" ht="50" customHeight="1" x14ac:dyDescent="0.2">
      <c r="A5" s="2"/>
      <c r="B5" s="16" t="s">
        <v>35</v>
      </c>
      <c r="C5" s="17"/>
      <c r="D5" s="17"/>
      <c r="E5" s="18"/>
      <c r="F5" s="17"/>
      <c r="G5" s="17"/>
      <c r="H5" s="17"/>
      <c r="I5" s="18"/>
      <c r="J5" s="17"/>
      <c r="K5" s="17"/>
      <c r="L5" s="17"/>
      <c r="M5" s="17"/>
      <c r="N5" s="18"/>
      <c r="O5" s="17"/>
      <c r="P5" s="34"/>
    </row>
    <row r="6" spans="1:17" s="48" customFormat="1" ht="40.25" customHeight="1" x14ac:dyDescent="0.3">
      <c r="A6" s="44"/>
      <c r="B6" s="45" t="s">
        <v>41</v>
      </c>
      <c r="C6" s="46" t="s">
        <v>0</v>
      </c>
      <c r="D6" s="46" t="s">
        <v>1</v>
      </c>
      <c r="E6" s="47" t="s">
        <v>2</v>
      </c>
      <c r="F6" s="46" t="s">
        <v>3</v>
      </c>
      <c r="G6" s="46" t="s">
        <v>4</v>
      </c>
      <c r="H6" s="46" t="s">
        <v>5</v>
      </c>
      <c r="I6" s="46" t="s">
        <v>6</v>
      </c>
      <c r="J6" s="46" t="s">
        <v>7</v>
      </c>
      <c r="K6" s="46" t="s">
        <v>8</v>
      </c>
      <c r="L6" s="46" t="s">
        <v>9</v>
      </c>
      <c r="M6" s="46" t="s">
        <v>10</v>
      </c>
      <c r="N6" s="46" t="s">
        <v>11</v>
      </c>
      <c r="O6" s="46" t="s">
        <v>12</v>
      </c>
      <c r="P6" s="44"/>
    </row>
    <row r="7" spans="1:17" ht="30" customHeight="1" x14ac:dyDescent="0.25">
      <c r="A7" s="6"/>
      <c r="B7" s="22" t="s">
        <v>13</v>
      </c>
      <c r="C7" s="23">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7" s="23">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7" s="23">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7" s="23">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-500</v>
      </c>
      <c r="G7" s="23">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-500</v>
      </c>
      <c r="H7" s="23">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-500</v>
      </c>
      <c r="I7" s="23">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87500</v>
      </c>
      <c r="J7" s="23">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92400</v>
      </c>
      <c r="K7" s="23">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92400</v>
      </c>
      <c r="L7" s="23">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92400</v>
      </c>
      <c r="M7" s="23">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92400</v>
      </c>
      <c r="N7" s="23">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92400</v>
      </c>
      <c r="O7" s="23">
        <f>SUM(EmployeeVariances[[#This Row],[Jan]:[Dec]])</f>
        <v>548000</v>
      </c>
      <c r="P7" s="6"/>
    </row>
    <row r="8" spans="1:17" ht="30" customHeight="1" x14ac:dyDescent="0.25">
      <c r="A8" s="6"/>
      <c r="B8" s="22" t="s">
        <v>14</v>
      </c>
      <c r="C8" s="23">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8" s="23">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8" s="23">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8" s="23">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-135</v>
      </c>
      <c r="G8" s="23">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-135</v>
      </c>
      <c r="H8" s="23">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-135</v>
      </c>
      <c r="I8" s="23">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23625</v>
      </c>
      <c r="J8" s="23">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24948</v>
      </c>
      <c r="K8" s="23">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24948</v>
      </c>
      <c r="L8" s="23">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24948</v>
      </c>
      <c r="M8" s="23">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24948</v>
      </c>
      <c r="N8" s="23">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24948</v>
      </c>
      <c r="O8" s="23">
        <f>SUM(EmployeeVariances[[#This Row],[Jan]:[Dec]])</f>
        <v>147960</v>
      </c>
      <c r="P8" s="6"/>
    </row>
    <row r="9" spans="1:17" ht="30" customHeight="1" x14ac:dyDescent="0.25">
      <c r="A9" s="6"/>
      <c r="B9" s="22" t="s">
        <v>15</v>
      </c>
      <c r="C9" s="23">
        <f>SUBTOTAL(109,EmployeeVariances[Jan])</f>
        <v>0</v>
      </c>
      <c r="D9" s="23">
        <f>SUBTOTAL(109,EmployeeVariances[Feb])</f>
        <v>0</v>
      </c>
      <c r="E9" s="23">
        <f>SUBTOTAL(109,EmployeeVariances[Mar])</f>
        <v>0</v>
      </c>
      <c r="F9" s="23">
        <f>SUBTOTAL(109,EmployeeVariances[Apr])</f>
        <v>-635</v>
      </c>
      <c r="G9" s="23">
        <f>SUBTOTAL(109,EmployeeVariances[May])</f>
        <v>-635</v>
      </c>
      <c r="H9" s="23">
        <f>SUBTOTAL(109,EmployeeVariances[Jun])</f>
        <v>-635</v>
      </c>
      <c r="I9" s="23">
        <f>SUBTOTAL(109,EmployeeVariances[Jul])</f>
        <v>111125</v>
      </c>
      <c r="J9" s="23">
        <f>SUBTOTAL(109,EmployeeVariances[Aug])</f>
        <v>117348</v>
      </c>
      <c r="K9" s="23">
        <f>SUBTOTAL(109,EmployeeVariances[Sep])</f>
        <v>117348</v>
      </c>
      <c r="L9" s="23">
        <f>SUBTOTAL(109,EmployeeVariances[Oct])</f>
        <v>117348</v>
      </c>
      <c r="M9" s="23">
        <f>SUBTOTAL(109,EmployeeVariances[Nov])</f>
        <v>117348</v>
      </c>
      <c r="N9" s="23">
        <f>SUBTOTAL(109,EmployeeVariances[Dec])</f>
        <v>117348</v>
      </c>
      <c r="O9" s="23">
        <f>SUBTOTAL(109,EmployeeVariances[YEAR])</f>
        <v>695960</v>
      </c>
      <c r="P9" s="6"/>
    </row>
    <row r="10" spans="1:17" ht="30" customHeight="1" x14ac:dyDescent="0.25">
      <c r="A10" s="6"/>
      <c r="B10" s="49"/>
      <c r="C10" s="24"/>
      <c r="D10" s="50"/>
      <c r="E10" s="50"/>
      <c r="F10" s="50"/>
      <c r="G10" s="50"/>
      <c r="H10" s="50"/>
      <c r="I10" s="50"/>
      <c r="J10" s="50"/>
      <c r="K10" s="50"/>
      <c r="L10" s="50"/>
      <c r="M10" s="50"/>
      <c r="N10" s="50"/>
      <c r="O10" s="51"/>
      <c r="P10" s="6"/>
    </row>
    <row r="11" spans="1:17" s="48" customFormat="1" ht="40.25" customHeight="1" x14ac:dyDescent="0.3">
      <c r="A11" s="44"/>
      <c r="B11" s="45" t="s">
        <v>42</v>
      </c>
      <c r="C11" s="46" t="s">
        <v>0</v>
      </c>
      <c r="D11" s="46" t="s">
        <v>1</v>
      </c>
      <c r="E11" s="47" t="s">
        <v>2</v>
      </c>
      <c r="F11" s="46" t="s">
        <v>3</v>
      </c>
      <c r="G11" s="46" t="s">
        <v>4</v>
      </c>
      <c r="H11" s="46" t="s">
        <v>5</v>
      </c>
      <c r="I11" s="46" t="s">
        <v>6</v>
      </c>
      <c r="J11" s="46" t="s">
        <v>7</v>
      </c>
      <c r="K11" s="46" t="s">
        <v>8</v>
      </c>
      <c r="L11" s="46" t="s">
        <v>9</v>
      </c>
      <c r="M11" s="46" t="s">
        <v>10</v>
      </c>
      <c r="N11" s="46" t="s">
        <v>11</v>
      </c>
      <c r="O11" s="46" t="s">
        <v>12</v>
      </c>
      <c r="P11" s="44"/>
    </row>
    <row r="12" spans="1:17" ht="30" customHeight="1" x14ac:dyDescent="0.25">
      <c r="A12" s="6"/>
      <c r="B12" s="22" t="s">
        <v>16</v>
      </c>
      <c r="C12"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2"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2"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2"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2"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2"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2"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9800</v>
      </c>
      <c r="J12"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9800</v>
      </c>
      <c r="K12"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9800</v>
      </c>
      <c r="L12"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9800</v>
      </c>
      <c r="M12"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9800</v>
      </c>
      <c r="N12"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9800</v>
      </c>
      <c r="O12" s="23">
        <f>SUM(OfficeVariances[[#This Row],[Jan]:[Dec]])</f>
        <v>58800</v>
      </c>
      <c r="P12" s="6"/>
    </row>
    <row r="13" spans="1:17" ht="30" customHeight="1" x14ac:dyDescent="0.25">
      <c r="A13" s="6"/>
      <c r="B13" s="22" t="s">
        <v>17</v>
      </c>
      <c r="C13"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296</v>
      </c>
      <c r="D13"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-30</v>
      </c>
      <c r="E13"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3"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-130</v>
      </c>
      <c r="G13"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13</v>
      </c>
      <c r="H13"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12</v>
      </c>
      <c r="I13"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100</v>
      </c>
      <c r="J13"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100</v>
      </c>
      <c r="K13"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100</v>
      </c>
      <c r="L13"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100</v>
      </c>
      <c r="M13"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400</v>
      </c>
      <c r="N13"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400</v>
      </c>
      <c r="O13" s="23">
        <f>SUM(OfficeVariances[[#This Row],[Jan]:[Dec]])</f>
        <v>1376</v>
      </c>
      <c r="P13" s="6"/>
    </row>
    <row r="14" spans="1:17" ht="30" customHeight="1" x14ac:dyDescent="0.25">
      <c r="A14" s="6"/>
      <c r="B14" s="22" t="s">
        <v>18</v>
      </c>
      <c r="C14"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12</v>
      </c>
      <c r="D14"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22</v>
      </c>
      <c r="E14"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32</v>
      </c>
      <c r="F14"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v>
      </c>
      <c r="G14"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4"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10</v>
      </c>
      <c r="I14"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300</v>
      </c>
      <c r="J14"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300</v>
      </c>
      <c r="K14"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300</v>
      </c>
      <c r="L14"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300</v>
      </c>
      <c r="M14"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300</v>
      </c>
      <c r="N14"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300</v>
      </c>
      <c r="O14" s="23">
        <f>SUM(OfficeVariances[[#This Row],[Jan]:[Dec]])</f>
        <v>1871</v>
      </c>
      <c r="P14" s="6"/>
    </row>
    <row r="15" spans="1:17" ht="30" customHeight="1" x14ac:dyDescent="0.25">
      <c r="A15" s="6"/>
      <c r="B15" s="22" t="s">
        <v>19</v>
      </c>
      <c r="C15"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v>
      </c>
      <c r="D15"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7</v>
      </c>
      <c r="E15"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6</v>
      </c>
      <c r="F15"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4</v>
      </c>
      <c r="G15"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5"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v>
      </c>
      <c r="I15"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40</v>
      </c>
      <c r="J15"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40</v>
      </c>
      <c r="K15"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40</v>
      </c>
      <c r="L15"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40</v>
      </c>
      <c r="M15"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v>
      </c>
      <c r="N15"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v>
      </c>
      <c r="O15" s="23">
        <f>SUM(OfficeVariances[[#This Row],[Jan]:[Dec]])</f>
        <v>272</v>
      </c>
      <c r="P15" s="6"/>
    </row>
    <row r="16" spans="1:17" ht="30" customHeight="1" x14ac:dyDescent="0.25">
      <c r="A16" s="6"/>
      <c r="B16" s="22" t="s">
        <v>20</v>
      </c>
      <c r="C16"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26</v>
      </c>
      <c r="D16"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15</v>
      </c>
      <c r="E16"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6"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5</v>
      </c>
      <c r="G16"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v>
      </c>
      <c r="H16"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30</v>
      </c>
      <c r="I16"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250</v>
      </c>
      <c r="J16"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250</v>
      </c>
      <c r="K16"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250</v>
      </c>
      <c r="L16"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250</v>
      </c>
      <c r="M16"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250</v>
      </c>
      <c r="N16"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250</v>
      </c>
      <c r="O16" s="23">
        <f>SUM(OfficeVariances[[#This Row],[Jan]:[Dec]])</f>
        <v>1566</v>
      </c>
      <c r="P16" s="6"/>
    </row>
    <row r="17" spans="1:16" ht="30" customHeight="1" x14ac:dyDescent="0.25">
      <c r="A17" s="6"/>
      <c r="B17" s="22" t="s">
        <v>21</v>
      </c>
      <c r="C17"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7"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7"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7"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7"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7"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7"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180</v>
      </c>
      <c r="J17"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180</v>
      </c>
      <c r="K17"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180</v>
      </c>
      <c r="L17"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180</v>
      </c>
      <c r="M17"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180</v>
      </c>
      <c r="N17"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180</v>
      </c>
      <c r="O17" s="23">
        <f>SUM(OfficeVariances[[#This Row],[Jan]:[Dec]])</f>
        <v>1080</v>
      </c>
      <c r="P17" s="6"/>
    </row>
    <row r="18" spans="1:16" ht="30" customHeight="1" x14ac:dyDescent="0.25">
      <c r="A18" s="6"/>
      <c r="B18" s="22" t="s">
        <v>22</v>
      </c>
      <c r="C18"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-56</v>
      </c>
      <c r="D18"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58</v>
      </c>
      <c r="E18"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40</v>
      </c>
      <c r="F18"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-21</v>
      </c>
      <c r="G18"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-56</v>
      </c>
      <c r="H18"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-40</v>
      </c>
      <c r="I18"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200</v>
      </c>
      <c r="J18"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200</v>
      </c>
      <c r="K18"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200</v>
      </c>
      <c r="L18"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200</v>
      </c>
      <c r="M18"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200</v>
      </c>
      <c r="N18"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200</v>
      </c>
      <c r="O18" s="23">
        <f>SUM(OfficeVariances[[#This Row],[Jan]:[Dec]])</f>
        <v>1125</v>
      </c>
      <c r="P18" s="6"/>
    </row>
    <row r="19" spans="1:16" ht="30" customHeight="1" x14ac:dyDescent="0.25">
      <c r="A19" s="6"/>
      <c r="B19" s="22" t="s">
        <v>23</v>
      </c>
      <c r="C19"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9"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9"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9"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9"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9"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9"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600</v>
      </c>
      <c r="J19"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600</v>
      </c>
      <c r="K19"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600</v>
      </c>
      <c r="L19"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600</v>
      </c>
      <c r="M19"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600</v>
      </c>
      <c r="N19"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600</v>
      </c>
      <c r="O19" s="23">
        <f>SUM(OfficeVariances[[#This Row],[Jan]:[Dec]])</f>
        <v>3600</v>
      </c>
      <c r="P19" s="6"/>
    </row>
    <row r="20" spans="1:16" ht="30" customHeight="1" x14ac:dyDescent="0.25">
      <c r="A20" s="6"/>
      <c r="B20" s="22" t="s">
        <v>15</v>
      </c>
      <c r="C20" s="23">
        <f>SUBTOTAL(109,OfficeVariances[Jan])</f>
        <v>283</v>
      </c>
      <c r="D20" s="23">
        <f>SUBTOTAL(109,OfficeVariances[Feb])</f>
        <v>72</v>
      </c>
      <c r="E20" s="23">
        <f>SUBTOTAL(109,OfficeVariances[Mar])</f>
        <v>78</v>
      </c>
      <c r="F20" s="23">
        <f>SUBTOTAL(109,OfficeVariances[Apr])</f>
        <v>-141</v>
      </c>
      <c r="G20" s="23">
        <f>SUBTOTAL(109,OfficeVariances[May])</f>
        <v>-38</v>
      </c>
      <c r="H20" s="23">
        <f>SUBTOTAL(109,OfficeVariances[Jun])</f>
        <v>16</v>
      </c>
      <c r="I20" s="23">
        <f>SUBTOTAL(109,OfficeVariances[Jul])</f>
        <v>11470</v>
      </c>
      <c r="J20" s="23">
        <f>SUBTOTAL(109,OfficeVariances[Aug])</f>
        <v>11470</v>
      </c>
      <c r="K20" s="23">
        <f>SUBTOTAL(109,OfficeVariances[Sep])</f>
        <v>11470</v>
      </c>
      <c r="L20" s="23">
        <f>SUBTOTAL(109,OfficeVariances[Oct])</f>
        <v>11470</v>
      </c>
      <c r="M20" s="23">
        <f>SUBTOTAL(109,OfficeVariances[Nov])</f>
        <v>11770</v>
      </c>
      <c r="N20" s="23">
        <f>SUBTOTAL(109,OfficeVariances[Dec])</f>
        <v>11770</v>
      </c>
      <c r="O20" s="23">
        <f>SUBTOTAL(109,OfficeVariances[YEAR])</f>
        <v>69690</v>
      </c>
      <c r="P20" s="6"/>
    </row>
    <row r="21" spans="1:16" ht="30" customHeight="1" x14ac:dyDescent="0.25">
      <c r="A21" s="6"/>
      <c r="B21" s="52"/>
      <c r="C21" s="25"/>
      <c r="D21" s="50"/>
      <c r="E21" s="50"/>
      <c r="F21" s="53"/>
      <c r="G21" s="53"/>
      <c r="H21" s="53"/>
      <c r="I21" s="53"/>
      <c r="J21" s="53"/>
      <c r="K21" s="53"/>
      <c r="L21" s="53"/>
      <c r="M21" s="53"/>
      <c r="N21" s="53"/>
      <c r="O21" s="54"/>
      <c r="P21" s="6"/>
    </row>
    <row r="22" spans="1:16" s="48" customFormat="1" ht="40.25" customHeight="1" x14ac:dyDescent="0.3">
      <c r="A22" s="44"/>
      <c r="B22" s="21" t="s">
        <v>43</v>
      </c>
      <c r="C22" s="55" t="s">
        <v>0</v>
      </c>
      <c r="D22" s="55" t="s">
        <v>1</v>
      </c>
      <c r="E22" s="56" t="s">
        <v>2</v>
      </c>
      <c r="F22" s="55" t="s">
        <v>3</v>
      </c>
      <c r="G22" s="55" t="s">
        <v>4</v>
      </c>
      <c r="H22" s="55" t="s">
        <v>5</v>
      </c>
      <c r="I22" s="55" t="s">
        <v>6</v>
      </c>
      <c r="J22" s="55" t="s">
        <v>7</v>
      </c>
      <c r="K22" s="55" t="s">
        <v>8</v>
      </c>
      <c r="L22" s="55" t="s">
        <v>9</v>
      </c>
      <c r="M22" s="55" t="s">
        <v>10</v>
      </c>
      <c r="N22" s="55" t="s">
        <v>11</v>
      </c>
      <c r="O22" s="55" t="s">
        <v>12</v>
      </c>
      <c r="P22" s="44"/>
    </row>
    <row r="23" spans="1:16" ht="30" customHeight="1" x14ac:dyDescent="0.25">
      <c r="A23" s="6"/>
      <c r="B23" s="22" t="s">
        <v>24</v>
      </c>
      <c r="C23"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-500</v>
      </c>
      <c r="D23"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-500</v>
      </c>
      <c r="E23"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-500</v>
      </c>
      <c r="F23"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-500</v>
      </c>
      <c r="G23"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-500</v>
      </c>
      <c r="H23"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-500</v>
      </c>
      <c r="I23"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3"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3"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3"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3"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3"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3" s="23">
        <f>SUM(MarketingVariances[[#This Row],[Jan]:[Dec]])</f>
        <v>-3000</v>
      </c>
      <c r="P23" s="6"/>
    </row>
    <row r="24" spans="1:16" ht="30" customHeight="1" x14ac:dyDescent="0.25">
      <c r="A24" s="6"/>
      <c r="B24" s="22" t="s">
        <v>25</v>
      </c>
      <c r="C24"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4"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-200</v>
      </c>
      <c r="E24"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-200</v>
      </c>
      <c r="F24"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-200</v>
      </c>
      <c r="G24"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-200</v>
      </c>
      <c r="H24"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-1500</v>
      </c>
      <c r="I24"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4"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4"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4"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4"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4"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4" s="23">
        <f>SUM(MarketingVariances[[#This Row],[Jan]:[Dec]])</f>
        <v>-2500</v>
      </c>
      <c r="P24" s="6"/>
    </row>
    <row r="25" spans="1:16" ht="30" customHeight="1" x14ac:dyDescent="0.25">
      <c r="A25" s="6"/>
      <c r="B25" s="22" t="s">
        <v>26</v>
      </c>
      <c r="C25"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-4800</v>
      </c>
      <c r="D25"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5"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5"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-5500</v>
      </c>
      <c r="G25"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5"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5"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5"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5"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5"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5"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5"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5" s="23">
        <f>SUM(MarketingVariances[[#This Row],[Jan]:[Dec]])</f>
        <v>-10300</v>
      </c>
      <c r="P25" s="6"/>
    </row>
    <row r="26" spans="1:16" ht="30" customHeight="1" x14ac:dyDescent="0.25">
      <c r="A26" s="6"/>
      <c r="B26" s="22" t="s">
        <v>27</v>
      </c>
      <c r="C26"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-100</v>
      </c>
      <c r="D26"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-500</v>
      </c>
      <c r="E26"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-100</v>
      </c>
      <c r="F26"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-100</v>
      </c>
      <c r="G26"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-600</v>
      </c>
      <c r="H26"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-180</v>
      </c>
      <c r="I26"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6"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6"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6"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6"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6"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6" s="23">
        <f>SUM(MarketingVariances[[#This Row],[Jan]:[Dec]])</f>
        <v>-1580</v>
      </c>
      <c r="P26" s="6"/>
    </row>
    <row r="27" spans="1:16" ht="30" customHeight="1" x14ac:dyDescent="0.25">
      <c r="A27" s="6"/>
      <c r="B27" s="22" t="s">
        <v>28</v>
      </c>
      <c r="C27"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-1800</v>
      </c>
      <c r="D27"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-2200</v>
      </c>
      <c r="E27"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-2200</v>
      </c>
      <c r="F27"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-4700</v>
      </c>
      <c r="G27"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-1500</v>
      </c>
      <c r="H27"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-2300</v>
      </c>
      <c r="I27"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7"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7"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7"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7"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7"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7" s="23">
        <f>SUM(MarketingVariances[[#This Row],[Jan]:[Dec]])</f>
        <v>-14700</v>
      </c>
      <c r="P27" s="6"/>
    </row>
    <row r="28" spans="1:16" ht="30" customHeight="1" x14ac:dyDescent="0.25">
      <c r="A28" s="6"/>
      <c r="B28" s="22" t="s">
        <v>29</v>
      </c>
      <c r="C28"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-145</v>
      </c>
      <c r="D28"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-156</v>
      </c>
      <c r="E28"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-123</v>
      </c>
      <c r="F28"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-223</v>
      </c>
      <c r="G28"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-187</v>
      </c>
      <c r="H28"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-245</v>
      </c>
      <c r="I28"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8"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8"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8"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8"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8"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8" s="23">
        <f>SUM(MarketingVariances[[#This Row],[Jan]:[Dec]])</f>
        <v>-1079</v>
      </c>
      <c r="P28" s="6"/>
    </row>
    <row r="29" spans="1:16" ht="30" customHeight="1" x14ac:dyDescent="0.25">
      <c r="A29" s="6"/>
      <c r="B29" s="22" t="s">
        <v>15</v>
      </c>
      <c r="C29" s="23">
        <f>SUBTOTAL(109,MarketingVariances[Jan])</f>
        <v>-7545</v>
      </c>
      <c r="D29" s="23">
        <f>SUBTOTAL(109,MarketingVariances[Feb])</f>
        <v>-3556</v>
      </c>
      <c r="E29" s="23">
        <f>SUBTOTAL(109,MarketingVariances[Mar])</f>
        <v>-3123</v>
      </c>
      <c r="F29" s="23">
        <f>SUBTOTAL(109,MarketingVariances[Apr])</f>
        <v>-11223</v>
      </c>
      <c r="G29" s="23">
        <f>SUBTOTAL(109,MarketingVariances[May])</f>
        <v>-2987</v>
      </c>
      <c r="H29" s="23">
        <f>SUBTOTAL(109,MarketingVariances[Jun])</f>
        <v>-4725</v>
      </c>
      <c r="I29" s="23">
        <f>SUBTOTAL(109,MarketingVariances[Jul])</f>
        <v>0</v>
      </c>
      <c r="J29" s="23">
        <f>SUBTOTAL(109,MarketingVariances[Aug])</f>
        <v>0</v>
      </c>
      <c r="K29" s="23">
        <f>SUBTOTAL(109,MarketingVariances[Sep])</f>
        <v>0</v>
      </c>
      <c r="L29" s="23">
        <f>SUBTOTAL(109,MarketingVariances[Oct])</f>
        <v>0</v>
      </c>
      <c r="M29" s="23">
        <f>SUBTOTAL(109,MarketingVariances[Nov])</f>
        <v>0</v>
      </c>
      <c r="N29" s="23">
        <f>SUBTOTAL(109,MarketingVariances[Dec])</f>
        <v>0</v>
      </c>
      <c r="O29" s="23">
        <f>SUBTOTAL(109,MarketingVariances[YEAR])</f>
        <v>-33159</v>
      </c>
      <c r="P29" s="6"/>
    </row>
    <row r="30" spans="1:16" ht="30" customHeight="1" x14ac:dyDescent="0.25">
      <c r="A30" s="6"/>
      <c r="B30" s="49"/>
      <c r="C30" s="24"/>
      <c r="D30" s="53"/>
      <c r="E30" s="53"/>
      <c r="F30" s="53"/>
      <c r="G30" s="53"/>
      <c r="H30" s="53"/>
      <c r="I30" s="53"/>
      <c r="J30" s="53"/>
      <c r="K30" s="53"/>
      <c r="L30" s="53"/>
      <c r="M30" s="53"/>
      <c r="N30" s="53"/>
      <c r="O30" s="54"/>
      <c r="P30" s="6"/>
    </row>
    <row r="31" spans="1:16" s="48" customFormat="1" ht="40.25" customHeight="1" x14ac:dyDescent="0.3">
      <c r="A31" s="44"/>
      <c r="B31" s="21" t="s">
        <v>44</v>
      </c>
      <c r="C31" s="55" t="s">
        <v>0</v>
      </c>
      <c r="D31" s="55" t="s">
        <v>1</v>
      </c>
      <c r="E31" s="56" t="s">
        <v>2</v>
      </c>
      <c r="F31" s="55" t="s">
        <v>3</v>
      </c>
      <c r="G31" s="55" t="s">
        <v>4</v>
      </c>
      <c r="H31" s="55" t="s">
        <v>5</v>
      </c>
      <c r="I31" s="55" t="s">
        <v>6</v>
      </c>
      <c r="J31" s="55" t="s">
        <v>7</v>
      </c>
      <c r="K31" s="55" t="s">
        <v>8</v>
      </c>
      <c r="L31" s="55" t="s">
        <v>9</v>
      </c>
      <c r="M31" s="55" t="s">
        <v>10</v>
      </c>
      <c r="N31" s="55" t="s">
        <v>11</v>
      </c>
      <c r="O31" s="55" t="s">
        <v>12</v>
      </c>
      <c r="P31" s="44"/>
    </row>
    <row r="32" spans="1:16" ht="30" customHeight="1" x14ac:dyDescent="0.25">
      <c r="A32" s="6"/>
      <c r="B32" s="22" t="s">
        <v>30</v>
      </c>
      <c r="C32" s="23">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400</v>
      </c>
      <c r="D32" s="23">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-400</v>
      </c>
      <c r="E32" s="23">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2" s="23">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400</v>
      </c>
      <c r="G32" s="23">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800</v>
      </c>
      <c r="H32" s="23">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-800</v>
      </c>
      <c r="I32" s="23">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2" s="23">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2" s="23">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2" s="23">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2" s="23">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2" s="23">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2" s="23">
        <f>SUM(TrainingAndTravelVariances[[#This Row],[Jan]:[Dec]])</f>
        <v>13000</v>
      </c>
      <c r="P32" s="6"/>
    </row>
    <row r="33" spans="1:16" ht="30" customHeight="1" x14ac:dyDescent="0.25">
      <c r="A33" s="6"/>
      <c r="B33" s="22" t="s">
        <v>31</v>
      </c>
      <c r="C33" s="23">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800</v>
      </c>
      <c r="D33" s="23">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-200</v>
      </c>
      <c r="E33" s="23">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3" s="23">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800</v>
      </c>
      <c r="G33" s="23">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1200</v>
      </c>
      <c r="H33" s="23">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-1500</v>
      </c>
      <c r="I33" s="23">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3" s="23">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3" s="23">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3" s="23">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3" s="23">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3" s="23">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3" s="23">
        <f>SUM(TrainingAndTravelVariances[[#This Row],[Jan]:[Dec]])</f>
        <v>13700</v>
      </c>
      <c r="P33" s="6"/>
    </row>
    <row r="34" spans="1:16" ht="30" customHeight="1" x14ac:dyDescent="0.25">
      <c r="A34" s="6"/>
      <c r="B34" s="22" t="s">
        <v>15</v>
      </c>
      <c r="C34" s="23">
        <f>SUBTOTAL(109,TrainingAndTravelVariances[Jan])</f>
        <v>1200</v>
      </c>
      <c r="D34" s="23">
        <f>SUBTOTAL(109,TrainingAndTravelVariances[Feb])</f>
        <v>-600</v>
      </c>
      <c r="E34" s="23">
        <f>SUBTOTAL(109,TrainingAndTravelVariances[Mar])</f>
        <v>1200</v>
      </c>
      <c r="F34" s="23">
        <f>SUBTOTAL(109,TrainingAndTravelVariances[Apr])</f>
        <v>1200</v>
      </c>
      <c r="G34" s="23">
        <f>SUBTOTAL(109,TrainingAndTravelVariances[May])</f>
        <v>2000</v>
      </c>
      <c r="H34" s="23">
        <f>SUBTOTAL(109,TrainingAndTravelVariances[Jun])</f>
        <v>-2300</v>
      </c>
      <c r="I34" s="23">
        <f>SUBTOTAL(109,TrainingAndTravelVariances[Jul])</f>
        <v>4000</v>
      </c>
      <c r="J34" s="23">
        <f>SUBTOTAL(109,TrainingAndTravelVariances[Aug])</f>
        <v>4000</v>
      </c>
      <c r="K34" s="23">
        <f>SUBTOTAL(109,TrainingAndTravelVariances[Sep])</f>
        <v>4000</v>
      </c>
      <c r="L34" s="23">
        <f>SUBTOTAL(109,TrainingAndTravelVariances[Oct])</f>
        <v>4000</v>
      </c>
      <c r="M34" s="23">
        <f>SUBTOTAL(109,TrainingAndTravelVariances[Nov])</f>
        <v>4000</v>
      </c>
      <c r="N34" s="23">
        <f>SUBTOTAL(109,TrainingAndTravelVariances[Dec])</f>
        <v>4000</v>
      </c>
      <c r="O34" s="23">
        <f>SUBTOTAL(109,TrainingAndTravelVariances[YEAR])</f>
        <v>26700</v>
      </c>
      <c r="P34" s="6"/>
    </row>
    <row r="35" spans="1:16" ht="30" customHeight="1" x14ac:dyDescent="0.25">
      <c r="A35" s="6"/>
      <c r="B35" s="49"/>
      <c r="C35" s="24"/>
      <c r="D35" s="54"/>
      <c r="E35" s="54"/>
      <c r="F35" s="54"/>
      <c r="G35" s="54"/>
      <c r="H35" s="54"/>
      <c r="I35" s="54"/>
      <c r="J35" s="54"/>
      <c r="K35" s="54"/>
      <c r="L35" s="54"/>
      <c r="M35" s="54"/>
      <c r="N35" s="54"/>
      <c r="O35" s="54"/>
      <c r="P35" s="6"/>
    </row>
    <row r="36" spans="1:16" s="48" customFormat="1" ht="40.25" customHeight="1" x14ac:dyDescent="0.3">
      <c r="A36" s="44"/>
      <c r="B36" s="45" t="s">
        <v>54</v>
      </c>
      <c r="C36" s="46" t="s">
        <v>0</v>
      </c>
      <c r="D36" s="46" t="s">
        <v>1</v>
      </c>
      <c r="E36" s="46" t="s">
        <v>2</v>
      </c>
      <c r="F36" s="46" t="s">
        <v>3</v>
      </c>
      <c r="G36" s="46" t="s">
        <v>4</v>
      </c>
      <c r="H36" s="46" t="s">
        <v>5</v>
      </c>
      <c r="I36" s="46" t="s">
        <v>6</v>
      </c>
      <c r="J36" s="46" t="s">
        <v>7</v>
      </c>
      <c r="K36" s="46" t="s">
        <v>8</v>
      </c>
      <c r="L36" s="46" t="s">
        <v>9</v>
      </c>
      <c r="M36" s="46" t="s">
        <v>10</v>
      </c>
      <c r="N36" s="46" t="s">
        <v>11</v>
      </c>
      <c r="O36" s="46" t="s">
        <v>36</v>
      </c>
      <c r="P36" s="44"/>
    </row>
    <row r="37" spans="1:16" ht="30" customHeight="1" x14ac:dyDescent="0.25">
      <c r="A37" s="6"/>
      <c r="B37" s="22" t="s">
        <v>57</v>
      </c>
      <c r="C37" s="23">
        <f>TrainingAndTravelVariances[[#Totals],[Jan]]+MarketingVariances[[#Totals],[Jan]]+OfficeVariances[[#Totals],[Jan]]+EmployeeVariances[[#Totals],[Jan]]</f>
        <v>-6062</v>
      </c>
      <c r="D37" s="23">
        <f>TrainingAndTravelVariances[[#Totals],[Feb]]+MarketingVariances[[#Totals],[Feb]]+OfficeVariances[[#Totals],[Feb]]+EmployeeVariances[[#Totals],[Feb]]</f>
        <v>-4084</v>
      </c>
      <c r="E37" s="23">
        <f>TrainingAndTravelVariances[[#Totals],[Mar]]+MarketingVariances[[#Totals],[Mar]]+OfficeVariances[[#Totals],[Mar]]+EmployeeVariances[[#Totals],[Mar]]</f>
        <v>-1845</v>
      </c>
      <c r="F37" s="23">
        <f>TrainingAndTravelVariances[[#Totals],[Apr]]+MarketingVariances[[#Totals],[Apr]]+OfficeVariances[[#Totals],[Apr]]+EmployeeVariances[[#Totals],[Apr]]</f>
        <v>-10799</v>
      </c>
      <c r="G37" s="23">
        <f>TrainingAndTravelVariances[[#Totals],[May]]+MarketingVariances[[#Totals],[May]]+OfficeVariances[[#Totals],[May]]+EmployeeVariances[[#Totals],[May]]</f>
        <v>-1660</v>
      </c>
      <c r="H37" s="23">
        <f>TrainingAndTravelVariances[[#Totals],[Jun]]+MarketingVariances[[#Totals],[Jun]]+OfficeVariances[[#Totals],[Jun]]+EmployeeVariances[[#Totals],[Jun]]</f>
        <v>-7644</v>
      </c>
      <c r="I37" s="23">
        <f>TrainingAndTravelVariances[[#Totals],[Jul]]+MarketingVariances[[#Totals],[Jul]]+OfficeVariances[[#Totals],[Jul]]+EmployeeVariances[[#Totals],[Jul]]</f>
        <v>126595</v>
      </c>
      <c r="J37" s="23">
        <f>TrainingAndTravelVariances[[#Totals],[Aug]]+MarketingVariances[[#Totals],[Aug]]+OfficeVariances[[#Totals],[Aug]]+EmployeeVariances[[#Totals],[Aug]]</f>
        <v>132818</v>
      </c>
      <c r="K37" s="23">
        <f>TrainingAndTravelVariances[[#Totals],[Sep]]+MarketingVariances[[#Totals],[Sep]]+OfficeVariances[[#Totals],[Sep]]+EmployeeVariances[[#Totals],[Sep]]</f>
        <v>132818</v>
      </c>
      <c r="L37" s="23">
        <f>TrainingAndTravelVariances[[#Totals],[Oct]]+MarketingVariances[[#Totals],[Oct]]+OfficeVariances[[#Totals],[Oct]]+EmployeeVariances[[#Totals],[Oct]]</f>
        <v>132818</v>
      </c>
      <c r="M37" s="23">
        <f>TrainingAndTravelVariances[[#Totals],[Nov]]+MarketingVariances[[#Totals],[Nov]]+OfficeVariances[[#Totals],[Nov]]+EmployeeVariances[[#Totals],[Nov]]</f>
        <v>133118</v>
      </c>
      <c r="N37" s="23">
        <f>TrainingAndTravelVariances[[#Totals],[Dec]]+MarketingVariances[[#Totals],[Dec]]+OfficeVariances[[#Totals],[Dec]]+EmployeeVariances[[#Totals],[Dec]]</f>
        <v>133118</v>
      </c>
      <c r="O37" s="23">
        <f>TrainingAndTravelVariances[[#Totals],[YEAR]]+MarketingVariances[[#Totals],[YEAR]]+OfficeVariances[[#Totals],[YEAR]]+EmployeeVariances[[#Totals],[YEAR]]</f>
        <v>759191</v>
      </c>
      <c r="P37" s="6"/>
    </row>
    <row r="38" spans="1:16" ht="30" customHeight="1" x14ac:dyDescent="0.25">
      <c r="A38" s="6"/>
      <c r="B38" s="22" t="s">
        <v>58</v>
      </c>
      <c r="C38" s="23">
        <f>SUM($C$37:C37)</f>
        <v>-6062</v>
      </c>
      <c r="D38" s="23">
        <f>SUM($C$37:D37)</f>
        <v>-10146</v>
      </c>
      <c r="E38" s="23">
        <f>SUM($C$37:E37)</f>
        <v>-11991</v>
      </c>
      <c r="F38" s="23">
        <f>SUM($C$37:F37)</f>
        <v>-22790</v>
      </c>
      <c r="G38" s="23">
        <f>SUM($C$37:G37)</f>
        <v>-24450</v>
      </c>
      <c r="H38" s="23">
        <f>SUM($C$37:H37)</f>
        <v>-32094</v>
      </c>
      <c r="I38" s="23">
        <f>SUM($C$37:I37)</f>
        <v>94501</v>
      </c>
      <c r="J38" s="23">
        <f>SUM($C$37:J37)</f>
        <v>227319</v>
      </c>
      <c r="K38" s="23">
        <f>SUM($C$37:K37)</f>
        <v>360137</v>
      </c>
      <c r="L38" s="23">
        <f>SUM($C$37:L37)</f>
        <v>492955</v>
      </c>
      <c r="M38" s="23">
        <f>SUM($C$37:M37)</f>
        <v>626073</v>
      </c>
      <c r="N38" s="23">
        <f>SUM($C$37:N37)</f>
        <v>759191</v>
      </c>
      <c r="O38" s="23"/>
      <c r="P38" s="6"/>
    </row>
    <row r="39" spans="1:16" ht="30" customHeight="1" x14ac:dyDescent="0.25">
      <c r="A39" s="6"/>
      <c r="B39" s="37"/>
      <c r="C39" s="37"/>
      <c r="D39" s="37"/>
      <c r="E39" s="37"/>
      <c r="F39" s="37"/>
      <c r="G39" s="37"/>
      <c r="H39" s="37"/>
      <c r="I39" s="37"/>
      <c r="J39" s="37"/>
      <c r="K39" s="37"/>
      <c r="L39" s="37"/>
      <c r="M39" s="37"/>
      <c r="N39" s="37"/>
      <c r="O39" s="37"/>
      <c r="P39" s="6"/>
    </row>
  </sheetData>
  <mergeCells count="1">
    <mergeCell ref="B2:E3"/>
  </mergeCells>
  <conditionalFormatting sqref="C7:O9">
    <cfRule type="cellIs" dxfId="4" priority="5" operator="lessThan">
      <formula>0</formula>
    </cfRule>
  </conditionalFormatting>
  <conditionalFormatting sqref="C12:O20">
    <cfRule type="cellIs" dxfId="3" priority="4" operator="lessThan">
      <formula>0</formula>
    </cfRule>
  </conditionalFormatting>
  <conditionalFormatting sqref="C23:O29">
    <cfRule type="cellIs" dxfId="2" priority="3" operator="lessThan">
      <formula>0</formula>
    </cfRule>
  </conditionalFormatting>
  <conditionalFormatting sqref="C32:O34">
    <cfRule type="cellIs" dxfId="1" priority="2" operator="lessThan">
      <formula>0</formula>
    </cfRule>
  </conditionalFormatting>
  <conditionalFormatting sqref="C37:O38">
    <cfRule type="cellIs" dxfId="0" priority="1" operator="lessThan">
      <formula>0</formula>
    </cfRule>
  </conditionalFormatting>
  <dataValidations count="7">
    <dataValidation allowBlank="1" showInputMessage="1" showErrorMessage="1" prompt="Variance in Employee Costs is auto calculated in Employee Variances table starting in cell at right. Next instruction is in cell A11." sqref="A6" xr:uid="{839F8F2D-41ED-4FCE-836B-A98A823A57CC}"/>
    <dataValidation allowBlank="1" showInputMessage="1" showErrorMessage="1" prompt="Variance in Office Costs is auto calculated in Office Variances table starting in cell at right. Next instruction is in cell A22." sqref="A11" xr:uid="{27073073-4E55-44AA-82CF-0E84E7DE56D1}"/>
    <dataValidation allowBlank="1" showInputMessage="1" showErrorMessage="1" prompt="Variance in Marketing Costs is auto calculated in Marketing Variances table starting in cell at right. Next instruction is in cell A31." sqref="A22" xr:uid="{DE322E29-78F0-4CAC-A794-538FBE82A952}"/>
    <dataValidation allowBlank="1" showInputMessage="1" showErrorMessage="1" prompt="Variance in Training or Travel Costs is auto calculated in Training and Travel Variances table starting in cell at right. Next instruction is in cell A36." sqref="A31" xr:uid="{E7DC2698-49F1-46FA-BC02-81CE67BF794B}"/>
    <dataValidation allowBlank="1" showInputMessage="1" showErrorMessage="1" prompt="Expense Variances are auto calculated in Total Variance table starting in cell at right." sqref="A36" xr:uid="{96167FAC-0878-4372-B9C2-FE529C7ABF6D}"/>
    <dataValidation allowBlank="1" showInputMessage="1" showErrorMessage="1" prompt="Variances between planned and actual expenses are auto calculated in this worksheet. Instructions on how to use this worksheet are in cells in this column. Arrow down to get started." sqref="A1" xr:uid="{C935014E-97FD-4DC5-8990-FFCC7A693081}"/>
    <dataValidation allowBlank="1" showInputMessage="1" showErrorMessage="1" prompt="Company Name is auto updated in cell at right. Title of this worksheet is in cell O2. Replace placeholder with your company logo." sqref="A2" xr:uid="{57B73C52-31F4-4684-BD7A-6EE726848A7C}"/>
  </dataValidations>
  <printOptions horizontalCentered="1"/>
  <pageMargins left="0.4" right="0.4" top="0.4" bottom="0.4" header="0.3" footer="0.3"/>
  <pageSetup scale="53" fitToHeight="0" orientation="landscape" r:id="rId1"/>
  <headerFooter differentFirst="1">
    <oddFooter>Page &amp;P of &amp;N</oddFooter>
  </headerFooter>
  <ignoredErrors>
    <ignoredError sqref="C37:O38" calculatedColumn="1"/>
  </ignoredErrors>
  <drawing r:id="rId2"/>
  <tableParts count="5">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79998168889431442"/>
    <pageSetUpPr autoPageBreaks="0" fitToPage="1"/>
  </sheetPr>
  <dimension ref="A1:G37"/>
  <sheetViews>
    <sheetView showGridLines="0" zoomScaleNormal="100" workbookViewId="0"/>
  </sheetViews>
  <sheetFormatPr baseColWidth="10" defaultColWidth="8.83203125" defaultRowHeight="19" x14ac:dyDescent="0.25"/>
  <cols>
    <col min="1" max="1" width="4" style="80" customWidth="1"/>
    <col min="2" max="2" width="36.6640625" style="72" customWidth="1"/>
    <col min="3" max="5" width="28.6640625" style="72" customWidth="1"/>
    <col min="6" max="6" width="28.6640625" style="83" customWidth="1"/>
    <col min="7" max="7" width="4" style="60" customWidth="1"/>
    <col min="8" max="16384" width="8.83203125" style="72"/>
  </cols>
  <sheetData>
    <row r="1" spans="1:7" s="60" customFormat="1" ht="20" customHeight="1" x14ac:dyDescent="0.25">
      <c r="A1" s="57"/>
      <c r="B1" s="58"/>
      <c r="C1" s="58"/>
      <c r="D1" s="58"/>
      <c r="E1" s="58"/>
      <c r="F1" s="59"/>
      <c r="G1" s="58"/>
    </row>
    <row r="2" spans="1:7" s="60" customFormat="1" ht="100.25" customHeight="1" x14ac:dyDescent="0.3">
      <c r="A2" s="2"/>
      <c r="B2" s="87" t="str">
        <f>'PLANNED EXPENSES'!B2:D3</f>
        <v>SBO Banking</v>
      </c>
      <c r="C2" s="87"/>
      <c r="D2" s="87"/>
      <c r="E2" s="61"/>
      <c r="F2" s="62"/>
      <c r="G2" s="63"/>
    </row>
    <row r="3" spans="1:7" s="60" customFormat="1" ht="20" customHeight="1" x14ac:dyDescent="0.3">
      <c r="A3" s="57"/>
      <c r="B3" s="87"/>
      <c r="C3" s="87"/>
      <c r="D3" s="87"/>
      <c r="E3" s="62"/>
      <c r="F3" s="64" t="s">
        <v>39</v>
      </c>
      <c r="G3" s="62"/>
    </row>
    <row r="4" spans="1:7" s="60" customFormat="1" ht="30" customHeight="1" x14ac:dyDescent="0.25">
      <c r="A4" s="57"/>
      <c r="B4" s="65"/>
      <c r="C4" s="65"/>
      <c r="D4" s="65"/>
      <c r="E4" s="62"/>
      <c r="F4" s="66"/>
      <c r="G4" s="62"/>
    </row>
    <row r="5" spans="1:7" s="69" customFormat="1" ht="40.25" customHeight="1" x14ac:dyDescent="0.3">
      <c r="A5" s="57"/>
      <c r="B5" s="67" t="s">
        <v>49</v>
      </c>
      <c r="C5" s="68" t="s">
        <v>50</v>
      </c>
      <c r="D5" s="68" t="s">
        <v>51</v>
      </c>
      <c r="E5" s="68" t="s">
        <v>52</v>
      </c>
      <c r="F5" s="68" t="s">
        <v>53</v>
      </c>
      <c r="G5" s="62"/>
    </row>
    <row r="6" spans="1:7" ht="30" customHeight="1" x14ac:dyDescent="0.25">
      <c r="A6" s="57"/>
      <c r="B6" s="22" t="s">
        <v>41</v>
      </c>
      <c r="C6" s="70">
        <f>EmployeePlan[[#Totals],[YEAR]]</f>
        <v>1355090</v>
      </c>
      <c r="D6" s="70">
        <f>EmployeeActual[[#Totals],[YEAR]]</f>
        <v>659130</v>
      </c>
      <c r="E6" s="70">
        <f>C6-D6</f>
        <v>695960</v>
      </c>
      <c r="F6" s="71">
        <f>E6/C6</f>
        <v>0.5135895032802249</v>
      </c>
      <c r="G6" s="62"/>
    </row>
    <row r="7" spans="1:7" ht="30" customHeight="1" x14ac:dyDescent="0.25">
      <c r="A7" s="57"/>
      <c r="B7" s="22" t="str">
        <f>'PLANNED EXPENSES'!B11</f>
        <v>Office costs</v>
      </c>
      <c r="C7" s="70">
        <f>OfficePlan[[#Totals],[YEAR]]</f>
        <v>139040</v>
      </c>
      <c r="D7" s="70">
        <f>OfficeActual[[#Totals],[YEAR]]</f>
        <v>69350</v>
      </c>
      <c r="E7" s="70">
        <f>C7-D7</f>
        <v>69690</v>
      </c>
      <c r="F7" s="71">
        <f>E7/C7</f>
        <v>0.50122266973532792</v>
      </c>
      <c r="G7" s="62"/>
    </row>
    <row r="8" spans="1:7" ht="30" customHeight="1" x14ac:dyDescent="0.25">
      <c r="A8" s="57"/>
      <c r="B8" s="22" t="str">
        <f>'PLANNED EXPENSES'!B22</f>
        <v>Marketing costs</v>
      </c>
      <c r="C8" s="70">
        <f>MarketingPlan[[#Totals],[YEAR]]</f>
        <v>0</v>
      </c>
      <c r="D8" s="70">
        <f>MarketingActual[[#Totals],[YEAR]]</f>
        <v>33159</v>
      </c>
      <c r="E8" s="70">
        <f>C8-D8</f>
        <v>-33159</v>
      </c>
      <c r="F8" s="71" t="e">
        <f>E8/C8</f>
        <v>#DIV/0!</v>
      </c>
      <c r="G8" s="62"/>
    </row>
    <row r="9" spans="1:7" ht="30" customHeight="1" x14ac:dyDescent="0.25">
      <c r="A9" s="57"/>
      <c r="B9" s="22" t="str">
        <f>'PLANNED EXPENSES'!B31</f>
        <v>Training/travel</v>
      </c>
      <c r="C9" s="70">
        <f>TrainingAndTravelPlan[[#Totals],[YEAR]]</f>
        <v>48000</v>
      </c>
      <c r="D9" s="70">
        <f>TrainingAndTravelActual[[#Totals],[YEAR]]</f>
        <v>21300</v>
      </c>
      <c r="E9" s="70">
        <f>C9-D9</f>
        <v>26700</v>
      </c>
      <c r="F9" s="71">
        <f>E9/C9</f>
        <v>0.55625000000000002</v>
      </c>
      <c r="G9" s="62"/>
    </row>
    <row r="10" spans="1:7" ht="30" customHeight="1" x14ac:dyDescent="0.25">
      <c r="A10" s="57"/>
      <c r="B10" s="22" t="str">
        <f>'PLANNED EXPENSES'!B36</f>
        <v>Totals</v>
      </c>
      <c r="C10" s="70">
        <f>'PLANNED EXPENSES'!O37</f>
        <v>1542130</v>
      </c>
      <c r="D10" s="70">
        <f>'ACTUAL EXPENSES'!O37</f>
        <v>782939</v>
      </c>
      <c r="E10" s="70">
        <f>C10-D10</f>
        <v>759191</v>
      </c>
      <c r="F10" s="71">
        <f>E10/C10</f>
        <v>0.49230026002995858</v>
      </c>
      <c r="G10" s="62"/>
    </row>
    <row r="11" spans="1:7" ht="21" customHeight="1" x14ac:dyDescent="0.25">
      <c r="A11" s="57"/>
      <c r="B11" s="73"/>
      <c r="C11" s="74"/>
      <c r="D11" s="74"/>
      <c r="E11" s="74"/>
      <c r="F11" s="75"/>
      <c r="G11" s="62"/>
    </row>
    <row r="12" spans="1:7" ht="300" customHeight="1" x14ac:dyDescent="0.25">
      <c r="A12" s="57"/>
      <c r="B12" s="77"/>
      <c r="C12" s="77"/>
      <c r="D12" s="77"/>
      <c r="E12" s="77"/>
      <c r="F12" s="77"/>
      <c r="G12" s="62"/>
    </row>
    <row r="13" spans="1:7" ht="18.75" customHeight="1" x14ac:dyDescent="0.25">
      <c r="A13" s="57"/>
      <c r="B13" s="76"/>
      <c r="C13" s="77"/>
      <c r="D13" s="77"/>
      <c r="E13" s="77"/>
      <c r="F13" s="78"/>
      <c r="G13" s="62"/>
    </row>
    <row r="14" spans="1:7" ht="21" customHeight="1" x14ac:dyDescent="0.25">
      <c r="A14" s="57"/>
      <c r="B14" s="76"/>
      <c r="C14" s="79"/>
      <c r="D14" s="79"/>
      <c r="E14" s="79"/>
      <c r="F14" s="78"/>
      <c r="G14" s="62"/>
    </row>
    <row r="15" spans="1:7" ht="24" customHeight="1" x14ac:dyDescent="0.25">
      <c r="A15" s="57"/>
      <c r="B15" s="76"/>
      <c r="C15" s="79"/>
      <c r="D15" s="79"/>
      <c r="E15" s="79"/>
      <c r="F15" s="78"/>
      <c r="G15" s="62"/>
    </row>
    <row r="16" spans="1:7" ht="24" customHeight="1" x14ac:dyDescent="0.25">
      <c r="A16" s="57"/>
      <c r="B16" s="76"/>
      <c r="C16" s="79"/>
      <c r="D16" s="79"/>
      <c r="E16" s="79"/>
      <c r="F16" s="78"/>
      <c r="G16" s="62"/>
    </row>
    <row r="17" spans="1:7" ht="24" customHeight="1" x14ac:dyDescent="0.25">
      <c r="A17" s="57"/>
      <c r="B17" s="76"/>
      <c r="C17" s="79"/>
      <c r="D17" s="79"/>
      <c r="E17" s="79"/>
      <c r="F17" s="78"/>
      <c r="G17" s="62"/>
    </row>
    <row r="18" spans="1:7" ht="24" customHeight="1" x14ac:dyDescent="0.25">
      <c r="A18" s="57"/>
      <c r="B18" s="76"/>
      <c r="C18" s="79"/>
      <c r="D18" s="79"/>
      <c r="E18" s="79"/>
      <c r="F18" s="78"/>
      <c r="G18" s="62"/>
    </row>
    <row r="19" spans="1:7" ht="24" customHeight="1" x14ac:dyDescent="0.25">
      <c r="A19" s="57"/>
      <c r="B19" s="79"/>
      <c r="C19" s="79"/>
      <c r="D19" s="79"/>
      <c r="E19" s="79"/>
      <c r="F19" s="78"/>
      <c r="G19" s="62"/>
    </row>
    <row r="20" spans="1:7" ht="24" customHeight="1" x14ac:dyDescent="0.25">
      <c r="A20" s="57"/>
      <c r="B20" s="79"/>
      <c r="C20" s="79"/>
      <c r="D20" s="79"/>
      <c r="E20" s="79"/>
      <c r="F20" s="78"/>
      <c r="G20" s="62"/>
    </row>
    <row r="21" spans="1:7" ht="24" customHeight="1" x14ac:dyDescent="0.25">
      <c r="A21" s="57"/>
      <c r="B21" s="79"/>
      <c r="C21" s="79"/>
      <c r="D21" s="79"/>
      <c r="E21" s="79"/>
      <c r="F21" s="78"/>
      <c r="G21" s="62"/>
    </row>
    <row r="22" spans="1:7" ht="24" customHeight="1" x14ac:dyDescent="0.25">
      <c r="A22" s="57"/>
      <c r="B22" s="76"/>
      <c r="C22" s="79"/>
      <c r="D22" s="79"/>
      <c r="E22" s="79"/>
      <c r="F22" s="78"/>
      <c r="G22" s="62"/>
    </row>
    <row r="23" spans="1:7" ht="24" customHeight="1" x14ac:dyDescent="0.25">
      <c r="A23" s="57"/>
      <c r="B23" s="76"/>
      <c r="C23" s="79"/>
      <c r="D23" s="79"/>
      <c r="E23" s="79"/>
      <c r="F23" s="78"/>
      <c r="G23" s="62"/>
    </row>
    <row r="24" spans="1:7" ht="24" customHeight="1" x14ac:dyDescent="0.25">
      <c r="A24" s="57"/>
      <c r="B24" s="76"/>
      <c r="C24" s="79"/>
      <c r="D24" s="79"/>
      <c r="E24" s="79"/>
      <c r="F24" s="78"/>
      <c r="G24" s="62"/>
    </row>
    <row r="25" spans="1:7" ht="24" customHeight="1" x14ac:dyDescent="0.25">
      <c r="A25" s="57"/>
      <c r="B25" s="76"/>
      <c r="C25" s="79"/>
      <c r="D25" s="79"/>
      <c r="E25" s="79"/>
      <c r="F25" s="78"/>
      <c r="G25" s="62"/>
    </row>
    <row r="26" spans="1:7" ht="24" customHeight="1" x14ac:dyDescent="0.25">
      <c r="A26" s="57"/>
      <c r="B26" s="76"/>
      <c r="C26" s="79"/>
      <c r="D26" s="79"/>
      <c r="E26" s="79"/>
      <c r="F26" s="78"/>
      <c r="G26" s="62"/>
    </row>
    <row r="27" spans="1:7" ht="24" customHeight="1" x14ac:dyDescent="0.25">
      <c r="A27" s="57"/>
      <c r="B27" s="76"/>
      <c r="C27" s="79"/>
      <c r="D27" s="79"/>
      <c r="E27" s="79"/>
      <c r="F27" s="78"/>
      <c r="G27" s="62"/>
    </row>
    <row r="28" spans="1:7" ht="24" customHeight="1" x14ac:dyDescent="0.25">
      <c r="A28" s="57"/>
      <c r="B28" s="79"/>
      <c r="C28" s="79"/>
      <c r="D28" s="79"/>
      <c r="E28" s="79"/>
      <c r="F28" s="78"/>
      <c r="G28" s="62"/>
    </row>
    <row r="29" spans="1:7" ht="24" customHeight="1" x14ac:dyDescent="0.25">
      <c r="A29" s="57"/>
      <c r="B29" s="79"/>
      <c r="C29" s="79"/>
      <c r="D29" s="79"/>
      <c r="E29" s="79"/>
      <c r="F29" s="78"/>
      <c r="G29" s="62"/>
    </row>
    <row r="30" spans="1:7" ht="24" customHeight="1" x14ac:dyDescent="0.25">
      <c r="A30" s="57"/>
      <c r="B30" s="79"/>
      <c r="C30" s="79"/>
      <c r="D30" s="79"/>
      <c r="E30" s="79"/>
      <c r="F30" s="78"/>
      <c r="G30" s="62"/>
    </row>
    <row r="31" spans="1:7" ht="24" customHeight="1" x14ac:dyDescent="0.25">
      <c r="A31" s="57"/>
      <c r="B31" s="76"/>
      <c r="C31" s="79"/>
      <c r="D31" s="79"/>
      <c r="E31" s="79"/>
      <c r="F31" s="78"/>
      <c r="G31" s="62"/>
    </row>
    <row r="32" spans="1:7" ht="24" customHeight="1" x14ac:dyDescent="0.25">
      <c r="A32" s="57"/>
      <c r="B32" s="76"/>
      <c r="C32" s="79"/>
      <c r="D32" s="79"/>
      <c r="E32" s="79"/>
      <c r="F32" s="78"/>
      <c r="G32" s="62"/>
    </row>
    <row r="33" spans="1:7" ht="24" customHeight="1" x14ac:dyDescent="0.25">
      <c r="A33" s="57"/>
      <c r="B33" s="79"/>
      <c r="C33" s="79"/>
      <c r="D33" s="79"/>
      <c r="E33" s="79"/>
      <c r="F33" s="78"/>
      <c r="G33" s="62"/>
    </row>
    <row r="34" spans="1:7" ht="24" customHeight="1" x14ac:dyDescent="0.25">
      <c r="A34" s="57"/>
      <c r="B34" s="79"/>
      <c r="C34" s="79"/>
      <c r="D34" s="79"/>
      <c r="E34" s="79"/>
      <c r="F34" s="78"/>
      <c r="G34" s="62"/>
    </row>
    <row r="35" spans="1:7" ht="24" customHeight="1" x14ac:dyDescent="0.25">
      <c r="A35" s="57"/>
      <c r="B35" s="79"/>
      <c r="C35" s="79"/>
      <c r="D35" s="79"/>
      <c r="E35" s="79"/>
      <c r="F35" s="78"/>
      <c r="G35" s="62"/>
    </row>
    <row r="36" spans="1:7" ht="30" customHeight="1" x14ac:dyDescent="0.25">
      <c r="A36" s="57"/>
      <c r="B36" s="77"/>
      <c r="C36" s="77"/>
      <c r="D36" s="77"/>
      <c r="E36" s="77"/>
      <c r="F36" s="77"/>
      <c r="G36" s="62"/>
    </row>
    <row r="37" spans="1:7" x14ac:dyDescent="0.25">
      <c r="B37" s="81"/>
      <c r="C37" s="82"/>
      <c r="D37" s="82"/>
      <c r="E37" s="82"/>
    </row>
  </sheetData>
  <mergeCells count="1">
    <mergeCell ref="B2:D3"/>
  </mergeCells>
  <dataValidations count="2">
    <dataValidation allowBlank="1" showInputMessage="1" showErrorMessage="1" prompt="Annual Planned and Actual Expenses, Expense Variances, and Variance Percentage are auto updated for each Expense Category in this worksheet. Helpful instructions on how to use this worksheet are in cells in this column. Arrow down to get started. " sqref="A1" xr:uid="{2B6B986C-CF09-4535-B287-5D9961D543F9}"/>
    <dataValidation allowBlank="1" showInputMessage="1" showErrorMessage="1" prompt="Company Name is auto updated in cell at right. Title of this worksheet is in cell F3. Replace placeholder with your company logo." sqref="A2" xr:uid="{34FA545A-2928-4DDD-AA08-3DEB5E480515}"/>
  </dataValidations>
  <printOptions horizontalCentered="1"/>
  <pageMargins left="0.4" right="0.4" top="0.4" bottom="0.4" header="0.3" footer="0.3"/>
  <pageSetup scale="59" orientation="portrait" r:id="rId1"/>
  <ignoredErrors>
    <ignoredError sqref="B2" emptyCellReference="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7417B8-43FB-4999-BFE6-B710D6ECA9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D0EDEB-BA17-43F5-8D69-6EC61D8A61BD}">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84E3577-8F01-4D85-8BF1-A9424A3C79A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TM04035489</Template>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START</vt:lpstr>
      <vt:lpstr>PLANNED EXPENSES</vt:lpstr>
      <vt:lpstr>Forecast Expenses Database</vt:lpstr>
      <vt:lpstr>Actuals Expenses Database</vt:lpstr>
      <vt:lpstr>Actuals vs Forecast</vt:lpstr>
      <vt:lpstr>ACTUAL EXPENSES</vt:lpstr>
      <vt:lpstr>EXPENSE VARIANCES</vt:lpstr>
      <vt:lpstr>EXPENSE ANALYSIS</vt:lpstr>
      <vt:lpstr>worksheet_title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Sebastian Bravo</cp:lastModifiedBy>
  <dcterms:created xsi:type="dcterms:W3CDTF">2023-08-07T14:21:33Z</dcterms:created>
  <dcterms:modified xsi:type="dcterms:W3CDTF">2024-10-14T02:18:31Z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