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K:\4.05.BIP\JOURNEE_NATIONALE_RESILIENCE\AAP 2023\7. Tableau de bord JNR\"/>
    </mc:Choice>
  </mc:AlternateContent>
  <xr:revisionPtr revIDLastSave="0" documentId="13_ncr:1_{CF94EAEE-FF02-4AD3-93FB-2C6E6EDE53E5}" xr6:coauthVersionLast="47" xr6:coauthVersionMax="47" xr10:uidLastSave="{00000000-0000-0000-0000-000000000000}"/>
  <bookViews>
    <workbookView xWindow="-120" yWindow="-120" windowWidth="29040" windowHeight="15840" firstSheet="8" activeTab="12" xr2:uid="{00000000-000D-0000-FFFF-FFFF00000000}"/>
  </bookViews>
  <sheets>
    <sheet name="Dossiers" sheetId="1" r:id="rId1"/>
    <sheet name="Etablissements" sheetId="2" r:id="rId2"/>
    <sheet name="Avis" sheetId="3" r:id="rId3"/>
    <sheet name="(3286580) Co-porteur de projet" sheetId="4" r:id="rId4"/>
    <sheet name="(3344502) Action" sheetId="5" r:id="rId5"/>
    <sheet name="(3308253) Action" sheetId="6" r:id="rId6"/>
    <sheet name="(3308215) Localisation" sheetId="7" r:id="rId7"/>
    <sheet name="(2220045) Criteres d'eligibili" sheetId="8" r:id="rId8"/>
    <sheet name="(2218489) Analyse du critere n" sheetId="9" r:id="rId9"/>
    <sheet name="(2218492) Pertinence du projet" sheetId="10" r:id="rId10"/>
    <sheet name="(2636179) Analyse du critere n" sheetId="11" r:id="rId11"/>
    <sheet name="(2218493) Avis" sheetId="12" r:id="rId12"/>
    <sheet name="Feuil1" sheetId="15" r:id="rId13"/>
    <sheet name="Feuil6" sheetId="18"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1" i="15" l="1"/>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C179" i="15"/>
  <c r="C178" i="15"/>
  <c r="C177" i="15"/>
  <c r="D177" i="15" s="1"/>
  <c r="C176" i="15"/>
  <c r="D176" i="15" s="1"/>
  <c r="C175" i="15"/>
  <c r="C174" i="15"/>
  <c r="C173" i="15"/>
  <c r="C172" i="15"/>
  <c r="C171" i="15"/>
  <c r="C170" i="15"/>
  <c r="C169" i="15"/>
  <c r="B179" i="15"/>
  <c r="B178" i="15"/>
  <c r="B177" i="15"/>
  <c r="B176" i="15"/>
  <c r="B175" i="15"/>
  <c r="B174" i="15"/>
  <c r="B173" i="15"/>
  <c r="B172" i="15"/>
  <c r="B171" i="15"/>
  <c r="B170" i="15"/>
  <c r="B169" i="15"/>
  <c r="D75" i="15"/>
  <c r="D79" i="15"/>
  <c r="D87" i="15"/>
  <c r="D91" i="15"/>
  <c r="D99" i="15"/>
  <c r="D103" i="15"/>
  <c r="D111" i="15"/>
  <c r="D115" i="15"/>
  <c r="D123" i="15"/>
  <c r="D127" i="15"/>
  <c r="D135" i="15"/>
  <c r="D139" i="15"/>
  <c r="D140" i="15"/>
  <c r="D147" i="15"/>
  <c r="D151" i="15"/>
  <c r="D152" i="15"/>
  <c r="D157" i="15"/>
  <c r="D159" i="15"/>
  <c r="D163" i="15"/>
  <c r="D164"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B168" i="15"/>
  <c r="D168" i="15" s="1"/>
  <c r="B167" i="15"/>
  <c r="D167" i="15" s="1"/>
  <c r="B166" i="15"/>
  <c r="D166" i="15" s="1"/>
  <c r="B165" i="15"/>
  <c r="D165" i="15" s="1"/>
  <c r="B164" i="15"/>
  <c r="B163" i="15"/>
  <c r="B162" i="15"/>
  <c r="D162" i="15" s="1"/>
  <c r="B161" i="15"/>
  <c r="D161" i="15" s="1"/>
  <c r="B160" i="15"/>
  <c r="D160" i="15" s="1"/>
  <c r="B159" i="15"/>
  <c r="B158" i="15"/>
  <c r="D158" i="15" s="1"/>
  <c r="B157" i="15"/>
  <c r="B156" i="15"/>
  <c r="D156" i="15" s="1"/>
  <c r="B155" i="15"/>
  <c r="D155" i="15" s="1"/>
  <c r="B154" i="15"/>
  <c r="D154" i="15" s="1"/>
  <c r="B153" i="15"/>
  <c r="D153" i="15" s="1"/>
  <c r="B152" i="15"/>
  <c r="B151" i="15"/>
  <c r="B150" i="15"/>
  <c r="D150" i="15" s="1"/>
  <c r="B149" i="15"/>
  <c r="D149" i="15" s="1"/>
  <c r="B148" i="15"/>
  <c r="D148" i="15" s="1"/>
  <c r="B147" i="15"/>
  <c r="B146" i="15"/>
  <c r="D146" i="15" s="1"/>
  <c r="B145" i="15"/>
  <c r="D145" i="15" s="1"/>
  <c r="B144" i="15"/>
  <c r="D144" i="15" s="1"/>
  <c r="B143" i="15"/>
  <c r="D143" i="15" s="1"/>
  <c r="B142" i="15"/>
  <c r="D142" i="15" s="1"/>
  <c r="B141" i="15"/>
  <c r="D141" i="15" s="1"/>
  <c r="B140" i="15"/>
  <c r="B139" i="15"/>
  <c r="B138" i="15"/>
  <c r="D138" i="15" s="1"/>
  <c r="B137" i="15"/>
  <c r="D137" i="15" s="1"/>
  <c r="B136" i="15"/>
  <c r="D136" i="15" s="1"/>
  <c r="B135" i="15"/>
  <c r="B134" i="15"/>
  <c r="D134" i="15" s="1"/>
  <c r="B133" i="15"/>
  <c r="D133" i="15" s="1"/>
  <c r="B132" i="15"/>
  <c r="D132" i="15" s="1"/>
  <c r="B131" i="15"/>
  <c r="D131" i="15" s="1"/>
  <c r="B130" i="15"/>
  <c r="D130" i="15" s="1"/>
  <c r="B129" i="15"/>
  <c r="D129" i="15" s="1"/>
  <c r="B128" i="15"/>
  <c r="D128" i="15" s="1"/>
  <c r="B127" i="15"/>
  <c r="B126" i="15"/>
  <c r="D126" i="15" s="1"/>
  <c r="B125" i="15"/>
  <c r="D125" i="15" s="1"/>
  <c r="B124" i="15"/>
  <c r="D124" i="15" s="1"/>
  <c r="B123" i="15"/>
  <c r="B122" i="15"/>
  <c r="D122" i="15" s="1"/>
  <c r="B121" i="15"/>
  <c r="D121" i="15" s="1"/>
  <c r="B120" i="15"/>
  <c r="D120" i="15" s="1"/>
  <c r="B119" i="15"/>
  <c r="D119" i="15" s="1"/>
  <c r="B118" i="15"/>
  <c r="D118" i="15" s="1"/>
  <c r="B117" i="15"/>
  <c r="D117" i="15" s="1"/>
  <c r="B116" i="15"/>
  <c r="D116" i="15" s="1"/>
  <c r="B115" i="15"/>
  <c r="B114" i="15"/>
  <c r="D114" i="15" s="1"/>
  <c r="B113" i="15"/>
  <c r="D113" i="15" s="1"/>
  <c r="B112" i="15"/>
  <c r="D112" i="15" s="1"/>
  <c r="B111" i="15"/>
  <c r="B110" i="15"/>
  <c r="D110" i="15" s="1"/>
  <c r="B109" i="15"/>
  <c r="D109" i="15" s="1"/>
  <c r="B108" i="15"/>
  <c r="D108" i="15" s="1"/>
  <c r="B107" i="15"/>
  <c r="D107" i="15" s="1"/>
  <c r="B106" i="15"/>
  <c r="D106" i="15" s="1"/>
  <c r="B105" i="15"/>
  <c r="D105" i="15" s="1"/>
  <c r="B104" i="15"/>
  <c r="D104" i="15" s="1"/>
  <c r="B103" i="15"/>
  <c r="B102" i="15"/>
  <c r="D102" i="15" s="1"/>
  <c r="B101" i="15"/>
  <c r="D101" i="15" s="1"/>
  <c r="B100" i="15"/>
  <c r="D100" i="15" s="1"/>
  <c r="B99" i="15"/>
  <c r="B98" i="15"/>
  <c r="D98" i="15" s="1"/>
  <c r="B97" i="15"/>
  <c r="D97" i="15" s="1"/>
  <c r="B96" i="15"/>
  <c r="D96" i="15" s="1"/>
  <c r="B95" i="15"/>
  <c r="D95" i="15" s="1"/>
  <c r="B94" i="15"/>
  <c r="D94" i="15" s="1"/>
  <c r="B93" i="15"/>
  <c r="D93" i="15" s="1"/>
  <c r="B92" i="15"/>
  <c r="D92" i="15" s="1"/>
  <c r="B91" i="15"/>
  <c r="B90" i="15"/>
  <c r="D90" i="15" s="1"/>
  <c r="B89" i="15"/>
  <c r="D89" i="15" s="1"/>
  <c r="B88" i="15"/>
  <c r="D88" i="15" s="1"/>
  <c r="B87" i="15"/>
  <c r="B86" i="15"/>
  <c r="D86" i="15" s="1"/>
  <c r="B85" i="15"/>
  <c r="D85" i="15" s="1"/>
  <c r="B84" i="15"/>
  <c r="D84" i="15" s="1"/>
  <c r="B83" i="15"/>
  <c r="D83" i="15" s="1"/>
  <c r="B82" i="15"/>
  <c r="D82" i="15" s="1"/>
  <c r="B81" i="15"/>
  <c r="D81" i="15" s="1"/>
  <c r="B80" i="15"/>
  <c r="D80" i="15" s="1"/>
  <c r="B79" i="15"/>
  <c r="B78" i="15"/>
  <c r="D78" i="15" s="1"/>
  <c r="B77" i="15"/>
  <c r="D77" i="15" s="1"/>
  <c r="B76" i="15"/>
  <c r="D76" i="15" s="1"/>
  <c r="B75" i="15"/>
  <c r="B74" i="15"/>
  <c r="D74" i="15" s="1"/>
  <c r="D64" i="15"/>
  <c r="D66" i="15"/>
  <c r="D69" i="15"/>
  <c r="C66" i="15"/>
  <c r="B66" i="15"/>
  <c r="C72" i="15"/>
  <c r="C71" i="15"/>
  <c r="C70" i="15"/>
  <c r="D70" i="15" s="1"/>
  <c r="C69" i="15"/>
  <c r="C68" i="15"/>
  <c r="C67" i="15"/>
  <c r="B72" i="15"/>
  <c r="D72" i="15" s="1"/>
  <c r="B71" i="15"/>
  <c r="D71" i="15" s="1"/>
  <c r="B70" i="15"/>
  <c r="B69" i="15"/>
  <c r="B68" i="15"/>
  <c r="D68" i="15" s="1"/>
  <c r="B67" i="15"/>
  <c r="D67" i="15" s="1"/>
  <c r="B63" i="15"/>
  <c r="D63" i="15" s="1"/>
  <c r="B64" i="15"/>
  <c r="B65" i="15"/>
  <c r="D65" i="15" s="1"/>
  <c r="C65" i="15"/>
  <c r="B62" i="15"/>
  <c r="C64" i="15"/>
  <c r="C63" i="15"/>
  <c r="C62" i="15"/>
  <c r="D62" i="15" s="1"/>
  <c r="C61" i="15"/>
  <c r="B61" i="15"/>
  <c r="D61" i="15" s="1"/>
  <c r="C5" i="15"/>
  <c r="B5" i="15"/>
  <c r="D5" i="15" s="1"/>
  <c r="C59" i="15"/>
  <c r="C58" i="15"/>
  <c r="C57" i="15"/>
  <c r="C56" i="15"/>
  <c r="B59" i="15"/>
  <c r="D59" i="15" s="1"/>
  <c r="B58" i="15"/>
  <c r="B57" i="15"/>
  <c r="D57" i="15" s="1"/>
  <c r="B56" i="15"/>
  <c r="C55" i="15"/>
  <c r="C54" i="15"/>
  <c r="C53" i="15"/>
  <c r="C52" i="15"/>
  <c r="C51" i="15"/>
  <c r="C50" i="15"/>
  <c r="C49" i="15"/>
  <c r="C48" i="15"/>
  <c r="C47" i="15"/>
  <c r="B55" i="15"/>
  <c r="D55" i="15" s="1"/>
  <c r="B54" i="15"/>
  <c r="D54" i="15" s="1"/>
  <c r="B53" i="15"/>
  <c r="B52" i="15"/>
  <c r="B51" i="15"/>
  <c r="D51" i="15" s="1"/>
  <c r="B50" i="15"/>
  <c r="B49" i="15"/>
  <c r="D49" i="15" s="1"/>
  <c r="B48" i="15"/>
  <c r="D48" i="15" s="1"/>
  <c r="B47" i="15"/>
  <c r="D47" i="15" s="1"/>
  <c r="C46" i="15"/>
  <c r="C45" i="15"/>
  <c r="B46" i="15"/>
  <c r="D46" i="15" s="1"/>
  <c r="B45" i="15"/>
  <c r="D45" i="15" s="1"/>
  <c r="C43" i="15"/>
  <c r="C42" i="15"/>
  <c r="C41" i="15"/>
  <c r="D41" i="15" s="1"/>
  <c r="B43" i="15"/>
  <c r="D43" i="15" s="1"/>
  <c r="B42" i="15"/>
  <c r="D42" i="15" s="1"/>
  <c r="B41" i="15"/>
  <c r="C39" i="15"/>
  <c r="B39" i="15"/>
  <c r="B38" i="15"/>
  <c r="B37" i="15"/>
  <c r="B36" i="15"/>
  <c r="B35" i="15"/>
  <c r="B34" i="15"/>
  <c r="B33" i="15"/>
  <c r="B32" i="15"/>
  <c r="B31" i="15"/>
  <c r="B30" i="15"/>
  <c r="B29" i="15"/>
  <c r="B28" i="15"/>
  <c r="B27" i="15"/>
  <c r="C27" i="15"/>
  <c r="C28" i="15"/>
  <c r="C29" i="15"/>
  <c r="C30" i="15"/>
  <c r="C31" i="15"/>
  <c r="C32" i="15"/>
  <c r="C33" i="15"/>
  <c r="C34" i="15"/>
  <c r="C35" i="15"/>
  <c r="C36" i="15"/>
  <c r="C37" i="15"/>
  <c r="C38" i="15"/>
  <c r="D27" i="18"/>
  <c r="D28" i="18"/>
  <c r="D29" i="18"/>
  <c r="D30" i="18"/>
  <c r="D31" i="18"/>
  <c r="D32" i="18"/>
  <c r="D33" i="18"/>
  <c r="D34" i="18"/>
  <c r="D35" i="18"/>
  <c r="D36" i="18"/>
  <c r="D37" i="18"/>
  <c r="D38" i="18"/>
  <c r="D26" i="18"/>
  <c r="C37" i="18"/>
  <c r="C36" i="18"/>
  <c r="C35" i="18"/>
  <c r="C34" i="18"/>
  <c r="C33" i="18"/>
  <c r="C32" i="18"/>
  <c r="C31" i="18"/>
  <c r="C30" i="18"/>
  <c r="C29" i="18"/>
  <c r="C28" i="18"/>
  <c r="C27" i="18"/>
  <c r="C38" i="18"/>
  <c r="C26" i="18"/>
  <c r="B33" i="18"/>
  <c r="B36" i="18"/>
  <c r="B35" i="18"/>
  <c r="B27" i="18"/>
  <c r="B28" i="18"/>
  <c r="B29" i="18"/>
  <c r="B30" i="18"/>
  <c r="B31" i="18"/>
  <c r="B32" i="18"/>
  <c r="B34" i="18"/>
  <c r="B37" i="18"/>
  <c r="B38" i="18"/>
  <c r="B26" i="18"/>
  <c r="D24" i="18"/>
  <c r="D23" i="18"/>
  <c r="D22" i="18"/>
  <c r="D21" i="18"/>
  <c r="D20" i="18"/>
  <c r="D19" i="18"/>
  <c r="D18" i="18"/>
  <c r="D17" i="18"/>
  <c r="D16" i="18"/>
  <c r="D14" i="18"/>
  <c r="D11" i="18"/>
  <c r="D9" i="18"/>
  <c r="D12" i="18"/>
  <c r="D13" i="18"/>
  <c r="D10" i="18"/>
  <c r="D8" i="18"/>
  <c r="D7" i="18"/>
  <c r="D5" i="18"/>
  <c r="D4" i="18"/>
  <c r="D3" i="18"/>
  <c r="D2" i="18"/>
  <c r="D179" i="15" l="1"/>
  <c r="D50" i="15"/>
  <c r="D52" i="15"/>
  <c r="D53" i="15"/>
  <c r="D56" i="15"/>
  <c r="D174" i="15"/>
  <c r="D175" i="15"/>
  <c r="D58" i="15"/>
  <c r="D178" i="15"/>
  <c r="D173" i="15"/>
  <c r="D172" i="15"/>
  <c r="D171" i="15"/>
  <c r="D170" i="15"/>
  <c r="D169" i="15"/>
</calcChain>
</file>

<file path=xl/sharedStrings.xml><?xml version="1.0" encoding="utf-8"?>
<sst xmlns="http://schemas.openxmlformats.org/spreadsheetml/2006/main" count="3501" uniqueCount="1614">
  <si>
    <t>ID</t>
  </si>
  <si>
    <t>Email</t>
  </si>
  <si>
    <t>Civilité</t>
  </si>
  <si>
    <t>Nom</t>
  </si>
  <si>
    <t>Prénom</t>
  </si>
  <si>
    <t>Archivé</t>
  </si>
  <si>
    <t>État du dossier</t>
  </si>
  <si>
    <t>Dernière mise à jour le</t>
  </si>
  <si>
    <t>Déposé le</t>
  </si>
  <si>
    <t>Passé en instruction le</t>
  </si>
  <si>
    <t>Traité le</t>
  </si>
  <si>
    <t>Motivation de la décision</t>
  </si>
  <si>
    <t>Instructeurs</t>
  </si>
  <si>
    <t>Groupe instructeur</t>
  </si>
  <si>
    <t>Sélectionnez la zone géographique du projet</t>
  </si>
  <si>
    <t>Statut juridique du porteur de projet</t>
  </si>
  <si>
    <t>Raison sociale</t>
  </si>
  <si>
    <t>SIRET/SIREN</t>
  </si>
  <si>
    <t>Adresse</t>
  </si>
  <si>
    <t>NOM et Prénom</t>
  </si>
  <si>
    <t>Téléphone</t>
  </si>
  <si>
    <t>Email de la personne contact</t>
  </si>
  <si>
    <t>Type d'établissement</t>
  </si>
  <si>
    <t>Académie</t>
  </si>
  <si>
    <t>Quels sont les éventuels partenariats que vous mobilisez ?</t>
  </si>
  <si>
    <t>Quelles sont vos références (expertises, publications, actions déja menées) dans des objectifs relevant de cette journée nationale de la résilience ?</t>
  </si>
  <si>
    <t>Avez-vous participé à la JNR 2022?</t>
  </si>
  <si>
    <t>Intitulé du projet</t>
  </si>
  <si>
    <t>Description générale et synthétique du projet</t>
  </si>
  <si>
    <t>Nombre total d'actions (identiques et/ou différentes) organisées</t>
  </si>
  <si>
    <t>1. Une action se déroule dans une seule localisation ou est dématérialisée</t>
  </si>
  <si>
    <t>2 - Une ou plusieurs de vos actions se déroulent dans plusieurs localisations</t>
  </si>
  <si>
    <t>En tant que porteur de projet proposé à la labellisation de l’Etat, je m’engage à respecter les valeurs et principes suivants, qui constituent la « Charte des valeurs de la Journée »</t>
  </si>
  <si>
    <t>Je m’engage, si mon projet est labellisé</t>
  </si>
  <si>
    <t>J'atteste sur l’honneur l’exactitude des renseignements fournis ;</t>
  </si>
  <si>
    <t>J'atteste avoir pris connaissance du règlement de l’appel à projets Journée nationale résilience 2023</t>
  </si>
  <si>
    <t>Pour les personnes morales : attestation de situation (Numéro SIRET/ SIREN de moins de 3 mois)</t>
  </si>
  <si>
    <t>Pour les particuliers : pièce d'identité</t>
  </si>
  <si>
    <t>Document complémentaire (plaquette, descriptif,...)</t>
  </si>
  <si>
    <t>Critères d'évaluation</t>
  </si>
  <si>
    <t>12848158</t>
  </si>
  <si>
    <t>catherine.deck@seine-et-marne.gouv.fr</t>
  </si>
  <si>
    <t>Mme</t>
  </si>
  <si>
    <t>Deck</t>
  </si>
  <si>
    <t>Catherine</t>
  </si>
  <si>
    <t>false</t>
  </si>
  <si>
    <t>En instruction</t>
  </si>
  <si>
    <t>laurence.campillo@seine-et-marne.gouv.fr</t>
  </si>
  <si>
    <t>77-SEINE-ET-MARNE</t>
  </si>
  <si>
    <t>Service de l’État</t>
  </si>
  <si>
    <t>Direction départementale des territoires de Seine-et-Marne</t>
  </si>
  <si>
    <t>13001233900011</t>
  </si>
  <si>
    <t>288 Avenue Georges Clémenceau 77000 Vaux-le-Pénil</t>
  </si>
  <si>
    <t>DECK Catherine</t>
  </si>
  <si>
    <t>0673281176</t>
  </si>
  <si>
    <t>Partenariat avec SDIS, FSI, Educatio nationale, ADP, collectivités locales, DRIEAT</t>
  </si>
  <si>
    <t>Organisation d'animations pour les scoalires et pour le personnel de la préfecture et de la DDT</t>
  </si>
  <si>
    <t>Oui</t>
  </si>
  <si>
    <t>Exercice inondation par rupture du barrage des eaux pluviales d'ADP (aéroport de Pais)</t>
  </si>
  <si>
    <t>Le projet consistera en un exercice sur table simulant la surverse des barrages du Vor et des Renardières recueillant la majorité des eaux pluviales de la plateforme d'ADP (Roissy). La surverse du barrage au niveau de l'écrêteur de crue (due à des pluies exceptionnelles) aura pour conséquence de former une "bassine" en aval, dont la charge finira par éventer la RN2 et engendrera une inondation dans les communes de Mitry-Mory et Claye-Souilly. Cet exercice de cadres en COD sera complété par des animations de communications auprès des services techniques et des établissements scolaires des collectivités concernées pour les sensibiliser aux risques.</t>
  </si>
  <si>
    <t>Non</t>
  </si>
  <si>
    <t>on</t>
  </si>
  <si>
    <t/>
  </si>
  <si>
    <t>absent</t>
  </si>
  <si>
    <t>12851197</t>
  </si>
  <si>
    <t>evelyne.allain@iffo-rme.fr</t>
  </si>
  <si>
    <t>Allain</t>
  </si>
  <si>
    <t>Evelyne</t>
  </si>
  <si>
    <t>marjolaine.mansion@cher.gouv.fr</t>
  </si>
  <si>
    <t>18-CHER</t>
  </si>
  <si>
    <t>Association</t>
  </si>
  <si>
    <t>IFFO-RME</t>
  </si>
  <si>
    <t>43239688500035</t>
  </si>
  <si>
    <t>9 Rue Jacques Louvel-Tessier 75010 Paris</t>
  </si>
  <si>
    <t>Evelyne Allain</t>
  </si>
  <si>
    <t>0144720625</t>
  </si>
  <si>
    <t>Commune de Neuvy sur Barangeon, Chambre d'agriculture, CNPF, ONF, Protection civile, Ordre de Malte, gendarmerie, SDIS, DDT18, prevention MAIF, ...</t>
  </si>
  <si>
    <t>Les co-porteurs ont mis en place en 2022 le village PLOUF18, individuellement tous les personnes contacte sont formateurs Risques Majeurs (IFFO-RME)</t>
  </si>
  <si>
    <t>GAFFOFEU, Tous concernés, tous acteurs</t>
  </si>
  <si>
    <t>Il s'agit d'un village de la prévention et de la résilience sur les risques de feux de forêts et de végétation dans un contexte où les sécheresses précoces augmentent les risques. Ce village-forum se tiendra au Domaine de la Grande Garenne à Neuvy sur Barangeon. Il est ouvert aux scolaires, aux jeunes du SNU et au grand public. Il compte 12 ateliers ludo-pédagogiques, un temps de réflexion collectif dédié aux professionnels et aux propriétaires forestiers, une pièce de théâtre participatif.  Il est le premier évènement à aborder ces risques! Sur 3 jours, plus de 600 visiteurs sont attendus.</t>
  </si>
  <si>
    <t>Avis_de_situation_43239688500035_07_06_2023 12_50_42.pdf</t>
  </si>
  <si>
    <t>fly Gaffofeu web.pdf</t>
  </si>
  <si>
    <t>12975331</t>
  </si>
  <si>
    <t>valerie.colas@saumurvaldeloire.fr</t>
  </si>
  <si>
    <t>COLAS</t>
  </si>
  <si>
    <t>Valérie</t>
  </si>
  <si>
    <t>En construction</t>
  </si>
  <si>
    <t>49-MAINE-ET-LOIRE</t>
  </si>
  <si>
    <t>Collectivité territoriale</t>
  </si>
  <si>
    <t>Communauté d'agglomération Saumur Val de Loire</t>
  </si>
  <si>
    <t>20007187600011</t>
  </si>
  <si>
    <t>11 Rue du Maréchal Leclerc 49400 Saumur</t>
  </si>
  <si>
    <t>BARADEL Eve</t>
  </si>
  <si>
    <t>0241404577</t>
  </si>
  <si>
    <t>eve.baradel@saumurvaldeloire.fr</t>
  </si>
  <si>
    <t>Villes d'Allonnes et de Saumur (49), Etablissement Public Loire et le CPIE</t>
  </si>
  <si>
    <t>L'agglomération Saumur Val de Loire dispose depuis 2001 d'un service prévention des risques. Ce service assure depuis toujours des opérations de sensibilisation aux différents risques du territoire (conférence, réunion publique, formation des élus, outils de communication...).</t>
  </si>
  <si>
    <t>Week-end de sensibilisation au risque inondation</t>
  </si>
  <si>
    <t xml:space="preserve">Dans le cadre du Programme d’Actions de Prévention des Inondations des Vals d’Authion et de Loire (PAPI), la CASVL s’est engagée à réaliser des journées de sensibilisation au risque inondation. Pour l'année 2023, cette action s'inscrit aussi dans le cadre de la journée nationale de la résilience et de la fête de la science. Il est prévu une programmation en trois temps :      • Le vendredi 13 octobre de 18h30 à 20h30 spectacle et débat au PAMA d’Allonnes ;     • Le samedi 14 octobre à 10h30 et 14h à Saumur Balade Urbaine autour du risque inondation ;     • Une quinzaine de jours avant "land-art" : Marquage des hauteurs d’eau atteintes ou modélisées sur les arbres à Allonnes (en partenariat avec le centre aéré); </t>
  </si>
  <si>
    <t>RIB_CASVL_autres_infos_juridiques.pdf</t>
  </si>
  <si>
    <t>20230329_Journée_sensibilisation.pdf</t>
  </si>
  <si>
    <t>Critère d'évaluation n°1 : Qualité globale du projet (informations et connaissances mises à disposition), Critère d'évaluation n°2 : Qualité de l'impact du projet sur les publics ciblés, caractère opérationnel du projet (participation à un exercice, expérience immersive)</t>
  </si>
  <si>
    <t>13002567</t>
  </si>
  <si>
    <t>syndicatetangs19@outlook.fr</t>
  </si>
  <si>
    <t>M.</t>
  </si>
  <si>
    <t>LISSAC</t>
  </si>
  <si>
    <t>thierry</t>
  </si>
  <si>
    <t>19-CORREZE</t>
  </si>
  <si>
    <t>SYNDICAT DES ETANGS CORREZIENS</t>
  </si>
  <si>
    <t>51251720200028</t>
  </si>
  <si>
    <t>7 BIS Rue René et Emile Fage 19000 Tulle</t>
  </si>
  <si>
    <t>LISSAC THIERRY</t>
  </si>
  <si>
    <t>0670019050</t>
  </si>
  <si>
    <t>CPIE DE LA CORREZE</t>
  </si>
  <si>
    <t>Accompagnement de propriétaires d'étangs pour réduire l'impact de leur étang et prendre en compte les risques en cas de crues, ateliers thématiques autour de l'eau, porteur d'une étude sur le développement d'une filière aquacole pour la résilience alimentaire</t>
  </si>
  <si>
    <t>ateliers éducatifs autour des étangs</t>
  </si>
  <si>
    <t>Informer sur la prise en compte du risque de rupture de barrages lors de crues exceptionnelles, sur la place des étangs dans la gestion d’une sécheresse sévère et leur rôle en matière de défense contre les incendies. Présenter le fonctionnement d’un plan d’eau et ses ouvrages règlementaires pour limiter les risques et réduire l’impact sur le milieu naturel. Présenter les enjeux de la valorisation d’une production aquacole d’étang pour répondre à la résilience alimentaire et au risque de pénurie alimentaire.</t>
  </si>
  <si>
    <t>semaine de la résilience 2023.pdf</t>
  </si>
  <si>
    <t>13169760</t>
  </si>
  <si>
    <t>celine.leflour@afpcnt.org</t>
  </si>
  <si>
    <t>LE FLOUR</t>
  </si>
  <si>
    <t xml:space="preserve">Céline </t>
  </si>
  <si>
    <t>971-GUADELOUPE</t>
  </si>
  <si>
    <t xml:space="preserve">Association Française pour la Prévention des Catastrophes Naturelles et Technologiques </t>
  </si>
  <si>
    <t>43465653400022</t>
  </si>
  <si>
    <t>12 Rue Villiot 75012 Paris</t>
  </si>
  <si>
    <t>LE FLOUR Céline</t>
  </si>
  <si>
    <t>01 84 79 97 76</t>
  </si>
  <si>
    <t>Mairie de Pointe-Noire, Ecole Mixte 1 de Guyonneau, Rectorat de Guadeloupe, DEAL Guadeloupe, Sapeurs-pompiers, Préfecture de Guadeloupe, Région Guadeloupe, Département de Guadeloupe, PIRAC, RISK, SDIS, AGEV, Prévention MAIF</t>
  </si>
  <si>
    <t>Organisation de plusieurs événements à l'occasion de la JNR 2022 (actions de sensibilisation aux risques majeurs), retour d'expérience de l'édition 2022 de la JNR</t>
  </si>
  <si>
    <t>Journées de sensibilisation multirisques</t>
  </si>
  <si>
    <t xml:space="preserve">L'AFPCNT et la commune de Pointe-Noire souhaitent organiser deux journées de sensibilisation multirisques à destination du public scolaire, des agents communaux et du grand public. La première journée serait dédiée au public scolaire en partenariat avec l'école mixte 1 de Guyonneau. Elle serait ponctuée par un exercice d'évacuation tsunami avec un scenario précis et par des animations ludiques (stands, simulateurs, etc.). La deuxième journée serait ouverte au grand public (familles) avec des animations portant sur plusieurs risques majeurs : stands, simulateurs, kits de secours, présentation de la réserve communale de sécurité civile,. </t>
  </si>
  <si>
    <t>Avis_de_situation_43465653400022_27_03_2023 16_48_53.pdf</t>
  </si>
  <si>
    <t>13173085</t>
  </si>
  <si>
    <t>vlastelic@ipgp.fr</t>
  </si>
  <si>
    <t>Vlastelic</t>
  </si>
  <si>
    <t>Ivan</t>
  </si>
  <si>
    <t>sidpc@guadeloupe.pref.gouv.fr</t>
  </si>
  <si>
    <t>Établissement public</t>
  </si>
  <si>
    <t>Observatoire Volcanologique et Sismologique de Guadeloupe - Institut de physique du globe de Paris</t>
  </si>
  <si>
    <t>19753428200078</t>
  </si>
  <si>
    <t>Observatoire Volcanologique et Sismologique de Guadeloupe - Le Houelmont - 97113 Gourbeyre - La Guadeloupe</t>
  </si>
  <si>
    <t>VLASTELIC ivan</t>
  </si>
  <si>
    <t>0690554645</t>
  </si>
  <si>
    <t>Communication de bulletins mensuels et informations sur l'activité volcanique et sismique en Guadeloupe (https://www.ipgp.fr/observation/ovs/ovsg/)</t>
  </si>
  <si>
    <t>Présentation de l'observatoire volcanologique et sismologique de Guadeloupe (OVSG)</t>
  </si>
  <si>
    <t>Cette action consiste à présenter l'Observatoire volcanologique et sismologique de Guadeloupe (OVSG), et ses missions. Cette présentation sera effectuée sur le site de l'OVSG (Gourbeyre, Guadeloupe), qui sera exceptionnellement ouvert aux visiteurs. La présentation se fera sous la forme de visites par petits groupes de 10-15 personnes (sur inscription). La visite comprendra la découverte des différentes parties de l'observatoire et une présentation sur écran</t>
  </si>
  <si>
    <t>FICHE IDENTIFICATION IPGP copie.pdf</t>
  </si>
  <si>
    <t>Critère d'évaluation n°2 : Qualité de l'impact du projet sur les publics ciblés, caractère opérationnel du projet (participation à un exercice, expérience immersive)</t>
  </si>
  <si>
    <t>13274397</t>
  </si>
  <si>
    <t>responsable.urbanisme@ville-pelissanne.fr</t>
  </si>
  <si>
    <t>MONTECOT</t>
  </si>
  <si>
    <t xml:space="preserve">Pascal </t>
  </si>
  <si>
    <t>13-BOUCHES-DU-RHONE</t>
  </si>
  <si>
    <t>Ville de Pélissanne</t>
  </si>
  <si>
    <t>21130069400018</t>
  </si>
  <si>
    <t>Parc Roux de Brignoles 13330 Pélissanne</t>
  </si>
  <si>
    <t>SANNA Emilie</t>
  </si>
  <si>
    <t>0633726162</t>
  </si>
  <si>
    <t>direction.environnement@ville-pelissanne.fr</t>
  </si>
  <si>
    <t>SDIS, ONF, EPAGE MENELICK, SECURITE CIVILE, GENDARMERIE</t>
  </si>
  <si>
    <t>la commune de Pélissanne est soumise à plusieurs risques majeurs, elle communique à travers son DICRIM mais également propose des ateliers aux plus jeunes...</t>
  </si>
  <si>
    <t>Manifestation de plein air avec stand pompiers, gendarmerie, menelick, securité civile etsdis afin d'informer sur les risques</t>
  </si>
  <si>
    <t>13288729</t>
  </si>
  <si>
    <t>l.euloga@mairie-schoelcher.com</t>
  </si>
  <si>
    <t>CLÉMENTÉ</t>
  </si>
  <si>
    <t>Luc</t>
  </si>
  <si>
    <t>marcel.ursulet@martinique.gouv.fr</t>
  </si>
  <si>
    <t>972-MARTINIQUE</t>
  </si>
  <si>
    <t>CCAS DE SCHOELCHER</t>
  </si>
  <si>
    <t>26972029800018</t>
  </si>
  <si>
    <t>Avenue de l'Anse Madame 97233 Schœlcher</t>
  </si>
  <si>
    <t>EULOGA LUDMILLA/MICHAËL NOLÉO</t>
  </si>
  <si>
    <t>0596727239</t>
  </si>
  <si>
    <t>ccas@mairie-schoelcher.com</t>
  </si>
  <si>
    <t>GESTION DE LA POLITIQUE DES PUBLIQUES VULNÉRABLES</t>
  </si>
  <si>
    <t>PRÉVENTION ET PROTECTION DES PUBLICS VULNÉRABLES</t>
  </si>
  <si>
    <t>Tout individu a droit à la vie à la liberté et à la sécurité de sa personne » Article 3 de la déclaration des Droits de l’Homme. L'objectif est de sensibiliser aux gestes qui sauvent pour la reconnaissance immédiate sans délai des gestes adéquats avant l'arrivée des secours spécialisés</t>
  </si>
  <si>
    <t>13300153</t>
  </si>
  <si>
    <t>laurent.iltis@gie-osiris.com</t>
  </si>
  <si>
    <t>ILTIS</t>
  </si>
  <si>
    <t>LAURENT</t>
  </si>
  <si>
    <t>Accepté</t>
  </si>
  <si>
    <t>valentin.forand@isere.gouv.fr</t>
  </si>
  <si>
    <t>38-ISERE</t>
  </si>
  <si>
    <t>Entreprise</t>
  </si>
  <si>
    <t>gie osiris</t>
  </si>
  <si>
    <t>42238216800017</t>
  </si>
  <si>
    <t>Rue Gaston Monmousseau 38150 Roussillon</t>
  </si>
  <si>
    <t xml:space="preserve">ILTIS Laurent </t>
  </si>
  <si>
    <t>+33607716867</t>
  </si>
  <si>
    <t>ensemble des entités de la plateforme : 17 entreprises industrielles</t>
  </si>
  <si>
    <t xml:space="preserve">plusieurs sessions de " semaine de la sécurité" </t>
  </si>
  <si>
    <t>semaine de la sécurité</t>
  </si>
  <si>
    <t>des thématiques diverses ayant trait à la surêté et sécurité des personnes avec des animations variées et des stands .</t>
  </si>
  <si>
    <t>Bilan semaine sécurité 2023.pptx</t>
  </si>
  <si>
    <t>Semaine Santé et Sécurité au Travail 2023 - Programme.pdf</t>
  </si>
  <si>
    <t>13160430</t>
  </si>
  <si>
    <t>mlaure_pedrono@hotmail.com</t>
  </si>
  <si>
    <t>PEDRONO</t>
  </si>
  <si>
    <t>Marie-Laure Dominique</t>
  </si>
  <si>
    <t>35-ILLE-ET-VILAINE</t>
  </si>
  <si>
    <t>REGNIER Marie-Laure</t>
  </si>
  <si>
    <t>92022558800010</t>
  </si>
  <si>
    <t>13 Rue Richard-Lenoir 35000 Rennes</t>
  </si>
  <si>
    <t>0627878689</t>
  </si>
  <si>
    <t>marielaure.regnier.pro@mailo.fr</t>
  </si>
  <si>
    <t>Le déploiement des Ateliers de l’Adaptation au Changement Climatique (https://ateliers-adaptationclimat.fr/), soutenu par l’ADEME comme outil de sensibilisation à l’adaptation et de co-construction des solutions à mettre en place, est porté par un réseau de plus de 300 animateurs partout en France ; d’autres porteurs de projet les proposeront ainsi également dans le cadre de la JNR 2023 dans d’autres départements. Localement, nous nous appuierons sur nos réseaux locaux (Rennes Métropole, CCI, ALEC, ADEME…) pour organiser les ateliers et en faire la promotion. Nous envisagerons également de les proposer dans le cadre d’événements existants dont les dates coïncident (Fête de la Science 6-16 oct, forum Séisme Grand Ouest 11-12 oct…)</t>
  </si>
  <si>
    <t>Les 3 co-porteurs de projet font de la sensibilisation au changement climatique et accompagnement à l'adaptation / résilience, via, à eux 3, plus d'une soixantaine d'animations et formations agréées à la Fresque du Climat, Fresque du Numérique et Ateliers de l'Adaptation. La démarche des Ateliers de l'Adaptation au Changement Climatique est validée par l'ADEME comme le module de sensibilisation pour les entreprises et les collectivités sur le sujet clé de l'adaptation au changement climatique.</t>
  </si>
  <si>
    <t>Ateliers de l'Adaptation au Changement Climatique</t>
  </si>
  <si>
    <t xml:space="preserve">Ateliers de 3h, de 6 à 12 personnes, pour prendre conscience des impacts locaux / risques du changement climatique et expérimenter une approche collective pour s’y préparer et réduire l’exposition et la vulnérabilité. A minima 1 atelier inter-collectivités et 1 atelier inter-entreprises. Le label et les éventuelles subventions permettraient des ateliers additionnels plus locaux (niveau sous-préfecture et antennes des CCI). En pièce jointe, une plaquette détaillant  le contenu de l’atelier. </t>
  </si>
  <si>
    <t>Avis_de_situation_92022558800010_04_07_2023 12_34_44.pdf</t>
  </si>
  <si>
    <t>35 I&amp;V - Présentation Adacc JNR 2023.pdf</t>
  </si>
  <si>
    <t>13309248</t>
  </si>
  <si>
    <t>omarkokach.fr@gmail.com</t>
  </si>
  <si>
    <t>KOKACH</t>
  </si>
  <si>
    <t>Omar</t>
  </si>
  <si>
    <t>92-HAUTS-DE-SEINE</t>
  </si>
  <si>
    <t>Omar KOKACH</t>
  </si>
  <si>
    <t>91151062600011</t>
  </si>
  <si>
    <t>1 Rue Paul Valery 92240 Malakoff</t>
  </si>
  <si>
    <t>KOKACH omar</t>
  </si>
  <si>
    <t>0767163457</t>
  </si>
  <si>
    <t>contact@omarkokach.com</t>
  </si>
  <si>
    <t>Publications de vidéos sur les réseaux sociaux à destination des arabophones de France ( un public qui n'a jamais était le destinaire d'une telle initiative )</t>
  </si>
  <si>
    <t>Oma KOKACH</t>
  </si>
  <si>
    <t>Je suis le premeir journaliste pro arabophone, qui relaye des infos/actus sur la France sourcées et vérifiées en format vidéo.</t>
  </si>
  <si>
    <t>urssaf-attestation-affiliation-20230708-00h09.pdf</t>
  </si>
  <si>
    <t>présent</t>
  </si>
  <si>
    <t>carte de presse.jpeg</t>
  </si>
  <si>
    <t>13252299</t>
  </si>
  <si>
    <t>caribsecurit@gmail.com</t>
  </si>
  <si>
    <t>MARIE-LUCE</t>
  </si>
  <si>
    <t>EMMA</t>
  </si>
  <si>
    <t>CARIB SECURIT SARL</t>
  </si>
  <si>
    <t>51301026400010</t>
  </si>
  <si>
    <t xml:space="preserve">SCI MANUEMI Moulin à vent *Chemin des deux ruisseaux </t>
  </si>
  <si>
    <t>Emma Emmanuel MARIE-LUCE</t>
  </si>
  <si>
    <t>0696390334</t>
  </si>
  <si>
    <t xml:space="preserve">La CTM ( Collectivité Territoriale de Martinique), L'AFPCNT, L'ETAT, le monde scolaire et associatif déjà sensibilisés notamment, lors du village de Résilience au Parc Floral Aimé CESAIRE </t>
  </si>
  <si>
    <t xml:space="preserve">Depuis 2009 j'ai créé une entreprise de recherche CARIB SECURIT pour étayer mon idée permettant de réduire la distance de chute d'objets m'apyant sur la formule V=gt dans la loi de GALILÉE, ce qui a permis mes nombreuses interventions en conférence débat invité par des maires et autres club service  t </t>
  </si>
  <si>
    <t>RÉDUCTION DE LA DISTANCE DE CHUTE V=gt / POUR SAUVER DES VIES</t>
  </si>
  <si>
    <t xml:space="preserve">Face aux effondrements du bâti existant lors des tremblements de terre, des retombées de grelons, des cendres volcaniques et autres surpoids de neige sur les toitures Emmanuel MARIE-LUCE invente le mobilier anti écrasement Sékirit'li. Ainsi il s'agira avec des partenaires d'organiser des conférences débat et des journées porte ouverte afin de sensibiliser le grand public, le monde scolaire et tout autres organisations ou associations ayant en charge notamment les personnes vieillissantes, les personnes en situation de handicap. Poursuivre les rencontres entamées avec les institutions ETAT, ARS, Collectivité Territoriale de Martinique CTM, </t>
  </si>
  <si>
    <t>KBIS CARIB.pdf</t>
  </si>
  <si>
    <t>ATESTATION CARIB.jpg</t>
  </si>
  <si>
    <t>13316209</t>
  </si>
  <si>
    <t>hpilet@gmail.com</t>
  </si>
  <si>
    <t>PILET</t>
  </si>
  <si>
    <t>Hervé Michel</t>
  </si>
  <si>
    <t>94-VAL-DE-MARNE</t>
  </si>
  <si>
    <t>VILLE D'ALFORTVILLE</t>
  </si>
  <si>
    <t>21940002500017</t>
  </si>
  <si>
    <t>Place François Mitterrand 94140 Alfortville</t>
  </si>
  <si>
    <t>HERVE PILET</t>
  </si>
  <si>
    <t>0766212579</t>
  </si>
  <si>
    <t>herve.pilet@mairie-alfortville.fr</t>
  </si>
  <si>
    <t>Préfecture de Police de Paris, Préfecture du Val-de-Marne, Brigade de Sapeurs-Pompiers de Paris, Croix-Rouge française, EPTB Seine Grands Lacs, association ADRASEC</t>
  </si>
  <si>
    <t xml:space="preserve">Organisation d'exposition, de sensibilisation auprès du grand public et des scolaires </t>
  </si>
  <si>
    <t>PLOUF 94</t>
  </si>
  <si>
    <t>L’inondation est un phénomène naturel susceptible de provoquer des pertes de vie humaine, le déplacement de populations, d’avoir un impact sur la santé humaine, les biens et les réseaux. Elle peut également nuire à l’environnement et compromettre gravement le développement économique. L’action PLOUF prend la forme d'un village-forum, où les participants sont sensibilisés aux inondations, à la prévention mais également aux comportements à adopter en cas de crue. Le PLOUF 94 – ALFORTVILLE sera axé principalement sur le « risque inondation » et les « conduites à tenir en cas d’évacuation ». Le village-forum sera constitué d’ateliers ludiques et pédagogiques permettant d'attirer l'attention des publics sur les problématiques liées aux inondations et les bonnes pratiques à adopter. Ces ateliers interactifs seront animés par les partenaires de l'évènement.</t>
  </si>
  <si>
    <t>DOSSIER PLOUF 94 - 28 OCTOBRE 2023.pdf</t>
  </si>
  <si>
    <t>13338378</t>
  </si>
  <si>
    <t>cyril.angel@herault.gouv.fr</t>
  </si>
  <si>
    <t>DUPUY</t>
  </si>
  <si>
    <t xml:space="preserve">Vincent </t>
  </si>
  <si>
    <t>pauline.brenders@herault.gouv.fr</t>
  </si>
  <si>
    <t>34-HERAULT</t>
  </si>
  <si>
    <t>Préfecture de l'Hérault</t>
  </si>
  <si>
    <t>17340001100016</t>
  </si>
  <si>
    <t>Place des Martyrs de la Résistance 34000 Montpellier</t>
  </si>
  <si>
    <t>DUPUY Vincent</t>
  </si>
  <si>
    <t>0467616045</t>
  </si>
  <si>
    <t>vincent.dupuy@herault.gouv.fr</t>
  </si>
  <si>
    <t>Ville de Frontignan / SDIS / DDSP / PM / Conseil départental / Université Paul Valéry Montpellier 3  / Université Avignon / Cenalt / DDTM</t>
  </si>
  <si>
    <t>Exercice de crise : alerte tsunami via Fr-Alert sur la commune de Frontignan</t>
  </si>
  <si>
    <t>Exercice de crise : alerte tsunami avec utilisation de Fr-Alert sur la commune de Frontignan</t>
  </si>
  <si>
    <t>L’objectif de cet exercice est de tester la coordination interservices suite à l’arrivée d’un tsunami sur les côtes du département de l’Hérault. Cet exercice permettra également de déclencher l’outil FR-Alert pour la première fois dans le département de l’Hérault et d’acculturer la population à ce nouveau système d’alerte. Les services de l’État travaillent en collaboration avec Johnny Douvinet (Université d’Avignon) et Matthieu Péroche (Université de Montpellier) pour une prise en main optimale de ce logiciel et une compréhension fine du risque tsunami. La commune de Frontignan a été choisie par la préfecture afin de réaliser cet exercice.</t>
  </si>
  <si>
    <t>CR_visite_terrain_Frontignan_Tsunami_PEROCHE_UPVM3.pdf</t>
  </si>
  <si>
    <t>13360313</t>
  </si>
  <si>
    <t>dga@aytre.fr</t>
  </si>
  <si>
    <t>Gardiennet</t>
  </si>
  <si>
    <t>Marie</t>
  </si>
  <si>
    <t>nathalie.dornat@charente-maritime.gouv.fr</t>
  </si>
  <si>
    <t>17-CHARENTE-MARITIME</t>
  </si>
  <si>
    <t>COMMUNE</t>
  </si>
  <si>
    <t>21170028100010</t>
  </si>
  <si>
    <t>Place des Charmilles 17440 Aytré</t>
  </si>
  <si>
    <t>BRECL Sylvie (DGS Aytré)</t>
  </si>
  <si>
    <t>0543301901</t>
  </si>
  <si>
    <t>secretariat.mairie@aytre.fr</t>
  </si>
  <si>
    <t>CdA de La Rochelle</t>
  </si>
  <si>
    <t>Exercice de Submersion</t>
  </si>
  <si>
    <t>Formation et exercice gestion de crise agents et élus Ville - journée du 10 octobre 2023</t>
  </si>
  <si>
    <t xml:space="preserve">Le 10 octobre, afin de donner suite à l'exercice de submersion du précèdent mandat, une formation est organisée par la CDA sur la gestion des risque submersion, vague inondation crue à destination des agents et élus de la commune d'Aytré. Cette formation sera immédiatement suivie d'un exercice de gestion de crise. </t>
  </si>
  <si>
    <t>13359003</t>
  </si>
  <si>
    <t>samcessac@gmail.com</t>
  </si>
  <si>
    <t>CESSAC</t>
  </si>
  <si>
    <t>Samuel</t>
  </si>
  <si>
    <t>Service départemental d'incendie et de secours</t>
  </si>
  <si>
    <t>Service d'incendie et de secours</t>
  </si>
  <si>
    <t>28170025200097</t>
  </si>
  <si>
    <t>2 Avenue Eric Tabarly 17180 Périgny</t>
  </si>
  <si>
    <t>BELLEPERCHE MARIE</t>
  </si>
  <si>
    <t>0786177720</t>
  </si>
  <si>
    <t>marie.belleperche@sdis17.fr</t>
  </si>
  <si>
    <t>Préfecture de la Charente-Maritime (service com)</t>
  </si>
  <si>
    <t>rencontres de la sécurité intérieure</t>
  </si>
  <si>
    <t>PREVI'RISK 17</t>
  </si>
  <si>
    <t>plateau de jeu interactif (support dématérialisé ou physique) destiné à faire connaitre au grand public les risques naturels, technologiques, attentats du département de la Charente-Maritime. Le jeu présente l'organisation des secours  en fonction des risques et les comportements à adopter par la population.</t>
  </si>
  <si>
    <t>PR1.PNG</t>
  </si>
  <si>
    <t>13389066</t>
  </si>
  <si>
    <t>contact@emergences-secourisme.org</t>
  </si>
  <si>
    <t>CELOT</t>
  </si>
  <si>
    <t>NATHALIE</t>
  </si>
  <si>
    <t>EMERGENCES SECOURISME</t>
  </si>
  <si>
    <t>83310319500016</t>
  </si>
  <si>
    <t>Chemin Rosiere 97212 Saint-Joseph</t>
  </si>
  <si>
    <t>NATHALIE CELOT</t>
  </si>
  <si>
    <t>0696288257</t>
  </si>
  <si>
    <t>Les partenaires mobilisés sont : Mairies, CACEM, Agence Trinité Crédit Agricole, Sté GEME, CAF Martinique, Lions Club, Pôle emploi du Lamentin, Mairie du Vauclin, Familles Rurales du Marin</t>
  </si>
  <si>
    <t>De mars 2023 à juillet 2023: Prévention aux risques majeurs pour l'ASP Antilles Guyane, ARS 971 ; Dépôt d'un appel à projet à la CACEM intitulé " la nature se déchaine - an nou préparé ko nou" -De décembre 2021 à février 2022: Prévention aux risques majeurs de 5 collectivités de Cap Nord (Martinique) : Saint Pierre - Le Carbet - Le Lorrain - Sainte Marie - Le Robert - Dans le cadre des journées Réplik (déc 2022) : Mairie du Robert, Mairie du Marin, UPP</t>
  </si>
  <si>
    <t>Tous résilients face aux risques naturels</t>
  </si>
  <si>
    <t>Sensibiliser les populations (particuliers, entreprises, collectivités) aux principaux risques naturels du territoire. Inciter l’ensemble des citoyens à passer à l’action en vue de s’organiser pour préparer son kit de survie en cas d'évacuation ou de confinement. Concevoir un plan personnel de secours (plan de mise en sûreté familial, plan d’urgence de quartier), apprendre les gestes qui sauvent afin de réduire leur vulnérabilité face aux catastrophes naturelles.</t>
  </si>
  <si>
    <t>Avis_de_situation_SIRET ES 972.pdf</t>
  </si>
  <si>
    <t>Dépliant Tous résilients face aux risques naturels.pdf</t>
  </si>
  <si>
    <t>13390519</t>
  </si>
  <si>
    <t>emergences.secourisme971@gmail.com</t>
  </si>
  <si>
    <t>EMERGENCES SECOURISME GUADELOUPE</t>
  </si>
  <si>
    <t>92356261500016</t>
  </si>
  <si>
    <t>La Ramee 97115 Sainte-Rose</t>
  </si>
  <si>
    <t>CELOT Nathalie</t>
  </si>
  <si>
    <t>Les partenariats que nous allons mobiliser sont: DAC DSR GIP RASPEG, CREPS Antilles Guyane, Mairie de Sainte Rose, Orange Caraïbe, Cap Excellence, Lions Club Guadeloupe, BRED Jarry</t>
  </si>
  <si>
    <t>Sensibilisation en avril 2023 : ASP Guadeloupe - https://www.emergences-secourisme.org/tous-resilients-face-aux-risques-majeurs</t>
  </si>
  <si>
    <t>Tous résilients face aux risques</t>
  </si>
  <si>
    <t>Le projet vise à : -	Sensibiliser les populations aux risques qui les environnent. Informer et acculturer toutes les parties prenantes aux mesures qui permettent de réduire leur exposition au risque en cas de catastrophe naturelle ou technologique.  -	Inciter les populations à passer à l’action pour préparer : kit de survie en cas d'évacuation ou de confinement, plan personnel de secours (PMSF, plan d’urgence de quartier),  -	Former aux gestes qui sauvent via la réalité virtuelle.</t>
  </si>
  <si>
    <t>SIRET.pdf</t>
  </si>
  <si>
    <t>13135004</t>
  </si>
  <si>
    <t>paulquistin@orange.fr</t>
  </si>
  <si>
    <t>QUISTIN</t>
  </si>
  <si>
    <t>Paul Anatole</t>
  </si>
  <si>
    <t>SARL SEOLOG</t>
  </si>
  <si>
    <t>92091750700013</t>
  </si>
  <si>
    <t>Gentilly 97180 Sainte-Anne</t>
  </si>
  <si>
    <t>QUISTIN Paul</t>
  </si>
  <si>
    <t>+590690683818</t>
  </si>
  <si>
    <t>admin@seo-log.com</t>
  </si>
  <si>
    <t xml:space="preserve">Expertise en paracyclonique et parasismique : participation à des conférences et journées techniques notamment durant la semaine Sismik. Formateur en construction parasismique pour architectes et constructeurs </t>
  </si>
  <si>
    <t>Logiciel LCDP65 CPMI  outil d'aide à l'application des guides CPMI</t>
  </si>
  <si>
    <t>Il s'agit d'un logiciel LCDP65CPMI conçu pour aider les professionnels à appliquer les règles de construction paracyclonique et parasismique pour les maisons individuelles selon les règles simplifiées CPMi.</t>
  </si>
  <si>
    <t>GRF-KBIS.PDF</t>
  </si>
  <si>
    <t>LCDP65_CPMI_Fiche Synthetique_Ind01.pdf</t>
  </si>
  <si>
    <t>13398711</t>
  </si>
  <si>
    <t>marielle.jean@smmar.fr</t>
  </si>
  <si>
    <t>EPTB AUDE</t>
  </si>
  <si>
    <t>SMMAR</t>
  </si>
  <si>
    <t>11-AUDE</t>
  </si>
  <si>
    <t>syndicat mixte</t>
  </si>
  <si>
    <t>25110154900011</t>
  </si>
  <si>
    <t xml:space="preserve">SMMAR - Hôtel du Département - Allée Raymond Courrière - 11855 Carcassonne cedex 9 </t>
  </si>
  <si>
    <t>JEAN marielle</t>
  </si>
  <si>
    <t>0645692530</t>
  </si>
  <si>
    <t>programme pédagogique dans les établissements scolaires, formation des élus a la gestion de crise inondation, campagne de sensibilisation des citoyens aux bons comportements en cas d'inondation, opération AUDALABRI avec diagnostic de réduction de vulnérabilité du bati</t>
  </si>
  <si>
    <t>mémoire du risque inondation</t>
  </si>
  <si>
    <t>En tant qu’EPTB AUDE (Etablissement Public Territorial de Bassin du bassin versant du fleuve Aude, de la Berre et du Rieu), le SMMAR ( Syndicat Mixte des Milieux Aquatiques et des Rivières) porte des programmes de sensibilisation du jeune public à la PREVENTION DES INONDATIONS.  Dans ce cadre-là,  pour la journée du 13 octobre prochain « tous résilients face au risque », nous avons mandaté une compagnie théâtrale de Lyon, ESSENTIEL EPHEMERE pour jouer sur notre territoire une pièce de Théâtre de Renaud Rocher sur le thème des inondations : « 16431-souvenirs d’avenir ». (http://www.theatre-risquesmajeurs.fr/16431_-_Souvenirs_davenir.html  ) et ainsi sensibiliser le jeune public et le grand public et les élus à la prévention des inondations via la CULTURE.  Ce spectacle sera suivi d'un débat et de la distribution d'objets a glisser dans son kit de sécurité a composer a son domicile quand on vit en zone inondable.</t>
  </si>
  <si>
    <t>Avis_de_situation_25110154900011_17_07_2023 14_58_59.pdf</t>
  </si>
  <si>
    <t>13343397</t>
  </si>
  <si>
    <t>anne-laure.riobe@smbvar.fr</t>
  </si>
  <si>
    <t>Gutierrez</t>
  </si>
  <si>
    <t>Elodie</t>
  </si>
  <si>
    <t>Syndicat mixte des basses vallées angevines et de la Romme</t>
  </si>
  <si>
    <t>20008082800011</t>
  </si>
  <si>
    <t>83 Rue du Mail BP 80011 49020 Angers Cedex 02</t>
  </si>
  <si>
    <t>GUTIERREZ Elodie</t>
  </si>
  <si>
    <t>0614108103</t>
  </si>
  <si>
    <t>elodie.gutierrez@smbvar.fr</t>
  </si>
  <si>
    <t>Ce projet est co-animé avec Angers Loire Métropole et la ville d'Angers. Nous travaillons aussi en partenariat sur cette journée avec l'association Loire Odyssée, Alter, la réserve communale de sécurité civile de la ville d'Angers et l'Association départementale de protection civile du Maine-et-Loire</t>
  </si>
  <si>
    <t>Aucune action menée en 2022 à ce sujet. Mais une construction du projet 2023 depuis le début d'année (réunions préparatoires en janvier, mai et septembre 2023).</t>
  </si>
  <si>
    <t>Angers en temps de crue</t>
  </si>
  <si>
    <t>Le SMBVAR, animateur du Programme d’actions de préventions des inondations des basses vallées angevines (PAPI des BVA), propose de piloter deux temps forts de sensibilisation au risque d’inondation : la journée de la résilience du 13 octobre 2023 et la commémoration des 30 ans de la crue de janvier 1995. Notre ambition est d’acculturer tous les citoyens au risque d’inondation, de préserver la mémoire des évènements passés, de s’inscrire dans la démarche de transition écologique, et de tendre vers une société plus résiliente face aux risques naturels et aux changements climatiques.</t>
  </si>
  <si>
    <t>13355430</t>
  </si>
  <si>
    <t>fvassalli.mairieloisin@gmail.com</t>
  </si>
  <si>
    <t>vassalli</t>
  </si>
  <si>
    <t>fabien</t>
  </si>
  <si>
    <t>74-HAUTE-SAVOIE</t>
  </si>
  <si>
    <t>Mairie de Loisin</t>
  </si>
  <si>
    <t>21740150400014</t>
  </si>
  <si>
    <t>1 Grande rue 74140 Loisin</t>
  </si>
  <si>
    <t>VASSALLI Fabien</t>
  </si>
  <si>
    <t>0642016622</t>
  </si>
  <si>
    <t>protection civile de haute savoie (via la convention PCS), thonon agglomeration qui possède un service gestion du milieu naturel, l'IRMa</t>
  </si>
  <si>
    <t>montage du plan communal de sauvegarde de la commune, création du site FF72 de la commune via le HCFRN, je suis sapeur-pompier professionnel spécialisé dans le risque technologique</t>
  </si>
  <si>
    <t>Savoir se préparer et faire face aux risques</t>
  </si>
  <si>
    <t>Le premier PCS de la commune à été validé en février 2023. Il est donc essentiel de proposer un rendez vous à nos administrés afin de leur présenter: des films de l'IRMa, les risques présent sur notre commune, le PCS et de l'organisation communale en cas de crise, le DICRIM, le site FF72, le registre des personnes vulnérables ainsi qu'un historique des évènement s'étant déroulés sur la commune de Loisin</t>
  </si>
  <si>
    <t>Avis_de_situation_21740150400014_15_07_2023 19_59_03.pdf</t>
  </si>
  <si>
    <t>préparation réunion publique PCS Loisin.pdf</t>
  </si>
  <si>
    <t>13414311</t>
  </si>
  <si>
    <t>jean-claude.junin@wanadoo.fr</t>
  </si>
  <si>
    <t>JUNIN</t>
  </si>
  <si>
    <t>Jean-Claude Marcel</t>
  </si>
  <si>
    <t>pref-sidpc@alpes-maritimes.gouv.fr</t>
  </si>
  <si>
    <t>06-ALPES MARITIMES</t>
  </si>
  <si>
    <t>GrasseMat'Info</t>
  </si>
  <si>
    <t>88216380100013</t>
  </si>
  <si>
    <t>16 Rue de l’Anc Palais de Justice 06130 Grasse</t>
  </si>
  <si>
    <t>Junin Jean-Claude</t>
  </si>
  <si>
    <t>0622876132</t>
  </si>
  <si>
    <t>redaction@grassemat.info</t>
  </si>
  <si>
    <t>Rédaction de nombreux articles sur le thème</t>
  </si>
  <si>
    <t>Résilience, j'écris ton nom</t>
  </si>
  <si>
    <t>Proposer aux élèves des établissements scolaires du pays de Grasse, (collèges et/ou lycée) de rédiger des articles collectifs sur la culture du risque et donner des solutions positives, et publier ces articles dans notre journal associatifs</t>
  </si>
  <si>
    <t>Avis_de_situation_INFOGREFFE FEVRIER2023.pdf</t>
  </si>
  <si>
    <t>13220731</t>
  </si>
  <si>
    <t>papicanche@symcea.fr</t>
  </si>
  <si>
    <t>CERF</t>
  </si>
  <si>
    <t>Emilie</t>
  </si>
  <si>
    <t>frederique.haution@pas-de-calais.gouv.fr</t>
  </si>
  <si>
    <t>62-PAS-DE-CALAIS</t>
  </si>
  <si>
    <t>Syndicat Mixte Canche et Authie (Symcéa)</t>
  </si>
  <si>
    <t>25620388600054</t>
  </si>
  <si>
    <t>34 Rue d'Hesdin 62770 Auchy-lès-Hesdin</t>
  </si>
  <si>
    <t>Emilie Cerf</t>
  </si>
  <si>
    <t>0970316168</t>
  </si>
  <si>
    <t>emilie.cerf@symcea.fr</t>
  </si>
  <si>
    <t>Plusieurs acteurs du territoire. Notamment les EPCI membres de notre PAPI, des organismes de protection civile, le CPIE Val d'Authie et Canche, le CEREMA, associations, ... Une note de présentation du projet a été envoyée aux acteurs de la gestion des inondations du périmètre du PAPI Canche pour les mobiliser.</t>
  </si>
  <si>
    <t>Le PAPI Canche est labellisé depuis juin 2022. Plusieurs actions sont mises en œuvre actuellement. La stratégie du PAPI Canche s’appuie sur l’axe 5 avec un programme ambitieux de réduction de la vulnérabilité. En effet, avec un coût estimé à plus de 4 millions d'euro, l’objectif est de protéger la population la plus vulnérable grâce aux diagnostics de leurs habitations et de les accompagner pour la mise en œuvre des travaux de réduction de la vulnérabilité. Ces actions visent les habitants, les petites entreprise et les collectivités. Sans oublier les réseaux, essentiels à la gestion de crise qui seront analysés pour évaluer leurs vulnérabilités. De plus, depuis 2023, des actions de sensibilisation ont été réalisées : la journée mondiale de la météorologie (le 23 mars) et la journée mondiale de l'environnement (le 5 juin) dans le cadre de l’axe I, l’axe II et l’axe VI. En effet, une soirée présentant les outils de mesures de la météo (réalisée avec les services de l'État et des particuliers passionnés) et un jeu de piste sur le risque inondation (créé par les pôles PAPI et SAGE) ont permis de mobiliser les élus et le grand public.</t>
  </si>
  <si>
    <t>"Canche &amp; Résilience : le salon de l'inondation et des solutions"</t>
  </si>
  <si>
    <t>Ce salon, en rassemblant les acteurs majeurs du territoire de la gestion des inondations, a pour objectif de sensibiliser le grand public sur l'importance de bien se préparer à faire face aux inondations. Pour ce faire, différentes animations proposerons aux visiteurs de se questionner : pourquoi et comment s’informer, quels sont les bons gestes à adopter, comment se protéger contre les inondations, connaître sa couverture assurantielle... Ainsi, le public enrichira sa culture du risque face aux inondations et prendra conscience de l'importance de la résilience sur son territoire.</t>
  </si>
  <si>
    <t>Avis_de_situation_25620388600054_18_07_2023 14_06_59.pdf</t>
  </si>
  <si>
    <t>Note_journee_nationale_resilience_2023_ext.pdf</t>
  </si>
  <si>
    <t>13423561</t>
  </si>
  <si>
    <t>association.cronos@gmail.com</t>
  </si>
  <si>
    <t>LEBORGNE</t>
  </si>
  <si>
    <t>Yann</t>
  </si>
  <si>
    <t>85-VENDEE</t>
  </si>
  <si>
    <t>Collectif scientifique pour la sauvegarde et la valorisation du patrimoine culturel immatériel et ethnologique face aux perturbations environnementales</t>
  </si>
  <si>
    <t>89799043800011</t>
  </si>
  <si>
    <t>15 Place du poilu de france 85100 Les Sables-d'Olonne</t>
  </si>
  <si>
    <t xml:space="preserve">LEBORGNE Yann </t>
  </si>
  <si>
    <t>0661435195</t>
  </si>
  <si>
    <t>Ce projet est réalisé en partenariat avec les laboratoires TEMOS et ESO (CNRS / Université d'Angers), l'association AVIF (victimes de la tempête Xynthia), le Parc Naturel Régional du Marais Poitevin</t>
  </si>
  <si>
    <t>Ce projet est lauréat de la Fondation de France au titre des "projets émergents". C'est-à-dire que nous avons été soutenus en 2022 par la Fondation de France pour vérifier la faisabilité de ce projet mémoriel, et pour coconstruire avec un ensemble de partenaires un projet consolidé dont la mise en œuvre devrait s'échelonner sur trois ans (2023-2026). Pour se faire, nous avons conduit une étude de faisabilité et organisé durant l'hiver 2022-2023 un ensemble d'ateliers de construction participative du projet auxquels ont contribué les acteurs suivants : laboratoires ESO-Angers et TEMOS (UMR CNRS), Service patrimoine de la Région Pays de la Loire, France Nature Environnement Vendée, France Nature Environnement Charente-Maritime, Comité pour la Protection de la Nature et des Sites (Saint-Gilles-Croix-de-Vie), Ville des Sables d'Olonne, Association Vendéenne des Elus du Littoral, PNR du Marais Poitevin, Association des Victimes de Xynthia (La Faute-sur-Mer et environs)</t>
  </si>
  <si>
    <t xml:space="preserve">Submersion et résilience, la mémoire de Xynthia </t>
  </si>
  <si>
    <t xml:space="preserve">L’association Cronos et ses partenaires sont engagés dans un projet participatif de recueil et de valorisation patrimoniale de la mémoire de la tempête Xynthia. La collecte des témoignages, des photographies et des films se référant à Xynthia, reliée à une analyse et à une mise en valeur de ces récits pour sauvegarder la mémoire via différents dispositifs de médiation, vise à contribuer à la prévention et au développement d’une culture du risque de submersion sur les territoires concernés. </t>
  </si>
  <si>
    <t>Avis_de_situation_89799043800011_19_07_2023 12_07_38.pdf</t>
  </si>
  <si>
    <t>Description détaillée du projet Mémoire de Xynthia.pdf</t>
  </si>
  <si>
    <t>13437274</t>
  </si>
  <si>
    <t>vanessa.roy@yonne.gouv.fr</t>
  </si>
  <si>
    <t>Roy</t>
  </si>
  <si>
    <t>Vanessa</t>
  </si>
  <si>
    <t>89-YONNE</t>
  </si>
  <si>
    <t>Test</t>
  </si>
  <si>
    <t>TEST</t>
  </si>
  <si>
    <t>17890001500011</t>
  </si>
  <si>
    <t>Rue de Paris 89000 Auxerre</t>
  </si>
  <si>
    <t>ROY Vanessa</t>
  </si>
  <si>
    <t>0386727991</t>
  </si>
  <si>
    <t>13225603</t>
  </si>
  <si>
    <t>aggleaux@ctlf.fr</t>
  </si>
  <si>
    <t>IGNASZAK</t>
  </si>
  <si>
    <t>Dominique</t>
  </si>
  <si>
    <t>02-AISNE</t>
  </si>
  <si>
    <t>Communauté d'Agglomération Chauny Tergnier La Fère</t>
  </si>
  <si>
    <t>20007178500014</t>
  </si>
  <si>
    <t>57 Boulevard Gambetta 02300 Chauny</t>
  </si>
  <si>
    <t>LOQUET Marc</t>
  </si>
  <si>
    <t>0602051435</t>
  </si>
  <si>
    <t>Entente Oise Aisne, Conservatoire d'espaces naturels, Communes</t>
  </si>
  <si>
    <t>La CACTLF dispose d'un espace pédagogique de gestion intégrée des eaux pluviales ouvert à tous. Elle est également engagé dans un contrat territorial Eau et climat avec l'Agence de l'eau Seine Normandie.</t>
  </si>
  <si>
    <t>30 ans d'un territoire au bord de l'eau</t>
  </si>
  <si>
    <t>La Communauté d’Agglomération Chauny Tergnier La Fère est un territoire particulièrement sensible aux inondations. A l’occasion des 30 ans de la crue de 1993, l’Agglomération a souhaité commémorer cet événement et organise donc une série de manifestations et supports visant à conserver la mémoire et à développer la culture du risque. Au-delà, c’est également l’occasion d’appeler à la résilience des systèmes et à l’adaptation au changement climatique tout en portant un regard différent sur les inondations. L’agglomération a donc choisi de mener un projet autour de la « semaine de la résilience » en réalisant plusieurs actions dont un journal, une exposition, une conférence, des visites de sites et la sensibilisation des scolaires.</t>
  </si>
  <si>
    <t>Note descriptive 30 au bord de l'eau.docx</t>
  </si>
  <si>
    <t>13452120</t>
  </si>
  <si>
    <t>dgs@senpere64.fr</t>
  </si>
  <si>
    <t>COMBEBIAC</t>
  </si>
  <si>
    <t>Nicolas</t>
  </si>
  <si>
    <t>64-PYRENEES-ATLANTIQUES</t>
  </si>
  <si>
    <t>Commune de Saint-Pée-sur-Nivelle</t>
  </si>
  <si>
    <t>21640495400010</t>
  </si>
  <si>
    <t>Rue Karrika 64310 Saint-Pée-sur-Nivelle</t>
  </si>
  <si>
    <t>COMBEBIAC Nicolas</t>
  </si>
  <si>
    <t>0619595476</t>
  </si>
  <si>
    <t>Rédaction du Document d'Information Communal sur les Risques Majeurs (DICRIM)</t>
  </si>
  <si>
    <t>Diffusion du Document d'Information Communal sur les Risques Majeurs (DICRIM)</t>
  </si>
  <si>
    <t>Le projet consiste en une diffusion la plus large possible auprès de la population du Document d'Information Communal sur les Risques Majeurs (DICRIM) afin de renforcer la culture du risque sur le territoire communal</t>
  </si>
  <si>
    <t>Avis_de_situation_21640495400010_21_07_2023 09 26 51.pdf</t>
  </si>
  <si>
    <t>DICRIM_saint-pee-sur-nivelle.pdf</t>
  </si>
  <si>
    <t>13456621</t>
  </si>
  <si>
    <t>salome.lhuillier@mairie-valence.fr</t>
  </si>
  <si>
    <t>LHUILLIER</t>
  </si>
  <si>
    <t>Salomé</t>
  </si>
  <si>
    <t>26-DROME</t>
  </si>
  <si>
    <t>Mairie de Valence</t>
  </si>
  <si>
    <t>21260362500014</t>
  </si>
  <si>
    <t>1 Place de la Liberte 26000 Valence</t>
  </si>
  <si>
    <t>LHUILLIER Salomé</t>
  </si>
  <si>
    <t>0765155282</t>
  </si>
  <si>
    <t xml:space="preserve">IRMA ADPC26 IFFORME SDIS26 Prévention Maif </t>
  </si>
  <si>
    <t xml:space="preserve">Action de sensibiisation aux risques majeurs dans les écoles ou MPT </t>
  </si>
  <si>
    <t xml:space="preserve">"Semaine tous résilients" </t>
  </si>
  <si>
    <t xml:space="preserve">Dans le cadre de la journée « Tous résilients » du 13 octobre 2023, nous souhaitons proposer un ensemble exposition + animations autour de la prévention des risques. Cet ensemble sera composé : d’un stand autour de notre DICRIM, une exposition autour du concept des risques majeurs (risques industriels et risques naturels) et des bons comportements à adopter (kakemonos + photos),un escape game sur les risques majeurs, une maquette inondation (animation), un stand d’initiation aux gestes de premiers secours (animation) et un stand de promotion de l’engagement citoyen de sapeur-pompier volontaire. Également, le jeudi, nous allons proposer une pièce de théâtre de la compagnie Essentiel Ephémère (2 représentations).    Ces activités seront destinées au scolaires (du lundi au vendredi), au MPT le mercredi et au grand public (samedi ) dans le cadre de la fête de la science. </t>
  </si>
  <si>
    <t>Dossier pédagogique.pdf</t>
  </si>
  <si>
    <t>13439827</t>
  </si>
  <si>
    <t>culture@duclair.fr</t>
  </si>
  <si>
    <t>DELALANDRE</t>
  </si>
  <si>
    <t>JEAN</t>
  </si>
  <si>
    <t>76-SEINE-MARITIME</t>
  </si>
  <si>
    <t>MAIRIE DE DUCLAIR</t>
  </si>
  <si>
    <t>21760222600011</t>
  </si>
  <si>
    <t>Place du Géneral de Gaulle 76480 Duclair</t>
  </si>
  <si>
    <t xml:space="preserve">MARET Frédérique </t>
  </si>
  <si>
    <t>0235059569</t>
  </si>
  <si>
    <t xml:space="preserve">Département de Seine Maritime, le Forum - Maison de l'Architecture de Normandie </t>
  </si>
  <si>
    <t>Installation d'une œuvre d'art "AMPLITUDE" depuis janvier 2022. Pour saisir la problématique du mouvement perpétuel de la  Seine et de ses débordements, l’œuvre s’en fait le marqueur. La  forme de l’objet s’inspire de la forme sinusoïdale que dessine le  mouvement ondulatoire de l’eau. AMPLITUDE souhaite faire passer le message sensible à travers  une expérience spatiale et physique.</t>
  </si>
  <si>
    <t>OEUVRE ET RESIDENCE TERRITORIALE "AMPLITUDE"</t>
  </si>
  <si>
    <t xml:space="preserve">Le Département de la Seine-Maritime et la ville de Duclair s’associent pour mettre en place une résidence artistique territoriale autour de l’œuvre « Amplitude », conçue pour être un repère de crue.  Installée près de l’embarcadère du bac, elle est visible d’un grand nombre d’habitants du territoire qui doivent désormais se l’approprier. La résidence permettra d’assurer une présence artistique sur le territoire de la commune à partir d’un projet d'actions culturelles et artistiques en direction des habitants, permettant de les familiariser avec l’œuvre « Amplitude » et son message.  La ville de Duclair s'associe également au Forum/Maison de l'Architecture dans le cadre du festival Zig Zag </t>
  </si>
  <si>
    <t>ATTESTATION DE SITUATION DUCLAIR.pdf</t>
  </si>
  <si>
    <t>Amplitude-LNV.pdf</t>
  </si>
  <si>
    <t>13474473</t>
  </si>
  <si>
    <t>contact@afpcnt.org</t>
  </si>
  <si>
    <t>Verrhiest-Leblanc</t>
  </si>
  <si>
    <t xml:space="preserve">Ghislaine </t>
  </si>
  <si>
    <t>93-SEINE-SAINT-DENIS</t>
  </si>
  <si>
    <t>ASSOCIATION FRANCAISE POUR LA PREVENTION DES CATASTROPHES NATURELLES ET TECHNOLOGIQUES (AFPCNT)</t>
  </si>
  <si>
    <t>12 rue Villiot - 75012 PARIS</t>
  </si>
  <si>
    <t>VERRHIEST-LEBLANC Ghislaine</t>
  </si>
  <si>
    <t>0465261170</t>
  </si>
  <si>
    <t>"L’Association française pour la prévention des catastrophes naturelles et technologiques est une association régie par la loi du 1er juillet 1901. Elle a été créée fin 2000 pour poursuivre l’action du Comité français de la Décennie internationale de prévention des Catastrophes Naturelles (DIPCN), en tant que centre national de réflexion collective transversale et multirisque sur la problématique des risques naturels et acteur reconnu de la coopération internationale dans ce domaine. Soutenue par le Ministère de la Transition écologique et de la Cohésion des territoires, elle rassemble des scientifiques, experts, universitaires, élus nationaux et locaux, collectivités territoriales, associations, entreprises ainsi que des représentants de l’État. S’appuyant sur son acquis, face au nouveau contexte mondial des risques et à l’évolution rapide de la gouvernance à tous niveaux, l’AFPCNT vise à constituer une plateforme permanente transversale et multirisques d’acteurs (personnes morales et physiques) impliqués dans la prévention et la gestion des risques de catastrophes et la réduction de leurs conséquences. Pour ce faire, elle organise des rencontres et des débats, de niveau national, européen et international entre les pouvoirs publics et les divers acteurs de la société civile et se donne pour objectif de déployer de manière équilibrée ses activités suivant les 4 grandes missions suivantes : • Animation et gestion des réseaux d’acteurs • Animation scientifique et technique • Animation territoriale et intersectorielle • Action internationale et européenne Plus d’informations sur : www.afcpnt.org Sur la période 2022-2025, le projet associatif sKarabée vise à développer la culture du risque et de la résilience en France. Il comprend cinq grandes priorités : • Contribuer à faire du 13 octobre un rdv national incontournable en matière de prévention des risques naturels et technologiques • Travailler sur la résilience des territoires et des organisations • Mobiliser et animer le réseau ultramarin • Favoriser la montée en compétences des acteurs • Poursuivre les réflexions de fond et développer les partenariats nationaux et internationaux"</t>
  </si>
  <si>
    <t>Séminaire résilience</t>
  </si>
  <si>
    <t>L’AFPCNT et l’IMdR ont convenu de mettre en commun leurs efforts pour co-organiser une journée résilience qui satisfasse les objectifs des deux parties. La journée répondra aux objectifs suivants : - Valoriser et consolider les travaux menés par l’IMdR et l’AFPCNT sur le concept de résilience ; - Faire de la continuité d’activité le fil conducteur de la journée comme élément structurant pour développer des démarches pluridisciplinaires de résilience ; - Croiser les approches sur le sujet dans ses différentes composantes (mise en oeuvre, évaluation…) ; - Tirer des enseignements des exposés et des débats pour poursuivre les travaux tant de l’IMdR que de l’AFPCNT et des autres organismes associés à la journée sur le sujet de la résilience. Ouverte au grand public et aux professionnels de la prévention et de la gestion des risques, cette journée de séminaire donnera la parole à un grand nombre d’experts. Elle abordera la résilience dans ses différentes composantes de mise en œuvre, d’évaluation, de formation, etc. Il s’agira de poser des repères comme autant de jalons à suivre vers la résilience collective.</t>
  </si>
  <si>
    <t>Avis de situation AFPCNT-IMdR.pdf</t>
  </si>
  <si>
    <t>Journée Résilience-4.pdf</t>
  </si>
  <si>
    <t>13498791</t>
  </si>
  <si>
    <t>m.bridier@compagnonsbatisseurs.eu</t>
  </si>
  <si>
    <t>BRIDIER</t>
  </si>
  <si>
    <t>Maé</t>
  </si>
  <si>
    <t>978-SAINT-MARTIN</t>
  </si>
  <si>
    <t>ASSOCIATION NATIONALE COMPAGNONS BATISSEURS</t>
  </si>
  <si>
    <t>77566663900148</t>
  </si>
  <si>
    <t>ROUTE DE FRIAR'S BAY, Résidence la Persévérance, 97150 SAINT-MARTIN</t>
  </si>
  <si>
    <t>BRIDIER Maé</t>
  </si>
  <si>
    <t>0690189131</t>
  </si>
  <si>
    <t>Associations, Institutions</t>
  </si>
  <si>
    <t>Interventions en urgence, gestion de crise, contribution aux différents rapports en lien avec la résilience face aux aléas climatiques en lien avec le passage de l'ouragan Irma en septembre 2017 sur l'ile de Saint-Martin, mise en œuvre d'animation "prévention des risques",</t>
  </si>
  <si>
    <t>Soutien à la préservation en cas de catastrophe naturelle</t>
  </si>
  <si>
    <t>Le projet de "soutien à la préservation en cas de catastrophe naturelle" vise à accompagner la population vulnérable a se préparer, se protéger et s'adapter face aux risques naturels et notamment face au risques naturels dont le territoire de Saint-Martin peut etre soumis.</t>
  </si>
  <si>
    <t>Avis_de_situation_77566663900148_25_07_2023 12_31_01.pdf</t>
  </si>
  <si>
    <t>Dossier ID</t>
  </si>
  <si>
    <t>Champ</t>
  </si>
  <si>
    <t>Établissement SIRET</t>
  </si>
  <si>
    <t>Etablissement enseigne</t>
  </si>
  <si>
    <t>Établissement siège social</t>
  </si>
  <si>
    <t>Établissement NAF</t>
  </si>
  <si>
    <t>Établissement libellé NAF</t>
  </si>
  <si>
    <t>Établissement Adresse</t>
  </si>
  <si>
    <t>Établissement numero voie</t>
  </si>
  <si>
    <t>Établissement type voie</t>
  </si>
  <si>
    <t>Établissement nom voie</t>
  </si>
  <si>
    <t>Établissement complément adresse</t>
  </si>
  <si>
    <t>Établissement code postal</t>
  </si>
  <si>
    <t>Établissement localité</t>
  </si>
  <si>
    <t>Établissement code INSEE localité</t>
  </si>
  <si>
    <t>Entreprise SIREN</t>
  </si>
  <si>
    <t>Entreprise capital social</t>
  </si>
  <si>
    <t>Entreprise numero TVA intracommunautaire</t>
  </si>
  <si>
    <t>Entreprise forme juridique</t>
  </si>
  <si>
    <t>Entreprise forme juridique code</t>
  </si>
  <si>
    <t>Entreprise nom commercial</t>
  </si>
  <si>
    <t>Entreprise raison sociale</t>
  </si>
  <si>
    <t>Entreprise SIRET siège social</t>
  </si>
  <si>
    <t>Entreprise code effectif entreprise</t>
  </si>
  <si>
    <t>Entreprise date de création</t>
  </si>
  <si>
    <t>Entreprise état administratif</t>
  </si>
  <si>
    <t>Entreprise nom</t>
  </si>
  <si>
    <t>Entreprise prénom</t>
  </si>
  <si>
    <t>Association RNA</t>
  </si>
  <si>
    <t>Association titre</t>
  </si>
  <si>
    <t>Association objet</t>
  </si>
  <si>
    <t>Association date de création</t>
  </si>
  <si>
    <t>Association date de déclaration</t>
  </si>
  <si>
    <t>Association date de publication</t>
  </si>
  <si>
    <t>true</t>
  </si>
  <si>
    <t>84.13Z</t>
  </si>
  <si>
    <t>Administration publique (tutelle) des activités économiques</t>
  </si>
  <si>
    <t>DIRECTION DEPARTEMENTALE DES TERRITOIRES SEINE-ET-MARNE
288 AVENUE GEORGES CLEMENCEAU
BP 596
77005 MELUN CEDEX
FRANCE</t>
  </si>
  <si>
    <t>288</t>
  </si>
  <si>
    <t>AVENUE</t>
  </si>
  <si>
    <t>GEORGES CLEMENCEAU</t>
  </si>
  <si>
    <t>77000</t>
  </si>
  <si>
    <t>VAUX-LE-PENIL</t>
  </si>
  <si>
    <t>77487</t>
  </si>
  <si>
    <t>130012339</t>
  </si>
  <si>
    <t>Service déconcentré de l'État à compétence (inter) départementale</t>
  </si>
  <si>
    <t>7172</t>
  </si>
  <si>
    <t>DIRECTION DEPARTEMENTALE DES TERRITOIRES SEINE-ET-MARNE</t>
  </si>
  <si>
    <t>32</t>
  </si>
  <si>
    <t>actif</t>
  </si>
  <si>
    <t>94.99Z</t>
  </si>
  <si>
    <t>Autres organisations fonctionnant par adhésion volontaire</t>
  </si>
  <si>
    <t>INST FRANC FORMATEURS RISQUES MAJ PROTIO
9 RUE JACQUES LOUVEL TESSIER
75010 PARIS 10
FRANCE</t>
  </si>
  <si>
    <t>9</t>
  </si>
  <si>
    <t>RUE</t>
  </si>
  <si>
    <t>JACQUES LOUVEL TESSIER</t>
  </si>
  <si>
    <t>75010</t>
  </si>
  <si>
    <t>PARIS 10</t>
  </si>
  <si>
    <t>75110</t>
  </si>
  <si>
    <t>432396885</t>
  </si>
  <si>
    <t>Association déclarée</t>
  </si>
  <si>
    <t>9220</t>
  </si>
  <si>
    <t>INST FRANC FORMATEURS RISQUES MAJ PROTIO</t>
  </si>
  <si>
    <t>02</t>
  </si>
  <si>
    <t>84.11Z</t>
  </si>
  <si>
    <t>Administration publique générale</t>
  </si>
  <si>
    <t>CA SAUMUR VAL DE LOIRE
11 RUE DU MARECHAL LECLERC
49408 SAUMUR CEDEX
FRANCE</t>
  </si>
  <si>
    <t>11</t>
  </si>
  <si>
    <t>DU MARECHAL LECLERC</t>
  </si>
  <si>
    <t>49400</t>
  </si>
  <si>
    <t>SAUMUR</t>
  </si>
  <si>
    <t>49328</t>
  </si>
  <si>
    <t>200071876</t>
  </si>
  <si>
    <t>FR10200071876</t>
  </si>
  <si>
    <t>Communauté d'agglomération</t>
  </si>
  <si>
    <t>7348</t>
  </si>
  <si>
    <t>CA SAUMUR VAL DE LOIRE</t>
  </si>
  <si>
    <t>91.04Z</t>
  </si>
  <si>
    <t>Gestion des jardins botaniques et zoologiques et des réserves naturelles</t>
  </si>
  <si>
    <t>SYNDICAT DES ETANGS CORREZIENS
IMMEUBLE CONSULAIRE DU PUY PINCON
AVENUE DOCTEUR ALBERT SCHWEITZER
19000 TULLE
FRANCE</t>
  </si>
  <si>
    <t>DOCTEUR ALBERT SCHWEITZER</t>
  </si>
  <si>
    <t>IMMEUBLE CONSULAIRE DU PUY PINCON</t>
  </si>
  <si>
    <t>19000</t>
  </si>
  <si>
    <t>TULLE</t>
  </si>
  <si>
    <t>19272</t>
  </si>
  <si>
    <t>512517202</t>
  </si>
  <si>
    <t>74.90B</t>
  </si>
  <si>
    <t>Activités spécialisées, scientifiques et techniques diverses</t>
  </si>
  <si>
    <t>ASSOCIATION FRANCAISE POUR LA PREVENTION DES CATASTROPHES NATURELLES ET TECHNOLOGIQUES
12 RUE VILLIOT
75012 PARIS 12
FRANCE</t>
  </si>
  <si>
    <t>12</t>
  </si>
  <si>
    <t>VILLIOT</t>
  </si>
  <si>
    <t>75012</t>
  </si>
  <si>
    <t>PARIS 12</t>
  </si>
  <si>
    <t>75112</t>
  </si>
  <si>
    <t>434656534</t>
  </si>
  <si>
    <t>ASSOCIATION FRANCAISE POUR LA PREVENTION DES CATASTROPHES NATURELLES ET TECHNOLOGIQUES</t>
  </si>
  <si>
    <t>01</t>
  </si>
  <si>
    <t>85.42Z</t>
  </si>
  <si>
    <t>Enseignement supérieur</t>
  </si>
  <si>
    <t>INSTITUT DE PHYSIQUE DU GLOBE DE PARIS
1 RUE JUSSIEU
75238 PARIS CEDEX 05
FRANCE</t>
  </si>
  <si>
    <t>1</t>
  </si>
  <si>
    <t>JUSSIEU</t>
  </si>
  <si>
    <t>75005</t>
  </si>
  <si>
    <t>PARIS 5</t>
  </si>
  <si>
    <t>75105</t>
  </si>
  <si>
    <t>197534282</t>
  </si>
  <si>
    <t>FR79197534282</t>
  </si>
  <si>
    <t>Établissement public national à caractère scientifique culturel et professionnel</t>
  </si>
  <si>
    <t>7383</t>
  </si>
  <si>
    <t>INSTITUT DE PHYSIQUE DU GLOBE DE PARIS</t>
  </si>
  <si>
    <t>22</t>
  </si>
  <si>
    <t>MAIRIE</t>
  </si>
  <si>
    <t>COMMUNE DE PELISSANNE
PARC ROUX DE BRIGNOLES
BP 7
13330 PELISSANNE
FRANCE</t>
  </si>
  <si>
    <t>PARC ROUX DE BRIGNOLES</t>
  </si>
  <si>
    <t>13330</t>
  </si>
  <si>
    <t>PELISSANNE</t>
  </si>
  <si>
    <t>13069</t>
  </si>
  <si>
    <t>211300694</t>
  </si>
  <si>
    <t>Commune et commune nouvelle</t>
  </si>
  <si>
    <t>7210</t>
  </si>
  <si>
    <t>COMMUNE DE PELISSANNE</t>
  </si>
  <si>
    <t>CCAS</t>
  </si>
  <si>
    <t>88.99B</t>
  </si>
  <si>
    <t>Action sociale sans hébergement n.c.a.</t>
  </si>
  <si>
    <t>CTRE COM ACTION SOCIALE DE SCHOELCHER
MAIRIE
BOURG
97233 SCHOELCHER
FRANCE</t>
  </si>
  <si>
    <t>BOURG</t>
  </si>
  <si>
    <t>97233</t>
  </si>
  <si>
    <t>SCHOELCHER</t>
  </si>
  <si>
    <t>97229</t>
  </si>
  <si>
    <t>269720298</t>
  </si>
  <si>
    <t>Centre communal d'action sociale</t>
  </si>
  <si>
    <t>7361</t>
  </si>
  <si>
    <t>CTRE COM ACTION SOCIALE DE SCHOELCHER</t>
  </si>
  <si>
    <t>03</t>
  </si>
  <si>
    <t>OSIRIS
RUE GASTON MONMOUSSEAU
38150 ROUSSILLON
FRANCE</t>
  </si>
  <si>
    <t>GASTON MONMOUSSEAU</t>
  </si>
  <si>
    <t>38150</t>
  </si>
  <si>
    <t>ROUSSILLON</t>
  </si>
  <si>
    <t>38344</t>
  </si>
  <si>
    <t>422382168</t>
  </si>
  <si>
    <t>FR14422382168</t>
  </si>
  <si>
    <t>Groupement d'intérêt économique (GIE)</t>
  </si>
  <si>
    <t>6220</t>
  </si>
  <si>
    <t>OSIRIS</t>
  </si>
  <si>
    <t>70.22Z</t>
  </si>
  <si>
    <t>Conseil pour les affaires et autres conseils de gestion</t>
  </si>
  <si>
    <t xml:space="preserve">
PEDRONO MARIE-LAURE
13 RUE RICHARD LENOIR
35000 RENNES
FRANCE</t>
  </si>
  <si>
    <t>13</t>
  </si>
  <si>
    <t>RICHARD LENOIR</t>
  </si>
  <si>
    <t>35000</t>
  </si>
  <si>
    <t>RENNES</t>
  </si>
  <si>
    <t>35238</t>
  </si>
  <si>
    <t>920225588</t>
  </si>
  <si>
    <t>Entrepreneur individuel</t>
  </si>
  <si>
    <t>1000</t>
  </si>
  <si>
    <t>REGNIER (PEDRONO) MARIE-LAURE</t>
  </si>
  <si>
    <t>REGNIER (PEDRONO)</t>
  </si>
  <si>
    <t>MARIE-LAURE</t>
  </si>
  <si>
    <t>58.14Z</t>
  </si>
  <si>
    <t>Édition de revues et périodiques</t>
  </si>
  <si>
    <t xml:space="preserve">
KOKACH OMAR
1 RUE PAUL VALERY
92240 MALAKOFF
FRANCE</t>
  </si>
  <si>
    <t>PAUL VALERY</t>
  </si>
  <si>
    <t>92240</t>
  </si>
  <si>
    <t>MALAKOFF</t>
  </si>
  <si>
    <t>92046</t>
  </si>
  <si>
    <t>911510626</t>
  </si>
  <si>
    <t>KOKACH OMAR</t>
  </si>
  <si>
    <t>OMAR</t>
  </si>
  <si>
    <t>31.09B</t>
  </si>
  <si>
    <t>Fabrication d’autres meubles et industries connexes de l’ameublement</t>
  </si>
  <si>
    <t>CARIB SECURIT
QUARTIER MOULIN A VENT
97231 LE ROBERT
FRANCE</t>
  </si>
  <si>
    <t>QUARTIER</t>
  </si>
  <si>
    <t>MOULIN A VENT</t>
  </si>
  <si>
    <t>97231</t>
  </si>
  <si>
    <t>LE ROBERT</t>
  </si>
  <si>
    <t>97222</t>
  </si>
  <si>
    <t>513010264</t>
  </si>
  <si>
    <t>FR92513010264</t>
  </si>
  <si>
    <t>Société à responsabilité limitée (sans autre indication)</t>
  </si>
  <si>
    <t>5499</t>
  </si>
  <si>
    <t>CARIB SECURIT</t>
  </si>
  <si>
    <t>COMMUNE D ALFORTVILLE
PLACE FRANCOIS MITTERAND
BP 75
94142 ALFORTVILLE CEDEX
FRANCE</t>
  </si>
  <si>
    <t>PLACE</t>
  </si>
  <si>
    <t>FRANCOIS MITTERAND</t>
  </si>
  <si>
    <t>94140</t>
  </si>
  <si>
    <t>ALFORTVILLE</t>
  </si>
  <si>
    <t>94002</t>
  </si>
  <si>
    <t>219400025</t>
  </si>
  <si>
    <t>FR88219400025</t>
  </si>
  <si>
    <t>COMMUNE D ALFORTVILLE</t>
  </si>
  <si>
    <t>42</t>
  </si>
  <si>
    <t>PREFECTURE DE DEPARTEMENT HERAULT
34 PLACE MARTYRS DE LA RESISTANCE
34062 MONTPELLIER CEDEX 2
FRANCE</t>
  </si>
  <si>
    <t>34</t>
  </si>
  <si>
    <t>MARTYRS DE LA RESISTANCE</t>
  </si>
  <si>
    <t>34000</t>
  </si>
  <si>
    <t>MONTPELLIER</t>
  </si>
  <si>
    <t>34172</t>
  </si>
  <si>
    <t>173400011</t>
  </si>
  <si>
    <t>PREFECTURE DE DEPARTEMENT HERAULT</t>
  </si>
  <si>
    <t>COMMUNE D AYTRE
AVENUE EDMOND GRASSET
17440 AYTRE
FRANCE</t>
  </si>
  <si>
    <t>EDMOND GRASSET</t>
  </si>
  <si>
    <t>17440</t>
  </si>
  <si>
    <t>AYTRE</t>
  </si>
  <si>
    <t>17028</t>
  </si>
  <si>
    <t>211700281</t>
  </si>
  <si>
    <t>FR48211700281</t>
  </si>
  <si>
    <t>COMMUNE D AYTRE</t>
  </si>
  <si>
    <t>84.25Z</t>
  </si>
  <si>
    <t>Services du feu et de secours</t>
  </si>
  <si>
    <t>SCE DEPARTEMENTAL INCENDIE ET SECOURS
ZI DES 4 CHEVALIERS
2 AVENUE ERIC TABARLY
BP 60099
17187 PERIGNY CEDEX
FRANCE</t>
  </si>
  <si>
    <t>2</t>
  </si>
  <si>
    <t>ERIC TABARLY</t>
  </si>
  <si>
    <t>ZI DES 4 CHEVALIERS</t>
  </si>
  <si>
    <t>17180</t>
  </si>
  <si>
    <t>PERIGNY</t>
  </si>
  <si>
    <t>17274</t>
  </si>
  <si>
    <t>281700252</t>
  </si>
  <si>
    <t>FR05281700252</t>
  </si>
  <si>
    <t>Service départemental d'incendie et de secours (SDIS)</t>
  </si>
  <si>
    <t>7372</t>
  </si>
  <si>
    <t>SCE DEPARTEMENTAL INCENDIE ET SECOURS</t>
  </si>
  <si>
    <t>41</t>
  </si>
  <si>
    <t>85.59B</t>
  </si>
  <si>
    <t>Autres enseignements</t>
  </si>
  <si>
    <t>EMERGENCES SECOURISME
905 LA CHEMINEE DE ROSIERE
97212 SAINT-JOSEPH
FRANCE</t>
  </si>
  <si>
    <t>905</t>
  </si>
  <si>
    <t>LA CHEMINEE DE ROSIERE</t>
  </si>
  <si>
    <t>97212</t>
  </si>
  <si>
    <t>SAINT-JOSEPH</t>
  </si>
  <si>
    <t>97224</t>
  </si>
  <si>
    <t>833103195</t>
  </si>
  <si>
    <t>EMERGENCES SECOURISME GUADELOUPE
CHEZ MME AMELLEAU MARINETTE
LA RAMEE
97115 SAINTE-ROSE
FRANCE</t>
  </si>
  <si>
    <t>LA RAMEE</t>
  </si>
  <si>
    <t>CHEZ MME AMELLEAU MARINETTE</t>
  </si>
  <si>
    <t>97115</t>
  </si>
  <si>
    <t>SAINTE-ROSE</t>
  </si>
  <si>
    <t>97129</t>
  </si>
  <si>
    <t>923562615</t>
  </si>
  <si>
    <t>62.01Z</t>
  </si>
  <si>
    <t>Programmation informatique</t>
  </si>
  <si>
    <t>SEOLOG
GENTILLY
97180 SAINTE-ANNE
FRANCE</t>
  </si>
  <si>
    <t>GENTILLY</t>
  </si>
  <si>
    <t>97180</t>
  </si>
  <si>
    <t>SAINTE-ANNE</t>
  </si>
  <si>
    <t>97128</t>
  </si>
  <si>
    <t>920917507</t>
  </si>
  <si>
    <t>FR85920917507</t>
  </si>
  <si>
    <t>SEOLOG</t>
  </si>
  <si>
    <t>SYNDI.MIXTE MILIEUX AQUATIQUES RIVIERES
CONSEIL DEPARTEMENTAL
PLATEAU DE GRAZAILLES
11855 CARCASSONNE CEDEX 9
FRANCE</t>
  </si>
  <si>
    <t>PLATEAU DE GRAZAILLES</t>
  </si>
  <si>
    <t>CONSEIL DEPARTEMENTAL</t>
  </si>
  <si>
    <t>11000</t>
  </si>
  <si>
    <t>CARCASSONNE</t>
  </si>
  <si>
    <t>11069</t>
  </si>
  <si>
    <t>251101549</t>
  </si>
  <si>
    <t>Syndicat mixte ouvert</t>
  </si>
  <si>
    <t>7355</t>
  </si>
  <si>
    <t>SYNDI.MIXTE MILIEUX AQUATIQUES RIVIERES</t>
  </si>
  <si>
    <t>SYNDICAT MIXTE DES BASSES VALLEES ANGEVINES ET DE LA ROMME
83 RUE DU MAIL
BP 80011
49020 ANGERS CEDEX 02
FRANCE</t>
  </si>
  <si>
    <t>83</t>
  </si>
  <si>
    <t>DU MAIL</t>
  </si>
  <si>
    <t>49100</t>
  </si>
  <si>
    <t>ANGERS</t>
  </si>
  <si>
    <t>49007</t>
  </si>
  <si>
    <t>200080828</t>
  </si>
  <si>
    <t>Syndicat mixte fermé</t>
  </si>
  <si>
    <t>7354</t>
  </si>
  <si>
    <t>SYNDICAT MIXTE DES BASSES VALLEES ANGEVINES ET DE LA ROMME</t>
  </si>
  <si>
    <t>COMMUNE DE LOISIN
HOTEL DE VILLE
74140 LOISIN
FRANCE</t>
  </si>
  <si>
    <t>HOTEL DE VILLE</t>
  </si>
  <si>
    <t>74140</t>
  </si>
  <si>
    <t>LOISIN</t>
  </si>
  <si>
    <t>74150</t>
  </si>
  <si>
    <t>217401504</t>
  </si>
  <si>
    <t>FR95217401504</t>
  </si>
  <si>
    <t>COMMUNE DE LOISIN</t>
  </si>
  <si>
    <t>GRASSEMAT.INFO
MAISON DES ASSOCIATIONS
16 RUE DE L'ANCIEN PALAIS DE JUSTICE
06130 GRASSE
FRANCE</t>
  </si>
  <si>
    <t>16</t>
  </si>
  <si>
    <t>DE L'ANCIEN PALAIS DE JUSTICE</t>
  </si>
  <si>
    <t>MAISON DES ASSOCIATIONS</t>
  </si>
  <si>
    <t>06130</t>
  </si>
  <si>
    <t>GRASSE</t>
  </si>
  <si>
    <t>06069</t>
  </si>
  <si>
    <t>882163801</t>
  </si>
  <si>
    <t>GRASSEMAT.INFO</t>
  </si>
  <si>
    <t>SM CANCHE ET AUTHIE
34 ROUTE D'HESDIN
62770 AUCHY-LES-HESDIN
FRANCE</t>
  </si>
  <si>
    <t>ROUTE</t>
  </si>
  <si>
    <t>D'HESDIN</t>
  </si>
  <si>
    <t>62770</t>
  </si>
  <si>
    <t>AUCHY-LES-HESDIN</t>
  </si>
  <si>
    <t>62050</t>
  </si>
  <si>
    <t>256203886</t>
  </si>
  <si>
    <t>SM CANCHE ET AUTHIE</t>
  </si>
  <si>
    <t>CRONOS (COLLECTIF SCIENTIFIQUE POUR LA SAUVEGARDE ET LA VALORISATION DU PATRIMOINE CULTUREL IMMATERIEL ET ETHNOLOGIQUE F
MAIRIE
21 PLACE DU POILU DE FRANCE
85100 LES SABLES D'OLONNE
FRANCE</t>
  </si>
  <si>
    <t>21</t>
  </si>
  <si>
    <t>DU POILU DE FRANCE</t>
  </si>
  <si>
    <t>85100</t>
  </si>
  <si>
    <t>LES SABLES D'OLONNE</t>
  </si>
  <si>
    <t>85194</t>
  </si>
  <si>
    <t>897990438</t>
  </si>
  <si>
    <t>CRONOS (COLLECTIF SCIENTIFIQUE POUR LA SAUVEGARDE ET LA VALORISATION DU PATRIMOINE CULTUREL IMMATERIEL ET ETHNOLOGIQUE F</t>
  </si>
  <si>
    <t>PREFECTURE DE DEPARTEMENT YONNE
PLACE DE LA PREFECTURE
BP 119
89011 AUXERRE CEDEX
FRANCE</t>
  </si>
  <si>
    <t>DE LA PREFECTURE</t>
  </si>
  <si>
    <t>89000</t>
  </si>
  <si>
    <t>AUXERRE</t>
  </si>
  <si>
    <t>89024</t>
  </si>
  <si>
    <t>178900015</t>
  </si>
  <si>
    <t>PREFECTURE DE DEPARTEMENT YONNE</t>
  </si>
  <si>
    <t>CA CHAUNY TERGNIER LA FERE
57 BOULEVARD GAMBETTA
02300 CHAUNY
FRANCE</t>
  </si>
  <si>
    <t>57</t>
  </si>
  <si>
    <t>BOULEVARD</t>
  </si>
  <si>
    <t>GAMBETTA</t>
  </si>
  <si>
    <t>02300</t>
  </si>
  <si>
    <t>CHAUNY</t>
  </si>
  <si>
    <t>02173</t>
  </si>
  <si>
    <t>200071785</t>
  </si>
  <si>
    <t>FR28200071785</t>
  </si>
  <si>
    <t>CA CHAUNY TERGNIER LA FERE</t>
  </si>
  <si>
    <t>31</t>
  </si>
  <si>
    <t>COMMUNE DE SAINT PEE SUR NIVELLE
CHEMIN KARRIKA
64310 SAINT-PEE-SUR-NIVELLE
FRANCE</t>
  </si>
  <si>
    <t>CHEMIN</t>
  </si>
  <si>
    <t>KARRIKA</t>
  </si>
  <si>
    <t>64310</t>
  </si>
  <si>
    <t>SAINT-PEE-SUR-NIVELLE</t>
  </si>
  <si>
    <t>64495</t>
  </si>
  <si>
    <t>216404954</t>
  </si>
  <si>
    <t>FR82216404954</t>
  </si>
  <si>
    <t>COMMUNE DE SAINT PEE SUR NIVELLE</t>
  </si>
  <si>
    <t>COMMUNE DE VALENCE
1 PLACE DE LA LIBERTE
BP 2119
26021 VALENCE CEDEX
FRANCE</t>
  </si>
  <si>
    <t>DE LA LIBERTE</t>
  </si>
  <si>
    <t>26000</t>
  </si>
  <si>
    <t>VALENCE</t>
  </si>
  <si>
    <t>26362</t>
  </si>
  <si>
    <t>212603625</t>
  </si>
  <si>
    <t>COMMUNE DE VALENCE</t>
  </si>
  <si>
    <t>COMMUNE DE DUCLAIR
PLACE DU GENERAL DE GAULLE
76480 DUCLAIR
FRANCE</t>
  </si>
  <si>
    <t>DU GENERAL DE GAULLE</t>
  </si>
  <si>
    <t>76480</t>
  </si>
  <si>
    <t>DUCLAIR</t>
  </si>
  <si>
    <t>76222</t>
  </si>
  <si>
    <t>217602226</t>
  </si>
  <si>
    <t>COMMUNE DE DUCLAIR</t>
  </si>
  <si>
    <t>ASSOC NATIONALE COMPAGNONS BATISSEURS
RESIDENCE LA PERSEVERANCE
ROUTE DE FRYAR'S BAY
BP3118
97150 SAINT MARTIN
FRANCE</t>
  </si>
  <si>
    <t>DE FRYAR'S BAY</t>
  </si>
  <si>
    <t>RESIDENCE LA PERSEVERANCE</t>
  </si>
  <si>
    <t>97150</t>
  </si>
  <si>
    <t>SAINT MARTIN</t>
  </si>
  <si>
    <t>97801</t>
  </si>
  <si>
    <t>775666639</t>
  </si>
  <si>
    <t>FR96775666639</t>
  </si>
  <si>
    <t>ASSOC NATIONALE COMPAGNONS BATISSEURS</t>
  </si>
  <si>
    <t>77566663900080</t>
  </si>
  <si>
    <t>Introduction</t>
  </si>
  <si>
    <t>Réponse</t>
  </si>
  <si>
    <t>Question</t>
  </si>
  <si>
    <t>Réponse oui/non</t>
  </si>
  <si>
    <t>Créé le</t>
  </si>
  <si>
    <t>Répondu le</t>
  </si>
  <si>
    <t>Instructeur</t>
  </si>
  <si>
    <t>Expert</t>
  </si>
  <si>
    <t>Bonjour, merci de me donner votre avis sur ce dossier.</t>
  </si>
  <si>
    <t>veronique.desbriel@guadeloupe.pref.gouv.fr</t>
  </si>
  <si>
    <t>Ligne</t>
  </si>
  <si>
    <t>Statut juridique du co-porteur</t>
  </si>
  <si>
    <t>Raison sociale du co-porteur</t>
  </si>
  <si>
    <t>NOM et prénom du co-porteur</t>
  </si>
  <si>
    <t>Email de la personne contact du co-porteur</t>
  </si>
  <si>
    <t>Académie du co-porteur</t>
  </si>
  <si>
    <t>Type d'établissement du co-porteur</t>
  </si>
  <si>
    <t>SIDPC 77</t>
  </si>
  <si>
    <t>CAMPILLO Laurence</t>
  </si>
  <si>
    <t>Préfecture du Cher</t>
  </si>
  <si>
    <t>MANSION Marjolaine</t>
  </si>
  <si>
    <t>Éducation nationale</t>
  </si>
  <si>
    <t>DSDEN 18</t>
  </si>
  <si>
    <t>RIPARD Dominique</t>
  </si>
  <si>
    <t>dominique.ripard@ac-orleans-tours.gouv.fr</t>
  </si>
  <si>
    <t>Orléans-Tours</t>
  </si>
  <si>
    <t>Collège</t>
  </si>
  <si>
    <t>Mairie de Pointe-Noire</t>
  </si>
  <si>
    <t xml:space="preserve">DE BOISROLIN Béatrice </t>
  </si>
  <si>
    <t>bdeboisrolin@villepointenoire.fr</t>
  </si>
  <si>
    <t>FOHRENBACH François-Xavier - SIRET 919 027 441 00014</t>
  </si>
  <si>
    <t>FOHRENBACH François-Xavier</t>
  </si>
  <si>
    <t>francois.fohrenbach@gmail.com</t>
  </si>
  <si>
    <t>HUYGHE Damien - SIRET 953 439 379 00017</t>
  </si>
  <si>
    <t>HUYGHE Damien</t>
  </si>
  <si>
    <t>damien.huyghe.work@free.fr</t>
  </si>
  <si>
    <t>CdA La Rochelle</t>
  </si>
  <si>
    <t>IMBERDIS Mathieu (Chef de projet Risques majeurs et sécurité civile)</t>
  </si>
  <si>
    <t>mathieu.imberdis@ville-larochelle.fr</t>
  </si>
  <si>
    <t>Institut pour la Maîtrise des Risques Majeurs (IMdR)</t>
  </si>
  <si>
    <t>JUDEK Clément</t>
  </si>
  <si>
    <t>secretariat@imdr.eu</t>
  </si>
  <si>
    <t>Nom de l'action</t>
  </si>
  <si>
    <t>Description de l'action</t>
  </si>
  <si>
    <t>Type d'action</t>
  </si>
  <si>
    <t>Objectifs de l'action</t>
  </si>
  <si>
    <t>Risques ciblés</t>
  </si>
  <si>
    <t>Risques naturels</t>
  </si>
  <si>
    <t>Risques technologiques</t>
  </si>
  <si>
    <t>L'action est-elle ouverte au grand public ?</t>
  </si>
  <si>
    <t>Public cible</t>
  </si>
  <si>
    <t>Public restreint</t>
  </si>
  <si>
    <t>Nombre estimatif de personnes attendues</t>
  </si>
  <si>
    <t>Date prévisionnelle du début de l'action</t>
  </si>
  <si>
    <t>Date prévisionnelle de la fin de l'action</t>
  </si>
  <si>
    <t>Votre action est-elle dématérialisée ?</t>
  </si>
  <si>
    <t>Veuillez inscrire le lien internet</t>
  </si>
  <si>
    <t>Veuillez indiquer l'adresse complète de l'action</t>
  </si>
  <si>
    <t>Commune</t>
  </si>
  <si>
    <t>Commune (Code insee)</t>
  </si>
  <si>
    <t>Commune (Département)</t>
  </si>
  <si>
    <t>Département</t>
  </si>
  <si>
    <t>Département (Code)</t>
  </si>
  <si>
    <t>Actions prévues</t>
  </si>
  <si>
    <t>Adresse électronique professionnelle</t>
  </si>
  <si>
    <t>Lien site internet</t>
  </si>
  <si>
    <t>Atelier sensibilisation, Exercice de gestion de crise</t>
  </si>
  <si>
    <t>Objectif n°1. Développer la culture sur les risques naturels et technologiques, Objectif n°2. Se préparer à la survenance d’une catastrophe, Objectif n°3. Développer la résilience collective aux catastrophes</t>
  </si>
  <si>
    <t>Inondations, Séisme, Tempête/cyclone, Risques littoraux</t>
  </si>
  <si>
    <t>Tous public</t>
  </si>
  <si>
    <t>2023-10-13</t>
  </si>
  <si>
    <t>2023-10-14</t>
  </si>
  <si>
    <t>Ecole Mixte 1, Guyonneau 97116 Pointe-Noire</t>
  </si>
  <si>
    <t>Pointe-Noire (97116)</t>
  </si>
  <si>
    <t>97121</t>
  </si>
  <si>
    <t>971 – Guadeloupe</t>
  </si>
  <si>
    <t>Guadeloupe</t>
  </si>
  <si>
    <t>971</t>
  </si>
  <si>
    <t>Affiches/flyers, Réseaux sociaux, Presse quotidienne régionale, Radio</t>
  </si>
  <si>
    <t>egabon@villepointenoire.fr</t>
  </si>
  <si>
    <t>Journée résilience</t>
  </si>
  <si>
    <t>Forum à destination des écoles et du grand public afin de sensibiliser sur les risques connus qui touchent Pélissanne : incendie, inondation, séismes et mouvements de sol.</t>
  </si>
  <si>
    <t>Atelier sensibilisation</t>
  </si>
  <si>
    <t>Objectif n°1. Développer la culture sur les risques naturels et technologiques, Objectif n°2. Se préparer à la survenance d’une catastrophe</t>
  </si>
  <si>
    <t>Inondations, Feux de forêt, Séisme, Mouvement de terrain</t>
  </si>
  <si>
    <t>Pélissanne (13330)</t>
  </si>
  <si>
    <t>13 – Bouches-du-Rhône</t>
  </si>
  <si>
    <t>Bouches-du-Rhône</t>
  </si>
  <si>
    <t>Site web, Affiches/flyers</t>
  </si>
  <si>
    <t>PRÉPARATION GRAND PUBLIC AUX GESTES QUI SAUVENT</t>
  </si>
  <si>
    <t>Il s’agit  de renforcer le 1er maillon de la chaîne des secours. le CCAS souhaite former des citoyens de sa réserve communale de sentinelle : développement d’un comportement citoyen (obligation de porter assistance à personne en danger), éducation à la solidarité, et à la prévention des risques (PPMS). Projet fédérateur interdisciplinaire s’inscrivant complètement dans le projet social du territoire.</t>
  </si>
  <si>
    <t>Formation, Atelier Jeux, Conférence, Atelier sensibilisation</t>
  </si>
  <si>
    <t>Objectif n°2. Se préparer à la survenance d’une catastrophe</t>
  </si>
  <si>
    <t>Tempête/cyclone, Séisme, Risques littoraux, Éruption volcanique, Inondations, Mouvement de terrain</t>
  </si>
  <si>
    <t>2023-10-02</t>
  </si>
  <si>
    <t>2023-10-07</t>
  </si>
  <si>
    <t>SITE DE LA VILLE DE CHOELCHER</t>
  </si>
  <si>
    <t>Schœlcher (97233)</t>
  </si>
  <si>
    <t>972 – Martinique</t>
  </si>
  <si>
    <t>Martinique</t>
  </si>
  <si>
    <t>972</t>
  </si>
  <si>
    <t>Affiches/flyers, Emailing, Réseaux sociaux, Radio</t>
  </si>
  <si>
    <t>Atelier de l'Adaptation au Changement Climatique</t>
  </si>
  <si>
    <t>L’atelier explore d’abord la notion centrale de risque, présente les aléas climatiques et identifie les leviers d’action pour réduire les impacts. Puis il donne les clefs pour évaluer les options d’adaptation, éviter les maladaptations et chercher les co-bénéfices. Enfin un exercice d’arbitrage entre les différentes options est proposé, avec une mise en perspective du court et du long terme.  Les participants travaillent toujours sur des exemples concrets qu’ils enrichissent au fur et à mesure.</t>
  </si>
  <si>
    <t>Atelier sensibilisation, Formation</t>
  </si>
  <si>
    <t>Inondations, Feux de forêt, Tempête/cyclone, Risques littoraux, Mouvement de terrain</t>
  </si>
  <si>
    <t>Elu, Autres</t>
  </si>
  <si>
    <t>2023-10-01</t>
  </si>
  <si>
    <t>2023-10-31</t>
  </si>
  <si>
    <t xml:space="preserve">Lieu encore à définir - potentiellement dans un espace de co-working à Rennes, ou à la Maison des Associations, ou en coopération avec l'ALEC ou la métropole de Rennes. </t>
  </si>
  <si>
    <t>Rennes (35000)</t>
  </si>
  <si>
    <t>35 – Ille-et-Vilaine</t>
  </si>
  <si>
    <t>Ille-et-Vilaine</t>
  </si>
  <si>
    <t>35</t>
  </si>
  <si>
    <t>Emailing, Autre, Réseaux sociaux</t>
  </si>
  <si>
    <t xml:space="preserve">www.ateliers-adaptationclimat.fr 	</t>
  </si>
  <si>
    <t>Salarié</t>
  </si>
  <si>
    <t>Emailing, Réseaux sociaux, Autre</t>
  </si>
  <si>
    <t>www.ateliers-adaptationclimat.fr</t>
  </si>
  <si>
    <t xml:space="preserve">Que faire en cas de séisme ? </t>
  </si>
  <si>
    <t>Le séisme qui a boulversé la Turquie et le nord de la Syrie, me boulverse toujours, et beaucoup de mes abonnés se sont inquités du tremblement de terre qui a touvhé une partie de la France... c'est pourquoi je n'hésite pas à intitulé la premeier action "que faire en cas de séisme?" pour expliquer dans une vidéos simple et interessante les informations utiles que vous conseillier pour éviter lau maximum les risques d'un seisme</t>
  </si>
  <si>
    <t>Autre</t>
  </si>
  <si>
    <t>Objectif n°3. Développer la résilience collective aux catastrophes</t>
  </si>
  <si>
    <t>Séisme, Mouvement de terrain</t>
  </si>
  <si>
    <t>Tous public, Famille, Jeune public, Séniors</t>
  </si>
  <si>
    <t>2023-10-20</t>
  </si>
  <si>
    <t>https://www.tiktok.com/@omarkokach</t>
  </si>
  <si>
    <t>Réseaux sociaux</t>
  </si>
  <si>
    <t>Quels risques des accidents nucléaires ?</t>
  </si>
  <si>
    <t>Un accident nucléaire, ce qu'on craine beaucoup, mais est-ce qu'on sait de quoi consitente ces risques ? quels sont les risques en vrai ? et comment éviter un tel accident ?  qu'est-ce qui peut le déclencher ? et si un accident est survenu... que faire ? des questions très intéressante et importantes à aborder dans une vidéo sur les réseaux sociaux</t>
  </si>
  <si>
    <t>Accidents nucléaires</t>
  </si>
  <si>
    <t>TIKTOK / INSTA / FACEBOOK : Omar KOKACH</t>
  </si>
  <si>
    <t>cotact@omarkokach.com</t>
  </si>
  <si>
    <t xml:space="preserve">Les actions à mener peuvent être JOURNÉE PORTE OUVERTE VISITE DU SHOWROOM durant toute la semaine de Résilience, le virtuel sera proposé en visite sur mes murs Tweeter, Linkedin Facebook, Instagram ..   </t>
  </si>
  <si>
    <t xml:space="preserve">En priorité avec l'équipe CTM, AFPCNT, ETAT dans le même cadre des Journées du 24 - 25- 26 Octobre au Parc Floral de Fort de France en Martinique, mais aussi dans la continuité des actions de sensibilisation nous interviendrons là où on nous invitera, tout en gardant les actions en zoom sur les réseaux sociaux. IMPORTANT, si nous avons les moyens financiers nous pourrions mobiliser la presse en Martinique et en Guadeloupe . Voir nos interventions la démarche mitigation et résiliene est longue aujourd'hui dans le cadre de cette journée nationale nous espérons pouvoir passer de la parole aux actes, c'est à dire trouver en France l'industriel en capacité de lancer cette belle production du futur.  </t>
  </si>
  <si>
    <t>Conférence, Exposition, Visite en intérieur, Webinaire, Autre</t>
  </si>
  <si>
    <t>Tempête/cyclone, Éruption volcanique, Séisme, Mouvement de terrain</t>
  </si>
  <si>
    <t>2023-10-09</t>
  </si>
  <si>
    <t>Facebook, Tweeter, Linkedin, Instragram ..</t>
  </si>
  <si>
    <t>Conférence, Emailing, Réseaux sociaux, Presse quotidienne régionale, Affiches/flyers, Presse nationale, Site web, Radio</t>
  </si>
  <si>
    <t xml:space="preserve">www.sekirit-li.com en cours </t>
  </si>
  <si>
    <t>Exercice de gestion de crise</t>
  </si>
  <si>
    <t>Risques littoraux</t>
  </si>
  <si>
    <t>Frontignan</t>
  </si>
  <si>
    <t>Frontignan (34110)</t>
  </si>
  <si>
    <t>34108</t>
  </si>
  <si>
    <t>34 – Hérault</t>
  </si>
  <si>
    <t>Hérault</t>
  </si>
  <si>
    <t>Affiches/flyers, Réseaux sociaux, Presse quotidienne régionale, Presse nationale, Radio, Site web</t>
  </si>
  <si>
    <t xml:space="preserve">Formation et exercice de gestion de crise </t>
  </si>
  <si>
    <t>Dans la nuit du 27 au 28 février 2010, la tempête Xynthia a touché les côtes de l’agglomération rochelaise, provoquant 6 décès et plus de 280 millions d’euros de dégâts. L’épisode climatique a montré la vulnérabilité des biens et des personnes face au risque de submersion marine. Un Programme d’actions et de prévention des inondations - PAPI - a depuis été mis en œuvre par pour protéger les zones à risque de submersion.   Dans ce cadre et celui du Plan communal de sauvegarde déclenché en cas de risque majeur, une journée de Sécurité civile est organisée par la Ville d'Aytré, en collaboration avec la CdA de La Rochelle, le 10 octobre 2023. Le matin est consacré à une session de formation sur la gestion de crises, le Plan communal de sauvegarde et le risque de submersion marine. Elle s’adresse aux élus, aux responsables des services et agents concernés par la gestion de crise. Le bureau d’études BRL, qui avait accompagné l’exercice Alerte rouge de 2019, sera à la manœuvre. Un exercice semi-virtuel est prévu l’après-midi : une alerte submersion marine sera déclenchée, un Poste de Commandement Communal sera activé.</t>
  </si>
  <si>
    <t>Exercice de gestion de crise, Atelier sensibilisation, Réunion d'information</t>
  </si>
  <si>
    <t>Inondations, Tempête/cyclone, Risques littoraux</t>
  </si>
  <si>
    <t>Elu, Salarié</t>
  </si>
  <si>
    <t>2023-10-10</t>
  </si>
  <si>
    <t>Aytré (17440)</t>
  </si>
  <si>
    <t>17 – Charente-Maritime</t>
  </si>
  <si>
    <t>Charente-Maritime</t>
  </si>
  <si>
    <t>17</t>
  </si>
  <si>
    <t>séance de jeu</t>
  </si>
  <si>
    <t>mise en oeuvre du plateau de jeu avec le public</t>
  </si>
  <si>
    <t>Atelier Jeux</t>
  </si>
  <si>
    <t>Risques naturels, Risques technologiques</t>
  </si>
  <si>
    <t>Inondations, Feux de forêt, Séisme, Mouvement de terrain, Risques littoraux</t>
  </si>
  <si>
    <t>Accidents industriels, Accidents nucléaires, Transport de matières dangereuses</t>
  </si>
  <si>
    <t>Tous public, Séniors</t>
  </si>
  <si>
    <t>en cours (via QR code)</t>
  </si>
  <si>
    <t>Réseaux sociaux, Site web, Presse quotidienne régionale</t>
  </si>
  <si>
    <t>sdis17.fr via formulaire de contact</t>
  </si>
  <si>
    <t>https://www.sdis17.fr/</t>
  </si>
  <si>
    <t>Sensibiliser les populations (particuliers, entreprises, collectivités) aux principaux risques du territoire (cyclone, séisme, tsunami, éruption volcanique). Inciter l’ensemble des citoyens à passer à l’action en vue de s’organiser pour préparer le kit d’urgence et le plan de mise en sûreté (familial et entreprise) afin de réduire leur vulnérabilité face aux catastrophes naturelles et/ ou technologiques..</t>
  </si>
  <si>
    <t>Inondations, Tempête/cyclone, Séisme, Éruption volcanique, Radon</t>
  </si>
  <si>
    <t>2023-10-16</t>
  </si>
  <si>
    <t>Longvilliers Club - Petit manoir - 97232 LE LAMENTIN</t>
  </si>
  <si>
    <t>Le Lamentin (97232)</t>
  </si>
  <si>
    <t>97213</t>
  </si>
  <si>
    <t>Affiches/flyers, Réseaux sociaux, Site web, Emailing, Presse quotidienne régionale, Radio</t>
  </si>
  <si>
    <t>https://www.emergences-secourisme.org/tous-resilients-face-aux-risques-majeurs</t>
  </si>
  <si>
    <t>Inondations, Tempête/cyclone, Séisme, Radon</t>
  </si>
  <si>
    <t>Accidents industriels</t>
  </si>
  <si>
    <t>2023-10-15</t>
  </si>
  <si>
    <t>Affiches/flyers, Conférence, Réseaux sociaux, Site web, Radio</t>
  </si>
  <si>
    <t xml:space="preserve">Formation logiciel LCDP65 CPMI </t>
  </si>
  <si>
    <t>Il s'agit du projet de dissémination de la formation sur le construction parasismique des maisons individuelles selon les règles simplifiées CPMi, à destination des architectes, ingénieurs et constructeurs de maisons individuelles ; grâce à l'utilisation du logiciel LCDP65 CPMI</t>
  </si>
  <si>
    <t>Formation, Conférence</t>
  </si>
  <si>
    <t>Objectif n°1. Développer la culture sur les risques naturels et technologiques, Objectif n°3. Développer la résilience collective aux catastrophes</t>
  </si>
  <si>
    <t>Séisme, Tempête/cyclone</t>
  </si>
  <si>
    <t>Salarié, Autres</t>
  </si>
  <si>
    <t>2023-10-12</t>
  </si>
  <si>
    <t xml:space="preserve">Hotel Arawak </t>
  </si>
  <si>
    <t>Le Gosier (97190)</t>
  </si>
  <si>
    <t>97113</t>
  </si>
  <si>
    <t>Affiches/flyers, Conférence, Réseaux sociaux, Site web</t>
  </si>
  <si>
    <t>contact@seo-log.com</t>
  </si>
  <si>
    <t>https://lcdp65.com/</t>
  </si>
  <si>
    <t>Conférence, Formation</t>
  </si>
  <si>
    <t>Tempête/cyclone, Séisme</t>
  </si>
  <si>
    <t>Autres, Salarié</t>
  </si>
  <si>
    <t>HOTEL LA Bateliere 97233 Schœlcher</t>
  </si>
  <si>
    <t>Conférence, Site web, Réseaux sociaux</t>
  </si>
  <si>
    <t>Contact@seo-log.com</t>
  </si>
  <si>
    <t>théâtre/débat :  16431- souvenirs d'avenir</t>
  </si>
  <si>
    <t>2 représentations pour cette pièce de théâtre le 13 octobre 2023 : 1 horaire le matin pour le jeune public, 1 horaire en soirée pour les citoyens. description : Une pièce de théâtre pour sensibiliser les adolescents (de la quatrième à la terminale) et les adultes à l’impact des décisions politiques et économiques sur l’environnement (dérèglement climatique) ainsi qu’aux risques majeurs (principalement risque inondation). L’écriture et la création de la pièce de théâtre ont été financées par le Ministère de la Transition écologique via la Mission Interrégionale « Inondation Arc-Méditerranéen » (MIIAM) de la Direction Régionale de l’Aménagement et du Logement (DREAL) de zone de défense et de sécurité sud et de l’Institut Français des Formateurs Risques Majeurs et Protection de l’Environnement (IFFO-RME). Cette pièce a été présentée pour la première fois en octobre 2021 à Perpignan devant 250 lycéens et collégiens enthousiastes à l’occasion du rassemblement national des formateurs du réseau Rmé (Risques majeurs éducation). La forme théâtrale : pièce d’anticipation La notion de voyage dans le temps, présente dans l’histoire, permet pleinement de montrer les conséquences sur l’avenir des décisions prises aujourd’hui. La science-fiction, de manière générale, synthétise les angoisses d’une époque en les projetant dans un univers fictionnel cohérent, mais décalé dans le temps ou l’espace. En changeant de perspective et d’axe d’analyse, mais en faisant en sorte que les systèmes d’échos et de miroirs se multiplient entre les époques. Cette projection amplifiée permet l’alliance de l’imaginaire et de la réflexion et ainsi éveille la vigilance et l’esprit critique. Résumé court Depuis près d’un siècle, les dirigeants de l’Union Latine et Balkanique d’Europe gardent un précieux secret. L’existence d'une faille temporelle, permettant à des scientifiques, appelées Passagéra, de voyager dans le futur. Ces voyages permettent de rapporter l’état des lieux du monde trente et un an plus tard, en seulement trente et un jours. Mais depuis 17 ans, sans qu’ils ne sachent pourquoi, les Passagéra ne reviennent plus. CYLA est la première, mais elle semble partiellement amnésique, comme perdue entre deux mondes.  Une dystopie portée par six comédiens et deux musiciens live, nous invitant à réfléchir sur l’impact environnemental des décisions politiques et économiques, ainsi qu’à la responsabilité individuelle et collective... Les risques abordés De nombreux risques majeurs sont abordés dans la pièce : inondation, tempête, émanations chimiques. Avec notamment : Les bons comportements à adopter / les conduites dangereuses Les risques de réactions en chaîne (effet domino) Les mesures de prévention  Les mesures de sensibilisation / La mémoire collective des évènements passés</t>
  </si>
  <si>
    <t>Spectacle</t>
  </si>
  <si>
    <t>Inondations</t>
  </si>
  <si>
    <t>foyer théâtre,  2 Rue du Foyer, 11700 Douzens</t>
  </si>
  <si>
    <t>Douzens (11700)</t>
  </si>
  <si>
    <t>11122</t>
  </si>
  <si>
    <t>11 – Aude</t>
  </si>
  <si>
    <t>Aude</t>
  </si>
  <si>
    <t>Réseaux sociaux, Affiches/flyers</t>
  </si>
  <si>
    <t>Déambulations matinales à vélo pour découvrir le lien entre les Angevins et la Maine</t>
  </si>
  <si>
    <t>Déambulation 1) animée par la ville d'Angers. Déambulation à vélo pour découvrir les repères de crues avec une vingtaine de personnes et un animateur selon un parcours urbain pré-défini (1h30). Objectif : découvrir l'histoire des crues sur Angers, le rapport entre rivière et urbanisation et visualiser les hauteurs d'eau passées. Grand public. Déambulation 2) animée par Loire Odyssée. Aussi à vélo, en bord de Maine pour parler de l'eau sous un prisme culturel. Lien entre religions, cultures, urbanisation et eau.</t>
  </si>
  <si>
    <t>Visite en plein air</t>
  </si>
  <si>
    <t>Objectif n°1. Développer la culture sur les risques naturels et technologiques</t>
  </si>
  <si>
    <t>Cale de la Savatte 49100 Angers</t>
  </si>
  <si>
    <t>Angers (49100)</t>
  </si>
  <si>
    <t>49 – Maine-et-Loire</t>
  </si>
  <si>
    <t>Maine-et-Loire</t>
  </si>
  <si>
    <t>49</t>
  </si>
  <si>
    <t>Site web, Affiches/flyers, Réseaux sociaux, Presse nationale, Presse quotidienne régionale</t>
  </si>
  <si>
    <t>Balade urbaine sur la prise en compte du risque inondation dans l'aménagement du territoire</t>
  </si>
  <si>
    <t>Balade 3) organisée par Alter sur le quartier à économique mixte "Saint-Serge". L'enjeu est de visiter le quartier rénové qui relie zone industrielle/commerciale et nouveau quartier mixte, et problématiques inondations (débordement de cours d'eau Maine et petit affluent couvert). Public ciblé : les agents urbanistes d'Angers Loire Métropole et le grand public intéressé par la thématique.</t>
  </si>
  <si>
    <t>Visite en plein air, Formation</t>
  </si>
  <si>
    <t>Avenue de la  Constitution 49100 Angers</t>
  </si>
  <si>
    <t>Affiches/flyers, Réseaux sociaux, Presse quotidienne régionale, Presse nationale, Site web</t>
  </si>
  <si>
    <t>Après la crue, la décrue et les déchets</t>
  </si>
  <si>
    <t>Activité 4) organisée par le service "Mission Participation Citoyenne" d'Angers Loire Métropole l'après-midi pour sensibiliser la population au nettoyage des déchets post-crue. L'enjeu : nettoyer les bords de berge (cleanwalk), associer cette démarche citoyenne à des infrastructures spécifiques (inauguration de trois bacs à décrue). Implication des élus lors de l'inauguration. Invitation de classes pour la cleanwalk pour cibler directement les enfants et les familles.</t>
  </si>
  <si>
    <t>Famille, Jeune public</t>
  </si>
  <si>
    <t>Presse quotidienne régionale, Site web, Autre</t>
  </si>
  <si>
    <t>Animations pédagogiques et ludiques sur le risque d'inondation</t>
  </si>
  <si>
    <t>Multiples animations : 5) exposition à la maison des projets sur les missions du service GEMAPI et roll up promotionnels à l'office de tourisme ; 6) exposition en plein air sur le risque d'inondation (historiques des crues, ce qui faut faire avant, pendant, après) accompagné d'un livret de jeux pour les familles ; 7) animation par Loire Odyssée d'un bar à eau et d'une maquette hydraulique (système de confluences Maine/Loire, imperméabilisation des sols, ...)  ; 8) atelier secourisme avec l'ADPC49 et présentation de la réserve communale de sécurité civile de la ville d'Angers (présentation des missions en cas de crue) ; 9) table commémorative de janvier 1995 avec un classeur de témoignages (photos et textes) ; 10) "maraudes pédagogiques" animées par Culture Biome en ville pour aller au droit des gens et leur parler rivière, inondation, zone humide et tous sujets traitant de cette thématique (à caractère pédagogique et humoristique).</t>
  </si>
  <si>
    <t>Atelier Jeux, Atelier sensibilisation, Exposition, Spectacle</t>
  </si>
  <si>
    <t>Promenade Jean Turc 49100 Angers</t>
  </si>
  <si>
    <t>Affiches/flyers, Office du tourisme, Réseaux sociaux, Presse quotidienne régionale, Presse nationale, Site web</t>
  </si>
  <si>
    <t>Conférences tout en image sur les inondations à Angers</t>
  </si>
  <si>
    <t>En fin d'après-midi, trois temps ont lieu : 11) diffusion de capsules vidéos par le SMBVAR sur le jeu-vidéo "Mission inondation" et sur les "idées reçues" (voir la chaine youtube du smbvar) ; 12) diffusion de la vidéo "Esprit sorcier" sur le jumeau numérique d'Angers Loire Métropole (qui parle notamment du système de modélisation des crues) et questions/réponses avec le service en charge du projet (service "Territoire intelligent") ; 13) Conférence avec un historien, responsable des archives patrimoniales d'Angers, sur l'histoire de la ville et de son rapport à la rivière (1h30)</t>
  </si>
  <si>
    <t>Conférence</t>
  </si>
  <si>
    <t>7 Rue Plantagenêt 49100 Angers</t>
  </si>
  <si>
    <t>Conférence, Affiches/flyers, Réseaux sociaux, Office du tourisme, Presse quotidienne régionale, Site web</t>
  </si>
  <si>
    <t>présentation du plan communal de sauvegarde et de l'organisation communale en cas de crise</t>
  </si>
  <si>
    <t>réunion publique de présentation du PCS, destinée à présenter aux administrés l'organisation communale en cas de crise</t>
  </si>
  <si>
    <t>Inondations, Séisme, Mouvement de terrain, Tempête/cyclone</t>
  </si>
  <si>
    <t>Transport de matières dangereuses</t>
  </si>
  <si>
    <t>Chemin du vallon 74140 Loisin</t>
  </si>
  <si>
    <t>Loisin (74140)</t>
  </si>
  <si>
    <t>74 – Haute-Savoie</t>
  </si>
  <si>
    <t>Haute-Savoie</t>
  </si>
  <si>
    <t>74</t>
  </si>
  <si>
    <t>Affiches/flyers, Réseaux sociaux</t>
  </si>
  <si>
    <t>www.loisin.fr</t>
  </si>
  <si>
    <t>présentation du DICRIM et site FF72</t>
  </si>
  <si>
    <t>apprendre aux administrés les comportements à adopter s'ils sont soumis à un risque majeurs et savoir où aller chercher ces informations</t>
  </si>
  <si>
    <t>Inondations, Séisme, Tempête/cyclone, Mouvement de terrain</t>
  </si>
  <si>
    <t>culture de la mémoire</t>
  </si>
  <si>
    <t>presentation de films de l'IRMa "ça n'arrive pas qu'aux autres" et retour sur les évènements majeurs qui ont eu lieu sur notre commune: inondation, glissements de terrains, arreté de catastrophes naturelles... sur la base de témoignages de témoins</t>
  </si>
  <si>
    <t>Inondations, Séisme, Mouvement de terrain</t>
  </si>
  <si>
    <t xml:space="preserve">Face à un risque de séisme, ou d'inondation, les participants, collégiens ou lycées, écrivent un article sur la "bonne conduite" à tenir </t>
  </si>
  <si>
    <t>Séisme</t>
  </si>
  <si>
    <t>Scolaire</t>
  </si>
  <si>
    <t>2023-09-28</t>
  </si>
  <si>
    <t>collège simon Wiesenthal</t>
  </si>
  <si>
    <t>Saint-Vallier-de-Thiey (06460)</t>
  </si>
  <si>
    <t>06 – Alpes-Maritimes</t>
  </si>
  <si>
    <t>Alpes-Maritimes</t>
  </si>
  <si>
    <t>06</t>
  </si>
  <si>
    <t>Conférence, Réseaux sociaux, Presse quotidienne régionale, Site web</t>
  </si>
  <si>
    <t>https://grassemat.info</t>
  </si>
  <si>
    <t>Ateliers d'informations et de sensibilisation</t>
  </si>
  <si>
    <t xml:space="preserve">Chaque participant proposera une activités permettant de présenter sa structure et ses missions face au risque inondation. La mise en forme des prestations sera variée et ludique : stand d'information/sensibilisation, ateliers participatifs, exposition, jeux de société, fablab, .... Sur un même lieu, le public aura donc l'occasion d'identifier les acteurs de la résilience et de son organisation sur son territoire. </t>
  </si>
  <si>
    <t>Atelier sensibilisation, Exposition, Atelier Jeux, Autre</t>
  </si>
  <si>
    <t>Boulevard Militaire - Salle du Manège</t>
  </si>
  <si>
    <t>Hesdin (62140)</t>
  </si>
  <si>
    <t>62447</t>
  </si>
  <si>
    <t>62 – Pas-de-Calais</t>
  </si>
  <si>
    <t>Pas-de-Calais</t>
  </si>
  <si>
    <t>62</t>
  </si>
  <si>
    <t>Affiches/flyers, Réseaux sociaux, Emailing, Site web</t>
  </si>
  <si>
    <t>Animations sur scène sur le risque inondation</t>
  </si>
  <si>
    <t>Ces actions seront préparées par les différents exposants. En effet, nous leur proposerons un temps d'échange sur scène afin de sensibiliser et d'interagir avec le public à travers différentes mises en forme : conférence, café débat, tables rondes, quiz, retour d'expérience, ... Un programme sera diffusé et détaillera les thématiques abordées (ex : « La gestion de crise : la mise en place d’un PCS » ; « Se préparer à une alerte : le PFMS » ; …). De plus, chaque passage pourra être diffusé en direct sur la plateforme Twitch ou les réseaux sociaux.</t>
  </si>
  <si>
    <t>Conférence, Réunion d'information, Autre</t>
  </si>
  <si>
    <t>Affiches/flyers, Emailing, Site web, Réseaux sociaux</t>
  </si>
  <si>
    <t xml:space="preserve">Recueil et valorisation patrimoniale de la mémoire de la tempête Xynthia </t>
  </si>
  <si>
    <t xml:space="preserve">Le projet consiste en la réalisation d’un vaste recueil des témoignages de la population qui a été affectée par la tempête Xynthia, ainsi que des images et films se référant à cet épisode qui ont été produits et conservés par les particuliers. Des dispositifs patrimoniaux (portail numérique, QR-code in situ, exposition, spectacle vivant) vont être créés au service de la résilience du territoire face au risque des submersions futures. </t>
  </si>
  <si>
    <t>2026-10-01</t>
  </si>
  <si>
    <t xml:space="preserve">L'opération va se dérouler sur l'ensemble des territoires qui ont été touchés par la tempête Xynthia. Le site internet de présentation et de suivi de l'opération sera créé au cours du 4ème trimestre 2023. . </t>
  </si>
  <si>
    <t>Site web, Conférence, Presse nationale, Presse quotidienne régionale, Office du tourisme</t>
  </si>
  <si>
    <t>Feux de forêt, Inondations</t>
  </si>
  <si>
    <t>Accidents industriels, Rupture de barrage</t>
  </si>
  <si>
    <t>Elu</t>
  </si>
  <si>
    <t>Place de la Préfecture 89000 Auxerre</t>
  </si>
  <si>
    <t>Auxerre (89000)</t>
  </si>
  <si>
    <t>89 – Yonne</t>
  </si>
  <si>
    <t>Yonne</t>
  </si>
  <si>
    <t>89</t>
  </si>
  <si>
    <t>Rupture de barrage, Transport de matières dangereuses</t>
  </si>
  <si>
    <t>Saint-Pée-sur-Nivelle (64310)</t>
  </si>
  <si>
    <t>64 – Pyrénées-Atlantiques</t>
  </si>
  <si>
    <t>Pyrénées-Atlantiques</t>
  </si>
  <si>
    <t>64</t>
  </si>
  <si>
    <t>Site web, Réseaux sociaux</t>
  </si>
  <si>
    <t>www.saintpeesurnivelle.fr</t>
  </si>
  <si>
    <t>Semaine "Tous résielients!"</t>
  </si>
  <si>
    <t xml:space="preserve">Dans le cadre de la journée « Tous résilients » du 13 octobre 2023, nous souhaitons proposer un ensemble exposition + animations autour de la prévention des risques. Cet ensemble sera composé : d’un stand autour de notre DICRIM, une exposition autour du concept des risques majeurs (risques industriels et risques naturels) et des bons comportements à adopter (kakemonos + photos),un escape game sur les risques majeurs, une maquette inondation (animation), un stand d’initiation aux gestes de premiers secours (animation) et un stand de promotion de l’engagement citoyen de sapeur-pompier volontaire. Également, le jeudi, nous allons proposer une pièce de théâtre de la compagnie Essentiel Ephémère (2 représentations).    Ces activités seront destinées au scolaires (du lundi au vendredi) et au grand public (samedi et dimanche) dans le cadre de la fête de la science. </t>
  </si>
  <si>
    <t>Atelier sensibilisation, Formation, Atelier Jeux, Visite en plein air</t>
  </si>
  <si>
    <t>Inondations, Feux de forêt, Tempête/cyclone, Séisme, Éruption volcanique, Mouvement de terrain, Avalanche</t>
  </si>
  <si>
    <t>Accidents industriels, Accidents nucléaires, Rupture de barrage, Transport de matières dangereuses</t>
  </si>
  <si>
    <t>Place Latour Maubourg 26000 Valence</t>
  </si>
  <si>
    <t>Valence (26000)</t>
  </si>
  <si>
    <t>26 – Drôme</t>
  </si>
  <si>
    <t>Drôme</t>
  </si>
  <si>
    <t>26</t>
  </si>
  <si>
    <t>Réseaux sociaux, Affiches/flyers, Site web</t>
  </si>
  <si>
    <t>Visite libre de l'œuvre AMPLITUDE dans le cadre du festival ZigZag</t>
  </si>
  <si>
    <t>S’installer dans l’espace public, imaginer de nouveaux usages, des installations éphémères ou pérennes, pour interpeller et surprendre, se questionner sur les endroits qu’on habite aujourd’hui et ce qu’ils seront demain. L’œuvre a reçu le Prix Eiffel dans la catégorie « Micro Architecture » en octobre 2022. En partenariat avec la Ville de Duclair. Installation permanente Bords de Seine, à gauche du bac Accès libre en extérieur.</t>
  </si>
  <si>
    <t>2023-09-30</t>
  </si>
  <si>
    <t>Quai de Seine, 76480 Duclair</t>
  </si>
  <si>
    <t>Duclair (76480)</t>
  </si>
  <si>
    <t>76 – Seine-Maritime</t>
  </si>
  <si>
    <t>Seine-Maritime</t>
  </si>
  <si>
    <t>76</t>
  </si>
  <si>
    <t>Site web, Autre, Emailing, Réseaux sociaux, Presse quotidienne régionale</t>
  </si>
  <si>
    <t xml:space="preserve">https://festivalzigzag.fr/ </t>
  </si>
  <si>
    <t>Visite guidée de l'œuvre AMPLITUDE dans le cadre du festival ZigZag</t>
  </si>
  <si>
    <t>L’œuvre Amplitude, installée en 2021, vise à sensibiliser aux risques de crues et à modifier notre regard sur le fleuve. La visite au départ de l’œuvre témoins de crue propose de mettre en perspective ces questions environnementales.</t>
  </si>
  <si>
    <t>Affiches/flyers, Emailing, Autre, Site web, Réseaux sociaux, Presse quotidienne régionale</t>
  </si>
  <si>
    <t>Inondations, Feux de forêt, Tempête/cyclone, Séisme, Éruption volcanique, Mouvement de terrain, Risques littoraux, Avalanche, Radon</t>
  </si>
  <si>
    <t>2023-10-19</t>
  </si>
  <si>
    <t>https://www.imdr.eu/offres/gestion/events_818_54741_oui-1/la-resilience-est-elle-une-mode-durable-les-jalons-vers-une-resilience-collective.html</t>
  </si>
  <si>
    <t>Affiches/flyers, Emailing, Réseaux sociaux, Site web, Presse quotidienne régionale, Presse nationale</t>
  </si>
  <si>
    <t>ANIMATIONS COLLECTIVES ET PREVENTION DES RISQUES</t>
  </si>
  <si>
    <t>Les animations collectives sont organisées tout au long de l'année au sein des différents quartiers prioritaires de la ville et en veille active du territoire de Saint-Martin en vue de permettre aux habitants de développer les comportements et attitudes à adopter en cas de phénomène, mais également à fournir à chaque participant un sac d'évaluation complet</t>
  </si>
  <si>
    <t>Atelier sensibilisation, Formation, Réunion d'information, Atelier Jeux</t>
  </si>
  <si>
    <t>Tempête/cyclone, Mouvement de terrain, Séisme</t>
  </si>
  <si>
    <t>2023-06-01</t>
  </si>
  <si>
    <t>2023-12-25</t>
  </si>
  <si>
    <t>Saint-Martin (97150)</t>
  </si>
  <si>
    <t>978 – Saint-Martin</t>
  </si>
  <si>
    <t>Saint-Martin</t>
  </si>
  <si>
    <t>978</t>
  </si>
  <si>
    <t>Affiches/flyers, Réseaux sociaux, Presse quotidienne régionale, Emailing</t>
  </si>
  <si>
    <t>cbstmartin@compagnonsbatisseurs.eu</t>
  </si>
  <si>
    <t>Accompagnement à l'auto-sécurisation cyclonique</t>
  </si>
  <si>
    <t>l'action d'accompagnement à l'auto-sécurisation cyclonique consiste à accompagner les ménages les plus vulnérables (notamment au sein des 2 quartiers prioritaires de la ville du territoire, à savoir Sandy-Ground et Quartier d'Orléans) à effectuer les protections necessaires en cas de survenance d'un phénomène cyclonique. Cela passe par l'accompagnement à la pose de planches au niveaux des ouvertures du logement mais également à l'accompagnement à la réparation des systèmes de fermeture du logement.</t>
  </si>
  <si>
    <t>Autre, Formation</t>
  </si>
  <si>
    <t>Tempête/cyclone</t>
  </si>
  <si>
    <t>2023-07-24</t>
  </si>
  <si>
    <t>2023-08-31</t>
  </si>
  <si>
    <t xml:space="preserve">Saint-Martin </t>
  </si>
  <si>
    <t>Affiches/flyers, Presse quotidienne régionale, Réseaux sociaux, Emailing</t>
  </si>
  <si>
    <t>Nombre de personnes attendues</t>
  </si>
  <si>
    <t>Spectacle de théâtre et débat autour du risque inondation</t>
  </si>
  <si>
    <t>La compagnie Acaly propose un spectacle autour du risque inondation intitulé "Les pieds dans l'eau". Ce spectacle est à destination du grand public à partir de 10 ans avec le descriptif suivant : Suite à une inondation, Mike doit évacuer son logement et se réfugier chez son vieux copain Jeff. Les deux amis redeviennent coloc's le temps d'une soirée, comme au bon vieux temps. Mike est déboussolé, mais Jeff ne parvient pas à prendre la situation au sérieux. Petit à petit, grâce à Sherka, une intelligence artificielle qui répond aux questions aussi bien qu'elle prépare le café et déverrouille les portes, Mike et Jeff vont comprendre la situation et apprendre les bons réflexes si une telle catastrophe venait à se reproduire. À la suite du spectacle, nous proposons un débat animé par le CPIE de Picardie (qui est le propriétaire du spectacle « Les pieds dans l’eau ») et de l’Établissement Public Loire.</t>
  </si>
  <si>
    <t>Spectacle, Autre</t>
  </si>
  <si>
    <t>Affiches/flyers, Réseaux sociaux, Presse quotidienne régionale, Site web</t>
  </si>
  <si>
    <t>environnement@saumurvaldeloire.fr</t>
  </si>
  <si>
    <t>Balade Urbaine autour du risque inondation</t>
  </si>
  <si>
    <t>Visite de plusieurs endroits de Saumur afin d’évoquer différentes thématique en lien avec les inondations pour une durée d’1H . Les thématiques abordées sont :      • L’eau dans le paysage ;     • Le risque inondation ;     • La mémoire des inondations ;     • La Loire et ses digues ;     • Les moyens de prévention et prévision ;</t>
  </si>
  <si>
    <t>Land-art à Saumur et Allonnes</t>
  </si>
  <si>
    <t xml:space="preserve">Modéliser par une peinture bleu biodégradable sur des arbres les hauteurs d’eau atteintes par la crue de 1856. Mise en place de panneaux qui expliquent la démarche et un QR code qui renvoi au site internet et aux autres évènements. Action en partenariat avec le VIVADO de Allonnes qui participe à la peinture des arbres et bénéficie d’un temps de sensibilisation. </t>
  </si>
  <si>
    <t>2023-09-27</t>
  </si>
  <si>
    <t>2023-11-01</t>
  </si>
  <si>
    <t xml:space="preserve">Ateliers éducatifs autour des étangs </t>
  </si>
  <si>
    <t>Atelier sensibilisation, Visite en plein air</t>
  </si>
  <si>
    <t>Objectif n°2. Se préparer à la survenance d’une catastrophe, Objectif n°3. Développer la résilience collective aux catastrophes</t>
  </si>
  <si>
    <t>Inondations, Feux de forêt</t>
  </si>
  <si>
    <t>Affiches/flyers, Réseaux sociaux, Radio, Site web, Presse quotidienne régionale</t>
  </si>
  <si>
    <t>https://www.syndicat-etangs-correziens.com/</t>
  </si>
  <si>
    <t>Face au dérèglement climatique, habiter autrement, en toute sécurité</t>
  </si>
  <si>
    <t xml:space="preserve">Lors de nos intervention en conférence débat et à l'invitation des médias radios et télé, il s'agira de montrer des PowerPoint, des images, des reportages et aussi l'évolution de l'action de résilience. L'intéret de cette semaine sera de montrer que la thèse ''meuble haut' est une réponse qui explique LA réduction de la distance de chute et de facto, l'élimination de de la violence de l'impact.  </t>
  </si>
  <si>
    <t>Conférence, Exposition, Réunion d'information, Visite en plein air</t>
  </si>
  <si>
    <t>Tempête/cyclone, Séisme, Éruption volcanique, Mouvement de terrain</t>
  </si>
  <si>
    <t>Affiches/flyers, Emailing, Conférence, Réseaux sociaux, Presse quotidienne régionale, Presse nationale, Site web, Radio</t>
  </si>
  <si>
    <t>Inondations, Tempête/cyclone, Éruption volcanique, Séisme, Risques littoraux, Radon</t>
  </si>
  <si>
    <t>2021-10-16</t>
  </si>
  <si>
    <t>Affiches/flyers, Emailing, Réseaux sociaux, Presse quotidienne régionale, Conférence, Site web</t>
  </si>
  <si>
    <t>Atelier sensibilisation, Formation, Conférence</t>
  </si>
  <si>
    <t>Inondations, Séisme, Risques littoraux, Mouvement de terrain, Radon</t>
  </si>
  <si>
    <t>Affiches/flyers, Conférence, Réseaux sociaux, Presse quotidienne régionale, Site web, Radio</t>
  </si>
  <si>
    <t>Face à un risque de séisme, ou d'inondation, les participants, collégiens ou lycées, écrivent un article sur la "bonne conduite" à tenir</t>
  </si>
  <si>
    <t>Le journal des 30 ans</t>
  </si>
  <si>
    <t>Un journal (16 pages) sera réalisé et distribué à l’ensemble des habitants de la communauté d’agglomération. Ce document déclinera les éléments suivants : -	La parole à l’ensemble des parties prenantes (Agglomération, EPTB, Syndicats, Conservatoire) -	Le retour sur la crue de 1993 (galerie photo, témoignages) -	La réalité de terrain : présentation des caractéristiques de la vallée, description du principe d’inondation -	Les leçons à retenir : présentation des dispositifs de surveillance et de prévention -	La protection : présentation des ouvrages existants pour se protéger des inondations -	Les bienfaits des inondations et les richesses à découvrir : présentation de la richesse faunistique et floristique de la vallée, du rôle des zones humides et des enjeux de recharges de nappes</t>
  </si>
  <si>
    <t>Presse quotidienne régionale, Conférence, Réseaux sociaux</t>
  </si>
  <si>
    <t xml:space="preserve">L’exposition itinérante </t>
  </si>
  <si>
    <t>Une exposition itinérante sera réalisée. Reprenant les principaux éléments du journal, elle sera exposée à l’occasion de la conférence débat, à Chauny pour la journée nationale du commerce de proximité puis dans les différentes communes de la communauté d’agglomération. Cette exposition permettra de toucher le grand public. Affiché dans des lieux de passage elle retracera l’historique des événements en rappelant les enjeux de sensibilisation. Aux termes de son itinérance, elle sera exposée à l’espace pédagogique de gestion des eaux pluviales et complétera l’aspect pédagogique du lieu.</t>
  </si>
  <si>
    <t>Exposition</t>
  </si>
  <si>
    <t>2023-12-22</t>
  </si>
  <si>
    <t xml:space="preserve">conférence-débat </t>
  </si>
  <si>
    <t>Une conférence débat sera organisée le 12 octobre à Chauny. Elle s’adresse au grand public et aux élus. Animée par Monsieur Bonnard de la Société académique, elle retracera les événements de 1993 et l’historique des crues de la vallée de l’Oise. Elle sera l’occasion d’évoquer le chemin parcouru en matière de gestion des inondations.</t>
  </si>
  <si>
    <t>Tous public, Famille</t>
  </si>
  <si>
    <t>Visites de sites</t>
  </si>
  <si>
    <t xml:space="preserve">Des visites de sites sont proposées les 11 et 12 octobre. Ces visites s’adresseront au grand public. Les sites retenus sont :  1-	Espace pédagogique de gestion des eaux pluviales à Chauny : cet espace permet de sensibiliser aux enjeux de gestion intégrée des eaux pluviales dans les projets d’aménagement. Le circuit a été conçu pour évoquer le cycle de l‘eau dans sa globalité en intégrant la résilience et l’adaptation au changement climatique. Un volet spécifique aux inondations et aux mesures de protection individuelle a été installé sur le site en lien avec l’Entente Oise Aisne. 2-	Digue de Marizelle à Bichancourt : cet ouvrage de protection joue un rôle majeur dans la protection de la commune de Bichancourt. Récemment réhabilité, il est le témoin des travaux de protection 3-	Bassin des près de Mesne à Viry Noureuil : cet ouvrage de stockage permet de réguler le débit de La Rive en amont de la ville de Chauny. </t>
  </si>
  <si>
    <t>Visite virtuelle de l’espace pédagogique</t>
  </si>
  <si>
    <t>Afin de démultiplier le message et de favoriser l’intégration à la démarche des scolaires notamment, une visite virtuelle de l’espace pédagogique de gestion des eaux pluviales de Chauny va être réalisée. Elle sera mise en ligne sur le site de l’Agglomération à l’occasion de la semaine de la résilience. Cette visite permettra de circuler virtuellement sur le parcours en découvrant des vidéos ludiques d’explication des différentes techniques.</t>
  </si>
  <si>
    <t>Formation, Visite en intérieur</t>
  </si>
  <si>
    <t>Sensibilisation des scolaires</t>
  </si>
  <si>
    <t>Afin de sensibiliser les plus jeunes, la Communauté d’Agglomération mettra à disposition des directeurs d’écoles une liste des partenaires et outils pédagogiques pouvant être mobilisés autour des inondations et plus globalement du cycle de l’eau. Une présentation de ces éléments sera réalisée et sera suivie d’une visite de l’espace pédagogique de gestion des eaux pluviales de Chauny par les directeurs d’écoles.</t>
  </si>
  <si>
    <t>Jeune public</t>
  </si>
  <si>
    <t>Mini-conférence " Arts et Sciences pour les plus jeunes"</t>
  </si>
  <si>
    <t xml:space="preserve">Une démarche scientifique et artistique. À destination des enfants. Ces interventions nourries d’une interaction de deux disciplines (sciences, arts graphiques &amp; numériques) avec une dimension « arts et sciences » expérimentée lors d’une résidence d’un an sur le campus de sciences de Rouen. Sensibiliser au changement climatique sans alimenter l’éco-anxiété. Expliquer la montée des eaux, les crues et décrues de la Seine, l’impact sur l’environnement du territoire. Présenter des solutions et expliquer l’utilité d’« Amplitude ». </t>
  </si>
  <si>
    <t>Conférence, Atelier sensibilisation</t>
  </si>
  <si>
    <t>Tous public, Jeune public</t>
  </si>
  <si>
    <t>Conférence, Réseaux sociaux, Site web, Emailing, Presse quotidienne régionale</t>
  </si>
  <si>
    <t>https://www.duclair.fr/</t>
  </si>
  <si>
    <t>Adressse complète de l'action</t>
  </si>
  <si>
    <t>Commune de l'action</t>
  </si>
  <si>
    <t>Commune de l'action (Code insee)</t>
  </si>
  <si>
    <t>Commune de l'action (Département)</t>
  </si>
  <si>
    <t>Département de l'action</t>
  </si>
  <si>
    <t>Département de l'action (Code)</t>
  </si>
  <si>
    <t>Rue du Lavoir 49650 Allonnes</t>
  </si>
  <si>
    <t>Allonnes (49650)</t>
  </si>
  <si>
    <t>49002</t>
  </si>
  <si>
    <t>Place de la Bilange 49400 Saumur</t>
  </si>
  <si>
    <t>Saumur (49400)</t>
  </si>
  <si>
    <t xml:space="preserve">Land-art à Saumur </t>
  </si>
  <si>
    <t>Quai Carnot 49400 Saumur</t>
  </si>
  <si>
    <t>Land-art à Allonnes</t>
  </si>
  <si>
    <t>place de la mairie 49650 Allonnes</t>
  </si>
  <si>
    <t>Ateliers éducatifs autour des étangs</t>
  </si>
  <si>
    <t>Chemin des Etangs 19450 Chamboulive</t>
  </si>
  <si>
    <t>Chamboulive (19450)</t>
  </si>
  <si>
    <t>19037</t>
  </si>
  <si>
    <t>19 – Corrèze</t>
  </si>
  <si>
    <t>route de l'étang 19800 Meyrignac-l'Église</t>
  </si>
  <si>
    <t>Meyrignac-l’Église (19800)</t>
  </si>
  <si>
    <t>19137</t>
  </si>
  <si>
    <t>Etang de Miel 19190 Beynat</t>
  </si>
  <si>
    <t>Beynat (19190)</t>
  </si>
  <si>
    <t>19023</t>
  </si>
  <si>
    <t>route du Lac 19300 Égletons</t>
  </si>
  <si>
    <t>Égletons (19300)</t>
  </si>
  <si>
    <t>19073</t>
  </si>
  <si>
    <t>Face au dérèglement climatique, habiter comment</t>
  </si>
  <si>
    <t>Moulin a Vent 97231 Le Robert</t>
  </si>
  <si>
    <t>Le Robert (97231)</t>
  </si>
  <si>
    <t>Habiter nos espace de vie en toute sécurité</t>
  </si>
  <si>
    <t>Zac Étang Z Abricot 97200 Fort-de-France</t>
  </si>
  <si>
    <t>Fort-de-France (97200)</t>
  </si>
  <si>
    <t>97209</t>
  </si>
  <si>
    <t>Petit Manoir 97232 Le Lamentin</t>
  </si>
  <si>
    <t>Le Bourg Nord 97220 La Trinité</t>
  </si>
  <si>
    <t>La Trinité (97220)</t>
  </si>
  <si>
    <t>97230</t>
  </si>
  <si>
    <t>Cite Ozanam Bateliere 97233 Schœlcher</t>
  </si>
  <si>
    <t>Route de la Pointe des Sables 97200 Fort-de-France</t>
  </si>
  <si>
    <t>Zone Acajou Californie 97232 Le Lamentin</t>
  </si>
  <si>
    <t>Belle Étoile 97212 Saint-Joseph</t>
  </si>
  <si>
    <t>Saint-Joseph (97212)</t>
  </si>
  <si>
    <t>Avenue Patrick Saint-Éloi 97139 Les Abymes</t>
  </si>
  <si>
    <t>Les Abymes (97139)</t>
  </si>
  <si>
    <t>97101</t>
  </si>
  <si>
    <t>Moudong Sud 97122 Baie-Mahault</t>
  </si>
  <si>
    <t>Baie-Mahault (97122)</t>
  </si>
  <si>
    <t>97103</t>
  </si>
  <si>
    <t>Bd du Marquisat du Houelbourg 97122 Baie-Mahault</t>
  </si>
  <si>
    <t>43 Rue Henri Becquerel 97122 Baie-Mahault</t>
  </si>
  <si>
    <t>18 Boulevard Hegesippe Legitimus 97110 Pointe-à-Pitre</t>
  </si>
  <si>
    <t>Pointe-à-Pitre (97110)</t>
  </si>
  <si>
    <t>97120</t>
  </si>
  <si>
    <t xml:space="preserve">Rue de la mairie </t>
  </si>
  <si>
    <t>Route de Gardel 97160 Le Moule</t>
  </si>
  <si>
    <t>Le Moule (97160)</t>
  </si>
  <si>
    <t>97117</t>
  </si>
  <si>
    <t>Collège Simon Wiesenthal</t>
  </si>
  <si>
    <t>Conférence débat</t>
  </si>
  <si>
    <t xml:space="preserve">Salle Victor Leducq </t>
  </si>
  <si>
    <t>Chauny (02300)</t>
  </si>
  <si>
    <t>02 – Aisne</t>
  </si>
  <si>
    <t>Aisne</t>
  </si>
  <si>
    <t>Visite de sites</t>
  </si>
  <si>
    <t>rue jean monnet</t>
  </si>
  <si>
    <t>Micro-Folie/ Théâtre de Duclair Place du Géneral de Gaulle 76480 Duclair</t>
  </si>
  <si>
    <t>Ecole André Malraux 222 rue Victor Hugo - 76480 Duclai</t>
  </si>
  <si>
    <t>Condition d’éligibilité n°1</t>
  </si>
  <si>
    <t>Critère d'éligibilité n°2</t>
  </si>
  <si>
    <t>Développer la culture sur les risques naturels et technologiques</t>
  </si>
  <si>
    <t>Entreprise publique</t>
  </si>
  <si>
    <t>Note sur 5</t>
  </si>
  <si>
    <t>Le critère pourra notamment être apprécié sur la base des éléments suivants :</t>
  </si>
  <si>
    <t>Autres</t>
  </si>
  <si>
    <t>Critères du caractère innovant de tout ou partie de l’événement proposé</t>
  </si>
  <si>
    <t>Qualité et caractère accessible (par des non spécialistes) des informations mises à la disposition des publics</t>
  </si>
  <si>
    <t>Outils proposés, Mode(s) d’information ou de communication envisagé(s)</t>
  </si>
  <si>
    <t>Références des participants au projet, Qualité et caractère accessible (par des non spécialistes) des informations mises à la disposition des publics</t>
  </si>
  <si>
    <t>Mode(s) d’information ou de communication envisagé(s)</t>
  </si>
  <si>
    <t>Remarques</t>
  </si>
  <si>
    <t>Eléments d'appréciation</t>
  </si>
  <si>
    <t>Capacité du projet à favoriser le dialogue, le partage de connaissance et l'interaction entre diverses parties prenantes, Capacité du projet à favoriser la prise de conscience parmi toutes les générations (dont jeunesse et séniors) et l'inclusivité</t>
  </si>
  <si>
    <t>Position du référent</t>
  </si>
  <si>
    <t>Motif.s (obligatoire.s en cas de réserve ou de refus)</t>
  </si>
  <si>
    <t>Le nombre d'action n'est pas correct</t>
  </si>
  <si>
    <t>Informations générales</t>
  </si>
  <si>
    <t>Nombre d'actions</t>
  </si>
  <si>
    <t>Nombre de projets en instruction</t>
  </si>
  <si>
    <t>Nombre de projets en construction</t>
  </si>
  <si>
    <t>Nombre de projets</t>
  </si>
  <si>
    <t>Statuts juridiques des porteurs de projet</t>
  </si>
  <si>
    <t>Établissement scolaire</t>
  </si>
  <si>
    <t>Particulier (majeur)</t>
  </si>
  <si>
    <t>Service de l'État</t>
  </si>
  <si>
    <t>Université</t>
  </si>
  <si>
    <t>Statuts juridiques des co-porteurs de projet</t>
  </si>
  <si>
    <t>Types d'actions</t>
  </si>
  <si>
    <t>Formation</t>
  </si>
  <si>
    <t>Podcast</t>
  </si>
  <si>
    <t>Réunion d'information</t>
  </si>
  <si>
    <t>Visite en intérieur</t>
  </si>
  <si>
    <t>Webinaire</t>
  </si>
  <si>
    <t>Objectifs</t>
  </si>
  <si>
    <t>Objectif n°2. Se préparer à la survenance d'une catastrophe</t>
  </si>
  <si>
    <t>Feux de forêt</t>
  </si>
  <si>
    <t>Éruption volcanique</t>
  </si>
  <si>
    <t>Mouvement de terrain</t>
  </si>
  <si>
    <t>Avalanche</t>
  </si>
  <si>
    <t>Radon</t>
  </si>
  <si>
    <t>Rupture de barrage</t>
  </si>
  <si>
    <t>Communication</t>
  </si>
  <si>
    <t>Grand public</t>
  </si>
  <si>
    <t>Famille</t>
  </si>
  <si>
    <t>Séniors</t>
  </si>
  <si>
    <t>Etudiant</t>
  </si>
  <si>
    <t>Personne vulnérable</t>
  </si>
  <si>
    <t>Localisation</t>
  </si>
  <si>
    <t>04</t>
  </si>
  <si>
    <t>05</t>
  </si>
  <si>
    <t>07</t>
  </si>
  <si>
    <t>08</t>
  </si>
  <si>
    <t>09</t>
  </si>
  <si>
    <t>10</t>
  </si>
  <si>
    <t>14</t>
  </si>
  <si>
    <t>15</t>
  </si>
  <si>
    <t>18</t>
  </si>
  <si>
    <t>19</t>
  </si>
  <si>
    <t>20</t>
  </si>
  <si>
    <t>23</t>
  </si>
  <si>
    <t>24</t>
  </si>
  <si>
    <t>25</t>
  </si>
  <si>
    <t>27</t>
  </si>
  <si>
    <t>28</t>
  </si>
  <si>
    <t>29</t>
  </si>
  <si>
    <t>30</t>
  </si>
  <si>
    <t>33</t>
  </si>
  <si>
    <t>36</t>
  </si>
  <si>
    <t>37</t>
  </si>
  <si>
    <t>38</t>
  </si>
  <si>
    <t>39</t>
  </si>
  <si>
    <t>40</t>
  </si>
  <si>
    <t>43</t>
  </si>
  <si>
    <t>44</t>
  </si>
  <si>
    <t>45</t>
  </si>
  <si>
    <t>46</t>
  </si>
  <si>
    <t>47</t>
  </si>
  <si>
    <t>48</t>
  </si>
  <si>
    <t>50</t>
  </si>
  <si>
    <t>51</t>
  </si>
  <si>
    <t>52</t>
  </si>
  <si>
    <t>53</t>
  </si>
  <si>
    <t>54</t>
  </si>
  <si>
    <t>55</t>
  </si>
  <si>
    <t>56</t>
  </si>
  <si>
    <t>58</t>
  </si>
  <si>
    <t>59</t>
  </si>
  <si>
    <t>60</t>
  </si>
  <si>
    <t>61</t>
  </si>
  <si>
    <t>63</t>
  </si>
  <si>
    <t>65</t>
  </si>
  <si>
    <t>66</t>
  </si>
  <si>
    <t>67</t>
  </si>
  <si>
    <t>68</t>
  </si>
  <si>
    <t>69</t>
  </si>
  <si>
    <t>70</t>
  </si>
  <si>
    <t>71</t>
  </si>
  <si>
    <t>72</t>
  </si>
  <si>
    <t>73</t>
  </si>
  <si>
    <t>75</t>
  </si>
  <si>
    <t>77</t>
  </si>
  <si>
    <t>78</t>
  </si>
  <si>
    <t>79</t>
  </si>
  <si>
    <t>80</t>
  </si>
  <si>
    <t>81</t>
  </si>
  <si>
    <t>82</t>
  </si>
  <si>
    <t>84</t>
  </si>
  <si>
    <t>85</t>
  </si>
  <si>
    <t>86</t>
  </si>
  <si>
    <t>87</t>
  </si>
  <si>
    <t>88</t>
  </si>
  <si>
    <t>90</t>
  </si>
  <si>
    <t>91</t>
  </si>
  <si>
    <t>92</t>
  </si>
  <si>
    <t>93</t>
  </si>
  <si>
    <t>94</t>
  </si>
  <si>
    <t>95</t>
  </si>
  <si>
    <t>973</t>
  </si>
  <si>
    <t>974</t>
  </si>
  <si>
    <t>975</t>
  </si>
  <si>
    <t>02-Aisne</t>
  </si>
  <si>
    <t>05 - Hautes-Alpes</t>
  </si>
  <si>
    <t>06 - Alpes-Maritimes</t>
  </si>
  <si>
    <t>10 - Aube</t>
  </si>
  <si>
    <t>11- Aude</t>
  </si>
  <si>
    <t>12- Aveyron</t>
  </si>
  <si>
    <t>13- Bouches-du-Rhône</t>
  </si>
  <si>
    <t>14- Calvados</t>
  </si>
  <si>
    <t>01-Ain</t>
  </si>
  <si>
    <t>03-Allier</t>
  </si>
  <si>
    <t>04-Alpes de Haute-Provence</t>
  </si>
  <si>
    <t>15- Cantal</t>
  </si>
  <si>
    <t>16- Charente</t>
  </si>
  <si>
    <t>17- Charente-Maritime</t>
  </si>
  <si>
    <t>18- Cher</t>
  </si>
  <si>
    <t>19- Corrèze</t>
  </si>
  <si>
    <t>2A- Corse-du-Sud</t>
  </si>
  <si>
    <t>2B- Corse-du-Nord</t>
  </si>
  <si>
    <t>21- Côte-d'Or</t>
  </si>
  <si>
    <t>22- Côtes d'Armor</t>
  </si>
  <si>
    <t>23- Creuse</t>
  </si>
  <si>
    <t>24- Dordogne</t>
  </si>
  <si>
    <t>25- Doubs</t>
  </si>
  <si>
    <t>26-Drôme</t>
  </si>
  <si>
    <t>27- Eure</t>
  </si>
  <si>
    <t>28- Eure-et-Loir</t>
  </si>
  <si>
    <t>29- Finistère</t>
  </si>
  <si>
    <t>30- Gard</t>
  </si>
  <si>
    <t>31- Haute-Garonne</t>
  </si>
  <si>
    <t>32- Gers</t>
  </si>
  <si>
    <t>33- Gironde</t>
  </si>
  <si>
    <t>34- Hérault</t>
  </si>
  <si>
    <t>35- Ile-et-Vilaine</t>
  </si>
  <si>
    <t>36- Indre</t>
  </si>
  <si>
    <t>37- Indre-et-Loire</t>
  </si>
  <si>
    <t>38- Isère</t>
  </si>
  <si>
    <t>40- Landes</t>
  </si>
  <si>
    <t>41- Loir-et-Cher</t>
  </si>
  <si>
    <t>42- Loire</t>
  </si>
  <si>
    <t>43- Haute-Loire</t>
  </si>
  <si>
    <t>44- Loire-Atlantique</t>
  </si>
  <si>
    <t>45- Loiret</t>
  </si>
  <si>
    <t>46- Lot</t>
  </si>
  <si>
    <t>47- Lot-et-Garonne</t>
  </si>
  <si>
    <t>48- Lozère</t>
  </si>
  <si>
    <t>49- Maine-et-Loire</t>
  </si>
  <si>
    <t>50- Manche</t>
  </si>
  <si>
    <t>51- Marne</t>
  </si>
  <si>
    <t>52- Haute-Marne</t>
  </si>
  <si>
    <t>53- Mayenne</t>
  </si>
  <si>
    <t>54- Meurthe-et-Moselle</t>
  </si>
  <si>
    <t>55- Meuse</t>
  </si>
  <si>
    <t>56- Morbihan</t>
  </si>
  <si>
    <t>57- Moselle</t>
  </si>
  <si>
    <t>58- Nièvre</t>
  </si>
  <si>
    <t>59- Nord</t>
  </si>
  <si>
    <t>60- Oise</t>
  </si>
  <si>
    <t>61- Orne</t>
  </si>
  <si>
    <t>62- Pas-de-Calais</t>
  </si>
  <si>
    <t>63- Puy-de-Dôme</t>
  </si>
  <si>
    <t>64- Pyrénées-Atlantiques</t>
  </si>
  <si>
    <t>65- Hautes-Pyrénées</t>
  </si>
  <si>
    <t>66- Pyrénées-Orientales</t>
  </si>
  <si>
    <t>67- Bas-Rhin</t>
  </si>
  <si>
    <t>68- Haut-Rhin</t>
  </si>
  <si>
    <t>69- Rhône</t>
  </si>
  <si>
    <t>70- Haute-Saône</t>
  </si>
  <si>
    <t>71- Saône-et-Loir</t>
  </si>
  <si>
    <t>72- Sarthe</t>
  </si>
  <si>
    <t>73- Savoie</t>
  </si>
  <si>
    <t>74- Haute-Savoie</t>
  </si>
  <si>
    <t>75- Paris</t>
  </si>
  <si>
    <t>77- Seine-et-Marne</t>
  </si>
  <si>
    <t>78- Yvelines</t>
  </si>
  <si>
    <t>79- Deux-Sèvres</t>
  </si>
  <si>
    <t>80- Somme</t>
  </si>
  <si>
    <t>81-Tarne</t>
  </si>
  <si>
    <t>82- Tarn-et-Garonne</t>
  </si>
  <si>
    <t>83- Var</t>
  </si>
  <si>
    <t>84- Vaucluse</t>
  </si>
  <si>
    <t>85- Vendée</t>
  </si>
  <si>
    <t>86- Vienne</t>
  </si>
  <si>
    <t>87- Haute-Vienne</t>
  </si>
  <si>
    <t>88- Vosges</t>
  </si>
  <si>
    <t>89- Yonne</t>
  </si>
  <si>
    <t>90- Territoire-de-Belfort</t>
  </si>
  <si>
    <t>91- Essonne</t>
  </si>
  <si>
    <t>92- Hautes-de-Seine</t>
  </si>
  <si>
    <t>93- Seine-Saint-Denis</t>
  </si>
  <si>
    <t>94- Val-de-Marne</t>
  </si>
  <si>
    <t>95- Val-d'Oise</t>
  </si>
  <si>
    <t>Auvergne-Rhône-Alpes</t>
  </si>
  <si>
    <t>971- Guadeloupe</t>
  </si>
  <si>
    <t>972- Martinique</t>
  </si>
  <si>
    <t>973- Guyane</t>
  </si>
  <si>
    <t>974- Réunion</t>
  </si>
  <si>
    <t>975- Saint-Pierre-et-Miquelon</t>
  </si>
  <si>
    <t>976- Mayotte</t>
  </si>
  <si>
    <t>977- Saint-Barthélémy</t>
  </si>
  <si>
    <t>978- Saint-Martin</t>
  </si>
  <si>
    <t>987- Polynésie Française</t>
  </si>
  <si>
    <t>988- Nouvelle-Calédonie</t>
  </si>
  <si>
    <t>Bretagne</t>
  </si>
  <si>
    <t>Centre-Val-de-Loire</t>
  </si>
  <si>
    <t>Corse</t>
  </si>
  <si>
    <t>Grand-Est</t>
  </si>
  <si>
    <t>Hauts-de-France</t>
  </si>
  <si>
    <t>Ile-de-France</t>
  </si>
  <si>
    <t>Normandie</t>
  </si>
  <si>
    <t>Nouvelle-Aquitaine</t>
  </si>
  <si>
    <t>Occitanie</t>
  </si>
  <si>
    <t>Pays-de-la-Loire</t>
  </si>
  <si>
    <t>Provence-Alpes-Côte d'Azur</t>
  </si>
  <si>
    <t>Zone France</t>
  </si>
  <si>
    <t>07- Ardèche</t>
  </si>
  <si>
    <t>08- Ardennes</t>
  </si>
  <si>
    <t>09- Ariège</t>
  </si>
  <si>
    <t>39- Jura</t>
  </si>
  <si>
    <t>76- Seine-Maritime</t>
  </si>
  <si>
    <t>Bourgogne-Franche-Comté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</si>
</sst>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yyyy\-mm\-dd\ h:mm\ AM/PM"/>
    <numFmt numFmtId="167" formatCode="yyyy\-mm\-dd"/>
  </numFmts>
  <fonts count="6" x14ac:knownFonts="1">
    <font>
      <sz val="11"/>
      <name val="Arial"/>
      <family val="1"/>
    </font>
    <font>
      <b/>
      <sz val="12"/>
      <color rgb="FFFFFFFF"/>
      <name val="Arial"/>
      <family val="1"/>
    </font>
    <font>
      <sz val="12"/>
      <color rgb="FF000000"/>
      <name val="Arial"/>
      <family val="1"/>
    </font>
    <font>
      <sz val="12"/>
      <color rgb="FF000000"/>
      <name val="Arial"/>
      <family val="1"/>
    </font>
    <font>
      <sz val="12"/>
      <color rgb="FF000000"/>
      <name val="Arial"/>
      <family val="1"/>
    </font>
    <font>
      <sz val="8"/>
      <name val="Arial"/>
      <family val="1"/>
    </font>
  </fonts>
  <fills count="3">
    <fill>
      <patternFill patternType="none"/>
    </fill>
    <fill>
      <patternFill patternType="gray125"/>
    </fill>
    <fill>
      <patternFill patternType="solid">
        <fgColor rgb="FF000000"/>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2" fillId="0" borderId="0" xfId="0" applyFont="1"/>
    <xf numFmtId="166" fontId="3" fillId="0" borderId="0" xfId="0" applyNumberFormat="1" applyFont="1"/>
    <xf numFmtId="167" fontId="4" fillId="0" borderId="0" xfId="0" applyNumberFormat="1" applyFont="1"/>
    <xf numFmtId="0" fontId="0" fillId="0" borderId="0" xfId="0" applyAlignment="1">
      <alignment horizontal="center"/>
    </xf>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N33"/>
  <sheetViews>
    <sheetView showOutlineSymbols="0" showWhiteSpace="0" workbookViewId="0"/>
  </sheetViews>
  <sheetFormatPr baseColWidth="10" defaultColWidth="9" defaultRowHeight="14.25" x14ac:dyDescent="0.2"/>
  <cols>
    <col min="1" max="1" width="13.25" bestFit="1" customWidth="1"/>
    <col min="2" max="2" width="52.75" bestFit="1" customWidth="1"/>
    <col min="3" max="3" width="19.75" bestFit="1" customWidth="1"/>
    <col min="4" max="4" width="24" bestFit="1" customWidth="1"/>
    <col min="5" max="5" width="28.75" bestFit="1" customWidth="1"/>
    <col min="6" max="6" width="18" bestFit="1" customWidth="1"/>
    <col min="7" max="7" width="32.375" bestFit="1" customWidth="1"/>
    <col min="8" max="8" width="46.75" bestFit="1" customWidth="1"/>
    <col min="9" max="9" width="33.625" bestFit="1" customWidth="1"/>
    <col min="10" max="10" width="46.75" bestFit="1" customWidth="1"/>
    <col min="11" max="11" width="33.625" bestFit="1" customWidth="1"/>
    <col min="12" max="12" width="50.375" bestFit="1" customWidth="1"/>
    <col min="13" max="13" width="52.75" bestFit="1" customWidth="1"/>
    <col min="14" max="14" width="37.75" bestFit="1" customWidth="1"/>
    <col min="15" max="15" width="82.75" bestFit="1" customWidth="1"/>
    <col min="16" max="16" width="72" bestFit="1" customWidth="1"/>
    <col min="17" max="17" width="184.75" bestFit="1" customWidth="1"/>
    <col min="18" max="18" width="25.25" bestFit="1" customWidth="1"/>
    <col min="19" max="19" width="130.75" bestFit="1" customWidth="1"/>
    <col min="20" max="20" width="38.375" bestFit="1" customWidth="1"/>
    <col min="21" max="21" width="21.625" bestFit="1" customWidth="1"/>
    <col min="22" max="22" width="55.75" bestFit="1" customWidth="1"/>
    <col min="23" max="23" width="41.375" bestFit="1" customWidth="1"/>
    <col min="24" max="24" width="19.75" bestFit="1" customWidth="1"/>
    <col min="25" max="26" width="255" bestFit="1" customWidth="1"/>
    <col min="27" max="27" width="66.625" bestFit="1" customWidth="1"/>
    <col min="28" max="28" width="114" bestFit="1" customWidth="1"/>
    <col min="29" max="29" width="255" bestFit="1" customWidth="1"/>
    <col min="30" max="30" width="120.625" bestFit="1" customWidth="1"/>
    <col min="31" max="31" width="138.625" bestFit="1" customWidth="1"/>
    <col min="32" max="32" width="144" bestFit="1" customWidth="1"/>
    <col min="33" max="33" width="255" bestFit="1" customWidth="1"/>
    <col min="34" max="34" width="77.375" bestFit="1" customWidth="1"/>
    <col min="35" max="35" width="122.375" bestFit="1" customWidth="1"/>
    <col min="36" max="36" width="187.25" bestFit="1" customWidth="1"/>
    <col min="37" max="37" width="174.625" bestFit="1" customWidth="1"/>
    <col min="38" max="38" width="77.375" bestFit="1" customWidth="1"/>
    <col min="39" max="39" width="97.25" bestFit="1" customWidth="1"/>
    <col min="40" max="40" width="255" bestFit="1" customWidth="1"/>
  </cols>
  <sheetData>
    <row r="1" spans="1:40"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ht="15" x14ac:dyDescent="0.2">
      <c r="A2" s="2" t="s">
        <v>40</v>
      </c>
      <c r="B2" s="2" t="s">
        <v>41</v>
      </c>
      <c r="C2" s="2" t="s">
        <v>42</v>
      </c>
      <c r="D2" s="2" t="s">
        <v>43</v>
      </c>
      <c r="E2" s="2" t="s">
        <v>44</v>
      </c>
      <c r="F2" s="2" t="s">
        <v>45</v>
      </c>
      <c r="G2" s="2" t="s">
        <v>46</v>
      </c>
      <c r="H2" s="3">
        <v>45103.377581342756</v>
      </c>
      <c r="I2" s="3">
        <v>45084.433409366458</v>
      </c>
      <c r="J2" s="3">
        <v>45103.377554110477</v>
      </c>
      <c r="K2" s="2"/>
      <c r="L2" s="2"/>
      <c r="M2" s="2" t="s">
        <v>47</v>
      </c>
      <c r="N2" s="2" t="s">
        <v>48</v>
      </c>
      <c r="O2" s="2" t="s">
        <v>48</v>
      </c>
      <c r="P2" s="2" t="s">
        <v>49</v>
      </c>
      <c r="Q2" s="2" t="s">
        <v>50</v>
      </c>
      <c r="R2" s="2" t="s">
        <v>51</v>
      </c>
      <c r="S2" s="2" t="s">
        <v>52</v>
      </c>
      <c r="T2" s="2" t="s">
        <v>53</v>
      </c>
      <c r="U2" s="2" t="s">
        <v>54</v>
      </c>
      <c r="V2" s="2" t="s">
        <v>41</v>
      </c>
      <c r="W2" s="2"/>
      <c r="X2" s="2"/>
      <c r="Y2" s="2" t="s">
        <v>55</v>
      </c>
      <c r="Z2" s="2" t="s">
        <v>56</v>
      </c>
      <c r="AA2" s="2" t="s">
        <v>57</v>
      </c>
      <c r="AB2" s="2" t="s">
        <v>58</v>
      </c>
      <c r="AC2" s="2" t="s">
        <v>59</v>
      </c>
      <c r="AD2" s="2">
        <v>1</v>
      </c>
      <c r="AE2" s="2" t="s">
        <v>60</v>
      </c>
      <c r="AF2" s="2" t="s">
        <v>60</v>
      </c>
      <c r="AG2" s="2" t="s">
        <v>61</v>
      </c>
      <c r="AH2" s="2" t="s">
        <v>61</v>
      </c>
      <c r="AI2" s="2" t="s">
        <v>61</v>
      </c>
      <c r="AJ2" s="2" t="s">
        <v>61</v>
      </c>
      <c r="AK2" s="2" t="s">
        <v>62</v>
      </c>
      <c r="AL2" s="2" t="s">
        <v>63</v>
      </c>
      <c r="AM2" s="2" t="s">
        <v>62</v>
      </c>
      <c r="AN2" s="2"/>
    </row>
    <row r="3" spans="1:40" ht="15" x14ac:dyDescent="0.2">
      <c r="A3" s="2" t="s">
        <v>64</v>
      </c>
      <c r="B3" s="2" t="s">
        <v>65</v>
      </c>
      <c r="C3" s="2" t="s">
        <v>42</v>
      </c>
      <c r="D3" s="2" t="s">
        <v>66</v>
      </c>
      <c r="E3" s="2" t="s">
        <v>67</v>
      </c>
      <c r="F3" s="2" t="s">
        <v>45</v>
      </c>
      <c r="G3" s="2" t="s">
        <v>46</v>
      </c>
      <c r="H3" s="3">
        <v>45132.472290709942</v>
      </c>
      <c r="I3" s="3">
        <v>45084.624063565541</v>
      </c>
      <c r="J3" s="3">
        <v>45132.472285919685</v>
      </c>
      <c r="K3" s="2"/>
      <c r="L3" s="2"/>
      <c r="M3" s="2" t="s">
        <v>68</v>
      </c>
      <c r="N3" s="2" t="s">
        <v>69</v>
      </c>
      <c r="O3" s="2" t="s">
        <v>69</v>
      </c>
      <c r="P3" s="2" t="s">
        <v>70</v>
      </c>
      <c r="Q3" s="2" t="s">
        <v>71</v>
      </c>
      <c r="R3" s="2" t="s">
        <v>72</v>
      </c>
      <c r="S3" s="2" t="s">
        <v>73</v>
      </c>
      <c r="T3" s="2" t="s">
        <v>74</v>
      </c>
      <c r="U3" s="2" t="s">
        <v>75</v>
      </c>
      <c r="V3" s="2" t="s">
        <v>65</v>
      </c>
      <c r="W3" s="2"/>
      <c r="X3" s="2"/>
      <c r="Y3" s="2" t="s">
        <v>76</v>
      </c>
      <c r="Z3" s="2" t="s">
        <v>77</v>
      </c>
      <c r="AA3" s="2" t="s">
        <v>57</v>
      </c>
      <c r="AB3" s="2" t="s">
        <v>78</v>
      </c>
      <c r="AC3" s="2" t="s">
        <v>79</v>
      </c>
      <c r="AD3" s="2">
        <v>1</v>
      </c>
      <c r="AE3" s="2" t="s">
        <v>57</v>
      </c>
      <c r="AF3" s="2" t="s">
        <v>60</v>
      </c>
      <c r="AG3" s="2" t="s">
        <v>61</v>
      </c>
      <c r="AH3" s="2" t="s">
        <v>61</v>
      </c>
      <c r="AI3" s="2" t="s">
        <v>61</v>
      </c>
      <c r="AJ3" s="2" t="s">
        <v>61</v>
      </c>
      <c r="AK3" s="2" t="s">
        <v>80</v>
      </c>
      <c r="AL3" s="2" t="s">
        <v>63</v>
      </c>
      <c r="AM3" s="2" t="s">
        <v>81</v>
      </c>
      <c r="AN3" s="2"/>
    </row>
    <row r="4" spans="1:40" ht="15" x14ac:dyDescent="0.2">
      <c r="A4" s="2" t="s">
        <v>82</v>
      </c>
      <c r="B4" s="2" t="s">
        <v>83</v>
      </c>
      <c r="C4" s="2" t="s">
        <v>42</v>
      </c>
      <c r="D4" s="2" t="s">
        <v>84</v>
      </c>
      <c r="E4" s="2" t="s">
        <v>85</v>
      </c>
      <c r="F4" s="2" t="s">
        <v>45</v>
      </c>
      <c r="G4" s="2" t="s">
        <v>86</v>
      </c>
      <c r="H4" s="3">
        <v>45124.666285609681</v>
      </c>
      <c r="I4" s="3">
        <v>45093.380991055863</v>
      </c>
      <c r="J4" s="2"/>
      <c r="K4" s="2"/>
      <c r="L4" s="2"/>
      <c r="M4" s="2" t="s">
        <v>62</v>
      </c>
      <c r="N4" s="2" t="s">
        <v>87</v>
      </c>
      <c r="O4" s="2" t="s">
        <v>87</v>
      </c>
      <c r="P4" s="2" t="s">
        <v>88</v>
      </c>
      <c r="Q4" s="2" t="s">
        <v>89</v>
      </c>
      <c r="R4" s="2" t="s">
        <v>90</v>
      </c>
      <c r="S4" s="2" t="s">
        <v>91</v>
      </c>
      <c r="T4" s="2" t="s">
        <v>92</v>
      </c>
      <c r="U4" s="2" t="s">
        <v>93</v>
      </c>
      <c r="V4" s="2" t="s">
        <v>94</v>
      </c>
      <c r="W4" s="2"/>
      <c r="X4" s="2"/>
      <c r="Y4" s="2" t="s">
        <v>95</v>
      </c>
      <c r="Z4" s="2" t="s">
        <v>96</v>
      </c>
      <c r="AA4" s="2" t="s">
        <v>60</v>
      </c>
      <c r="AB4" s="2" t="s">
        <v>97</v>
      </c>
      <c r="AC4" s="2" t="s">
        <v>98</v>
      </c>
      <c r="AD4" s="2">
        <v>3</v>
      </c>
      <c r="AE4" s="2" t="s">
        <v>60</v>
      </c>
      <c r="AF4" s="2" t="s">
        <v>57</v>
      </c>
      <c r="AG4" s="2" t="s">
        <v>61</v>
      </c>
      <c r="AH4" s="2" t="s">
        <v>61</v>
      </c>
      <c r="AI4" s="2" t="s">
        <v>61</v>
      </c>
      <c r="AJ4" s="2" t="s">
        <v>61</v>
      </c>
      <c r="AK4" s="2" t="s">
        <v>99</v>
      </c>
      <c r="AL4" s="2" t="s">
        <v>63</v>
      </c>
      <c r="AM4" s="2" t="s">
        <v>100</v>
      </c>
      <c r="AN4" s="2" t="s">
        <v>101</v>
      </c>
    </row>
    <row r="5" spans="1:40" ht="15" x14ac:dyDescent="0.2">
      <c r="A5" s="2" t="s">
        <v>102</v>
      </c>
      <c r="B5" s="2" t="s">
        <v>103</v>
      </c>
      <c r="C5" s="2" t="s">
        <v>104</v>
      </c>
      <c r="D5" s="2" t="s">
        <v>105</v>
      </c>
      <c r="E5" s="2" t="s">
        <v>106</v>
      </c>
      <c r="F5" s="2" t="s">
        <v>45</v>
      </c>
      <c r="G5" s="2" t="s">
        <v>86</v>
      </c>
      <c r="H5" s="3">
        <v>45098.746826190662</v>
      </c>
      <c r="I5" s="3">
        <v>45096.428437480252</v>
      </c>
      <c r="J5" s="2"/>
      <c r="K5" s="2"/>
      <c r="L5" s="2"/>
      <c r="M5" s="2" t="s">
        <v>62</v>
      </c>
      <c r="N5" s="2" t="s">
        <v>107</v>
      </c>
      <c r="O5" s="2" t="s">
        <v>107</v>
      </c>
      <c r="P5" s="2" t="s">
        <v>70</v>
      </c>
      <c r="Q5" s="2" t="s">
        <v>108</v>
      </c>
      <c r="R5" s="2" t="s">
        <v>109</v>
      </c>
      <c r="S5" s="2" t="s">
        <v>110</v>
      </c>
      <c r="T5" s="2" t="s">
        <v>111</v>
      </c>
      <c r="U5" s="2" t="s">
        <v>112</v>
      </c>
      <c r="V5" s="2" t="s">
        <v>103</v>
      </c>
      <c r="W5" s="2"/>
      <c r="X5" s="2"/>
      <c r="Y5" s="2" t="s">
        <v>113</v>
      </c>
      <c r="Z5" s="2" t="s">
        <v>114</v>
      </c>
      <c r="AA5" s="2" t="s">
        <v>60</v>
      </c>
      <c r="AB5" s="2" t="s">
        <v>115</v>
      </c>
      <c r="AC5" s="2" t="s">
        <v>116</v>
      </c>
      <c r="AD5" s="2">
        <v>4</v>
      </c>
      <c r="AE5" s="2" t="s">
        <v>60</v>
      </c>
      <c r="AF5" s="2" t="s">
        <v>57</v>
      </c>
      <c r="AG5" s="2" t="s">
        <v>61</v>
      </c>
      <c r="AH5" s="2" t="s">
        <v>61</v>
      </c>
      <c r="AI5" s="2" t="s">
        <v>61</v>
      </c>
      <c r="AJ5" s="2" t="s">
        <v>61</v>
      </c>
      <c r="AK5" s="2" t="s">
        <v>62</v>
      </c>
      <c r="AL5" s="2" t="s">
        <v>63</v>
      </c>
      <c r="AM5" s="2" t="s">
        <v>117</v>
      </c>
      <c r="AN5" s="2"/>
    </row>
    <row r="6" spans="1:40" ht="15" x14ac:dyDescent="0.2">
      <c r="A6" s="2" t="s">
        <v>118</v>
      </c>
      <c r="B6" s="2" t="s">
        <v>119</v>
      </c>
      <c r="C6" s="2" t="s">
        <v>42</v>
      </c>
      <c r="D6" s="2" t="s">
        <v>120</v>
      </c>
      <c r="E6" s="2" t="s">
        <v>121</v>
      </c>
      <c r="F6" s="2" t="s">
        <v>45</v>
      </c>
      <c r="G6" s="2" t="s">
        <v>86</v>
      </c>
      <c r="H6" s="3">
        <v>45106.661201575844</v>
      </c>
      <c r="I6" s="3">
        <v>45106.661191803345</v>
      </c>
      <c r="J6" s="2"/>
      <c r="K6" s="2"/>
      <c r="L6" s="2"/>
      <c r="M6" s="2" t="s">
        <v>62</v>
      </c>
      <c r="N6" s="2" t="s">
        <v>122</v>
      </c>
      <c r="O6" s="2" t="s">
        <v>122</v>
      </c>
      <c r="P6" s="2" t="s">
        <v>70</v>
      </c>
      <c r="Q6" s="2" t="s">
        <v>123</v>
      </c>
      <c r="R6" s="2" t="s">
        <v>124</v>
      </c>
      <c r="S6" s="2" t="s">
        <v>125</v>
      </c>
      <c r="T6" s="2" t="s">
        <v>126</v>
      </c>
      <c r="U6" s="2" t="s">
        <v>127</v>
      </c>
      <c r="V6" s="2" t="s">
        <v>119</v>
      </c>
      <c r="W6" s="2"/>
      <c r="X6" s="2"/>
      <c r="Y6" s="2" t="s">
        <v>128</v>
      </c>
      <c r="Z6" s="2" t="s">
        <v>129</v>
      </c>
      <c r="AA6" s="2" t="s">
        <v>57</v>
      </c>
      <c r="AB6" s="2" t="s">
        <v>130</v>
      </c>
      <c r="AC6" s="2" t="s">
        <v>131</v>
      </c>
      <c r="AD6" s="2">
        <v>1</v>
      </c>
      <c r="AE6" s="2" t="s">
        <v>57</v>
      </c>
      <c r="AF6" s="2" t="s">
        <v>60</v>
      </c>
      <c r="AG6" s="2" t="s">
        <v>61</v>
      </c>
      <c r="AH6" s="2" t="s">
        <v>61</v>
      </c>
      <c r="AI6" s="2" t="s">
        <v>61</v>
      </c>
      <c r="AJ6" s="2" t="s">
        <v>61</v>
      </c>
      <c r="AK6" s="2" t="s">
        <v>132</v>
      </c>
      <c r="AL6" s="2" t="s">
        <v>63</v>
      </c>
      <c r="AM6" s="2" t="s">
        <v>62</v>
      </c>
      <c r="AN6" s="2"/>
    </row>
    <row r="7" spans="1:40" ht="15" x14ac:dyDescent="0.2">
      <c r="A7" s="2" t="s">
        <v>133</v>
      </c>
      <c r="B7" s="2" t="s">
        <v>134</v>
      </c>
      <c r="C7" s="2" t="s">
        <v>104</v>
      </c>
      <c r="D7" s="2" t="s">
        <v>135</v>
      </c>
      <c r="E7" s="2" t="s">
        <v>136</v>
      </c>
      <c r="F7" s="2" t="s">
        <v>45</v>
      </c>
      <c r="G7" s="2" t="s">
        <v>86</v>
      </c>
      <c r="H7" s="3">
        <v>45127.904395136007</v>
      </c>
      <c r="I7" s="3">
        <v>45106.723904165439</v>
      </c>
      <c r="J7" s="2"/>
      <c r="K7" s="2"/>
      <c r="L7" s="2"/>
      <c r="M7" s="2" t="s">
        <v>137</v>
      </c>
      <c r="N7" s="2" t="s">
        <v>122</v>
      </c>
      <c r="O7" s="2" t="s">
        <v>122</v>
      </c>
      <c r="P7" s="2" t="s">
        <v>138</v>
      </c>
      <c r="Q7" s="2" t="s">
        <v>139</v>
      </c>
      <c r="R7" s="2" t="s">
        <v>140</v>
      </c>
      <c r="S7" s="2" t="s">
        <v>141</v>
      </c>
      <c r="T7" s="2" t="s">
        <v>142</v>
      </c>
      <c r="U7" s="2" t="s">
        <v>143</v>
      </c>
      <c r="V7" s="2" t="s">
        <v>134</v>
      </c>
      <c r="W7" s="2"/>
      <c r="X7" s="2"/>
      <c r="Y7" s="2"/>
      <c r="Z7" s="2" t="s">
        <v>144</v>
      </c>
      <c r="AA7" s="2" t="s">
        <v>57</v>
      </c>
      <c r="AB7" s="2" t="s">
        <v>145</v>
      </c>
      <c r="AC7" s="2" t="s">
        <v>146</v>
      </c>
      <c r="AD7" s="2">
        <v>1</v>
      </c>
      <c r="AE7" s="2" t="s">
        <v>57</v>
      </c>
      <c r="AF7" s="2" t="s">
        <v>60</v>
      </c>
      <c r="AG7" s="2" t="s">
        <v>61</v>
      </c>
      <c r="AH7" s="2" t="s">
        <v>61</v>
      </c>
      <c r="AI7" s="2" t="s">
        <v>61</v>
      </c>
      <c r="AJ7" s="2" t="s">
        <v>61</v>
      </c>
      <c r="AK7" s="2" t="s">
        <v>147</v>
      </c>
      <c r="AL7" s="2" t="s">
        <v>63</v>
      </c>
      <c r="AM7" s="2" t="s">
        <v>62</v>
      </c>
      <c r="AN7" s="2" t="s">
        <v>148</v>
      </c>
    </row>
    <row r="8" spans="1:40" ht="15" x14ac:dyDescent="0.2">
      <c r="A8" s="2" t="s">
        <v>149</v>
      </c>
      <c r="B8" s="2" t="s">
        <v>150</v>
      </c>
      <c r="C8" s="2" t="s">
        <v>104</v>
      </c>
      <c r="D8" s="2" t="s">
        <v>151</v>
      </c>
      <c r="E8" s="2" t="s">
        <v>152</v>
      </c>
      <c r="F8" s="2" t="s">
        <v>45</v>
      </c>
      <c r="G8" s="2" t="s">
        <v>86</v>
      </c>
      <c r="H8" s="3">
        <v>45124.4436504966</v>
      </c>
      <c r="I8" s="3">
        <v>45113.461184495456</v>
      </c>
      <c r="J8" s="2"/>
      <c r="K8" s="2"/>
      <c r="L8" s="2"/>
      <c r="M8" s="2" t="s">
        <v>62</v>
      </c>
      <c r="N8" s="2" t="s">
        <v>153</v>
      </c>
      <c r="O8" s="2" t="s">
        <v>153</v>
      </c>
      <c r="P8" s="2" t="s">
        <v>88</v>
      </c>
      <c r="Q8" s="2" t="s">
        <v>154</v>
      </c>
      <c r="R8" s="2" t="s">
        <v>155</v>
      </c>
      <c r="S8" s="2" t="s">
        <v>156</v>
      </c>
      <c r="T8" s="2" t="s">
        <v>157</v>
      </c>
      <c r="U8" s="2" t="s">
        <v>158</v>
      </c>
      <c r="V8" s="2" t="s">
        <v>159</v>
      </c>
      <c r="W8" s="2"/>
      <c r="X8" s="2"/>
      <c r="Y8" s="2" t="s">
        <v>160</v>
      </c>
      <c r="Z8" s="2" t="s">
        <v>161</v>
      </c>
      <c r="AA8" s="2" t="s">
        <v>57</v>
      </c>
      <c r="AB8" s="2"/>
      <c r="AC8" s="2" t="s">
        <v>162</v>
      </c>
      <c r="AD8" s="2">
        <v>1</v>
      </c>
      <c r="AE8" s="2" t="s">
        <v>57</v>
      </c>
      <c r="AF8" s="2" t="s">
        <v>60</v>
      </c>
      <c r="AG8" s="2" t="s">
        <v>61</v>
      </c>
      <c r="AH8" s="2" t="s">
        <v>61</v>
      </c>
      <c r="AI8" s="2" t="s">
        <v>61</v>
      </c>
      <c r="AJ8" s="2" t="s">
        <v>61</v>
      </c>
      <c r="AK8" s="2" t="s">
        <v>62</v>
      </c>
      <c r="AL8" s="2" t="s">
        <v>63</v>
      </c>
      <c r="AM8" s="2" t="s">
        <v>62</v>
      </c>
      <c r="AN8" s="2"/>
    </row>
    <row r="9" spans="1:40" ht="15" x14ac:dyDescent="0.2">
      <c r="A9" s="2" t="s">
        <v>163</v>
      </c>
      <c r="B9" s="2" t="s">
        <v>164</v>
      </c>
      <c r="C9" s="2" t="s">
        <v>42</v>
      </c>
      <c r="D9" s="2" t="s">
        <v>165</v>
      </c>
      <c r="E9" s="2" t="s">
        <v>166</v>
      </c>
      <c r="F9" s="2" t="s">
        <v>45</v>
      </c>
      <c r="G9" s="2" t="s">
        <v>86</v>
      </c>
      <c r="H9" s="3">
        <v>45120.498283504676</v>
      </c>
      <c r="I9" s="3">
        <v>45114.129059155195</v>
      </c>
      <c r="J9" s="2"/>
      <c r="K9" s="2"/>
      <c r="L9" s="2"/>
      <c r="M9" s="2" t="s">
        <v>167</v>
      </c>
      <c r="N9" s="2" t="s">
        <v>168</v>
      </c>
      <c r="O9" s="2" t="s">
        <v>168</v>
      </c>
      <c r="P9" s="2" t="s">
        <v>138</v>
      </c>
      <c r="Q9" s="2" t="s">
        <v>169</v>
      </c>
      <c r="R9" s="2" t="s">
        <v>170</v>
      </c>
      <c r="S9" s="2" t="s">
        <v>171</v>
      </c>
      <c r="T9" s="2" t="s">
        <v>172</v>
      </c>
      <c r="U9" s="2" t="s">
        <v>173</v>
      </c>
      <c r="V9" s="2" t="s">
        <v>174</v>
      </c>
      <c r="W9" s="2"/>
      <c r="X9" s="2"/>
      <c r="Y9" s="2"/>
      <c r="Z9" s="2" t="s">
        <v>175</v>
      </c>
      <c r="AA9" s="2" t="s">
        <v>60</v>
      </c>
      <c r="AB9" s="2" t="s">
        <v>176</v>
      </c>
      <c r="AC9" s="2" t="s">
        <v>177</v>
      </c>
      <c r="AD9" s="2">
        <v>0</v>
      </c>
      <c r="AE9" s="2" t="s">
        <v>57</v>
      </c>
      <c r="AF9" s="2" t="s">
        <v>60</v>
      </c>
      <c r="AG9" s="2" t="s">
        <v>61</v>
      </c>
      <c r="AH9" s="2" t="s">
        <v>61</v>
      </c>
      <c r="AI9" s="2" t="s">
        <v>61</v>
      </c>
      <c r="AJ9" s="2" t="s">
        <v>61</v>
      </c>
      <c r="AK9" s="2" t="s">
        <v>62</v>
      </c>
      <c r="AL9" s="2" t="s">
        <v>63</v>
      </c>
      <c r="AM9" s="2" t="s">
        <v>62</v>
      </c>
      <c r="AN9" s="2"/>
    </row>
    <row r="10" spans="1:40" ht="15" x14ac:dyDescent="0.2">
      <c r="A10" s="2" t="s">
        <v>178</v>
      </c>
      <c r="B10" s="2" t="s">
        <v>179</v>
      </c>
      <c r="C10" s="2" t="s">
        <v>104</v>
      </c>
      <c r="D10" s="2" t="s">
        <v>180</v>
      </c>
      <c r="E10" s="2" t="s">
        <v>181</v>
      </c>
      <c r="F10" s="2" t="s">
        <v>45</v>
      </c>
      <c r="G10" s="2" t="s">
        <v>182</v>
      </c>
      <c r="H10" s="3">
        <v>45132.913819531561</v>
      </c>
      <c r="I10" s="3">
        <v>45114.685185884962</v>
      </c>
      <c r="J10" s="3">
        <v>45131.74292331819</v>
      </c>
      <c r="K10" s="3">
        <v>45132.91381154288</v>
      </c>
      <c r="L10" s="2" t="s">
        <v>62</v>
      </c>
      <c r="M10" s="2" t="s">
        <v>183</v>
      </c>
      <c r="N10" s="2" t="s">
        <v>184</v>
      </c>
      <c r="O10" s="2" t="s">
        <v>184</v>
      </c>
      <c r="P10" s="2" t="s">
        <v>185</v>
      </c>
      <c r="Q10" s="2" t="s">
        <v>186</v>
      </c>
      <c r="R10" s="2" t="s">
        <v>187</v>
      </c>
      <c r="S10" s="2" t="s">
        <v>188</v>
      </c>
      <c r="T10" s="2" t="s">
        <v>189</v>
      </c>
      <c r="U10" s="2" t="s">
        <v>190</v>
      </c>
      <c r="V10" s="2" t="s">
        <v>179</v>
      </c>
      <c r="W10" s="2"/>
      <c r="X10" s="2"/>
      <c r="Y10" s="2" t="s">
        <v>191</v>
      </c>
      <c r="Z10" s="2" t="s">
        <v>192</v>
      </c>
      <c r="AA10" s="2" t="s">
        <v>57</v>
      </c>
      <c r="AB10" s="2" t="s">
        <v>193</v>
      </c>
      <c r="AC10" s="2" t="s">
        <v>194</v>
      </c>
      <c r="AD10" s="2">
        <v>7</v>
      </c>
      <c r="AE10" s="2" t="s">
        <v>57</v>
      </c>
      <c r="AF10" s="2" t="s">
        <v>60</v>
      </c>
      <c r="AG10" s="2" t="s">
        <v>61</v>
      </c>
      <c r="AH10" s="2" t="s">
        <v>61</v>
      </c>
      <c r="AI10" s="2" t="s">
        <v>61</v>
      </c>
      <c r="AJ10" s="2" t="s">
        <v>61</v>
      </c>
      <c r="AK10" s="2" t="s">
        <v>195</v>
      </c>
      <c r="AL10" s="2" t="s">
        <v>63</v>
      </c>
      <c r="AM10" s="2" t="s">
        <v>196</v>
      </c>
      <c r="AN10" s="2"/>
    </row>
    <row r="11" spans="1:40" ht="15" x14ac:dyDescent="0.2">
      <c r="A11" s="2" t="s">
        <v>197</v>
      </c>
      <c r="B11" s="2" t="s">
        <v>198</v>
      </c>
      <c r="C11" s="2" t="s">
        <v>42</v>
      </c>
      <c r="D11" s="2" t="s">
        <v>199</v>
      </c>
      <c r="E11" s="2" t="s">
        <v>200</v>
      </c>
      <c r="F11" s="2" t="s">
        <v>45</v>
      </c>
      <c r="G11" s="2" t="s">
        <v>86</v>
      </c>
      <c r="H11" s="3">
        <v>45114.685318452131</v>
      </c>
      <c r="I11" s="3">
        <v>45114.685310336572</v>
      </c>
      <c r="J11" s="2"/>
      <c r="K11" s="2"/>
      <c r="L11" s="2"/>
      <c r="M11" s="2" t="s">
        <v>62</v>
      </c>
      <c r="N11" s="2" t="s">
        <v>201</v>
      </c>
      <c r="O11" s="2" t="s">
        <v>201</v>
      </c>
      <c r="P11" s="2" t="s">
        <v>185</v>
      </c>
      <c r="Q11" s="2" t="s">
        <v>202</v>
      </c>
      <c r="R11" s="2" t="s">
        <v>203</v>
      </c>
      <c r="S11" s="2" t="s">
        <v>204</v>
      </c>
      <c r="T11" s="2" t="s">
        <v>202</v>
      </c>
      <c r="U11" s="2" t="s">
        <v>205</v>
      </c>
      <c r="V11" s="2" t="s">
        <v>206</v>
      </c>
      <c r="W11" s="2"/>
      <c r="X11" s="2"/>
      <c r="Y11" s="2" t="s">
        <v>207</v>
      </c>
      <c r="Z11" s="2" t="s">
        <v>208</v>
      </c>
      <c r="AA11" s="2" t="s">
        <v>60</v>
      </c>
      <c r="AB11" s="2" t="s">
        <v>209</v>
      </c>
      <c r="AC11" s="2" t="s">
        <v>210</v>
      </c>
      <c r="AD11" s="2">
        <v>2</v>
      </c>
      <c r="AE11" s="2" t="s">
        <v>57</v>
      </c>
      <c r="AF11" s="2" t="s">
        <v>60</v>
      </c>
      <c r="AG11" s="2" t="s">
        <v>61</v>
      </c>
      <c r="AH11" s="2" t="s">
        <v>61</v>
      </c>
      <c r="AI11" s="2" t="s">
        <v>61</v>
      </c>
      <c r="AJ11" s="2" t="s">
        <v>61</v>
      </c>
      <c r="AK11" s="2" t="s">
        <v>211</v>
      </c>
      <c r="AL11" s="2" t="s">
        <v>63</v>
      </c>
      <c r="AM11" s="2" t="s">
        <v>212</v>
      </c>
      <c r="AN11" s="2"/>
    </row>
    <row r="12" spans="1:40" ht="15" x14ac:dyDescent="0.2">
      <c r="A12" s="2" t="s">
        <v>213</v>
      </c>
      <c r="B12" s="2" t="s">
        <v>214</v>
      </c>
      <c r="C12" s="2" t="s">
        <v>104</v>
      </c>
      <c r="D12" s="2" t="s">
        <v>215</v>
      </c>
      <c r="E12" s="2" t="s">
        <v>216</v>
      </c>
      <c r="F12" s="2" t="s">
        <v>45</v>
      </c>
      <c r="G12" s="2" t="s">
        <v>86</v>
      </c>
      <c r="H12" s="3">
        <v>45116.108190602194</v>
      </c>
      <c r="I12" s="3">
        <v>45116.108147892861</v>
      </c>
      <c r="J12" s="2"/>
      <c r="K12" s="2"/>
      <c r="L12" s="2"/>
      <c r="M12" s="2" t="s">
        <v>62</v>
      </c>
      <c r="N12" s="2" t="s">
        <v>217</v>
      </c>
      <c r="O12" s="2" t="s">
        <v>217</v>
      </c>
      <c r="P12" s="2" t="s">
        <v>185</v>
      </c>
      <c r="Q12" s="2" t="s">
        <v>218</v>
      </c>
      <c r="R12" s="2" t="s">
        <v>219</v>
      </c>
      <c r="S12" s="2" t="s">
        <v>220</v>
      </c>
      <c r="T12" s="2" t="s">
        <v>221</v>
      </c>
      <c r="U12" s="2" t="s">
        <v>222</v>
      </c>
      <c r="V12" s="2" t="s">
        <v>223</v>
      </c>
      <c r="W12" s="2"/>
      <c r="X12" s="2"/>
      <c r="Y12" s="2"/>
      <c r="Z12" s="2" t="s">
        <v>224</v>
      </c>
      <c r="AA12" s="2" t="s">
        <v>60</v>
      </c>
      <c r="AB12" s="2" t="s">
        <v>225</v>
      </c>
      <c r="AC12" s="2" t="s">
        <v>226</v>
      </c>
      <c r="AD12" s="2">
        <v>2</v>
      </c>
      <c r="AE12" s="2" t="s">
        <v>57</v>
      </c>
      <c r="AF12" s="2" t="s">
        <v>60</v>
      </c>
      <c r="AG12" s="2" t="s">
        <v>61</v>
      </c>
      <c r="AH12" s="2" t="s">
        <v>61</v>
      </c>
      <c r="AI12" s="2" t="s">
        <v>61</v>
      </c>
      <c r="AJ12" s="2" t="s">
        <v>61</v>
      </c>
      <c r="AK12" s="2" t="s">
        <v>227</v>
      </c>
      <c r="AL12" s="2" t="s">
        <v>228</v>
      </c>
      <c r="AM12" s="2" t="s">
        <v>229</v>
      </c>
      <c r="AN12" s="2"/>
    </row>
    <row r="13" spans="1:40" ht="15" x14ac:dyDescent="0.2">
      <c r="A13" s="2" t="s">
        <v>230</v>
      </c>
      <c r="B13" s="2" t="s">
        <v>231</v>
      </c>
      <c r="C13" s="2" t="s">
        <v>104</v>
      </c>
      <c r="D13" s="2" t="s">
        <v>232</v>
      </c>
      <c r="E13" s="2" t="s">
        <v>233</v>
      </c>
      <c r="F13" s="2" t="s">
        <v>45</v>
      </c>
      <c r="G13" s="2" t="s">
        <v>86</v>
      </c>
      <c r="H13" s="3">
        <v>45123.457447761648</v>
      </c>
      <c r="I13" s="3">
        <v>45116.774776684375</v>
      </c>
      <c r="J13" s="2"/>
      <c r="K13" s="2"/>
      <c r="L13" s="2"/>
      <c r="M13" s="2" t="s">
        <v>167</v>
      </c>
      <c r="N13" s="2" t="s">
        <v>168</v>
      </c>
      <c r="O13" s="2" t="s">
        <v>168</v>
      </c>
      <c r="P13" s="2" t="s">
        <v>185</v>
      </c>
      <c r="Q13" s="2" t="s">
        <v>234</v>
      </c>
      <c r="R13" s="2" t="s">
        <v>235</v>
      </c>
      <c r="S13" s="2" t="s">
        <v>236</v>
      </c>
      <c r="T13" s="2" t="s">
        <v>237</v>
      </c>
      <c r="U13" s="2" t="s">
        <v>238</v>
      </c>
      <c r="V13" s="2" t="s">
        <v>231</v>
      </c>
      <c r="W13" s="2"/>
      <c r="X13" s="2"/>
      <c r="Y13" s="2" t="s">
        <v>239</v>
      </c>
      <c r="Z13" s="2" t="s">
        <v>240</v>
      </c>
      <c r="AA13" s="2" t="s">
        <v>57</v>
      </c>
      <c r="AB13" s="2" t="s">
        <v>241</v>
      </c>
      <c r="AC13" s="2" t="s">
        <v>242</v>
      </c>
      <c r="AD13" s="2">
        <v>18</v>
      </c>
      <c r="AE13" s="2" t="s">
        <v>57</v>
      </c>
      <c r="AF13" s="2" t="s">
        <v>57</v>
      </c>
      <c r="AG13" s="2" t="s">
        <v>61</v>
      </c>
      <c r="AH13" s="2" t="s">
        <v>61</v>
      </c>
      <c r="AI13" s="2" t="s">
        <v>61</v>
      </c>
      <c r="AJ13" s="2" t="s">
        <v>61</v>
      </c>
      <c r="AK13" s="2" t="s">
        <v>243</v>
      </c>
      <c r="AL13" s="2" t="s">
        <v>63</v>
      </c>
      <c r="AM13" s="2" t="s">
        <v>244</v>
      </c>
      <c r="AN13" s="2"/>
    </row>
    <row r="14" spans="1:40" ht="15" x14ac:dyDescent="0.2">
      <c r="A14" s="2" t="s">
        <v>245</v>
      </c>
      <c r="B14" s="2" t="s">
        <v>246</v>
      </c>
      <c r="C14" s="2" t="s">
        <v>104</v>
      </c>
      <c r="D14" s="2" t="s">
        <v>247</v>
      </c>
      <c r="E14" s="2" t="s">
        <v>248</v>
      </c>
      <c r="F14" s="2" t="s">
        <v>45</v>
      </c>
      <c r="G14" s="2" t="s">
        <v>86</v>
      </c>
      <c r="H14" s="3">
        <v>45117.428638821511</v>
      </c>
      <c r="I14" s="3">
        <v>45117.428631624593</v>
      </c>
      <c r="J14" s="2"/>
      <c r="K14" s="2"/>
      <c r="L14" s="2"/>
      <c r="M14" s="2" t="s">
        <v>62</v>
      </c>
      <c r="N14" s="2" t="s">
        <v>249</v>
      </c>
      <c r="O14" s="2" t="s">
        <v>249</v>
      </c>
      <c r="P14" s="2" t="s">
        <v>88</v>
      </c>
      <c r="Q14" s="2" t="s">
        <v>250</v>
      </c>
      <c r="R14" s="2" t="s">
        <v>251</v>
      </c>
      <c r="S14" s="2" t="s">
        <v>252</v>
      </c>
      <c r="T14" s="2" t="s">
        <v>253</v>
      </c>
      <c r="U14" s="2" t="s">
        <v>254</v>
      </c>
      <c r="V14" s="2" t="s">
        <v>255</v>
      </c>
      <c r="W14" s="2"/>
      <c r="X14" s="2"/>
      <c r="Y14" s="2" t="s">
        <v>256</v>
      </c>
      <c r="Z14" s="2" t="s">
        <v>257</v>
      </c>
      <c r="AA14" s="2" t="s">
        <v>57</v>
      </c>
      <c r="AB14" s="2" t="s">
        <v>258</v>
      </c>
      <c r="AC14" s="2" t="s">
        <v>259</v>
      </c>
      <c r="AD14" s="2">
        <v>1</v>
      </c>
      <c r="AE14" s="2" t="s">
        <v>57</v>
      </c>
      <c r="AF14" s="2" t="s">
        <v>60</v>
      </c>
      <c r="AG14" s="2" t="s">
        <v>61</v>
      </c>
      <c r="AH14" s="2" t="s">
        <v>61</v>
      </c>
      <c r="AI14" s="2" t="s">
        <v>61</v>
      </c>
      <c r="AJ14" s="2" t="s">
        <v>61</v>
      </c>
      <c r="AK14" s="2" t="s">
        <v>62</v>
      </c>
      <c r="AL14" s="2" t="s">
        <v>63</v>
      </c>
      <c r="AM14" s="2" t="s">
        <v>260</v>
      </c>
      <c r="AN14" s="2"/>
    </row>
    <row r="15" spans="1:40" ht="15" x14ac:dyDescent="0.2">
      <c r="A15" s="2" t="s">
        <v>261</v>
      </c>
      <c r="B15" s="2" t="s">
        <v>262</v>
      </c>
      <c r="C15" s="2" t="s">
        <v>104</v>
      </c>
      <c r="D15" s="2" t="s">
        <v>263</v>
      </c>
      <c r="E15" s="2" t="s">
        <v>264</v>
      </c>
      <c r="F15" s="2" t="s">
        <v>45</v>
      </c>
      <c r="G15" s="2" t="s">
        <v>182</v>
      </c>
      <c r="H15" s="3">
        <v>45131.354297206963</v>
      </c>
      <c r="I15" s="3">
        <v>45118.596835865123</v>
      </c>
      <c r="J15" s="3">
        <v>45131.353656499501</v>
      </c>
      <c r="K15" s="3">
        <v>45131.354285264963</v>
      </c>
      <c r="L15" s="2" t="s">
        <v>62</v>
      </c>
      <c r="M15" s="2" t="s">
        <v>265</v>
      </c>
      <c r="N15" s="2" t="s">
        <v>266</v>
      </c>
      <c r="O15" s="2" t="s">
        <v>266</v>
      </c>
      <c r="P15" s="2" t="s">
        <v>49</v>
      </c>
      <c r="Q15" s="2" t="s">
        <v>267</v>
      </c>
      <c r="R15" s="2" t="s">
        <v>268</v>
      </c>
      <c r="S15" s="2" t="s">
        <v>269</v>
      </c>
      <c r="T15" s="2" t="s">
        <v>270</v>
      </c>
      <c r="U15" s="2" t="s">
        <v>271</v>
      </c>
      <c r="V15" s="2" t="s">
        <v>272</v>
      </c>
      <c r="W15" s="2"/>
      <c r="X15" s="2"/>
      <c r="Y15" s="2" t="s">
        <v>273</v>
      </c>
      <c r="Z15" s="2" t="s">
        <v>274</v>
      </c>
      <c r="AA15" s="2" t="s">
        <v>57</v>
      </c>
      <c r="AB15" s="2" t="s">
        <v>275</v>
      </c>
      <c r="AC15" s="2" t="s">
        <v>276</v>
      </c>
      <c r="AD15" s="2">
        <v>1</v>
      </c>
      <c r="AE15" s="2" t="s">
        <v>57</v>
      </c>
      <c r="AF15" s="2" t="s">
        <v>60</v>
      </c>
      <c r="AG15" s="2" t="s">
        <v>61</v>
      </c>
      <c r="AH15" s="2" t="s">
        <v>61</v>
      </c>
      <c r="AI15" s="2" t="s">
        <v>61</v>
      </c>
      <c r="AJ15" s="2" t="s">
        <v>61</v>
      </c>
      <c r="AK15" s="2" t="s">
        <v>62</v>
      </c>
      <c r="AL15" s="2" t="s">
        <v>63</v>
      </c>
      <c r="AM15" s="2" t="s">
        <v>277</v>
      </c>
      <c r="AN15" s="2"/>
    </row>
    <row r="16" spans="1:40" ht="15" x14ac:dyDescent="0.2">
      <c r="A16" s="2" t="s">
        <v>278</v>
      </c>
      <c r="B16" s="2" t="s">
        <v>279</v>
      </c>
      <c r="C16" s="2" t="s">
        <v>42</v>
      </c>
      <c r="D16" s="2" t="s">
        <v>280</v>
      </c>
      <c r="E16" s="2" t="s">
        <v>281</v>
      </c>
      <c r="F16" s="2" t="s">
        <v>45</v>
      </c>
      <c r="G16" s="2" t="s">
        <v>46</v>
      </c>
      <c r="H16" s="3">
        <v>45128.671921084002</v>
      </c>
      <c r="I16" s="3">
        <v>45119.704360453252</v>
      </c>
      <c r="J16" s="3">
        <v>45128.671916052001</v>
      </c>
      <c r="K16" s="2"/>
      <c r="L16" s="2"/>
      <c r="M16" s="2" t="s">
        <v>282</v>
      </c>
      <c r="N16" s="2" t="s">
        <v>283</v>
      </c>
      <c r="O16" s="2" t="s">
        <v>283</v>
      </c>
      <c r="P16" s="2" t="s">
        <v>88</v>
      </c>
      <c r="Q16" s="2" t="s">
        <v>284</v>
      </c>
      <c r="R16" s="2" t="s">
        <v>285</v>
      </c>
      <c r="S16" s="2" t="s">
        <v>286</v>
      </c>
      <c r="T16" s="2" t="s">
        <v>287</v>
      </c>
      <c r="U16" s="2" t="s">
        <v>288</v>
      </c>
      <c r="V16" s="2" t="s">
        <v>289</v>
      </c>
      <c r="W16" s="2"/>
      <c r="X16" s="2"/>
      <c r="Y16" s="2" t="s">
        <v>290</v>
      </c>
      <c r="Z16" s="2" t="s">
        <v>291</v>
      </c>
      <c r="AA16" s="2" t="s">
        <v>60</v>
      </c>
      <c r="AB16" s="2" t="s">
        <v>292</v>
      </c>
      <c r="AC16" s="2" t="s">
        <v>293</v>
      </c>
      <c r="AD16" s="2">
        <v>1</v>
      </c>
      <c r="AE16" s="2" t="s">
        <v>57</v>
      </c>
      <c r="AF16" s="2" t="s">
        <v>60</v>
      </c>
      <c r="AG16" s="2" t="s">
        <v>61</v>
      </c>
      <c r="AH16" s="2" t="s">
        <v>61</v>
      </c>
      <c r="AI16" s="2" t="s">
        <v>61</v>
      </c>
      <c r="AJ16" s="2" t="s">
        <v>61</v>
      </c>
      <c r="AK16" s="2" t="s">
        <v>62</v>
      </c>
      <c r="AL16" s="2" t="s">
        <v>63</v>
      </c>
      <c r="AM16" s="2" t="s">
        <v>62</v>
      </c>
      <c r="AN16" s="2"/>
    </row>
    <row r="17" spans="1:40" ht="15" x14ac:dyDescent="0.2">
      <c r="A17" s="2" t="s">
        <v>294</v>
      </c>
      <c r="B17" s="2" t="s">
        <v>295</v>
      </c>
      <c r="C17" s="2" t="s">
        <v>104</v>
      </c>
      <c r="D17" s="2" t="s">
        <v>296</v>
      </c>
      <c r="E17" s="2" t="s">
        <v>297</v>
      </c>
      <c r="F17" s="2" t="s">
        <v>45</v>
      </c>
      <c r="G17" s="2" t="s">
        <v>46</v>
      </c>
      <c r="H17" s="3">
        <v>45124.68992186572</v>
      </c>
      <c r="I17" s="3">
        <v>45120.708640348326</v>
      </c>
      <c r="J17" s="3">
        <v>45124.689907697684</v>
      </c>
      <c r="K17" s="2"/>
      <c r="L17" s="2"/>
      <c r="M17" s="2" t="s">
        <v>282</v>
      </c>
      <c r="N17" s="2" t="s">
        <v>283</v>
      </c>
      <c r="O17" s="2" t="s">
        <v>283</v>
      </c>
      <c r="P17" s="2" t="s">
        <v>298</v>
      </c>
      <c r="Q17" s="2" t="s">
        <v>299</v>
      </c>
      <c r="R17" s="2" t="s">
        <v>300</v>
      </c>
      <c r="S17" s="2" t="s">
        <v>301</v>
      </c>
      <c r="T17" s="2" t="s">
        <v>302</v>
      </c>
      <c r="U17" s="2" t="s">
        <v>303</v>
      </c>
      <c r="V17" s="2" t="s">
        <v>304</v>
      </c>
      <c r="W17" s="2"/>
      <c r="X17" s="2"/>
      <c r="Y17" s="2" t="s">
        <v>305</v>
      </c>
      <c r="Z17" s="2" t="s">
        <v>306</v>
      </c>
      <c r="AA17" s="2" t="s">
        <v>57</v>
      </c>
      <c r="AB17" s="2" t="s">
        <v>307</v>
      </c>
      <c r="AC17" s="2" t="s">
        <v>308</v>
      </c>
      <c r="AD17" s="2">
        <v>4</v>
      </c>
      <c r="AE17" s="2" t="s">
        <v>57</v>
      </c>
      <c r="AF17" s="2" t="s">
        <v>60</v>
      </c>
      <c r="AG17" s="2" t="s">
        <v>61</v>
      </c>
      <c r="AH17" s="2" t="s">
        <v>61</v>
      </c>
      <c r="AI17" s="2" t="s">
        <v>61</v>
      </c>
      <c r="AJ17" s="2" t="s">
        <v>61</v>
      </c>
      <c r="AK17" s="2" t="s">
        <v>62</v>
      </c>
      <c r="AL17" s="2" t="s">
        <v>63</v>
      </c>
      <c r="AM17" s="2" t="s">
        <v>309</v>
      </c>
      <c r="AN17" s="2"/>
    </row>
    <row r="18" spans="1:40" ht="15" x14ac:dyDescent="0.2">
      <c r="A18" s="2" t="s">
        <v>310</v>
      </c>
      <c r="B18" s="2" t="s">
        <v>311</v>
      </c>
      <c r="C18" s="2" t="s">
        <v>42</v>
      </c>
      <c r="D18" s="2" t="s">
        <v>312</v>
      </c>
      <c r="E18" s="2" t="s">
        <v>313</v>
      </c>
      <c r="F18" s="2" t="s">
        <v>45</v>
      </c>
      <c r="G18" s="2" t="s">
        <v>86</v>
      </c>
      <c r="H18" s="3">
        <v>45123.845003567141</v>
      </c>
      <c r="I18" s="3">
        <v>45123.84498996038</v>
      </c>
      <c r="J18" s="2"/>
      <c r="K18" s="2"/>
      <c r="L18" s="2"/>
      <c r="M18" s="2" t="s">
        <v>167</v>
      </c>
      <c r="N18" s="2" t="s">
        <v>168</v>
      </c>
      <c r="O18" s="2" t="s">
        <v>168</v>
      </c>
      <c r="P18" s="2" t="s">
        <v>70</v>
      </c>
      <c r="Q18" s="2" t="s">
        <v>314</v>
      </c>
      <c r="R18" s="2" t="s">
        <v>315</v>
      </c>
      <c r="S18" s="2" t="s">
        <v>316</v>
      </c>
      <c r="T18" s="2" t="s">
        <v>317</v>
      </c>
      <c r="U18" s="2" t="s">
        <v>318</v>
      </c>
      <c r="V18" s="2" t="s">
        <v>311</v>
      </c>
      <c r="W18" s="2"/>
      <c r="X18" s="2"/>
      <c r="Y18" s="2" t="s">
        <v>319</v>
      </c>
      <c r="Z18" s="2" t="s">
        <v>320</v>
      </c>
      <c r="AA18" s="2" t="s">
        <v>60</v>
      </c>
      <c r="AB18" s="2" t="s">
        <v>321</v>
      </c>
      <c r="AC18" s="2" t="s">
        <v>322</v>
      </c>
      <c r="AD18" s="2">
        <v>7</v>
      </c>
      <c r="AE18" s="2" t="s">
        <v>57</v>
      </c>
      <c r="AF18" s="2" t="s">
        <v>57</v>
      </c>
      <c r="AG18" s="2" t="s">
        <v>61</v>
      </c>
      <c r="AH18" s="2" t="s">
        <v>61</v>
      </c>
      <c r="AI18" s="2" t="s">
        <v>61</v>
      </c>
      <c r="AJ18" s="2" t="s">
        <v>61</v>
      </c>
      <c r="AK18" s="2" t="s">
        <v>323</v>
      </c>
      <c r="AL18" s="2" t="s">
        <v>63</v>
      </c>
      <c r="AM18" s="2" t="s">
        <v>324</v>
      </c>
      <c r="AN18" s="2"/>
    </row>
    <row r="19" spans="1:40" ht="15" x14ac:dyDescent="0.2">
      <c r="A19" s="2" t="s">
        <v>325</v>
      </c>
      <c r="B19" s="2" t="s">
        <v>326</v>
      </c>
      <c r="C19" s="2" t="s">
        <v>42</v>
      </c>
      <c r="D19" s="2" t="s">
        <v>312</v>
      </c>
      <c r="E19" s="2" t="s">
        <v>313</v>
      </c>
      <c r="F19" s="2" t="s">
        <v>45</v>
      </c>
      <c r="G19" s="2" t="s">
        <v>86</v>
      </c>
      <c r="H19" s="3">
        <v>45123.930611271935</v>
      </c>
      <c r="I19" s="3">
        <v>45123.930601477579</v>
      </c>
      <c r="J19" s="2"/>
      <c r="K19" s="2"/>
      <c r="L19" s="2"/>
      <c r="M19" s="2" t="s">
        <v>62</v>
      </c>
      <c r="N19" s="2" t="s">
        <v>122</v>
      </c>
      <c r="O19" s="2" t="s">
        <v>122</v>
      </c>
      <c r="P19" s="2" t="s">
        <v>70</v>
      </c>
      <c r="Q19" s="2" t="s">
        <v>327</v>
      </c>
      <c r="R19" s="2" t="s">
        <v>328</v>
      </c>
      <c r="S19" s="2" t="s">
        <v>329</v>
      </c>
      <c r="T19" s="2" t="s">
        <v>330</v>
      </c>
      <c r="U19" s="2" t="s">
        <v>318</v>
      </c>
      <c r="V19" s="2" t="s">
        <v>326</v>
      </c>
      <c r="W19" s="2"/>
      <c r="X19" s="2"/>
      <c r="Y19" s="2" t="s">
        <v>331</v>
      </c>
      <c r="Z19" s="2" t="s">
        <v>332</v>
      </c>
      <c r="AA19" s="2" t="s">
        <v>60</v>
      </c>
      <c r="AB19" s="2" t="s">
        <v>333</v>
      </c>
      <c r="AC19" s="2" t="s">
        <v>334</v>
      </c>
      <c r="AD19" s="2">
        <v>7</v>
      </c>
      <c r="AE19" s="2" t="s">
        <v>57</v>
      </c>
      <c r="AF19" s="2" t="s">
        <v>57</v>
      </c>
      <c r="AG19" s="2" t="s">
        <v>61</v>
      </c>
      <c r="AH19" s="2" t="s">
        <v>61</v>
      </c>
      <c r="AI19" s="2" t="s">
        <v>61</v>
      </c>
      <c r="AJ19" s="2" t="s">
        <v>61</v>
      </c>
      <c r="AK19" s="2" t="s">
        <v>335</v>
      </c>
      <c r="AL19" s="2" t="s">
        <v>63</v>
      </c>
      <c r="AM19" s="2" t="s">
        <v>324</v>
      </c>
      <c r="AN19" s="2"/>
    </row>
    <row r="20" spans="1:40" ht="15" x14ac:dyDescent="0.2">
      <c r="A20" s="2" t="s">
        <v>336</v>
      </c>
      <c r="B20" s="2" t="s">
        <v>337</v>
      </c>
      <c r="C20" s="2" t="s">
        <v>104</v>
      </c>
      <c r="D20" s="2" t="s">
        <v>338</v>
      </c>
      <c r="E20" s="2" t="s">
        <v>339</v>
      </c>
      <c r="F20" s="2" t="s">
        <v>45</v>
      </c>
      <c r="G20" s="2" t="s">
        <v>86</v>
      </c>
      <c r="H20" s="3">
        <v>45124.111671980696</v>
      </c>
      <c r="I20" s="3">
        <v>45124.111453744794</v>
      </c>
      <c r="J20" s="2"/>
      <c r="K20" s="2"/>
      <c r="L20" s="2"/>
      <c r="M20" s="2" t="s">
        <v>62</v>
      </c>
      <c r="N20" s="2" t="s">
        <v>122</v>
      </c>
      <c r="O20" s="2" t="s">
        <v>122</v>
      </c>
      <c r="P20" s="2" t="s">
        <v>185</v>
      </c>
      <c r="Q20" s="2" t="s">
        <v>340</v>
      </c>
      <c r="R20" s="2" t="s">
        <v>341</v>
      </c>
      <c r="S20" s="2" t="s">
        <v>342</v>
      </c>
      <c r="T20" s="2" t="s">
        <v>343</v>
      </c>
      <c r="U20" s="2" t="s">
        <v>344</v>
      </c>
      <c r="V20" s="2" t="s">
        <v>345</v>
      </c>
      <c r="W20" s="2"/>
      <c r="X20" s="2"/>
      <c r="Y20" s="2"/>
      <c r="Z20" s="2" t="s">
        <v>346</v>
      </c>
      <c r="AA20" s="2" t="s">
        <v>60</v>
      </c>
      <c r="AB20" s="2" t="s">
        <v>347</v>
      </c>
      <c r="AC20" s="2" t="s">
        <v>348</v>
      </c>
      <c r="AD20" s="2">
        <v>2</v>
      </c>
      <c r="AE20" s="2" t="s">
        <v>57</v>
      </c>
      <c r="AF20" s="2" t="s">
        <v>60</v>
      </c>
      <c r="AG20" s="2" t="s">
        <v>61</v>
      </c>
      <c r="AH20" s="2" t="s">
        <v>61</v>
      </c>
      <c r="AI20" s="2" t="s">
        <v>61</v>
      </c>
      <c r="AJ20" s="2" t="s">
        <v>61</v>
      </c>
      <c r="AK20" s="2" t="s">
        <v>349</v>
      </c>
      <c r="AL20" s="2" t="s">
        <v>63</v>
      </c>
      <c r="AM20" s="2" t="s">
        <v>350</v>
      </c>
      <c r="AN20" s="2"/>
    </row>
    <row r="21" spans="1:40" ht="15" x14ac:dyDescent="0.2">
      <c r="A21" s="2" t="s">
        <v>351</v>
      </c>
      <c r="B21" s="2" t="s">
        <v>352</v>
      </c>
      <c r="C21" s="2" t="s">
        <v>104</v>
      </c>
      <c r="D21" s="2" t="s">
        <v>353</v>
      </c>
      <c r="E21" s="2" t="s">
        <v>354</v>
      </c>
      <c r="F21" s="2" t="s">
        <v>45</v>
      </c>
      <c r="G21" s="2" t="s">
        <v>86</v>
      </c>
      <c r="H21" s="3">
        <v>45124.625390354282</v>
      </c>
      <c r="I21" s="3">
        <v>45124.625361007471</v>
      </c>
      <c r="J21" s="2"/>
      <c r="K21" s="2"/>
      <c r="L21" s="2"/>
      <c r="M21" s="2" t="s">
        <v>62</v>
      </c>
      <c r="N21" s="2" t="s">
        <v>355</v>
      </c>
      <c r="O21" s="2" t="s">
        <v>355</v>
      </c>
      <c r="P21" s="2" t="s">
        <v>88</v>
      </c>
      <c r="Q21" s="2" t="s">
        <v>356</v>
      </c>
      <c r="R21" s="2" t="s">
        <v>357</v>
      </c>
      <c r="S21" s="2" t="s">
        <v>358</v>
      </c>
      <c r="T21" s="2" t="s">
        <v>359</v>
      </c>
      <c r="U21" s="2" t="s">
        <v>360</v>
      </c>
      <c r="V21" s="2" t="s">
        <v>352</v>
      </c>
      <c r="W21" s="2"/>
      <c r="X21" s="2"/>
      <c r="Y21" s="2"/>
      <c r="Z21" s="2" t="s">
        <v>361</v>
      </c>
      <c r="AA21" s="2" t="s">
        <v>57</v>
      </c>
      <c r="AB21" s="2" t="s">
        <v>362</v>
      </c>
      <c r="AC21" s="2" t="s">
        <v>363</v>
      </c>
      <c r="AD21" s="2">
        <v>1</v>
      </c>
      <c r="AE21" s="2" t="s">
        <v>57</v>
      </c>
      <c r="AF21" s="2" t="s">
        <v>60</v>
      </c>
      <c r="AG21" s="2" t="s">
        <v>61</v>
      </c>
      <c r="AH21" s="2" t="s">
        <v>61</v>
      </c>
      <c r="AI21" s="2" t="s">
        <v>61</v>
      </c>
      <c r="AJ21" s="2" t="s">
        <v>61</v>
      </c>
      <c r="AK21" s="2" t="s">
        <v>364</v>
      </c>
      <c r="AL21" s="2" t="s">
        <v>63</v>
      </c>
      <c r="AM21" s="2" t="s">
        <v>62</v>
      </c>
      <c r="AN21" s="2"/>
    </row>
    <row r="22" spans="1:40" ht="15" x14ac:dyDescent="0.2">
      <c r="A22" s="2" t="s">
        <v>365</v>
      </c>
      <c r="B22" s="2" t="s">
        <v>366</v>
      </c>
      <c r="C22" s="2" t="s">
        <v>42</v>
      </c>
      <c r="D22" s="2" t="s">
        <v>367</v>
      </c>
      <c r="E22" s="2" t="s">
        <v>368</v>
      </c>
      <c r="F22" s="2" t="s">
        <v>45</v>
      </c>
      <c r="G22" s="2" t="s">
        <v>86</v>
      </c>
      <c r="H22" s="3">
        <v>45125.428735736881</v>
      </c>
      <c r="I22" s="3">
        <v>45125.4287306142</v>
      </c>
      <c r="J22" s="2"/>
      <c r="K22" s="2"/>
      <c r="L22" s="2"/>
      <c r="M22" s="2" t="s">
        <v>62</v>
      </c>
      <c r="N22" s="2" t="s">
        <v>87</v>
      </c>
      <c r="O22" s="2" t="s">
        <v>87</v>
      </c>
      <c r="P22" s="2" t="s">
        <v>138</v>
      </c>
      <c r="Q22" s="2" t="s">
        <v>369</v>
      </c>
      <c r="R22" s="2" t="s">
        <v>370</v>
      </c>
      <c r="S22" s="2" t="s">
        <v>371</v>
      </c>
      <c r="T22" s="2" t="s">
        <v>372</v>
      </c>
      <c r="U22" s="2" t="s">
        <v>373</v>
      </c>
      <c r="V22" s="2" t="s">
        <v>374</v>
      </c>
      <c r="W22" s="2"/>
      <c r="X22" s="2"/>
      <c r="Y22" s="2" t="s">
        <v>375</v>
      </c>
      <c r="Z22" s="2" t="s">
        <v>376</v>
      </c>
      <c r="AA22" s="2" t="s">
        <v>60</v>
      </c>
      <c r="AB22" s="2" t="s">
        <v>377</v>
      </c>
      <c r="AC22" s="2" t="s">
        <v>378</v>
      </c>
      <c r="AD22" s="2">
        <v>13</v>
      </c>
      <c r="AE22" s="2" t="s">
        <v>57</v>
      </c>
      <c r="AF22" s="2" t="s">
        <v>60</v>
      </c>
      <c r="AG22" s="2" t="s">
        <v>61</v>
      </c>
      <c r="AH22" s="2" t="s">
        <v>61</v>
      </c>
      <c r="AI22" s="2" t="s">
        <v>61</v>
      </c>
      <c r="AJ22" s="2" t="s">
        <v>61</v>
      </c>
      <c r="AK22" s="2" t="s">
        <v>62</v>
      </c>
      <c r="AL22" s="2" t="s">
        <v>63</v>
      </c>
      <c r="AM22" s="2" t="s">
        <v>62</v>
      </c>
      <c r="AN22" s="2"/>
    </row>
    <row r="23" spans="1:40" ht="15" x14ac:dyDescent="0.2">
      <c r="A23" s="2" t="s">
        <v>379</v>
      </c>
      <c r="B23" s="2" t="s">
        <v>380</v>
      </c>
      <c r="C23" s="2" t="s">
        <v>104</v>
      </c>
      <c r="D23" s="2" t="s">
        <v>381</v>
      </c>
      <c r="E23" s="2" t="s">
        <v>382</v>
      </c>
      <c r="F23" s="2" t="s">
        <v>45</v>
      </c>
      <c r="G23" s="2" t="s">
        <v>86</v>
      </c>
      <c r="H23" s="3">
        <v>45132.895653611711</v>
      </c>
      <c r="I23" s="3">
        <v>45125.598886022533</v>
      </c>
      <c r="J23" s="2"/>
      <c r="K23" s="2"/>
      <c r="L23" s="2"/>
      <c r="M23" s="2" t="s">
        <v>62</v>
      </c>
      <c r="N23" s="2" t="s">
        <v>383</v>
      </c>
      <c r="O23" s="2" t="s">
        <v>383</v>
      </c>
      <c r="P23" s="2" t="s">
        <v>88</v>
      </c>
      <c r="Q23" s="2" t="s">
        <v>384</v>
      </c>
      <c r="R23" s="2" t="s">
        <v>385</v>
      </c>
      <c r="S23" s="2" t="s">
        <v>386</v>
      </c>
      <c r="T23" s="2" t="s">
        <v>387</v>
      </c>
      <c r="U23" s="2" t="s">
        <v>388</v>
      </c>
      <c r="V23" s="2" t="s">
        <v>380</v>
      </c>
      <c r="W23" s="2"/>
      <c r="X23" s="2"/>
      <c r="Y23" s="2" t="s">
        <v>389</v>
      </c>
      <c r="Z23" s="2" t="s">
        <v>390</v>
      </c>
      <c r="AA23" s="2" t="s">
        <v>60</v>
      </c>
      <c r="AB23" s="2" t="s">
        <v>391</v>
      </c>
      <c r="AC23" s="2" t="s">
        <v>392</v>
      </c>
      <c r="AD23" s="2">
        <v>3</v>
      </c>
      <c r="AE23" s="2" t="s">
        <v>57</v>
      </c>
      <c r="AF23" s="2" t="s">
        <v>60</v>
      </c>
      <c r="AG23" s="2" t="s">
        <v>61</v>
      </c>
      <c r="AH23" s="2" t="s">
        <v>61</v>
      </c>
      <c r="AI23" s="2" t="s">
        <v>61</v>
      </c>
      <c r="AJ23" s="2" t="s">
        <v>61</v>
      </c>
      <c r="AK23" s="2" t="s">
        <v>393</v>
      </c>
      <c r="AL23" s="2" t="s">
        <v>63</v>
      </c>
      <c r="AM23" s="2" t="s">
        <v>394</v>
      </c>
      <c r="AN23" s="2"/>
    </row>
    <row r="24" spans="1:40" ht="15" x14ac:dyDescent="0.2">
      <c r="A24" s="2" t="s">
        <v>395</v>
      </c>
      <c r="B24" s="2" t="s">
        <v>396</v>
      </c>
      <c r="C24" s="2" t="s">
        <v>104</v>
      </c>
      <c r="D24" s="2" t="s">
        <v>397</v>
      </c>
      <c r="E24" s="2" t="s">
        <v>398</v>
      </c>
      <c r="F24" s="2" t="s">
        <v>45</v>
      </c>
      <c r="G24" s="2" t="s">
        <v>86</v>
      </c>
      <c r="H24" s="3">
        <v>45125.6357819861</v>
      </c>
      <c r="I24" s="3">
        <v>45125.635777205302</v>
      </c>
      <c r="J24" s="2"/>
      <c r="K24" s="2"/>
      <c r="L24" s="2"/>
      <c r="M24" s="2" t="s">
        <v>399</v>
      </c>
      <c r="N24" s="2" t="s">
        <v>400</v>
      </c>
      <c r="O24" s="2" t="s">
        <v>400</v>
      </c>
      <c r="P24" s="2" t="s">
        <v>70</v>
      </c>
      <c r="Q24" s="2" t="s">
        <v>401</v>
      </c>
      <c r="R24" s="2" t="s">
        <v>402</v>
      </c>
      <c r="S24" s="2" t="s">
        <v>403</v>
      </c>
      <c r="T24" s="2" t="s">
        <v>404</v>
      </c>
      <c r="U24" s="2" t="s">
        <v>405</v>
      </c>
      <c r="V24" s="2" t="s">
        <v>406</v>
      </c>
      <c r="W24" s="2"/>
      <c r="X24" s="2"/>
      <c r="Y24" s="2"/>
      <c r="Z24" s="2" t="s">
        <v>407</v>
      </c>
      <c r="AA24" s="2" t="s">
        <v>60</v>
      </c>
      <c r="AB24" s="2" t="s">
        <v>408</v>
      </c>
      <c r="AC24" s="2" t="s">
        <v>409</v>
      </c>
      <c r="AD24" s="2">
        <v>1</v>
      </c>
      <c r="AE24" s="2" t="s">
        <v>57</v>
      </c>
      <c r="AF24" s="2" t="s">
        <v>57</v>
      </c>
      <c r="AG24" s="2" t="s">
        <v>61</v>
      </c>
      <c r="AH24" s="2" t="s">
        <v>61</v>
      </c>
      <c r="AI24" s="2" t="s">
        <v>61</v>
      </c>
      <c r="AJ24" s="2" t="s">
        <v>61</v>
      </c>
      <c r="AK24" s="2" t="s">
        <v>410</v>
      </c>
      <c r="AL24" s="2" t="s">
        <v>63</v>
      </c>
      <c r="AM24" s="2" t="s">
        <v>62</v>
      </c>
      <c r="AN24" s="2"/>
    </row>
    <row r="25" spans="1:40" ht="15" x14ac:dyDescent="0.2">
      <c r="A25" s="2" t="s">
        <v>411</v>
      </c>
      <c r="B25" s="2" t="s">
        <v>412</v>
      </c>
      <c r="C25" s="2" t="s">
        <v>42</v>
      </c>
      <c r="D25" s="2" t="s">
        <v>413</v>
      </c>
      <c r="E25" s="2" t="s">
        <v>414</v>
      </c>
      <c r="F25" s="2" t="s">
        <v>45</v>
      </c>
      <c r="G25" s="2" t="s">
        <v>182</v>
      </c>
      <c r="H25" s="3">
        <v>45131.362790827166</v>
      </c>
      <c r="I25" s="3">
        <v>45126.442631189937</v>
      </c>
      <c r="J25" s="3">
        <v>45131.362660436236</v>
      </c>
      <c r="K25" s="3">
        <v>45131.362783525889</v>
      </c>
      <c r="L25" s="2" t="s">
        <v>62</v>
      </c>
      <c r="M25" s="2" t="s">
        <v>415</v>
      </c>
      <c r="N25" s="2" t="s">
        <v>416</v>
      </c>
      <c r="O25" s="2" t="s">
        <v>416</v>
      </c>
      <c r="P25" s="2" t="s">
        <v>88</v>
      </c>
      <c r="Q25" s="2" t="s">
        <v>417</v>
      </c>
      <c r="R25" s="2" t="s">
        <v>418</v>
      </c>
      <c r="S25" s="2" t="s">
        <v>419</v>
      </c>
      <c r="T25" s="2" t="s">
        <v>420</v>
      </c>
      <c r="U25" s="2" t="s">
        <v>421</v>
      </c>
      <c r="V25" s="2" t="s">
        <v>422</v>
      </c>
      <c r="W25" s="2"/>
      <c r="X25" s="2"/>
      <c r="Y25" s="2" t="s">
        <v>423</v>
      </c>
      <c r="Z25" s="2" t="s">
        <v>424</v>
      </c>
      <c r="AA25" s="2" t="s">
        <v>60</v>
      </c>
      <c r="AB25" s="2" t="s">
        <v>425</v>
      </c>
      <c r="AC25" s="2" t="s">
        <v>426</v>
      </c>
      <c r="AD25" s="2">
        <v>2</v>
      </c>
      <c r="AE25" s="2" t="s">
        <v>57</v>
      </c>
      <c r="AF25" s="2" t="s">
        <v>60</v>
      </c>
      <c r="AG25" s="2" t="s">
        <v>61</v>
      </c>
      <c r="AH25" s="2" t="s">
        <v>61</v>
      </c>
      <c r="AI25" s="2" t="s">
        <v>61</v>
      </c>
      <c r="AJ25" s="2" t="s">
        <v>61</v>
      </c>
      <c r="AK25" s="2" t="s">
        <v>427</v>
      </c>
      <c r="AL25" s="2" t="s">
        <v>63</v>
      </c>
      <c r="AM25" s="2" t="s">
        <v>428</v>
      </c>
      <c r="AN25" s="2"/>
    </row>
    <row r="26" spans="1:40" ht="15" x14ac:dyDescent="0.2">
      <c r="A26" s="2" t="s">
        <v>429</v>
      </c>
      <c r="B26" s="2" t="s">
        <v>430</v>
      </c>
      <c r="C26" s="2" t="s">
        <v>104</v>
      </c>
      <c r="D26" s="2" t="s">
        <v>431</v>
      </c>
      <c r="E26" s="2" t="s">
        <v>432</v>
      </c>
      <c r="F26" s="2" t="s">
        <v>45</v>
      </c>
      <c r="G26" s="2" t="s">
        <v>86</v>
      </c>
      <c r="H26" s="3">
        <v>45126.51399691109</v>
      </c>
      <c r="I26" s="3">
        <v>45126.509792006698</v>
      </c>
      <c r="J26" s="2"/>
      <c r="K26" s="2"/>
      <c r="L26" s="2"/>
      <c r="M26" s="2" t="s">
        <v>62</v>
      </c>
      <c r="N26" s="2" t="s">
        <v>433</v>
      </c>
      <c r="O26" s="2" t="s">
        <v>433</v>
      </c>
      <c r="P26" s="2" t="s">
        <v>70</v>
      </c>
      <c r="Q26" s="2" t="s">
        <v>434</v>
      </c>
      <c r="R26" s="2" t="s">
        <v>435</v>
      </c>
      <c r="S26" s="2" t="s">
        <v>436</v>
      </c>
      <c r="T26" s="2" t="s">
        <v>437</v>
      </c>
      <c r="U26" s="2" t="s">
        <v>438</v>
      </c>
      <c r="V26" s="2" t="s">
        <v>430</v>
      </c>
      <c r="W26" s="2"/>
      <c r="X26" s="2"/>
      <c r="Y26" s="2" t="s">
        <v>439</v>
      </c>
      <c r="Z26" s="2" t="s">
        <v>440</v>
      </c>
      <c r="AA26" s="2" t="s">
        <v>60</v>
      </c>
      <c r="AB26" s="2" t="s">
        <v>441</v>
      </c>
      <c r="AC26" s="2" t="s">
        <v>442</v>
      </c>
      <c r="AD26" s="2">
        <v>1</v>
      </c>
      <c r="AE26" s="2" t="s">
        <v>57</v>
      </c>
      <c r="AF26" s="2" t="s">
        <v>60</v>
      </c>
      <c r="AG26" s="2" t="s">
        <v>61</v>
      </c>
      <c r="AH26" s="2" t="s">
        <v>61</v>
      </c>
      <c r="AI26" s="2" t="s">
        <v>61</v>
      </c>
      <c r="AJ26" s="2" t="s">
        <v>61</v>
      </c>
      <c r="AK26" s="2" t="s">
        <v>443</v>
      </c>
      <c r="AL26" s="2" t="s">
        <v>63</v>
      </c>
      <c r="AM26" s="2" t="s">
        <v>444</v>
      </c>
      <c r="AN26" s="2"/>
    </row>
    <row r="27" spans="1:40" ht="15" x14ac:dyDescent="0.2">
      <c r="A27" s="2" t="s">
        <v>445</v>
      </c>
      <c r="B27" s="2" t="s">
        <v>446</v>
      </c>
      <c r="C27" s="2" t="s">
        <v>42</v>
      </c>
      <c r="D27" s="2" t="s">
        <v>447</v>
      </c>
      <c r="E27" s="2" t="s">
        <v>448</v>
      </c>
      <c r="F27" s="2" t="s">
        <v>45</v>
      </c>
      <c r="G27" s="2" t="s">
        <v>86</v>
      </c>
      <c r="H27" s="3">
        <v>45127.381984141284</v>
      </c>
      <c r="I27" s="3">
        <v>45127.381980251295</v>
      </c>
      <c r="J27" s="2"/>
      <c r="K27" s="2"/>
      <c r="L27" s="2"/>
      <c r="M27" s="2" t="s">
        <v>62</v>
      </c>
      <c r="N27" s="2" t="s">
        <v>449</v>
      </c>
      <c r="O27" s="2" t="s">
        <v>449</v>
      </c>
      <c r="P27" s="2" t="s">
        <v>450</v>
      </c>
      <c r="Q27" s="2" t="s">
        <v>451</v>
      </c>
      <c r="R27" s="2" t="s">
        <v>452</v>
      </c>
      <c r="S27" s="2" t="s">
        <v>453</v>
      </c>
      <c r="T27" s="2" t="s">
        <v>454</v>
      </c>
      <c r="U27" s="2" t="s">
        <v>455</v>
      </c>
      <c r="V27" s="2" t="s">
        <v>446</v>
      </c>
      <c r="W27" s="2"/>
      <c r="X27" s="2"/>
      <c r="Y27" s="2"/>
      <c r="Z27" s="2" t="s">
        <v>450</v>
      </c>
      <c r="AA27" s="2" t="s">
        <v>60</v>
      </c>
      <c r="AB27" s="2"/>
      <c r="AC27" s="2" t="s">
        <v>450</v>
      </c>
      <c r="AD27" s="2">
        <v>0</v>
      </c>
      <c r="AE27" s="2" t="s">
        <v>57</v>
      </c>
      <c r="AF27" s="2" t="s">
        <v>60</v>
      </c>
      <c r="AG27" s="2" t="s">
        <v>61</v>
      </c>
      <c r="AH27" s="2" t="s">
        <v>61</v>
      </c>
      <c r="AI27" s="2" t="s">
        <v>61</v>
      </c>
      <c r="AJ27" s="2" t="s">
        <v>61</v>
      </c>
      <c r="AK27" s="2" t="s">
        <v>62</v>
      </c>
      <c r="AL27" s="2" t="s">
        <v>63</v>
      </c>
      <c r="AM27" s="2" t="s">
        <v>62</v>
      </c>
      <c r="AN27" s="2"/>
    </row>
    <row r="28" spans="1:40" ht="15" x14ac:dyDescent="0.2">
      <c r="A28" s="2" t="s">
        <v>456</v>
      </c>
      <c r="B28" s="2" t="s">
        <v>457</v>
      </c>
      <c r="C28" s="2" t="s">
        <v>104</v>
      </c>
      <c r="D28" s="2" t="s">
        <v>458</v>
      </c>
      <c r="E28" s="2" t="s">
        <v>459</v>
      </c>
      <c r="F28" s="2" t="s">
        <v>45</v>
      </c>
      <c r="G28" s="2" t="s">
        <v>86</v>
      </c>
      <c r="H28" s="3">
        <v>45127.704229234994</v>
      </c>
      <c r="I28" s="3">
        <v>45127.704223779394</v>
      </c>
      <c r="J28" s="2"/>
      <c r="K28" s="2"/>
      <c r="L28" s="2"/>
      <c r="M28" s="2" t="s">
        <v>62</v>
      </c>
      <c r="N28" s="2" t="s">
        <v>460</v>
      </c>
      <c r="O28" s="2" t="s">
        <v>460</v>
      </c>
      <c r="P28" s="2" t="s">
        <v>88</v>
      </c>
      <c r="Q28" s="2" t="s">
        <v>461</v>
      </c>
      <c r="R28" s="2" t="s">
        <v>462</v>
      </c>
      <c r="S28" s="2" t="s">
        <v>463</v>
      </c>
      <c r="T28" s="2" t="s">
        <v>464</v>
      </c>
      <c r="U28" s="2" t="s">
        <v>465</v>
      </c>
      <c r="V28" s="2" t="s">
        <v>457</v>
      </c>
      <c r="W28" s="2"/>
      <c r="X28" s="2"/>
      <c r="Y28" s="2" t="s">
        <v>466</v>
      </c>
      <c r="Z28" s="2" t="s">
        <v>467</v>
      </c>
      <c r="AA28" s="2" t="s">
        <v>60</v>
      </c>
      <c r="AB28" s="2" t="s">
        <v>468</v>
      </c>
      <c r="AC28" s="2" t="s">
        <v>469</v>
      </c>
      <c r="AD28" s="2">
        <v>6</v>
      </c>
      <c r="AE28" s="2" t="s">
        <v>60</v>
      </c>
      <c r="AF28" s="2" t="s">
        <v>57</v>
      </c>
      <c r="AG28" s="2" t="s">
        <v>61</v>
      </c>
      <c r="AH28" s="2" t="s">
        <v>61</v>
      </c>
      <c r="AI28" s="2" t="s">
        <v>61</v>
      </c>
      <c r="AJ28" s="2" t="s">
        <v>61</v>
      </c>
      <c r="AK28" s="2" t="s">
        <v>62</v>
      </c>
      <c r="AL28" s="2" t="s">
        <v>63</v>
      </c>
      <c r="AM28" s="2" t="s">
        <v>470</v>
      </c>
      <c r="AN28" s="2"/>
    </row>
    <row r="29" spans="1:40" ht="15" x14ac:dyDescent="0.2">
      <c r="A29" s="2" t="s">
        <v>471</v>
      </c>
      <c r="B29" s="2" t="s">
        <v>472</v>
      </c>
      <c r="C29" s="2" t="s">
        <v>104</v>
      </c>
      <c r="D29" s="2" t="s">
        <v>473</v>
      </c>
      <c r="E29" s="2" t="s">
        <v>474</v>
      </c>
      <c r="F29" s="2" t="s">
        <v>45</v>
      </c>
      <c r="G29" s="2" t="s">
        <v>86</v>
      </c>
      <c r="H29" s="3">
        <v>45128.395898136609</v>
      </c>
      <c r="I29" s="3">
        <v>45128.395893565692</v>
      </c>
      <c r="J29" s="2"/>
      <c r="K29" s="2"/>
      <c r="L29" s="2"/>
      <c r="M29" s="2" t="s">
        <v>62</v>
      </c>
      <c r="N29" s="2" t="s">
        <v>475</v>
      </c>
      <c r="O29" s="2" t="s">
        <v>475</v>
      </c>
      <c r="P29" s="2" t="s">
        <v>88</v>
      </c>
      <c r="Q29" s="2" t="s">
        <v>476</v>
      </c>
      <c r="R29" s="2" t="s">
        <v>477</v>
      </c>
      <c r="S29" s="2" t="s">
        <v>478</v>
      </c>
      <c r="T29" s="2" t="s">
        <v>479</v>
      </c>
      <c r="U29" s="2" t="s">
        <v>480</v>
      </c>
      <c r="V29" s="2" t="s">
        <v>472</v>
      </c>
      <c r="W29" s="2"/>
      <c r="X29" s="2"/>
      <c r="Y29" s="2"/>
      <c r="Z29" s="2" t="s">
        <v>481</v>
      </c>
      <c r="AA29" s="2" t="s">
        <v>60</v>
      </c>
      <c r="AB29" s="2" t="s">
        <v>482</v>
      </c>
      <c r="AC29" s="2" t="s">
        <v>483</v>
      </c>
      <c r="AD29" s="2">
        <v>1</v>
      </c>
      <c r="AE29" s="2" t="s">
        <v>57</v>
      </c>
      <c r="AF29" s="2" t="s">
        <v>60</v>
      </c>
      <c r="AG29" s="2" t="s">
        <v>61</v>
      </c>
      <c r="AH29" s="2" t="s">
        <v>61</v>
      </c>
      <c r="AI29" s="2" t="s">
        <v>61</v>
      </c>
      <c r="AJ29" s="2" t="s">
        <v>61</v>
      </c>
      <c r="AK29" s="2" t="s">
        <v>484</v>
      </c>
      <c r="AL29" s="2" t="s">
        <v>63</v>
      </c>
      <c r="AM29" s="2" t="s">
        <v>485</v>
      </c>
      <c r="AN29" s="2"/>
    </row>
    <row r="30" spans="1:40" ht="15" x14ac:dyDescent="0.2">
      <c r="A30" s="2" t="s">
        <v>486</v>
      </c>
      <c r="B30" s="2" t="s">
        <v>487</v>
      </c>
      <c r="C30" s="2" t="s">
        <v>42</v>
      </c>
      <c r="D30" s="2" t="s">
        <v>488</v>
      </c>
      <c r="E30" s="2" t="s">
        <v>489</v>
      </c>
      <c r="F30" s="2" t="s">
        <v>45</v>
      </c>
      <c r="G30" s="2" t="s">
        <v>86</v>
      </c>
      <c r="H30" s="3">
        <v>45128.608308304007</v>
      </c>
      <c r="I30" s="3">
        <v>45128.608303383931</v>
      </c>
      <c r="J30" s="2"/>
      <c r="K30" s="2"/>
      <c r="L30" s="2"/>
      <c r="M30" s="2" t="s">
        <v>62</v>
      </c>
      <c r="N30" s="2" t="s">
        <v>490</v>
      </c>
      <c r="O30" s="2" t="s">
        <v>490</v>
      </c>
      <c r="P30" s="2" t="s">
        <v>88</v>
      </c>
      <c r="Q30" s="2" t="s">
        <v>491</v>
      </c>
      <c r="R30" s="2" t="s">
        <v>492</v>
      </c>
      <c r="S30" s="2" t="s">
        <v>493</v>
      </c>
      <c r="T30" s="2" t="s">
        <v>494</v>
      </c>
      <c r="U30" s="2" t="s">
        <v>495</v>
      </c>
      <c r="V30" s="2" t="s">
        <v>487</v>
      </c>
      <c r="W30" s="2"/>
      <c r="X30" s="2"/>
      <c r="Y30" s="2" t="s">
        <v>496</v>
      </c>
      <c r="Z30" s="2" t="s">
        <v>497</v>
      </c>
      <c r="AA30" s="2" t="s">
        <v>60</v>
      </c>
      <c r="AB30" s="2" t="s">
        <v>498</v>
      </c>
      <c r="AC30" s="2" t="s">
        <v>499</v>
      </c>
      <c r="AD30" s="2">
        <v>3</v>
      </c>
      <c r="AE30" s="2" t="s">
        <v>57</v>
      </c>
      <c r="AF30" s="2" t="s">
        <v>60</v>
      </c>
      <c r="AG30" s="2" t="s">
        <v>61</v>
      </c>
      <c r="AH30" s="2" t="s">
        <v>61</v>
      </c>
      <c r="AI30" s="2" t="s">
        <v>61</v>
      </c>
      <c r="AJ30" s="2" t="s">
        <v>61</v>
      </c>
      <c r="AK30" s="2" t="s">
        <v>62</v>
      </c>
      <c r="AL30" s="2" t="s">
        <v>63</v>
      </c>
      <c r="AM30" s="2" t="s">
        <v>500</v>
      </c>
      <c r="AN30" s="2"/>
    </row>
    <row r="31" spans="1:40" ht="15" x14ac:dyDescent="0.2">
      <c r="A31" s="2" t="s">
        <v>501</v>
      </c>
      <c r="B31" s="2" t="s">
        <v>502</v>
      </c>
      <c r="C31" s="2" t="s">
        <v>104</v>
      </c>
      <c r="D31" s="2" t="s">
        <v>503</v>
      </c>
      <c r="E31" s="2" t="s">
        <v>504</v>
      </c>
      <c r="F31" s="2" t="s">
        <v>45</v>
      </c>
      <c r="G31" s="2" t="s">
        <v>86</v>
      </c>
      <c r="H31" s="3">
        <v>45128.659664773259</v>
      </c>
      <c r="I31" s="3">
        <v>45128.659659373574</v>
      </c>
      <c r="J31" s="2"/>
      <c r="K31" s="2"/>
      <c r="L31" s="2"/>
      <c r="M31" s="2" t="s">
        <v>62</v>
      </c>
      <c r="N31" s="2" t="s">
        <v>505</v>
      </c>
      <c r="O31" s="2" t="s">
        <v>505</v>
      </c>
      <c r="P31" s="2" t="s">
        <v>88</v>
      </c>
      <c r="Q31" s="2" t="s">
        <v>506</v>
      </c>
      <c r="R31" s="2" t="s">
        <v>507</v>
      </c>
      <c r="S31" s="2" t="s">
        <v>508</v>
      </c>
      <c r="T31" s="2" t="s">
        <v>509</v>
      </c>
      <c r="U31" s="2" t="s">
        <v>510</v>
      </c>
      <c r="V31" s="2" t="s">
        <v>502</v>
      </c>
      <c r="W31" s="2"/>
      <c r="X31" s="2"/>
      <c r="Y31" s="2" t="s">
        <v>511</v>
      </c>
      <c r="Z31" s="2" t="s">
        <v>512</v>
      </c>
      <c r="AA31" s="2" t="s">
        <v>60</v>
      </c>
      <c r="AB31" s="2" t="s">
        <v>513</v>
      </c>
      <c r="AC31" s="2" t="s">
        <v>514</v>
      </c>
      <c r="AD31" s="2">
        <v>4</v>
      </c>
      <c r="AE31" s="2" t="s">
        <v>57</v>
      </c>
      <c r="AF31" s="2" t="s">
        <v>57</v>
      </c>
      <c r="AG31" s="2" t="s">
        <v>61</v>
      </c>
      <c r="AH31" s="2" t="s">
        <v>61</v>
      </c>
      <c r="AI31" s="2" t="s">
        <v>61</v>
      </c>
      <c r="AJ31" s="2" t="s">
        <v>61</v>
      </c>
      <c r="AK31" s="2" t="s">
        <v>515</v>
      </c>
      <c r="AL31" s="2" t="s">
        <v>63</v>
      </c>
      <c r="AM31" s="2" t="s">
        <v>516</v>
      </c>
      <c r="AN31" s="2"/>
    </row>
    <row r="32" spans="1:40" ht="15" x14ac:dyDescent="0.2">
      <c r="A32" s="2" t="s">
        <v>517</v>
      </c>
      <c r="B32" s="2" t="s">
        <v>518</v>
      </c>
      <c r="C32" s="2" t="s">
        <v>42</v>
      </c>
      <c r="D32" s="2" t="s">
        <v>519</v>
      </c>
      <c r="E32" s="2" t="s">
        <v>520</v>
      </c>
      <c r="F32" s="2" t="s">
        <v>45</v>
      </c>
      <c r="G32" s="2" t="s">
        <v>86</v>
      </c>
      <c r="H32" s="3">
        <v>45131.611073189721</v>
      </c>
      <c r="I32" s="3">
        <v>45131.61106850236</v>
      </c>
      <c r="J32" s="2"/>
      <c r="K32" s="2"/>
      <c r="L32" s="2"/>
      <c r="M32" s="2" t="s">
        <v>62</v>
      </c>
      <c r="N32" s="2" t="s">
        <v>521</v>
      </c>
      <c r="O32" s="2" t="s">
        <v>521</v>
      </c>
      <c r="P32" s="2" t="s">
        <v>70</v>
      </c>
      <c r="Q32" s="2" t="s">
        <v>522</v>
      </c>
      <c r="R32" s="2" t="s">
        <v>124</v>
      </c>
      <c r="S32" s="2" t="s">
        <v>523</v>
      </c>
      <c r="T32" s="2" t="s">
        <v>524</v>
      </c>
      <c r="U32" s="2" t="s">
        <v>525</v>
      </c>
      <c r="V32" s="2" t="s">
        <v>518</v>
      </c>
      <c r="W32" s="2"/>
      <c r="X32" s="2"/>
      <c r="Y32" s="2"/>
      <c r="Z32" s="2" t="s">
        <v>526</v>
      </c>
      <c r="AA32" s="2" t="s">
        <v>57</v>
      </c>
      <c r="AB32" s="2" t="s">
        <v>527</v>
      </c>
      <c r="AC32" s="2" t="s">
        <v>528</v>
      </c>
      <c r="AD32" s="2">
        <v>1</v>
      </c>
      <c r="AE32" s="2" t="s">
        <v>57</v>
      </c>
      <c r="AF32" s="2" t="s">
        <v>60</v>
      </c>
      <c r="AG32" s="2" t="s">
        <v>61</v>
      </c>
      <c r="AH32" s="2" t="s">
        <v>61</v>
      </c>
      <c r="AI32" s="2" t="s">
        <v>61</v>
      </c>
      <c r="AJ32" s="2" t="s">
        <v>61</v>
      </c>
      <c r="AK32" s="2" t="s">
        <v>529</v>
      </c>
      <c r="AL32" s="2" t="s">
        <v>63</v>
      </c>
      <c r="AM32" s="2" t="s">
        <v>530</v>
      </c>
      <c r="AN32" s="2"/>
    </row>
    <row r="33" spans="1:40" ht="15" x14ac:dyDescent="0.2">
      <c r="A33" s="2" t="s">
        <v>531</v>
      </c>
      <c r="B33" s="2" t="s">
        <v>532</v>
      </c>
      <c r="C33" s="2" t="s">
        <v>42</v>
      </c>
      <c r="D33" s="2" t="s">
        <v>533</v>
      </c>
      <c r="E33" s="2" t="s">
        <v>534</v>
      </c>
      <c r="F33" s="2" t="s">
        <v>45</v>
      </c>
      <c r="G33" s="2" t="s">
        <v>86</v>
      </c>
      <c r="H33" s="3">
        <v>45132.773454715134</v>
      </c>
      <c r="I33" s="3">
        <v>45132.773449752742</v>
      </c>
      <c r="J33" s="2"/>
      <c r="K33" s="2"/>
      <c r="L33" s="2"/>
      <c r="M33" s="2" t="s">
        <v>62</v>
      </c>
      <c r="N33" s="2" t="s">
        <v>535</v>
      </c>
      <c r="O33" s="2" t="s">
        <v>535</v>
      </c>
      <c r="P33" s="2" t="s">
        <v>70</v>
      </c>
      <c r="Q33" s="2" t="s">
        <v>536</v>
      </c>
      <c r="R33" s="2" t="s">
        <v>537</v>
      </c>
      <c r="S33" s="2" t="s">
        <v>538</v>
      </c>
      <c r="T33" s="2" t="s">
        <v>539</v>
      </c>
      <c r="U33" s="2" t="s">
        <v>540</v>
      </c>
      <c r="V33" s="2" t="s">
        <v>532</v>
      </c>
      <c r="W33" s="2"/>
      <c r="X33" s="2"/>
      <c r="Y33" s="2" t="s">
        <v>541</v>
      </c>
      <c r="Z33" s="2" t="s">
        <v>542</v>
      </c>
      <c r="AA33" s="2" t="s">
        <v>60</v>
      </c>
      <c r="AB33" s="2" t="s">
        <v>543</v>
      </c>
      <c r="AC33" s="2" t="s">
        <v>544</v>
      </c>
      <c r="AD33" s="2">
        <v>10</v>
      </c>
      <c r="AE33" s="2" t="s">
        <v>57</v>
      </c>
      <c r="AF33" s="2" t="s">
        <v>60</v>
      </c>
      <c r="AG33" s="2" t="s">
        <v>61</v>
      </c>
      <c r="AH33" s="2" t="s">
        <v>61</v>
      </c>
      <c r="AI33" s="2" t="s">
        <v>61</v>
      </c>
      <c r="AJ33" s="2" t="s">
        <v>61</v>
      </c>
      <c r="AK33" s="2" t="s">
        <v>545</v>
      </c>
      <c r="AL33" s="2" t="s">
        <v>63</v>
      </c>
      <c r="AM33" s="2" t="s">
        <v>62</v>
      </c>
      <c r="AN33" s="2"/>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D33"/>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21.625" bestFit="1" customWidth="1"/>
    <col min="4" max="4" width="23.375" bestFit="1" customWidth="1"/>
  </cols>
  <sheetData>
    <row r="1" spans="1:4" ht="15.75" x14ac:dyDescent="0.25">
      <c r="A1" s="1" t="s">
        <v>546</v>
      </c>
      <c r="B1" s="1" t="s">
        <v>908</v>
      </c>
      <c r="C1" s="1" t="s">
        <v>1384</v>
      </c>
      <c r="D1" s="1" t="s">
        <v>1376</v>
      </c>
    </row>
    <row r="2" spans="1:4" ht="15" x14ac:dyDescent="0.2">
      <c r="A2" s="2" t="s">
        <v>40</v>
      </c>
      <c r="B2" s="2">
        <v>1</v>
      </c>
      <c r="C2" s="2"/>
      <c r="D2" s="2"/>
    </row>
    <row r="3" spans="1:4" ht="15" x14ac:dyDescent="0.2">
      <c r="A3" s="2" t="s">
        <v>64</v>
      </c>
      <c r="B3" s="2">
        <v>1</v>
      </c>
      <c r="C3" s="2"/>
      <c r="D3" s="2"/>
    </row>
    <row r="4" spans="1:4" ht="15" x14ac:dyDescent="0.2">
      <c r="A4" s="2" t="s">
        <v>82</v>
      </c>
      <c r="B4" s="2">
        <v>1</v>
      </c>
      <c r="C4" s="2"/>
      <c r="D4" s="2"/>
    </row>
    <row r="5" spans="1:4" ht="15" x14ac:dyDescent="0.2">
      <c r="A5" s="2" t="s">
        <v>102</v>
      </c>
      <c r="B5" s="2">
        <v>1</v>
      </c>
      <c r="C5" s="2"/>
      <c r="D5" s="2"/>
    </row>
    <row r="6" spans="1:4" ht="15" x14ac:dyDescent="0.2">
      <c r="A6" s="2" t="s">
        <v>118</v>
      </c>
      <c r="B6" s="2">
        <v>1</v>
      </c>
      <c r="C6" s="2"/>
      <c r="D6" s="2"/>
    </row>
    <row r="7" spans="1:4" ht="15" x14ac:dyDescent="0.2">
      <c r="A7" s="2" t="s">
        <v>133</v>
      </c>
      <c r="B7" s="2">
        <v>1</v>
      </c>
      <c r="C7" s="2"/>
      <c r="D7" s="2"/>
    </row>
    <row r="8" spans="1:4" ht="15" x14ac:dyDescent="0.2">
      <c r="A8" s="2" t="s">
        <v>149</v>
      </c>
      <c r="B8" s="2">
        <v>1</v>
      </c>
      <c r="C8" s="2"/>
      <c r="D8" s="2"/>
    </row>
    <row r="9" spans="1:4" ht="15" x14ac:dyDescent="0.2">
      <c r="A9" s="2" t="s">
        <v>163</v>
      </c>
      <c r="B9" s="2">
        <v>1</v>
      </c>
      <c r="C9" s="2"/>
      <c r="D9" s="2"/>
    </row>
    <row r="10" spans="1:4" ht="15" x14ac:dyDescent="0.2">
      <c r="A10" s="2" t="s">
        <v>178</v>
      </c>
      <c r="B10" s="2">
        <v>1</v>
      </c>
      <c r="C10" s="2"/>
      <c r="D10" s="2"/>
    </row>
    <row r="11" spans="1:4" ht="15" x14ac:dyDescent="0.2">
      <c r="A11" s="2" t="s">
        <v>197</v>
      </c>
      <c r="B11" s="2">
        <v>1</v>
      </c>
      <c r="C11" s="2"/>
      <c r="D11" s="2"/>
    </row>
    <row r="12" spans="1:4" ht="15" x14ac:dyDescent="0.2">
      <c r="A12" s="2" t="s">
        <v>213</v>
      </c>
      <c r="B12" s="2">
        <v>1</v>
      </c>
      <c r="C12" s="2"/>
      <c r="D12" s="2"/>
    </row>
    <row r="13" spans="1:4" ht="15" x14ac:dyDescent="0.2">
      <c r="A13" s="2" t="s">
        <v>230</v>
      </c>
      <c r="B13" s="2">
        <v>1</v>
      </c>
      <c r="C13" s="2"/>
      <c r="D13" s="2"/>
    </row>
    <row r="14" spans="1:4" ht="15" x14ac:dyDescent="0.2">
      <c r="A14" s="2" t="s">
        <v>245</v>
      </c>
      <c r="B14" s="2">
        <v>1</v>
      </c>
      <c r="C14" s="2"/>
      <c r="D14" s="2"/>
    </row>
    <row r="15" spans="1:4" ht="15" x14ac:dyDescent="0.2">
      <c r="A15" s="2" t="s">
        <v>261</v>
      </c>
      <c r="B15" s="2">
        <v>1</v>
      </c>
      <c r="C15" s="2"/>
      <c r="D15" s="2"/>
    </row>
    <row r="16" spans="1:4" ht="15" x14ac:dyDescent="0.2">
      <c r="A16" s="2" t="s">
        <v>278</v>
      </c>
      <c r="B16" s="2">
        <v>1</v>
      </c>
      <c r="C16" s="2"/>
      <c r="D16" s="2"/>
    </row>
    <row r="17" spans="1:4" ht="15" x14ac:dyDescent="0.2">
      <c r="A17" s="2" t="s">
        <v>294</v>
      </c>
      <c r="B17" s="2">
        <v>1</v>
      </c>
      <c r="C17" s="2"/>
      <c r="D17" s="2"/>
    </row>
    <row r="18" spans="1:4" ht="15" x14ac:dyDescent="0.2">
      <c r="A18" s="2" t="s">
        <v>310</v>
      </c>
      <c r="B18" s="2">
        <v>1</v>
      </c>
      <c r="C18" s="2"/>
      <c r="D18" s="2"/>
    </row>
    <row r="19" spans="1:4" ht="15" x14ac:dyDescent="0.2">
      <c r="A19" s="2" t="s">
        <v>325</v>
      </c>
      <c r="B19" s="2">
        <v>1</v>
      </c>
      <c r="C19" s="2"/>
      <c r="D19" s="2"/>
    </row>
    <row r="20" spans="1:4" ht="15" x14ac:dyDescent="0.2">
      <c r="A20" s="2" t="s">
        <v>336</v>
      </c>
      <c r="B20" s="2">
        <v>1</v>
      </c>
      <c r="C20" s="2"/>
      <c r="D20" s="2"/>
    </row>
    <row r="21" spans="1:4" ht="15" x14ac:dyDescent="0.2">
      <c r="A21" s="2" t="s">
        <v>351</v>
      </c>
      <c r="B21" s="2">
        <v>1</v>
      </c>
      <c r="C21" s="2"/>
      <c r="D21" s="2"/>
    </row>
    <row r="22" spans="1:4" ht="15" x14ac:dyDescent="0.2">
      <c r="A22" s="2" t="s">
        <v>365</v>
      </c>
      <c r="B22" s="2">
        <v>1</v>
      </c>
      <c r="C22" s="2"/>
      <c r="D22" s="2"/>
    </row>
    <row r="23" spans="1:4" ht="15" x14ac:dyDescent="0.2">
      <c r="A23" s="2" t="s">
        <v>379</v>
      </c>
      <c r="B23" s="2">
        <v>1</v>
      </c>
      <c r="C23" s="2"/>
      <c r="D23" s="2"/>
    </row>
    <row r="24" spans="1:4" ht="15" x14ac:dyDescent="0.2">
      <c r="A24" s="2" t="s">
        <v>395</v>
      </c>
      <c r="B24" s="2">
        <v>1</v>
      </c>
      <c r="C24" s="2"/>
      <c r="D24" s="2"/>
    </row>
    <row r="25" spans="1:4" ht="15" x14ac:dyDescent="0.2">
      <c r="A25" s="2" t="s">
        <v>411</v>
      </c>
      <c r="B25" s="2">
        <v>1</v>
      </c>
      <c r="C25" s="2"/>
      <c r="D25" s="2"/>
    </row>
    <row r="26" spans="1:4" ht="15" x14ac:dyDescent="0.2">
      <c r="A26" s="2" t="s">
        <v>429</v>
      </c>
      <c r="B26" s="2">
        <v>1</v>
      </c>
      <c r="C26" s="2"/>
      <c r="D26" s="2"/>
    </row>
    <row r="27" spans="1:4" ht="15" x14ac:dyDescent="0.2">
      <c r="A27" s="2" t="s">
        <v>445</v>
      </c>
      <c r="B27" s="2">
        <v>1</v>
      </c>
      <c r="C27" s="2"/>
      <c r="D27" s="2"/>
    </row>
    <row r="28" spans="1:4" ht="15" x14ac:dyDescent="0.2">
      <c r="A28" s="2" t="s">
        <v>456</v>
      </c>
      <c r="B28" s="2">
        <v>1</v>
      </c>
      <c r="C28" s="2"/>
      <c r="D28" s="2"/>
    </row>
    <row r="29" spans="1:4" ht="15" x14ac:dyDescent="0.2">
      <c r="A29" s="2" t="s">
        <v>471</v>
      </c>
      <c r="B29" s="2">
        <v>1</v>
      </c>
      <c r="C29" s="2"/>
      <c r="D29" s="2"/>
    </row>
    <row r="30" spans="1:4" ht="15" x14ac:dyDescent="0.2">
      <c r="A30" s="2" t="s">
        <v>486</v>
      </c>
      <c r="B30" s="2">
        <v>1</v>
      </c>
      <c r="C30" s="2"/>
      <c r="D30" s="2"/>
    </row>
    <row r="31" spans="1:4" ht="15" x14ac:dyDescent="0.2">
      <c r="A31" s="2" t="s">
        <v>501</v>
      </c>
      <c r="B31" s="2">
        <v>1</v>
      </c>
      <c r="C31" s="2"/>
      <c r="D31" s="2"/>
    </row>
    <row r="32" spans="1:4" ht="15" x14ac:dyDescent="0.2">
      <c r="A32" s="2" t="s">
        <v>517</v>
      </c>
      <c r="B32" s="2">
        <v>1</v>
      </c>
      <c r="C32" s="2"/>
      <c r="D32" s="2"/>
    </row>
    <row r="33" spans="1:4" ht="15" x14ac:dyDescent="0.2">
      <c r="A33" s="2" t="s">
        <v>531</v>
      </c>
      <c r="B33" s="2">
        <v>1</v>
      </c>
      <c r="C33" s="2"/>
      <c r="D33" s="2"/>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D33"/>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255" bestFit="1" customWidth="1"/>
    <col min="4" max="4" width="21.625" bestFit="1" customWidth="1"/>
  </cols>
  <sheetData>
    <row r="1" spans="1:4" ht="15.75" x14ac:dyDescent="0.25">
      <c r="A1" s="1" t="s">
        <v>546</v>
      </c>
      <c r="B1" s="1" t="s">
        <v>908</v>
      </c>
      <c r="C1" s="1" t="s">
        <v>1385</v>
      </c>
      <c r="D1" s="1" t="s">
        <v>1384</v>
      </c>
    </row>
    <row r="2" spans="1:4" ht="15" x14ac:dyDescent="0.2">
      <c r="A2" s="2" t="s">
        <v>40</v>
      </c>
      <c r="B2" s="2">
        <v>1</v>
      </c>
      <c r="C2" s="2"/>
      <c r="D2" s="2"/>
    </row>
    <row r="3" spans="1:4" ht="15" x14ac:dyDescent="0.2">
      <c r="A3" s="2" t="s">
        <v>64</v>
      </c>
      <c r="B3" s="2">
        <v>1</v>
      </c>
      <c r="C3" s="2"/>
      <c r="D3" s="2"/>
    </row>
    <row r="4" spans="1:4" ht="15" x14ac:dyDescent="0.2">
      <c r="A4" s="2" t="s">
        <v>82</v>
      </c>
      <c r="B4" s="2">
        <v>1</v>
      </c>
      <c r="C4" s="2" t="s">
        <v>1386</v>
      </c>
      <c r="D4" s="2"/>
    </row>
    <row r="5" spans="1:4" ht="15" x14ac:dyDescent="0.2">
      <c r="A5" s="2" t="s">
        <v>102</v>
      </c>
      <c r="B5" s="2">
        <v>1</v>
      </c>
      <c r="C5" s="2"/>
      <c r="D5" s="2"/>
    </row>
    <row r="6" spans="1:4" ht="15" x14ac:dyDescent="0.2">
      <c r="A6" s="2" t="s">
        <v>118</v>
      </c>
      <c r="B6" s="2">
        <v>1</v>
      </c>
      <c r="C6" s="2"/>
      <c r="D6" s="2"/>
    </row>
    <row r="7" spans="1:4" ht="15" x14ac:dyDescent="0.2">
      <c r="A7" s="2" t="s">
        <v>133</v>
      </c>
      <c r="B7" s="2">
        <v>1</v>
      </c>
      <c r="C7" s="2"/>
      <c r="D7" s="2"/>
    </row>
    <row r="8" spans="1:4" ht="15" x14ac:dyDescent="0.2">
      <c r="A8" s="2" t="s">
        <v>149</v>
      </c>
      <c r="B8" s="2">
        <v>1</v>
      </c>
      <c r="C8" s="2"/>
      <c r="D8" s="2"/>
    </row>
    <row r="9" spans="1:4" ht="15" x14ac:dyDescent="0.2">
      <c r="A9" s="2" t="s">
        <v>163</v>
      </c>
      <c r="B9" s="2">
        <v>1</v>
      </c>
      <c r="C9" s="2"/>
      <c r="D9" s="2"/>
    </row>
    <row r="10" spans="1:4" ht="15" x14ac:dyDescent="0.2">
      <c r="A10" s="2" t="s">
        <v>178</v>
      </c>
      <c r="B10" s="2">
        <v>1</v>
      </c>
      <c r="C10" s="2"/>
      <c r="D10" s="2"/>
    </row>
    <row r="11" spans="1:4" ht="15" x14ac:dyDescent="0.2">
      <c r="A11" s="2" t="s">
        <v>197</v>
      </c>
      <c r="B11" s="2">
        <v>1</v>
      </c>
      <c r="C11" s="2"/>
      <c r="D11" s="2"/>
    </row>
    <row r="12" spans="1:4" ht="15" x14ac:dyDescent="0.2">
      <c r="A12" s="2" t="s">
        <v>213</v>
      </c>
      <c r="B12" s="2">
        <v>1</v>
      </c>
      <c r="C12" s="2"/>
      <c r="D12" s="2"/>
    </row>
    <row r="13" spans="1:4" ht="15" x14ac:dyDescent="0.2">
      <c r="A13" s="2" t="s">
        <v>230</v>
      </c>
      <c r="B13" s="2">
        <v>1</v>
      </c>
      <c r="C13" s="2"/>
      <c r="D13" s="2"/>
    </row>
    <row r="14" spans="1:4" ht="15" x14ac:dyDescent="0.2">
      <c r="A14" s="2" t="s">
        <v>245</v>
      </c>
      <c r="B14" s="2">
        <v>1</v>
      </c>
      <c r="C14" s="2"/>
      <c r="D14" s="2"/>
    </row>
    <row r="15" spans="1:4" ht="15" x14ac:dyDescent="0.2">
      <c r="A15" s="2" t="s">
        <v>261</v>
      </c>
      <c r="B15" s="2">
        <v>1</v>
      </c>
      <c r="C15" s="2"/>
      <c r="D15" s="2"/>
    </row>
    <row r="16" spans="1:4" ht="15" x14ac:dyDescent="0.2">
      <c r="A16" s="2" t="s">
        <v>278</v>
      </c>
      <c r="B16" s="2">
        <v>1</v>
      </c>
      <c r="C16" s="2"/>
      <c r="D16" s="2"/>
    </row>
    <row r="17" spans="1:4" ht="15" x14ac:dyDescent="0.2">
      <c r="A17" s="2" t="s">
        <v>294</v>
      </c>
      <c r="B17" s="2">
        <v>1</v>
      </c>
      <c r="C17" s="2"/>
      <c r="D17" s="2"/>
    </row>
    <row r="18" spans="1:4" ht="15" x14ac:dyDescent="0.2">
      <c r="A18" s="2" t="s">
        <v>310</v>
      </c>
      <c r="B18" s="2">
        <v>1</v>
      </c>
      <c r="C18" s="2"/>
      <c r="D18" s="2"/>
    </row>
    <row r="19" spans="1:4" ht="15" x14ac:dyDescent="0.2">
      <c r="A19" s="2" t="s">
        <v>325</v>
      </c>
      <c r="B19" s="2">
        <v>1</v>
      </c>
      <c r="C19" s="2"/>
      <c r="D19" s="2"/>
    </row>
    <row r="20" spans="1:4" ht="15" x14ac:dyDescent="0.2">
      <c r="A20" s="2" t="s">
        <v>336</v>
      </c>
      <c r="B20" s="2">
        <v>1</v>
      </c>
      <c r="C20" s="2"/>
      <c r="D20" s="2"/>
    </row>
    <row r="21" spans="1:4" ht="15" x14ac:dyDescent="0.2">
      <c r="A21" s="2" t="s">
        <v>351</v>
      </c>
      <c r="B21" s="2">
        <v>1</v>
      </c>
      <c r="C21" s="2"/>
      <c r="D21" s="2"/>
    </row>
    <row r="22" spans="1:4" ht="15" x14ac:dyDescent="0.2">
      <c r="A22" s="2" t="s">
        <v>365</v>
      </c>
      <c r="B22" s="2">
        <v>1</v>
      </c>
      <c r="C22" s="2"/>
      <c r="D22" s="2"/>
    </row>
    <row r="23" spans="1:4" ht="15" x14ac:dyDescent="0.2">
      <c r="A23" s="2" t="s">
        <v>379</v>
      </c>
      <c r="B23" s="2">
        <v>1</v>
      </c>
      <c r="C23" s="2"/>
      <c r="D23" s="2"/>
    </row>
    <row r="24" spans="1:4" ht="15" x14ac:dyDescent="0.2">
      <c r="A24" s="2" t="s">
        <v>395</v>
      </c>
      <c r="B24" s="2">
        <v>1</v>
      </c>
      <c r="C24" s="2"/>
      <c r="D24" s="2"/>
    </row>
    <row r="25" spans="1:4" ht="15" x14ac:dyDescent="0.2">
      <c r="A25" s="2" t="s">
        <v>411</v>
      </c>
      <c r="B25" s="2">
        <v>1</v>
      </c>
      <c r="C25" s="2"/>
      <c r="D25" s="2"/>
    </row>
    <row r="26" spans="1:4" ht="15" x14ac:dyDescent="0.2">
      <c r="A26" s="2" t="s">
        <v>429</v>
      </c>
      <c r="B26" s="2">
        <v>1</v>
      </c>
      <c r="C26" s="2"/>
      <c r="D26" s="2"/>
    </row>
    <row r="27" spans="1:4" ht="15" x14ac:dyDescent="0.2">
      <c r="A27" s="2" t="s">
        <v>445</v>
      </c>
      <c r="B27" s="2">
        <v>1</v>
      </c>
      <c r="C27" s="2"/>
      <c r="D27" s="2"/>
    </row>
    <row r="28" spans="1:4" ht="15" x14ac:dyDescent="0.2">
      <c r="A28" s="2" t="s">
        <v>456</v>
      </c>
      <c r="B28" s="2">
        <v>1</v>
      </c>
      <c r="C28" s="2"/>
      <c r="D28" s="2"/>
    </row>
    <row r="29" spans="1:4" ht="15" x14ac:dyDescent="0.2">
      <c r="A29" s="2" t="s">
        <v>471</v>
      </c>
      <c r="B29" s="2">
        <v>1</v>
      </c>
      <c r="C29" s="2"/>
      <c r="D29" s="2"/>
    </row>
    <row r="30" spans="1:4" ht="15" x14ac:dyDescent="0.2">
      <c r="A30" s="2" t="s">
        <v>486</v>
      </c>
      <c r="B30" s="2">
        <v>1</v>
      </c>
      <c r="C30" s="2"/>
      <c r="D30" s="2"/>
    </row>
    <row r="31" spans="1:4" ht="15" x14ac:dyDescent="0.2">
      <c r="A31" s="2" t="s">
        <v>501</v>
      </c>
      <c r="B31" s="2">
        <v>1</v>
      </c>
      <c r="C31" s="2"/>
      <c r="D31" s="2"/>
    </row>
    <row r="32" spans="1:4" ht="15" x14ac:dyDescent="0.2">
      <c r="A32" s="2" t="s">
        <v>517</v>
      </c>
      <c r="B32" s="2">
        <v>1</v>
      </c>
      <c r="C32" s="2"/>
      <c r="D32" s="2"/>
    </row>
    <row r="33" spans="1:4" ht="15" x14ac:dyDescent="0.2">
      <c r="A33" s="2" t="s">
        <v>531</v>
      </c>
      <c r="B33" s="2">
        <v>1</v>
      </c>
      <c r="C33" s="2"/>
      <c r="D33" s="2"/>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E33"/>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46.75" bestFit="1" customWidth="1"/>
    <col min="4" max="4" width="41.375" bestFit="1" customWidth="1"/>
    <col min="5" max="5" width="100.75" bestFit="1" customWidth="1"/>
  </cols>
  <sheetData>
    <row r="1" spans="1:5" ht="15.75" x14ac:dyDescent="0.25">
      <c r="A1" s="1" t="s">
        <v>546</v>
      </c>
      <c r="B1" s="1" t="s">
        <v>908</v>
      </c>
      <c r="C1" s="1" t="s">
        <v>1384</v>
      </c>
      <c r="D1" s="1" t="s">
        <v>1387</v>
      </c>
      <c r="E1" s="1" t="s">
        <v>1388</v>
      </c>
    </row>
    <row r="2" spans="1:5" ht="15" x14ac:dyDescent="0.2">
      <c r="A2" s="2" t="s">
        <v>40</v>
      </c>
      <c r="B2" s="2">
        <v>1</v>
      </c>
      <c r="C2" s="2"/>
      <c r="D2" s="2"/>
      <c r="E2" s="2"/>
    </row>
    <row r="3" spans="1:5" ht="15" x14ac:dyDescent="0.2">
      <c r="A3" s="2" t="s">
        <v>64</v>
      </c>
      <c r="B3" s="2">
        <v>1</v>
      </c>
      <c r="C3" s="2"/>
      <c r="D3" s="2"/>
      <c r="E3" s="2"/>
    </row>
    <row r="4" spans="1:5" ht="15" x14ac:dyDescent="0.2">
      <c r="A4" s="2" t="s">
        <v>82</v>
      </c>
      <c r="B4" s="2">
        <v>1</v>
      </c>
      <c r="C4" s="2"/>
      <c r="D4" s="2"/>
      <c r="E4" s="2"/>
    </row>
    <row r="5" spans="1:5" ht="15" x14ac:dyDescent="0.2">
      <c r="A5" s="2" t="s">
        <v>102</v>
      </c>
      <c r="B5" s="2">
        <v>1</v>
      </c>
      <c r="C5" s="2"/>
      <c r="D5" s="2"/>
      <c r="E5" s="2"/>
    </row>
    <row r="6" spans="1:5" ht="15" x14ac:dyDescent="0.2">
      <c r="A6" s="2" t="s">
        <v>118</v>
      </c>
      <c r="B6" s="2">
        <v>1</v>
      </c>
      <c r="C6" s="2"/>
      <c r="D6" s="2"/>
      <c r="E6" s="2"/>
    </row>
    <row r="7" spans="1:5" ht="15" x14ac:dyDescent="0.2">
      <c r="A7" s="2" t="s">
        <v>133</v>
      </c>
      <c r="B7" s="2">
        <v>1</v>
      </c>
      <c r="C7" s="2"/>
      <c r="D7" s="2"/>
      <c r="E7" s="2"/>
    </row>
    <row r="8" spans="1:5" ht="15" x14ac:dyDescent="0.2">
      <c r="A8" s="2" t="s">
        <v>149</v>
      </c>
      <c r="B8" s="2">
        <v>1</v>
      </c>
      <c r="C8" s="2"/>
      <c r="D8" s="2"/>
      <c r="E8" s="2"/>
    </row>
    <row r="9" spans="1:5" ht="15" x14ac:dyDescent="0.2">
      <c r="A9" s="2" t="s">
        <v>163</v>
      </c>
      <c r="B9" s="2">
        <v>1</v>
      </c>
      <c r="C9" s="2" t="s">
        <v>1389</v>
      </c>
      <c r="D9" s="2"/>
      <c r="E9" s="2"/>
    </row>
    <row r="10" spans="1:5" ht="15" x14ac:dyDescent="0.2">
      <c r="A10" s="2" t="s">
        <v>178</v>
      </c>
      <c r="B10" s="2">
        <v>1</v>
      </c>
      <c r="C10" s="2"/>
      <c r="D10" s="2"/>
      <c r="E10" s="2"/>
    </row>
    <row r="11" spans="1:5" ht="15" x14ac:dyDescent="0.2">
      <c r="A11" s="2" t="s">
        <v>197</v>
      </c>
      <c r="B11" s="2">
        <v>1</v>
      </c>
      <c r="C11" s="2"/>
      <c r="D11" s="2"/>
      <c r="E11" s="2"/>
    </row>
    <row r="12" spans="1:5" ht="15" x14ac:dyDescent="0.2">
      <c r="A12" s="2" t="s">
        <v>213</v>
      </c>
      <c r="B12" s="2">
        <v>1</v>
      </c>
      <c r="C12" s="2"/>
      <c r="D12" s="2"/>
      <c r="E12" s="2"/>
    </row>
    <row r="13" spans="1:5" ht="15" x14ac:dyDescent="0.2">
      <c r="A13" s="2" t="s">
        <v>230</v>
      </c>
      <c r="B13" s="2">
        <v>1</v>
      </c>
      <c r="C13" s="2"/>
      <c r="D13" s="2"/>
      <c r="E13" s="2"/>
    </row>
    <row r="14" spans="1:5" ht="15" x14ac:dyDescent="0.2">
      <c r="A14" s="2" t="s">
        <v>245</v>
      </c>
      <c r="B14" s="2">
        <v>1</v>
      </c>
      <c r="C14" s="2"/>
      <c r="D14" s="2"/>
      <c r="E14" s="2"/>
    </row>
    <row r="15" spans="1:5" ht="15" x14ac:dyDescent="0.2">
      <c r="A15" s="2" t="s">
        <v>261</v>
      </c>
      <c r="B15" s="2">
        <v>1</v>
      </c>
      <c r="C15" s="2"/>
      <c r="D15" s="2"/>
      <c r="E15" s="2"/>
    </row>
    <row r="16" spans="1:5" ht="15" x14ac:dyDescent="0.2">
      <c r="A16" s="2" t="s">
        <v>278</v>
      </c>
      <c r="B16" s="2">
        <v>1</v>
      </c>
      <c r="C16" s="2"/>
      <c r="D16" s="2"/>
      <c r="E16" s="2"/>
    </row>
    <row r="17" spans="1:5" ht="15" x14ac:dyDescent="0.2">
      <c r="A17" s="2" t="s">
        <v>294</v>
      </c>
      <c r="B17" s="2">
        <v>1</v>
      </c>
      <c r="C17" s="2"/>
      <c r="D17" s="2"/>
      <c r="E17" s="2"/>
    </row>
    <row r="18" spans="1:5" ht="15" x14ac:dyDescent="0.2">
      <c r="A18" s="2" t="s">
        <v>310</v>
      </c>
      <c r="B18" s="2">
        <v>1</v>
      </c>
      <c r="C18" s="2"/>
      <c r="D18" s="2"/>
      <c r="E18" s="2"/>
    </row>
    <row r="19" spans="1:5" ht="15" x14ac:dyDescent="0.2">
      <c r="A19" s="2" t="s">
        <v>325</v>
      </c>
      <c r="B19" s="2">
        <v>1</v>
      </c>
      <c r="C19" s="2"/>
      <c r="D19" s="2"/>
      <c r="E19" s="2"/>
    </row>
    <row r="20" spans="1:5" ht="15" x14ac:dyDescent="0.2">
      <c r="A20" s="2" t="s">
        <v>336</v>
      </c>
      <c r="B20" s="2">
        <v>1</v>
      </c>
      <c r="C20" s="2"/>
      <c r="D20" s="2"/>
      <c r="E20" s="2"/>
    </row>
    <row r="21" spans="1:5" ht="15" x14ac:dyDescent="0.2">
      <c r="A21" s="2" t="s">
        <v>351</v>
      </c>
      <c r="B21" s="2">
        <v>1</v>
      </c>
      <c r="C21" s="2"/>
      <c r="D21" s="2"/>
      <c r="E21" s="2"/>
    </row>
    <row r="22" spans="1:5" ht="15" x14ac:dyDescent="0.2">
      <c r="A22" s="2" t="s">
        <v>365</v>
      </c>
      <c r="B22" s="2">
        <v>1</v>
      </c>
      <c r="C22" s="2"/>
      <c r="D22" s="2"/>
      <c r="E22" s="2"/>
    </row>
    <row r="23" spans="1:5" ht="15" x14ac:dyDescent="0.2">
      <c r="A23" s="2" t="s">
        <v>379</v>
      </c>
      <c r="B23" s="2">
        <v>1</v>
      </c>
      <c r="C23" s="2"/>
      <c r="D23" s="2"/>
      <c r="E23" s="2"/>
    </row>
    <row r="24" spans="1:5" ht="15" x14ac:dyDescent="0.2">
      <c r="A24" s="2" t="s">
        <v>395</v>
      </c>
      <c r="B24" s="2">
        <v>1</v>
      </c>
      <c r="C24" s="2"/>
      <c r="D24" s="2"/>
      <c r="E24" s="2"/>
    </row>
    <row r="25" spans="1:5" ht="15" x14ac:dyDescent="0.2">
      <c r="A25" s="2" t="s">
        <v>411</v>
      </c>
      <c r="B25" s="2">
        <v>1</v>
      </c>
      <c r="C25" s="2"/>
      <c r="D25" s="2"/>
      <c r="E25" s="2"/>
    </row>
    <row r="26" spans="1:5" ht="15" x14ac:dyDescent="0.2">
      <c r="A26" s="2" t="s">
        <v>429</v>
      </c>
      <c r="B26" s="2">
        <v>1</v>
      </c>
      <c r="C26" s="2"/>
      <c r="D26" s="2"/>
      <c r="E26" s="2"/>
    </row>
    <row r="27" spans="1:5" ht="15" x14ac:dyDescent="0.2">
      <c r="A27" s="2" t="s">
        <v>445</v>
      </c>
      <c r="B27" s="2">
        <v>1</v>
      </c>
      <c r="C27" s="2"/>
      <c r="D27" s="2"/>
      <c r="E27" s="2"/>
    </row>
    <row r="28" spans="1:5" ht="15" x14ac:dyDescent="0.2">
      <c r="A28" s="2" t="s">
        <v>456</v>
      </c>
      <c r="B28" s="2">
        <v>1</v>
      </c>
      <c r="C28" s="2"/>
      <c r="D28" s="2"/>
      <c r="E28" s="2"/>
    </row>
    <row r="29" spans="1:5" ht="15" x14ac:dyDescent="0.2">
      <c r="A29" s="2" t="s">
        <v>471</v>
      </c>
      <c r="B29" s="2">
        <v>1</v>
      </c>
      <c r="C29" s="2"/>
      <c r="D29" s="2"/>
      <c r="E29" s="2"/>
    </row>
    <row r="30" spans="1:5" ht="15" x14ac:dyDescent="0.2">
      <c r="A30" s="2" t="s">
        <v>486</v>
      </c>
      <c r="B30" s="2">
        <v>1</v>
      </c>
      <c r="C30" s="2"/>
      <c r="D30" s="2"/>
      <c r="E30" s="2"/>
    </row>
    <row r="31" spans="1:5" ht="15" x14ac:dyDescent="0.2">
      <c r="A31" s="2" t="s">
        <v>501</v>
      </c>
      <c r="B31" s="2">
        <v>1</v>
      </c>
      <c r="C31" s="2"/>
      <c r="D31" s="2"/>
      <c r="E31" s="2"/>
    </row>
    <row r="32" spans="1:5" ht="15" x14ac:dyDescent="0.2">
      <c r="A32" s="2" t="s">
        <v>517</v>
      </c>
      <c r="B32" s="2">
        <v>1</v>
      </c>
      <c r="C32" s="2"/>
      <c r="D32" s="2"/>
      <c r="E32" s="2"/>
    </row>
    <row r="33" spans="1:5" ht="15" x14ac:dyDescent="0.2">
      <c r="A33" s="2" t="s">
        <v>531</v>
      </c>
      <c r="B33" s="2">
        <v>1</v>
      </c>
      <c r="C33" s="2"/>
      <c r="D33" s="2"/>
      <c r="E33" s="2"/>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F544-A0F2-48E1-80B8-7F1DF3DF403D}">
  <sheetPr codeName="Feuil15"/>
  <dimension ref="A1:D301"/>
  <sheetViews>
    <sheetView tabSelected="1" workbookViewId="0">
      <selection activeCell="H23" sqref="H23"/>
    </sheetView>
  </sheetViews>
  <sheetFormatPr baseColWidth="10" defaultRowHeight="14.25" x14ac:dyDescent="0.2"/>
  <cols>
    <col min="1" max="1" width="80.875" customWidth="1"/>
  </cols>
  <sheetData>
    <row r="1" spans="1:4" x14ac:dyDescent="0.2">
      <c r="A1" s="5"/>
      <c r="B1" s="5"/>
      <c r="C1" s="5"/>
      <c r="D1" s="5"/>
    </row>
    <row r="5" spans="1:4" x14ac:dyDescent="0.2">
      <c r="A5" t="s">
        <v>950</v>
      </c>
      <c r="B5">
        <f>SUM('(3344502) Action'!M:M)</f>
        <v>123629</v>
      </c>
      <c r="C5">
        <f>SUM('(3308253) Action'!M:M)</f>
        <v>121816</v>
      </c>
      <c r="D5">
        <f>SUM(B5:C5)</f>
        <v>245445</v>
      </c>
    </row>
    <row r="7" spans="1:4" x14ac:dyDescent="0.2">
      <c r="A7" s="5"/>
      <c r="B7" s="5"/>
      <c r="C7" s="5"/>
      <c r="D7" s="5"/>
    </row>
    <row r="16" spans="1:4" x14ac:dyDescent="0.2">
      <c r="A16" s="5"/>
      <c r="B16" s="5"/>
      <c r="C16" s="5"/>
      <c r="D16" s="5"/>
    </row>
    <row r="26" spans="1:4" x14ac:dyDescent="0.2">
      <c r="A26" s="5"/>
      <c r="B26" s="5"/>
      <c r="C26" s="5"/>
      <c r="D26" s="5"/>
    </row>
    <row r="27" spans="1:4" x14ac:dyDescent="0.2">
      <c r="B27">
        <f>COUNTIF('(3344502) Action'!E:E,"*Atelier Jeux*")</f>
        <v>6</v>
      </c>
      <c r="C27">
        <f>COUNTIF('(3308253) Action'!E:E,"*Atelier Jeux*")</f>
        <v>0</v>
      </c>
    </row>
    <row r="28" spans="1:4" x14ac:dyDescent="0.2">
      <c r="B28">
        <f>COUNTIF('(3344502) Action'!E:E,"*Atelier sensibilisation*")</f>
        <v>13</v>
      </c>
      <c r="C28">
        <f>COUNTIF('(3308253) Action'!E:E,"*Atelier sensibilisation*")</f>
        <v>7</v>
      </c>
    </row>
    <row r="29" spans="1:4" x14ac:dyDescent="0.2">
      <c r="B29">
        <f>COUNTIF('(3344502) Action'!E:E,"*Conférence*")</f>
        <v>11</v>
      </c>
      <c r="C29">
        <f>COUNTIF('(3308253) Action'!E:E,"*Conférence*")</f>
        <v>4</v>
      </c>
    </row>
    <row r="30" spans="1:4" x14ac:dyDescent="0.2">
      <c r="B30">
        <f>COUNTIF('(3344502) Action'!E:E,"*Exercice de gestion de crise*")</f>
        <v>3</v>
      </c>
      <c r="C30">
        <f>COUNTIF('(3308253) Action'!E:E,"*Exercice de gestion de crise*")</f>
        <v>0</v>
      </c>
    </row>
    <row r="31" spans="1:4" x14ac:dyDescent="0.2">
      <c r="B31">
        <f>COUNTIF('(3344502) Action'!E:E,"*Exposition*")</f>
        <v>3</v>
      </c>
      <c r="C31">
        <f>COUNTIF('(3308253) Action'!E:E,"*Exposition*")</f>
        <v>2</v>
      </c>
    </row>
    <row r="32" spans="1:4" x14ac:dyDescent="0.2">
      <c r="B32">
        <f>COUNTIF('(3344502) Action'!E:E,"*Formation*")</f>
        <v>13</v>
      </c>
      <c r="C32">
        <f>COUNTIF('(3308253) Action'!E:E,"*Formation*")</f>
        <v>5</v>
      </c>
    </row>
    <row r="33" spans="1:4" x14ac:dyDescent="0.2">
      <c r="B33">
        <f>COUNTIF('(3344502) Action'!E:E,"*Podcast*")</f>
        <v>0</v>
      </c>
      <c r="C33">
        <f>COUNTIF('(3308253) Action'!E:E,"*Podcast*")</f>
        <v>0</v>
      </c>
    </row>
    <row r="34" spans="1:4" x14ac:dyDescent="0.2">
      <c r="B34">
        <f>COUNTIF('(3344502) Action'!E:E,"*Réunion*")</f>
        <v>3</v>
      </c>
      <c r="C34">
        <f>COUNTIF('(3308253) Action'!E:E,"*Réunion d'information*")</f>
        <v>1</v>
      </c>
    </row>
    <row r="35" spans="1:4" x14ac:dyDescent="0.2">
      <c r="B35">
        <f>COUNTIF('(3344502) Action'!E:E,"*Spectacle*")</f>
        <v>2</v>
      </c>
      <c r="C35">
        <f>COUNTIF('(3308253) Action'!E:E,"*Spectacle*")</f>
        <v>1</v>
      </c>
    </row>
    <row r="36" spans="1:4" x14ac:dyDescent="0.2">
      <c r="B36">
        <f>COUNTIF('(3344502) Action'!E:E,"*Visite en plein air*")</f>
        <v>5</v>
      </c>
      <c r="C36">
        <f>COUNTIF('(3308253) Action'!E:E,"*Visite en plein air*")</f>
        <v>4</v>
      </c>
    </row>
    <row r="37" spans="1:4" x14ac:dyDescent="0.2">
      <c r="B37">
        <f>COUNTIF('(3344502) Action'!E:E,"*Visite en intérieur*")</f>
        <v>1</v>
      </c>
      <c r="C37">
        <f>COUNTIF('(3308253) Action'!E:E,"*Visite en intérieur*")</f>
        <v>1</v>
      </c>
    </row>
    <row r="38" spans="1:4" x14ac:dyDescent="0.2">
      <c r="B38">
        <f>COUNTIF('(3344502) Action'!E:E,"*Webinaire*")</f>
        <v>1</v>
      </c>
      <c r="C38">
        <f>COUNTIF('(3308253) Action'!E:E,"*Webinaire*")</f>
        <v>0</v>
      </c>
    </row>
    <row r="39" spans="1:4" x14ac:dyDescent="0.2">
      <c r="B39">
        <f>COUNTIF('(3344502) Action'!E:E,"*Autre*")</f>
        <v>9</v>
      </c>
      <c r="C39">
        <f>COUNTIF('(3308253) Action'!E:E,"*Autre*")</f>
        <v>2</v>
      </c>
    </row>
    <row r="40" spans="1:4" x14ac:dyDescent="0.2">
      <c r="A40" s="5" t="s">
        <v>1407</v>
      </c>
      <c r="B40" s="5"/>
      <c r="C40" s="5"/>
      <c r="D40" s="5"/>
    </row>
    <row r="41" spans="1:4" x14ac:dyDescent="0.2">
      <c r="A41" t="s">
        <v>1112</v>
      </c>
      <c r="B41">
        <f>COUNTIF('(3344502) Action'!F:F,"*Objectif n°1*")</f>
        <v>29</v>
      </c>
      <c r="C41">
        <f>COUNTIF('(3308253) Action'!F:F,"*Objectif n°1*")</f>
        <v>12</v>
      </c>
      <c r="D41">
        <f>SUM(B41:C41)</f>
        <v>41</v>
      </c>
    </row>
    <row r="42" spans="1:4" x14ac:dyDescent="0.2">
      <c r="A42" t="s">
        <v>1408</v>
      </c>
      <c r="B42">
        <f>COUNTIF('(3344502) Action'!F:F,"*Objectif n°2*")</f>
        <v>22</v>
      </c>
      <c r="C42">
        <f>COUNTIF('(3308253) Action'!F:F,"*Objectif n°2*")</f>
        <v>12</v>
      </c>
      <c r="D42">
        <f t="shared" ref="D42:D43" si="0">SUM(B42:C42)</f>
        <v>34</v>
      </c>
    </row>
    <row r="43" spans="1:4" x14ac:dyDescent="0.2">
      <c r="A43" t="s">
        <v>1020</v>
      </c>
      <c r="B43">
        <f>COUNTIF('(3344502) Action'!F:F,"*Objectif n°3*")</f>
        <v>22</v>
      </c>
      <c r="C43">
        <f>COUNTIF('(3308253) Action'!F:F,"*Objectif n°3*")</f>
        <v>13</v>
      </c>
      <c r="D43">
        <f t="shared" si="0"/>
        <v>35</v>
      </c>
    </row>
    <row r="44" spans="1:4" x14ac:dyDescent="0.2">
      <c r="A44" s="5"/>
      <c r="B44" s="5"/>
      <c r="C44" s="5"/>
      <c r="D44" s="5"/>
    </row>
    <row r="45" spans="1:4" x14ac:dyDescent="0.2">
      <c r="A45" t="s">
        <v>945</v>
      </c>
      <c r="B45">
        <f>COUNTIF('(3344502) Action'!G:G,"*Risques naturels*")</f>
        <v>35</v>
      </c>
      <c r="C45">
        <f>COUNTIF('(3308253) Action'!G:G,"*Risques naturels*")</f>
        <v>15</v>
      </c>
      <c r="D45">
        <f>SUM(B45:C45)</f>
        <v>50</v>
      </c>
    </row>
    <row r="46" spans="1:4" x14ac:dyDescent="0.2">
      <c r="A46" t="s">
        <v>946</v>
      </c>
      <c r="B46">
        <f>COUNTIF('(3344502) Action'!G:G,"*Risques technologiques*")</f>
        <v>9</v>
      </c>
      <c r="C46">
        <f>COUNTIF('(3308253) Action'!G:G,"*Risques technologiques*")</f>
        <v>1</v>
      </c>
      <c r="D46">
        <f t="shared" ref="D46:D59" si="1">SUM(B46:C46)</f>
        <v>10</v>
      </c>
    </row>
    <row r="47" spans="1:4" x14ac:dyDescent="0.2">
      <c r="A47" t="s">
        <v>1102</v>
      </c>
      <c r="B47">
        <f>COUNTIF('(3344502) Action'!H:H,"*Inondations*")</f>
        <v>26</v>
      </c>
      <c r="C47">
        <f>COUNTIF('(3308253) Action'!H:H,"*Inondations*")</f>
        <v>14</v>
      </c>
      <c r="D47">
        <f t="shared" si="1"/>
        <v>40</v>
      </c>
    </row>
    <row r="48" spans="1:4" x14ac:dyDescent="0.2">
      <c r="A48" t="s">
        <v>1409</v>
      </c>
      <c r="B48">
        <f>COUNTIF('(3344502) Action'!H:H,"*Feux de forêt*")</f>
        <v>8</v>
      </c>
      <c r="C48">
        <f>COUNTIF('(3308253) Action'!H:H,"*Feux de forêt*")</f>
        <v>1</v>
      </c>
      <c r="D48">
        <f t="shared" si="1"/>
        <v>9</v>
      </c>
    </row>
    <row r="49" spans="1:4" x14ac:dyDescent="0.2">
      <c r="A49" t="s">
        <v>1243</v>
      </c>
      <c r="B49">
        <f>COUNTIF('(3344502) Action'!H:H,"*Tempête/cyclone*")</f>
        <v>16</v>
      </c>
      <c r="C49">
        <f>COUNTIF('(3308253) Action'!H:H,"*Tempête/cyclone*")</f>
        <v>2</v>
      </c>
      <c r="D49">
        <f t="shared" si="1"/>
        <v>18</v>
      </c>
    </row>
    <row r="50" spans="1:4" x14ac:dyDescent="0.2">
      <c r="A50" t="s">
        <v>1156</v>
      </c>
      <c r="B50">
        <f>COUNTIF('(3344502) Action'!H:H,"*Séisme*")</f>
        <v>18</v>
      </c>
      <c r="C50">
        <f>COUNTIF('(3308253) Action'!H:H,"*Séisme*")</f>
        <v>3</v>
      </c>
      <c r="D50">
        <f t="shared" si="1"/>
        <v>21</v>
      </c>
    </row>
    <row r="51" spans="1:4" x14ac:dyDescent="0.2">
      <c r="A51" t="s">
        <v>1410</v>
      </c>
      <c r="B51">
        <f>COUNTIF('(3344502) Action'!H:H,"*volcanique*")</f>
        <v>5</v>
      </c>
      <c r="C51">
        <f>COUNTIF('(3308253) Action'!H:H,"*volcanique*")</f>
        <v>2</v>
      </c>
      <c r="D51">
        <f t="shared" si="1"/>
        <v>7</v>
      </c>
    </row>
    <row r="52" spans="1:4" x14ac:dyDescent="0.2">
      <c r="A52" t="s">
        <v>1040</v>
      </c>
      <c r="B52">
        <f>COUNTIF('(3344502) Action'!H:H,"*littoraux*")</f>
        <v>9</v>
      </c>
      <c r="C52">
        <f>COUNTIF('(3308253) Action'!H:H,"*littoraux*")</f>
        <v>2</v>
      </c>
      <c r="D52">
        <f t="shared" si="1"/>
        <v>11</v>
      </c>
    </row>
    <row r="53" spans="1:4" x14ac:dyDescent="0.2">
      <c r="A53" t="s">
        <v>1411</v>
      </c>
      <c r="B53">
        <f>COUNTIF('(3344502) Action'!H:H,"*Mouvement de terrain*")</f>
        <v>14</v>
      </c>
      <c r="C53">
        <f>COUNTIF('(3308253) Action'!H:H,"*Mouvement de terrain*")</f>
        <v>2</v>
      </c>
      <c r="D53">
        <f t="shared" si="1"/>
        <v>16</v>
      </c>
    </row>
    <row r="54" spans="1:4" x14ac:dyDescent="0.2">
      <c r="A54" t="s">
        <v>1412</v>
      </c>
      <c r="B54">
        <f>COUNTIF('(3344502) Action'!H:H,"*Avalanche*")</f>
        <v>2</v>
      </c>
      <c r="C54">
        <f>COUNTIF('(3308253) Action'!H:H,"*Avalanche*")</f>
        <v>0</v>
      </c>
      <c r="D54">
        <f t="shared" si="1"/>
        <v>2</v>
      </c>
    </row>
    <row r="55" spans="1:4" x14ac:dyDescent="0.2">
      <c r="A55" t="s">
        <v>1413</v>
      </c>
      <c r="B55">
        <f>COUNTIF('(3344502) Action'!H:H,"*Radon*")</f>
        <v>3</v>
      </c>
      <c r="C55">
        <f>COUNTIF('(3308253) Action'!H:H,"*Radon*")</f>
        <v>2</v>
      </c>
      <c r="D55">
        <f t="shared" si="1"/>
        <v>5</v>
      </c>
    </row>
    <row r="56" spans="1:4" x14ac:dyDescent="0.2">
      <c r="A56" t="s">
        <v>1077</v>
      </c>
      <c r="B56">
        <f>COUNTIF('(3344502) Action'!I:I,"*Accidents industriels*")</f>
        <v>5</v>
      </c>
      <c r="C56">
        <f>COUNTIF('(3308253) Action'!I:I,"*Accidents industriels*")</f>
        <v>1</v>
      </c>
      <c r="D56">
        <f t="shared" si="1"/>
        <v>6</v>
      </c>
    </row>
    <row r="57" spans="1:4" x14ac:dyDescent="0.2">
      <c r="A57" t="s">
        <v>1028</v>
      </c>
      <c r="B57">
        <f>COUNTIF('(3344502) Action'!I:I,"*Accidents nucléaires*")</f>
        <v>4</v>
      </c>
      <c r="C57">
        <f>COUNTIF('(3308253) Action'!I:I,"*Accidents nucléaires*")</f>
        <v>0</v>
      </c>
      <c r="D57">
        <f t="shared" si="1"/>
        <v>4</v>
      </c>
    </row>
    <row r="58" spans="1:4" x14ac:dyDescent="0.2">
      <c r="A58" t="s">
        <v>1414</v>
      </c>
      <c r="B58">
        <f>COUNTIF('(3344502) Action'!I:I,"*barrage*")</f>
        <v>4</v>
      </c>
      <c r="C58">
        <f>COUNTIF('(3308253) Action'!I:I,"*barrage*")</f>
        <v>0</v>
      </c>
      <c r="D58">
        <f t="shared" si="1"/>
        <v>4</v>
      </c>
    </row>
    <row r="59" spans="1:4" x14ac:dyDescent="0.2">
      <c r="A59" t="s">
        <v>1141</v>
      </c>
      <c r="B59">
        <f>COUNTIF('(3344502) Action'!I:I,"*Transport de matières dangereuses*")</f>
        <v>6</v>
      </c>
      <c r="C59">
        <f>COUNTIF('(3308253) Action'!I:I,"*Transport de matières dangereuses*")</f>
        <v>0</v>
      </c>
      <c r="D59">
        <f t="shared" si="1"/>
        <v>6</v>
      </c>
    </row>
    <row r="60" spans="1:4" x14ac:dyDescent="0.2">
      <c r="A60" s="5" t="s">
        <v>1415</v>
      </c>
      <c r="B60" s="5"/>
      <c r="C60" s="5"/>
      <c r="D60" s="5"/>
    </row>
    <row r="61" spans="1:4" x14ac:dyDescent="0.2">
      <c r="A61" t="s">
        <v>1416</v>
      </c>
      <c r="B61">
        <f>COUNTIF('(3344502) Action'!J:J,"Oui")</f>
        <v>29</v>
      </c>
      <c r="C61">
        <f>COUNTIF('(3308253) Action'!J:J,"Oui")</f>
        <v>14</v>
      </c>
      <c r="D61">
        <f>SUM(B61:C61)</f>
        <v>43</v>
      </c>
    </row>
    <row r="62" spans="1:4" x14ac:dyDescent="0.2">
      <c r="A62" t="s">
        <v>967</v>
      </c>
      <c r="B62">
        <f>COUNTIF('(3344502) Action'!K:K,"*Tous public*")</f>
        <v>28</v>
      </c>
      <c r="C62">
        <f>COUNTIF('(3308253) Action'!K:K,"*Tous public*")</f>
        <v>13</v>
      </c>
      <c r="D62">
        <f t="shared" ref="D62:D72" si="2">SUM(B62:C62)</f>
        <v>41</v>
      </c>
    </row>
    <row r="63" spans="1:4" x14ac:dyDescent="0.2">
      <c r="A63" t="s">
        <v>1417</v>
      </c>
      <c r="B63">
        <f>COUNTIF('(3344502) Action'!K:K,"*Famille*")</f>
        <v>7</v>
      </c>
      <c r="C63">
        <f>COUNTIF('(3308253) Action'!K:K,"*Famille*")</f>
        <v>4</v>
      </c>
      <c r="D63">
        <f t="shared" si="2"/>
        <v>11</v>
      </c>
    </row>
    <row r="64" spans="1:4" x14ac:dyDescent="0.2">
      <c r="A64" t="s">
        <v>1295</v>
      </c>
      <c r="B64">
        <f>COUNTIF('(3344502) Action'!K:K,"*Jeune public*")</f>
        <v>7</v>
      </c>
      <c r="C64">
        <f>COUNTIF('(3308253) Action'!K:K,"*Jeune public*")</f>
        <v>5</v>
      </c>
      <c r="D64">
        <f t="shared" si="2"/>
        <v>12</v>
      </c>
    </row>
    <row r="65" spans="1:4" x14ac:dyDescent="0.2">
      <c r="A65" t="s">
        <v>1418</v>
      </c>
      <c r="B65">
        <f>COUNTIF('(3344502) Action'!K:K,"*Séniors*")</f>
        <v>8</v>
      </c>
      <c r="C65">
        <f>COUNTIF('(3308253) Action'!K:K,"*Séniors*")</f>
        <v>4</v>
      </c>
      <c r="D65">
        <f t="shared" si="2"/>
        <v>12</v>
      </c>
    </row>
    <row r="66" spans="1:4" x14ac:dyDescent="0.2">
      <c r="A66" t="s">
        <v>949</v>
      </c>
      <c r="B66">
        <f>COUNTIF('(3344502) Action'!J:J,"Non")</f>
        <v>7</v>
      </c>
      <c r="C66">
        <f>COUNTIF('(3308253) Action'!J:J,"Non")</f>
        <v>23</v>
      </c>
      <c r="D66">
        <f t="shared" si="2"/>
        <v>30</v>
      </c>
    </row>
    <row r="67" spans="1:4" x14ac:dyDescent="0.2">
      <c r="A67" t="s">
        <v>1187</v>
      </c>
      <c r="B67">
        <f>COUNTIF('(3344502) Action'!L:L,"*Elu*")</f>
        <v>3</v>
      </c>
      <c r="C67">
        <f>COUNTIF('(3308253) Action'!L:L,"*Elu*")</f>
        <v>0</v>
      </c>
      <c r="D67">
        <f t="shared" si="2"/>
        <v>3</v>
      </c>
    </row>
    <row r="68" spans="1:4" x14ac:dyDescent="0.2">
      <c r="A68" t="s">
        <v>1014</v>
      </c>
      <c r="B68">
        <f>COUNTIF('(3344502) Action'!L:L,"*Salarié*")</f>
        <v>4</v>
      </c>
      <c r="C68">
        <f>COUNTIF('(3308253) Action'!L:L,"*Salarié*")</f>
        <v>0</v>
      </c>
      <c r="D68">
        <f t="shared" si="2"/>
        <v>4</v>
      </c>
    </row>
    <row r="69" spans="1:4" x14ac:dyDescent="0.2">
      <c r="A69" t="s">
        <v>1419</v>
      </c>
      <c r="B69">
        <f>COUNTIF('(3344502) Action'!L:L,"*Etudiant*")</f>
        <v>0</v>
      </c>
      <c r="C69">
        <f>COUNTIF('(3308253) Action'!L:L,"*Etudiant*")</f>
        <v>0</v>
      </c>
      <c r="D69">
        <f t="shared" si="2"/>
        <v>0</v>
      </c>
    </row>
    <row r="70" spans="1:4" x14ac:dyDescent="0.2">
      <c r="A70" t="s">
        <v>1157</v>
      </c>
      <c r="B70">
        <f>COUNTIF('(3344502) Action'!L:L,"*Scolaire*")</f>
        <v>1</v>
      </c>
      <c r="C70">
        <f>COUNTIF('(3308253) Action'!L:L,"*Scolaire*")</f>
        <v>1</v>
      </c>
      <c r="D70">
        <f t="shared" si="2"/>
        <v>2</v>
      </c>
    </row>
    <row r="71" spans="1:4" x14ac:dyDescent="0.2">
      <c r="A71" t="s">
        <v>1420</v>
      </c>
      <c r="B71">
        <f>COUNTIF('(3344502) Action'!L:L,"*Personne vulnérable*")</f>
        <v>0</v>
      </c>
      <c r="C71">
        <f>COUNTIF('(3308253) Action'!L:L,"*Personne vulnérable*")</f>
        <v>0</v>
      </c>
      <c r="D71">
        <f t="shared" si="2"/>
        <v>0</v>
      </c>
    </row>
    <row r="72" spans="1:4" x14ac:dyDescent="0.2">
      <c r="A72" t="s">
        <v>1378</v>
      </c>
      <c r="B72">
        <f>COUNTIF('(3344502) Action'!L:L,"*Autres*")</f>
        <v>3</v>
      </c>
      <c r="C72">
        <f>COUNTIF('(3308253) Action'!L:L,"*Autres*")</f>
        <v>0</v>
      </c>
      <c r="D72">
        <f t="shared" si="2"/>
        <v>3</v>
      </c>
    </row>
    <row r="73" spans="1:4" x14ac:dyDescent="0.2">
      <c r="A73" s="5" t="s">
        <v>1421</v>
      </c>
      <c r="B73" s="5"/>
      <c r="C73" s="5"/>
      <c r="D73" s="5"/>
    </row>
    <row r="74" spans="1:4" x14ac:dyDescent="0.2">
      <c r="A74" s="6" t="s">
        <v>642</v>
      </c>
      <c r="B74">
        <f>COUNTIF('(3344502) Action'!W:W,"01")</f>
        <v>0</v>
      </c>
      <c r="C74">
        <f>COUNTIF('(3308215) Localisation'!I:I,"01")</f>
        <v>0</v>
      </c>
      <c r="D74">
        <f t="shared" ref="D74:D137" si="3">SUM(B74:C74)</f>
        <v>0</v>
      </c>
    </row>
    <row r="75" spans="1:4" x14ac:dyDescent="0.2">
      <c r="A75" s="6" t="s">
        <v>609</v>
      </c>
      <c r="B75">
        <f>COUNTIF('(3344502) Action'!W:W,"02")</f>
        <v>0</v>
      </c>
      <c r="C75">
        <f>COUNTIF('(3308215) Localisation'!I:I,"02")</f>
        <v>2</v>
      </c>
      <c r="D75">
        <f t="shared" si="3"/>
        <v>2</v>
      </c>
    </row>
    <row r="76" spans="1:4" x14ac:dyDescent="0.2">
      <c r="A76" s="6" t="s">
        <v>679</v>
      </c>
      <c r="B76">
        <f>COUNTIF('(3344502) Action'!W:W,"03")</f>
        <v>0</v>
      </c>
      <c r="C76">
        <f>COUNTIF('(3308215) Localisation'!I:I,"03")</f>
        <v>0</v>
      </c>
      <c r="D76">
        <f t="shared" si="3"/>
        <v>0</v>
      </c>
    </row>
    <row r="77" spans="1:4" x14ac:dyDescent="0.2">
      <c r="A77" s="6" t="s">
        <v>1422</v>
      </c>
      <c r="B77">
        <f>COUNTIF('(3344502) Action'!W:W,"04")</f>
        <v>0</v>
      </c>
      <c r="C77">
        <f>COUNTIF('(3308215) Localisation'!I:I,"04")</f>
        <v>0</v>
      </c>
      <c r="D77">
        <f t="shared" si="3"/>
        <v>0</v>
      </c>
    </row>
    <row r="78" spans="1:4" x14ac:dyDescent="0.2">
      <c r="A78" s="6" t="s">
        <v>1423</v>
      </c>
      <c r="B78">
        <f>COUNTIF('(3344502) Action'!W:W,"05")</f>
        <v>0</v>
      </c>
      <c r="C78">
        <f>COUNTIF('(3308215) Localisation'!I:I,"05")</f>
        <v>0</v>
      </c>
      <c r="D78">
        <f t="shared" si="3"/>
        <v>0</v>
      </c>
    </row>
    <row r="79" spans="1:4" x14ac:dyDescent="0.2">
      <c r="A79" s="6" t="s">
        <v>1163</v>
      </c>
      <c r="B79">
        <f>COUNTIF('(3344502) Action'!W:W,"06")</f>
        <v>1</v>
      </c>
      <c r="C79">
        <f>COUNTIF('(3308215) Localisation'!I:I,"06")</f>
        <v>1</v>
      </c>
      <c r="D79">
        <f t="shared" si="3"/>
        <v>2</v>
      </c>
    </row>
    <row r="80" spans="1:4" x14ac:dyDescent="0.2">
      <c r="A80" s="6" t="s">
        <v>1424</v>
      </c>
      <c r="B80">
        <f>COUNTIF('(3344502) Action'!W:W,"07")</f>
        <v>0</v>
      </c>
      <c r="C80">
        <f>COUNTIF('(3308215) Localisation'!I:I,"07")</f>
        <v>0</v>
      </c>
      <c r="D80">
        <f t="shared" si="3"/>
        <v>0</v>
      </c>
    </row>
    <row r="81" spans="1:4" x14ac:dyDescent="0.2">
      <c r="A81" s="6" t="s">
        <v>1425</v>
      </c>
      <c r="B81">
        <f>COUNTIF('(3344502) Action'!W:W,"08")</f>
        <v>0</v>
      </c>
      <c r="C81">
        <f>COUNTIF('(3308215) Localisation'!I:I,"08")</f>
        <v>0</v>
      </c>
      <c r="D81">
        <f t="shared" si="3"/>
        <v>0</v>
      </c>
    </row>
    <row r="82" spans="1:4" x14ac:dyDescent="0.2">
      <c r="A82" s="6" t="s">
        <v>1426</v>
      </c>
      <c r="B82">
        <f>COUNTIF('(3344502) Action'!W:W,"09")</f>
        <v>0</v>
      </c>
      <c r="C82">
        <f>COUNTIF('(3308215) Localisation'!I:I,"09")</f>
        <v>0</v>
      </c>
      <c r="D82">
        <f t="shared" si="3"/>
        <v>0</v>
      </c>
    </row>
    <row r="83" spans="1:4" x14ac:dyDescent="0.2">
      <c r="A83" s="6" t="s">
        <v>1427</v>
      </c>
      <c r="B83">
        <f>COUNTIF('(3344502) Action'!W:W,"10")</f>
        <v>0</v>
      </c>
      <c r="C83">
        <f>COUNTIF('(3308215) Localisation'!I:I,"10")</f>
        <v>0</v>
      </c>
      <c r="D83">
        <f t="shared" si="3"/>
        <v>0</v>
      </c>
    </row>
    <row r="84" spans="1:4" x14ac:dyDescent="0.2">
      <c r="A84" s="6" t="s">
        <v>613</v>
      </c>
      <c r="B84">
        <f>COUNTIF('(3344502) Action'!W:W,"11")</f>
        <v>1</v>
      </c>
      <c r="C84">
        <f>COUNTIF('(3308215) Localisation'!I:I,"11")</f>
        <v>0</v>
      </c>
      <c r="D84">
        <f t="shared" si="3"/>
        <v>1</v>
      </c>
    </row>
    <row r="85" spans="1:4" x14ac:dyDescent="0.2">
      <c r="A85" s="6" t="s">
        <v>635</v>
      </c>
      <c r="B85">
        <f>COUNTIF('(3344502) Action'!W:W,"12")</f>
        <v>0</v>
      </c>
      <c r="C85">
        <f>COUNTIF('(3308215) Localisation'!I:I,"12")</f>
        <v>0</v>
      </c>
      <c r="D85">
        <f t="shared" si="3"/>
        <v>0</v>
      </c>
    </row>
    <row r="86" spans="1:4" x14ac:dyDescent="0.2">
      <c r="A86" s="6" t="s">
        <v>693</v>
      </c>
      <c r="B86">
        <f>COUNTIF('(3344502) Action'!W:W,"13")</f>
        <v>1</v>
      </c>
      <c r="C86">
        <f>COUNTIF('(3308215) Localisation'!I:I,"13")</f>
        <v>0</v>
      </c>
      <c r="D86">
        <f t="shared" si="3"/>
        <v>1</v>
      </c>
    </row>
    <row r="87" spans="1:4" x14ac:dyDescent="0.2">
      <c r="A87" s="6" t="s">
        <v>1428</v>
      </c>
      <c r="B87">
        <f>COUNTIF('(3344502) Action'!W:W,"14")</f>
        <v>0</v>
      </c>
      <c r="C87">
        <f>COUNTIF('(3308215) Localisation'!I:I,"14")</f>
        <v>0</v>
      </c>
      <c r="D87">
        <f t="shared" si="3"/>
        <v>0</v>
      </c>
    </row>
    <row r="88" spans="1:4" x14ac:dyDescent="0.2">
      <c r="A88" s="6" t="s">
        <v>1429</v>
      </c>
      <c r="B88">
        <f>COUNTIF('(3344502) Action'!W:W,"15")</f>
        <v>0</v>
      </c>
      <c r="C88">
        <f>COUNTIF('(3308215) Localisation'!I:I,"15")</f>
        <v>0</v>
      </c>
      <c r="D88">
        <f t="shared" si="3"/>
        <v>0</v>
      </c>
    </row>
    <row r="89" spans="1:4" x14ac:dyDescent="0.2">
      <c r="A89" s="6" t="s">
        <v>823</v>
      </c>
      <c r="B89">
        <f>COUNTIF('(3344502) Action'!W:W,"16")</f>
        <v>0</v>
      </c>
      <c r="C89">
        <f>COUNTIF('(3308215) Localisation'!I:I,"16")</f>
        <v>0</v>
      </c>
      <c r="D89">
        <f t="shared" si="3"/>
        <v>0</v>
      </c>
    </row>
    <row r="90" spans="1:4" x14ac:dyDescent="0.2">
      <c r="A90" s="6" t="s">
        <v>1056</v>
      </c>
      <c r="B90">
        <f>COUNTIF('(3344502) Action'!W:W,"17")</f>
        <v>1</v>
      </c>
      <c r="C90">
        <f>COUNTIF('(3308215) Localisation'!I:I,"17")</f>
        <v>0</v>
      </c>
      <c r="D90">
        <f t="shared" si="3"/>
        <v>1</v>
      </c>
    </row>
    <row r="91" spans="1:4" x14ac:dyDescent="0.2">
      <c r="A91" s="6" t="s">
        <v>1430</v>
      </c>
      <c r="B91">
        <f>COUNTIF('(3344502) Action'!W:W,"18")</f>
        <v>0</v>
      </c>
      <c r="C91">
        <f>COUNTIF('(3308215) Localisation'!I:I,"18")</f>
        <v>0</v>
      </c>
      <c r="D91">
        <f t="shared" si="3"/>
        <v>0</v>
      </c>
    </row>
    <row r="92" spans="1:4" x14ac:dyDescent="0.2">
      <c r="A92" s="6" t="s">
        <v>1431</v>
      </c>
      <c r="B92">
        <f>COUNTIF('(3344502) Action'!W:W,"19")</f>
        <v>0</v>
      </c>
      <c r="C92">
        <f>COUNTIF('(3308215) Localisation'!I:I,"19")</f>
        <v>0</v>
      </c>
      <c r="D92">
        <f t="shared" si="3"/>
        <v>0</v>
      </c>
    </row>
    <row r="93" spans="1:4" x14ac:dyDescent="0.2">
      <c r="A93" s="6" t="s">
        <v>1432</v>
      </c>
      <c r="B93">
        <f>COUNTIF('(3344502) Action'!W:W,"20")</f>
        <v>0</v>
      </c>
      <c r="C93">
        <f>COUNTIF('(3308215) Localisation'!I:I,"20")</f>
        <v>0</v>
      </c>
      <c r="D93">
        <f t="shared" si="3"/>
        <v>0</v>
      </c>
    </row>
    <row r="94" spans="1:4" x14ac:dyDescent="0.2">
      <c r="A94" s="6" t="s">
        <v>840</v>
      </c>
      <c r="B94">
        <f>COUNTIF('(3344502) Action'!W:W,"21")</f>
        <v>0</v>
      </c>
      <c r="C94">
        <f>COUNTIF('(3308215) Localisation'!I:I,"21")</f>
        <v>0</v>
      </c>
      <c r="D94">
        <f t="shared" si="3"/>
        <v>0</v>
      </c>
    </row>
    <row r="95" spans="1:4" x14ac:dyDescent="0.2">
      <c r="A95" s="6" t="s">
        <v>656</v>
      </c>
      <c r="B95">
        <f>COUNTIF('(3344502) Action'!W:W,"22")</f>
        <v>0</v>
      </c>
      <c r="C95">
        <f>COUNTIF('(3308215) Localisation'!I:I,"22")</f>
        <v>0</v>
      </c>
      <c r="D95">
        <f t="shared" si="3"/>
        <v>0</v>
      </c>
    </row>
    <row r="96" spans="1:4" x14ac:dyDescent="0.2">
      <c r="A96" s="6" t="s">
        <v>1433</v>
      </c>
      <c r="B96">
        <f>COUNTIF('(3344502) Action'!W:W,"23")</f>
        <v>0</v>
      </c>
      <c r="C96">
        <f>COUNTIF('(3308215) Localisation'!I:I,"23")</f>
        <v>0</v>
      </c>
      <c r="D96">
        <f t="shared" si="3"/>
        <v>0</v>
      </c>
    </row>
    <row r="97" spans="1:4" x14ac:dyDescent="0.2">
      <c r="A97" s="6" t="s">
        <v>1434</v>
      </c>
      <c r="B97">
        <f>COUNTIF('(3344502) Action'!W:W,"24")</f>
        <v>0</v>
      </c>
      <c r="C97">
        <f>COUNTIF('(3308215) Localisation'!I:I,"24")</f>
        <v>0</v>
      </c>
      <c r="D97">
        <f t="shared" si="3"/>
        <v>0</v>
      </c>
    </row>
    <row r="98" spans="1:4" x14ac:dyDescent="0.2">
      <c r="A98" s="6" t="s">
        <v>1435</v>
      </c>
      <c r="B98">
        <f>COUNTIF('(3344502) Action'!W:W,"25")</f>
        <v>0</v>
      </c>
      <c r="C98">
        <f>COUNTIF('(3308215) Localisation'!I:I,"25")</f>
        <v>0</v>
      </c>
      <c r="D98">
        <f t="shared" si="3"/>
        <v>0</v>
      </c>
    </row>
    <row r="99" spans="1:4" x14ac:dyDescent="0.2">
      <c r="A99" s="6" t="s">
        <v>1209</v>
      </c>
      <c r="B99">
        <f>COUNTIF('(3344502) Action'!W:W,"26")</f>
        <v>1</v>
      </c>
      <c r="C99">
        <f>COUNTIF('(3308215) Localisation'!I:I,"26")</f>
        <v>0</v>
      </c>
      <c r="D99">
        <f t="shared" si="3"/>
        <v>1</v>
      </c>
    </row>
    <row r="100" spans="1:4" x14ac:dyDescent="0.2">
      <c r="A100" s="6" t="s">
        <v>1436</v>
      </c>
      <c r="B100">
        <f>COUNTIF('(3344502) Action'!W:W,"27")</f>
        <v>0</v>
      </c>
      <c r="C100">
        <f>COUNTIF('(3308215) Localisation'!I:I,"27")</f>
        <v>0</v>
      </c>
      <c r="D100">
        <f t="shared" si="3"/>
        <v>0</v>
      </c>
    </row>
    <row r="101" spans="1:4" x14ac:dyDescent="0.2">
      <c r="A101" s="6" t="s">
        <v>1437</v>
      </c>
      <c r="B101">
        <f>COUNTIF('(3344502) Action'!W:W,"28")</f>
        <v>0</v>
      </c>
      <c r="C101">
        <f>COUNTIF('(3308215) Localisation'!I:I,"28")</f>
        <v>0</v>
      </c>
      <c r="D101">
        <f t="shared" si="3"/>
        <v>0</v>
      </c>
    </row>
    <row r="102" spans="1:4" x14ac:dyDescent="0.2">
      <c r="A102" s="6" t="s">
        <v>1438</v>
      </c>
      <c r="B102">
        <f>COUNTIF('(3344502) Action'!W:W,"29")</f>
        <v>0</v>
      </c>
      <c r="C102">
        <f>COUNTIF('(3308215) Localisation'!I:I,"29")</f>
        <v>0</v>
      </c>
      <c r="D102">
        <f t="shared" si="3"/>
        <v>0</v>
      </c>
    </row>
    <row r="103" spans="1:4" x14ac:dyDescent="0.2">
      <c r="A103" s="6" t="s">
        <v>1439</v>
      </c>
      <c r="B103">
        <f>COUNTIF('(3344502) Action'!W:W,"30")</f>
        <v>0</v>
      </c>
      <c r="C103">
        <f>COUNTIF('(3308215) Localisation'!I:I,"30")</f>
        <v>0</v>
      </c>
      <c r="D103">
        <f t="shared" si="3"/>
        <v>0</v>
      </c>
    </row>
    <row r="104" spans="1:4" x14ac:dyDescent="0.2">
      <c r="A104" s="6" t="s">
        <v>864</v>
      </c>
      <c r="B104">
        <f>COUNTIF('(3344502) Action'!W:W,"31")</f>
        <v>0</v>
      </c>
      <c r="C104">
        <f>COUNTIF('(3308215) Localisation'!I:I,"31")</f>
        <v>0</v>
      </c>
      <c r="D104">
        <f t="shared" si="3"/>
        <v>0</v>
      </c>
    </row>
    <row r="105" spans="1:4" x14ac:dyDescent="0.2">
      <c r="A105" s="6" t="s">
        <v>594</v>
      </c>
      <c r="B105">
        <f>COUNTIF('(3344502) Action'!W:W,"32")</f>
        <v>0</v>
      </c>
      <c r="C105">
        <f>COUNTIF('(3308215) Localisation'!I:I,"32")</f>
        <v>0</v>
      </c>
      <c r="D105">
        <f t="shared" si="3"/>
        <v>0</v>
      </c>
    </row>
    <row r="106" spans="1:4" x14ac:dyDescent="0.2">
      <c r="A106" s="6" t="s">
        <v>1440</v>
      </c>
      <c r="B106">
        <f>COUNTIF('(3344502) Action'!W:W,"33")</f>
        <v>0</v>
      </c>
      <c r="C106">
        <f>COUNTIF('(3308215) Localisation'!I:I,"33")</f>
        <v>0</v>
      </c>
      <c r="D106">
        <f t="shared" si="3"/>
        <v>0</v>
      </c>
    </row>
    <row r="107" spans="1:4" x14ac:dyDescent="0.2">
      <c r="A107" s="6" t="s">
        <v>738</v>
      </c>
      <c r="B107">
        <f>COUNTIF('(3344502) Action'!W:W,"34")</f>
        <v>1</v>
      </c>
      <c r="C107">
        <f>COUNTIF('(3308215) Localisation'!I:I,"34")</f>
        <v>0</v>
      </c>
      <c r="D107">
        <f t="shared" si="3"/>
        <v>1</v>
      </c>
    </row>
    <row r="108" spans="1:4" x14ac:dyDescent="0.2">
      <c r="A108" s="6" t="s">
        <v>1011</v>
      </c>
      <c r="B108">
        <f>COUNTIF('(3344502) Action'!W:W,"35")</f>
        <v>2</v>
      </c>
      <c r="C108">
        <f>COUNTIF('(3308215) Localisation'!I:I,"35")</f>
        <v>0</v>
      </c>
      <c r="D108">
        <f t="shared" si="3"/>
        <v>2</v>
      </c>
    </row>
    <row r="109" spans="1:4" x14ac:dyDescent="0.2">
      <c r="A109" s="6" t="s">
        <v>1441</v>
      </c>
      <c r="B109">
        <f>COUNTIF('(3344502) Action'!W:W,"36")</f>
        <v>0</v>
      </c>
      <c r="C109">
        <f>COUNTIF('(3308215) Localisation'!I:I,"36")</f>
        <v>0</v>
      </c>
      <c r="D109">
        <f t="shared" si="3"/>
        <v>0</v>
      </c>
    </row>
    <row r="110" spans="1:4" x14ac:dyDescent="0.2">
      <c r="A110" s="6" t="s">
        <v>1442</v>
      </c>
      <c r="B110">
        <f>COUNTIF('(3344502) Action'!W:W,"37")</f>
        <v>0</v>
      </c>
      <c r="C110">
        <f>COUNTIF('(3308215) Localisation'!I:I,"37")</f>
        <v>0</v>
      </c>
      <c r="D110">
        <f t="shared" si="3"/>
        <v>0</v>
      </c>
    </row>
    <row r="111" spans="1:4" x14ac:dyDescent="0.2">
      <c r="A111" s="6" t="s">
        <v>1443</v>
      </c>
      <c r="B111">
        <f>COUNTIF('(3344502) Action'!W:W,"38")</f>
        <v>0</v>
      </c>
      <c r="C111">
        <f>COUNTIF('(3308215) Localisation'!I:I,"38")</f>
        <v>0</v>
      </c>
      <c r="D111">
        <f t="shared" si="3"/>
        <v>0</v>
      </c>
    </row>
    <row r="112" spans="1:4" x14ac:dyDescent="0.2">
      <c r="A112" s="6" t="s">
        <v>1444</v>
      </c>
      <c r="B112">
        <f>COUNTIF('(3344502) Action'!W:W,"39")</f>
        <v>0</v>
      </c>
      <c r="C112">
        <f>COUNTIF('(3308215) Localisation'!I:I,"39")</f>
        <v>0</v>
      </c>
      <c r="D112">
        <f t="shared" si="3"/>
        <v>0</v>
      </c>
    </row>
    <row r="113" spans="1:4" x14ac:dyDescent="0.2">
      <c r="A113" s="6" t="s">
        <v>1445</v>
      </c>
      <c r="B113">
        <f>COUNTIF('(3344502) Action'!W:W,"40")</f>
        <v>0</v>
      </c>
      <c r="C113">
        <f>COUNTIF('(3308215) Localisation'!I:I,"40")</f>
        <v>0</v>
      </c>
      <c r="D113">
        <f t="shared" si="3"/>
        <v>0</v>
      </c>
    </row>
    <row r="114" spans="1:4" x14ac:dyDescent="0.2">
      <c r="A114" s="6" t="s">
        <v>767</v>
      </c>
      <c r="B114">
        <f>COUNTIF('(3344502) Action'!W:W,"41")</f>
        <v>0</v>
      </c>
      <c r="C114">
        <f>COUNTIF('(3308215) Localisation'!I:I,"41")</f>
        <v>0</v>
      </c>
      <c r="D114">
        <f t="shared" si="3"/>
        <v>0</v>
      </c>
    </row>
    <row r="115" spans="1:4" x14ac:dyDescent="0.2">
      <c r="A115" s="6" t="s">
        <v>736</v>
      </c>
      <c r="B115">
        <f>COUNTIF('(3344502) Action'!W:W,"42")</f>
        <v>0</v>
      </c>
      <c r="C115">
        <f>COUNTIF('(3308215) Localisation'!I:I,"42")</f>
        <v>0</v>
      </c>
      <c r="D115">
        <f t="shared" si="3"/>
        <v>0</v>
      </c>
    </row>
    <row r="116" spans="1:4" x14ac:dyDescent="0.2">
      <c r="A116" s="6" t="s">
        <v>1446</v>
      </c>
      <c r="B116">
        <f>COUNTIF('(3344502) Action'!W:W,"43")</f>
        <v>0</v>
      </c>
      <c r="C116">
        <f>COUNTIF('(3308215) Localisation'!I:I,"43")</f>
        <v>0</v>
      </c>
      <c r="D116">
        <f t="shared" si="3"/>
        <v>0</v>
      </c>
    </row>
    <row r="117" spans="1:4" x14ac:dyDescent="0.2">
      <c r="A117" s="6" t="s">
        <v>1447</v>
      </c>
      <c r="B117">
        <f>COUNTIF('(3344502) Action'!W:W,"44")</f>
        <v>0</v>
      </c>
      <c r="C117">
        <f>COUNTIF('(3308215) Localisation'!I:I,"44")</f>
        <v>0</v>
      </c>
      <c r="D117">
        <f t="shared" si="3"/>
        <v>0</v>
      </c>
    </row>
    <row r="118" spans="1:4" x14ac:dyDescent="0.2">
      <c r="A118" s="6" t="s">
        <v>1448</v>
      </c>
      <c r="B118">
        <f>COUNTIF('(3344502) Action'!W:W,"45")</f>
        <v>0</v>
      </c>
      <c r="C118">
        <f>COUNTIF('(3308215) Localisation'!I:I,"45")</f>
        <v>0</v>
      </c>
      <c r="D118">
        <f t="shared" si="3"/>
        <v>0</v>
      </c>
    </row>
    <row r="119" spans="1:4" x14ac:dyDescent="0.2">
      <c r="A119" s="6" t="s">
        <v>1449</v>
      </c>
      <c r="B119">
        <f>COUNTIF('(3344502) Action'!W:W,"46")</f>
        <v>0</v>
      </c>
      <c r="C119">
        <f>COUNTIF('(3308215) Localisation'!I:I,"46")</f>
        <v>0</v>
      </c>
      <c r="D119">
        <f t="shared" si="3"/>
        <v>0</v>
      </c>
    </row>
    <row r="120" spans="1:4" x14ac:dyDescent="0.2">
      <c r="A120" s="6" t="s">
        <v>1450</v>
      </c>
      <c r="B120">
        <f>COUNTIF('(3344502) Action'!W:W,"47")</f>
        <v>0</v>
      </c>
      <c r="C120">
        <f>COUNTIF('(3308215) Localisation'!I:I,"47")</f>
        <v>0</v>
      </c>
      <c r="D120">
        <f t="shared" si="3"/>
        <v>0</v>
      </c>
    </row>
    <row r="121" spans="1:4" x14ac:dyDescent="0.2">
      <c r="A121" s="6" t="s">
        <v>1451</v>
      </c>
      <c r="B121">
        <f>COUNTIF('(3344502) Action'!W:W,"48")</f>
        <v>0</v>
      </c>
      <c r="C121">
        <f>COUNTIF('(3308215) Localisation'!I:I,"48")</f>
        <v>0</v>
      </c>
      <c r="D121">
        <f t="shared" si="3"/>
        <v>0</v>
      </c>
    </row>
    <row r="122" spans="1:4" x14ac:dyDescent="0.2">
      <c r="A122" s="6" t="s">
        <v>1117</v>
      </c>
      <c r="B122">
        <f>COUNTIF('(3344502) Action'!W:W,"49")</f>
        <v>5</v>
      </c>
      <c r="C122">
        <f>COUNTIF('(3308215) Localisation'!I:I,"49")</f>
        <v>4</v>
      </c>
      <c r="D122">
        <f t="shared" si="3"/>
        <v>9</v>
      </c>
    </row>
    <row r="123" spans="1:4" x14ac:dyDescent="0.2">
      <c r="A123" s="6" t="s">
        <v>1452</v>
      </c>
      <c r="B123">
        <f>COUNTIF('(3344502) Action'!W:W,"50")</f>
        <v>0</v>
      </c>
      <c r="C123">
        <f>COUNTIF('(3308215) Localisation'!I:I,"50")</f>
        <v>0</v>
      </c>
      <c r="D123">
        <f t="shared" si="3"/>
        <v>0</v>
      </c>
    </row>
    <row r="124" spans="1:4" x14ac:dyDescent="0.2">
      <c r="A124" s="6" t="s">
        <v>1453</v>
      </c>
      <c r="B124">
        <f>COUNTIF('(3344502) Action'!W:W,"51")</f>
        <v>0</v>
      </c>
      <c r="C124">
        <f>COUNTIF('(3308215) Localisation'!I:I,"51")</f>
        <v>0</v>
      </c>
      <c r="D124">
        <f t="shared" si="3"/>
        <v>0</v>
      </c>
    </row>
    <row r="125" spans="1:4" x14ac:dyDescent="0.2">
      <c r="A125" s="6" t="s">
        <v>1454</v>
      </c>
      <c r="B125">
        <f>COUNTIF('(3344502) Action'!W:W,"52")</f>
        <v>0</v>
      </c>
      <c r="C125">
        <f>COUNTIF('(3308215) Localisation'!I:I,"52")</f>
        <v>0</v>
      </c>
      <c r="D125">
        <f t="shared" si="3"/>
        <v>0</v>
      </c>
    </row>
    <row r="126" spans="1:4" x14ac:dyDescent="0.2">
      <c r="A126" s="6" t="s">
        <v>1455</v>
      </c>
      <c r="B126">
        <f>COUNTIF('(3344502) Action'!W:W,"53")</f>
        <v>0</v>
      </c>
      <c r="C126">
        <f>COUNTIF('(3308215) Localisation'!I:I,"53")</f>
        <v>0</v>
      </c>
      <c r="D126">
        <f t="shared" si="3"/>
        <v>0</v>
      </c>
    </row>
    <row r="127" spans="1:4" x14ac:dyDescent="0.2">
      <c r="A127" s="6" t="s">
        <v>1456</v>
      </c>
      <c r="B127">
        <f>COUNTIF('(3344502) Action'!W:W,"54")</f>
        <v>0</v>
      </c>
      <c r="C127">
        <f>COUNTIF('(3308215) Localisation'!I:I,"54")</f>
        <v>0</v>
      </c>
      <c r="D127">
        <f t="shared" si="3"/>
        <v>0</v>
      </c>
    </row>
    <row r="128" spans="1:4" x14ac:dyDescent="0.2">
      <c r="A128" s="6" t="s">
        <v>1457</v>
      </c>
      <c r="B128">
        <f>COUNTIF('(3344502) Action'!W:W,"55")</f>
        <v>0</v>
      </c>
      <c r="C128">
        <f>COUNTIF('(3308215) Localisation'!I:I,"55")</f>
        <v>0</v>
      </c>
      <c r="D128">
        <f t="shared" si="3"/>
        <v>0</v>
      </c>
    </row>
    <row r="129" spans="1:4" x14ac:dyDescent="0.2">
      <c r="A129" s="6" t="s">
        <v>1458</v>
      </c>
      <c r="B129">
        <f>COUNTIF('(3344502) Action'!W:W,"56")</f>
        <v>0</v>
      </c>
      <c r="C129">
        <f>COUNTIF('(3308215) Localisation'!I:I,"56")</f>
        <v>0</v>
      </c>
      <c r="D129">
        <f t="shared" si="3"/>
        <v>0</v>
      </c>
    </row>
    <row r="130" spans="1:4" x14ac:dyDescent="0.2">
      <c r="A130" s="6" t="s">
        <v>855</v>
      </c>
      <c r="B130">
        <f>COUNTIF('(3344502) Action'!W:W,"57")</f>
        <v>0</v>
      </c>
      <c r="C130">
        <f>COUNTIF('(3308215) Localisation'!I:I,"57")</f>
        <v>0</v>
      </c>
      <c r="D130">
        <f t="shared" si="3"/>
        <v>0</v>
      </c>
    </row>
    <row r="131" spans="1:4" x14ac:dyDescent="0.2">
      <c r="A131" s="6" t="s">
        <v>1459</v>
      </c>
      <c r="B131">
        <f>COUNTIF('(3344502) Action'!W:W,"58")</f>
        <v>0</v>
      </c>
      <c r="C131">
        <f>COUNTIF('(3308215) Localisation'!I:I,"58")</f>
        <v>0</v>
      </c>
      <c r="D131">
        <f t="shared" si="3"/>
        <v>0</v>
      </c>
    </row>
    <row r="132" spans="1:4" x14ac:dyDescent="0.2">
      <c r="A132" s="6" t="s">
        <v>1460</v>
      </c>
      <c r="B132">
        <f>COUNTIF('(3344502) Action'!W:W,"59")</f>
        <v>0</v>
      </c>
      <c r="C132">
        <f>COUNTIF('(3308215) Localisation'!I:I,"59")</f>
        <v>0</v>
      </c>
      <c r="D132">
        <f t="shared" si="3"/>
        <v>0</v>
      </c>
    </row>
    <row r="133" spans="1:4" x14ac:dyDescent="0.2">
      <c r="A133" s="6" t="s">
        <v>1461</v>
      </c>
      <c r="B133">
        <f>COUNTIF('(3344502) Action'!W:W,"60")</f>
        <v>0</v>
      </c>
      <c r="C133">
        <f>COUNTIF('(3308215) Localisation'!I:I,"60")</f>
        <v>0</v>
      </c>
      <c r="D133">
        <f t="shared" si="3"/>
        <v>0</v>
      </c>
    </row>
    <row r="134" spans="1:4" x14ac:dyDescent="0.2">
      <c r="A134" s="6" t="s">
        <v>1462</v>
      </c>
      <c r="B134">
        <f>COUNTIF('(3344502) Action'!W:W,"61")</f>
        <v>0</v>
      </c>
      <c r="C134">
        <f>COUNTIF('(3308215) Localisation'!I:I,"61")</f>
        <v>0</v>
      </c>
      <c r="D134">
        <f t="shared" si="3"/>
        <v>0</v>
      </c>
    </row>
    <row r="135" spans="1:4" x14ac:dyDescent="0.2">
      <c r="A135" s="6" t="s">
        <v>1174</v>
      </c>
      <c r="B135">
        <f>COUNTIF('(3344502) Action'!W:W,"62")</f>
        <v>2</v>
      </c>
      <c r="C135">
        <f>COUNTIF('(3308215) Localisation'!I:I,"62")</f>
        <v>0</v>
      </c>
      <c r="D135">
        <f t="shared" si="3"/>
        <v>2</v>
      </c>
    </row>
    <row r="136" spans="1:4" x14ac:dyDescent="0.2">
      <c r="A136" s="6" t="s">
        <v>1463</v>
      </c>
      <c r="B136">
        <f>COUNTIF('(3344502) Action'!W:W,"63")</f>
        <v>0</v>
      </c>
      <c r="C136">
        <f>COUNTIF('(3308215) Localisation'!I:I,"63")</f>
        <v>0</v>
      </c>
      <c r="D136">
        <f t="shared" si="3"/>
        <v>0</v>
      </c>
    </row>
    <row r="137" spans="1:4" x14ac:dyDescent="0.2">
      <c r="A137" s="6" t="s">
        <v>1197</v>
      </c>
      <c r="B137">
        <f>COUNTIF('(3344502) Action'!W:W,"64")</f>
        <v>1</v>
      </c>
      <c r="C137">
        <f>COUNTIF('(3308215) Localisation'!I:I,"64")</f>
        <v>0</v>
      </c>
      <c r="D137">
        <f t="shared" si="3"/>
        <v>1</v>
      </c>
    </row>
    <row r="138" spans="1:4" x14ac:dyDescent="0.2">
      <c r="A138" s="6" t="s">
        <v>1464</v>
      </c>
      <c r="B138">
        <f>COUNTIF('(3344502) Action'!W:W,"65")</f>
        <v>0</v>
      </c>
      <c r="C138">
        <f>COUNTIF('(3308215) Localisation'!I:I,"65")</f>
        <v>0</v>
      </c>
      <c r="D138">
        <f t="shared" ref="D138:D172" si="4">SUM(B138:C138)</f>
        <v>0</v>
      </c>
    </row>
    <row r="139" spans="1:4" x14ac:dyDescent="0.2">
      <c r="A139" s="6" t="s">
        <v>1465</v>
      </c>
      <c r="B139">
        <f>COUNTIF('(3344502) Action'!W:W,"66")</f>
        <v>0</v>
      </c>
      <c r="C139">
        <f>COUNTIF('(3308215) Localisation'!I:I,"66")</f>
        <v>0</v>
      </c>
      <c r="D139">
        <f t="shared" si="4"/>
        <v>0</v>
      </c>
    </row>
    <row r="140" spans="1:4" x14ac:dyDescent="0.2">
      <c r="A140" s="6" t="s">
        <v>1466</v>
      </c>
      <c r="B140">
        <f>COUNTIF('(3344502) Action'!W:W,"67")</f>
        <v>0</v>
      </c>
      <c r="C140">
        <f>COUNTIF('(3308215) Localisation'!I:I,"67")</f>
        <v>0</v>
      </c>
      <c r="D140">
        <f t="shared" si="4"/>
        <v>0</v>
      </c>
    </row>
    <row r="141" spans="1:4" x14ac:dyDescent="0.2">
      <c r="A141" s="6" t="s">
        <v>1467</v>
      </c>
      <c r="B141">
        <f>COUNTIF('(3344502) Action'!W:W,"68")</f>
        <v>0</v>
      </c>
      <c r="C141">
        <f>COUNTIF('(3308215) Localisation'!I:I,"68")</f>
        <v>0</v>
      </c>
      <c r="D141">
        <f t="shared" si="4"/>
        <v>0</v>
      </c>
    </row>
    <row r="142" spans="1:4" x14ac:dyDescent="0.2">
      <c r="A142" s="6" t="s">
        <v>1468</v>
      </c>
      <c r="B142">
        <f>COUNTIF('(3344502) Action'!W:W,"69")</f>
        <v>0</v>
      </c>
      <c r="C142">
        <f>COUNTIF('(3308215) Localisation'!I:I,"69")</f>
        <v>0</v>
      </c>
      <c r="D142">
        <f t="shared" si="4"/>
        <v>0</v>
      </c>
    </row>
    <row r="143" spans="1:4" x14ac:dyDescent="0.2">
      <c r="A143" s="6" t="s">
        <v>1469</v>
      </c>
      <c r="B143">
        <f>COUNTIF('(3344502) Action'!W:W,"70")</f>
        <v>0</v>
      </c>
      <c r="C143">
        <f>COUNTIF('(3308215) Localisation'!I:I,"70")</f>
        <v>0</v>
      </c>
      <c r="D143">
        <f t="shared" si="4"/>
        <v>0</v>
      </c>
    </row>
    <row r="144" spans="1:4" x14ac:dyDescent="0.2">
      <c r="A144" s="6" t="s">
        <v>1470</v>
      </c>
      <c r="B144">
        <f>COUNTIF('(3344502) Action'!W:W,"71")</f>
        <v>0</v>
      </c>
      <c r="C144">
        <f>COUNTIF('(3308215) Localisation'!I:I,"71")</f>
        <v>0</v>
      </c>
      <c r="D144">
        <f t="shared" si="4"/>
        <v>0</v>
      </c>
    </row>
    <row r="145" spans="1:4" x14ac:dyDescent="0.2">
      <c r="A145" s="6" t="s">
        <v>1471</v>
      </c>
      <c r="B145">
        <f>COUNTIF('(3344502) Action'!W:W,"72")</f>
        <v>0</v>
      </c>
      <c r="C145">
        <f>COUNTIF('(3308215) Localisation'!I:I,"72")</f>
        <v>0</v>
      </c>
      <c r="D145">
        <f t="shared" si="4"/>
        <v>0</v>
      </c>
    </row>
    <row r="146" spans="1:4" x14ac:dyDescent="0.2">
      <c r="A146" s="6" t="s">
        <v>1472</v>
      </c>
      <c r="B146">
        <f>COUNTIF('(3344502) Action'!W:W,"73")</f>
        <v>0</v>
      </c>
      <c r="C146">
        <f>COUNTIF('(3308215) Localisation'!I:I,"73")</f>
        <v>0</v>
      </c>
      <c r="D146">
        <f t="shared" si="4"/>
        <v>0</v>
      </c>
    </row>
    <row r="147" spans="1:4" x14ac:dyDescent="0.2">
      <c r="A147" s="6" t="s">
        <v>1146</v>
      </c>
      <c r="B147">
        <f>COUNTIF('(3344502) Action'!W:W,"74")</f>
        <v>3</v>
      </c>
      <c r="C147">
        <f>COUNTIF('(3308215) Localisation'!I:I,"74")</f>
        <v>0</v>
      </c>
      <c r="D147">
        <f t="shared" si="4"/>
        <v>3</v>
      </c>
    </row>
    <row r="148" spans="1:4" x14ac:dyDescent="0.2">
      <c r="A148" s="6" t="s">
        <v>1473</v>
      </c>
      <c r="B148">
        <f>COUNTIF('(3344502) Action'!W:W,"75")</f>
        <v>0</v>
      </c>
      <c r="C148">
        <f>COUNTIF('(3308215) Localisation'!I:I,"75")</f>
        <v>0</v>
      </c>
      <c r="D148">
        <f t="shared" si="4"/>
        <v>0</v>
      </c>
    </row>
    <row r="149" spans="1:4" x14ac:dyDescent="0.2">
      <c r="A149" s="6" t="s">
        <v>1218</v>
      </c>
      <c r="B149">
        <f>COUNTIF('(3344502) Action'!W:W,"76")</f>
        <v>2</v>
      </c>
      <c r="C149">
        <f>COUNTIF('(3308215) Localisation'!I:I,"76")</f>
        <v>2</v>
      </c>
      <c r="D149">
        <f t="shared" si="4"/>
        <v>4</v>
      </c>
    </row>
    <row r="150" spans="1:4" x14ac:dyDescent="0.2">
      <c r="A150" s="6" t="s">
        <v>1474</v>
      </c>
      <c r="B150">
        <f>COUNTIF('(3344502) Action'!W:W,"77")</f>
        <v>0</v>
      </c>
      <c r="C150">
        <f>COUNTIF('(3308215) Localisation'!I:I,"77")</f>
        <v>0</v>
      </c>
      <c r="D150">
        <f t="shared" si="4"/>
        <v>0</v>
      </c>
    </row>
    <row r="151" spans="1:4" x14ac:dyDescent="0.2">
      <c r="A151" s="6" t="s">
        <v>1475</v>
      </c>
      <c r="B151">
        <f>COUNTIF('(3344502) Action'!W:W,"78")</f>
        <v>0</v>
      </c>
      <c r="C151">
        <f>COUNTIF('(3308215) Localisation'!I:I,"78")</f>
        <v>0</v>
      </c>
      <c r="D151">
        <f t="shared" si="4"/>
        <v>0</v>
      </c>
    </row>
    <row r="152" spans="1:4" x14ac:dyDescent="0.2">
      <c r="A152" s="6" t="s">
        <v>1476</v>
      </c>
      <c r="B152">
        <f>COUNTIF('(3344502) Action'!W:W,"79")</f>
        <v>0</v>
      </c>
      <c r="C152">
        <f>COUNTIF('(3308215) Localisation'!I:I,"79")</f>
        <v>0</v>
      </c>
      <c r="D152">
        <f t="shared" si="4"/>
        <v>0</v>
      </c>
    </row>
    <row r="153" spans="1:4" x14ac:dyDescent="0.2">
      <c r="A153" s="6" t="s">
        <v>1477</v>
      </c>
      <c r="B153">
        <f>COUNTIF('(3344502) Action'!W:W,"80")</f>
        <v>0</v>
      </c>
      <c r="C153">
        <f>COUNTIF('(3308215) Localisation'!I:I,"80")</f>
        <v>0</v>
      </c>
      <c r="D153">
        <f t="shared" si="4"/>
        <v>0</v>
      </c>
    </row>
    <row r="154" spans="1:4" x14ac:dyDescent="0.2">
      <c r="A154" s="6" t="s">
        <v>1478</v>
      </c>
      <c r="B154">
        <f>COUNTIF('(3344502) Action'!W:W,"81")</f>
        <v>0</v>
      </c>
      <c r="C154">
        <f>COUNTIF('(3308215) Localisation'!I:I,"81")</f>
        <v>0</v>
      </c>
      <c r="D154">
        <f t="shared" si="4"/>
        <v>0</v>
      </c>
    </row>
    <row r="155" spans="1:4" x14ac:dyDescent="0.2">
      <c r="A155" s="6" t="s">
        <v>1479</v>
      </c>
      <c r="B155">
        <f>COUNTIF('(3344502) Action'!W:W,"82")</f>
        <v>0</v>
      </c>
      <c r="C155">
        <f>COUNTIF('(3308215) Localisation'!I:I,"82")</f>
        <v>0</v>
      </c>
      <c r="D155">
        <f t="shared" si="4"/>
        <v>0</v>
      </c>
    </row>
    <row r="156" spans="1:4" x14ac:dyDescent="0.2">
      <c r="A156" s="6" t="s">
        <v>805</v>
      </c>
      <c r="B156">
        <f>COUNTIF('(3344502) Action'!W:W,"83")</f>
        <v>0</v>
      </c>
      <c r="C156">
        <f>COUNTIF('(3308215) Localisation'!I:I,"83")</f>
        <v>0</v>
      </c>
      <c r="D156">
        <f t="shared" si="4"/>
        <v>0</v>
      </c>
    </row>
    <row r="157" spans="1:4" x14ac:dyDescent="0.2">
      <c r="A157" s="6" t="s">
        <v>1480</v>
      </c>
      <c r="B157">
        <f>COUNTIF('(3344502) Action'!W:W,"84")</f>
        <v>0</v>
      </c>
      <c r="C157">
        <f>COUNTIF('(3308215) Localisation'!I:I,"84")</f>
        <v>0</v>
      </c>
      <c r="D157">
        <f t="shared" si="4"/>
        <v>0</v>
      </c>
    </row>
    <row r="158" spans="1:4" x14ac:dyDescent="0.2">
      <c r="A158" s="6" t="s">
        <v>1481</v>
      </c>
      <c r="B158">
        <f>COUNTIF('(3344502) Action'!W:W,"85")</f>
        <v>0</v>
      </c>
      <c r="C158">
        <f>COUNTIF('(3308215) Localisation'!I:I,"85")</f>
        <v>0</v>
      </c>
      <c r="D158">
        <f t="shared" si="4"/>
        <v>0</v>
      </c>
    </row>
    <row r="159" spans="1:4" x14ac:dyDescent="0.2">
      <c r="A159" s="6" t="s">
        <v>1482</v>
      </c>
      <c r="B159">
        <f>COUNTIF('(3344502) Action'!W:W,"86")</f>
        <v>0</v>
      </c>
      <c r="C159">
        <f>COUNTIF('(3308215) Localisation'!I:I,"86")</f>
        <v>0</v>
      </c>
      <c r="D159">
        <f t="shared" si="4"/>
        <v>0</v>
      </c>
    </row>
    <row r="160" spans="1:4" x14ac:dyDescent="0.2">
      <c r="A160" s="6" t="s">
        <v>1483</v>
      </c>
      <c r="B160">
        <f>COUNTIF('(3344502) Action'!W:W,"87")</f>
        <v>0</v>
      </c>
      <c r="C160">
        <f>COUNTIF('(3308215) Localisation'!I:I,"87")</f>
        <v>0</v>
      </c>
      <c r="D160">
        <f t="shared" si="4"/>
        <v>0</v>
      </c>
    </row>
    <row r="161" spans="1:4" x14ac:dyDescent="0.2">
      <c r="A161" s="6" t="s">
        <v>1484</v>
      </c>
      <c r="B161">
        <f>COUNTIF('(3344502) Action'!W:W,"88")</f>
        <v>0</v>
      </c>
      <c r="C161">
        <f>COUNTIF('(3308215) Localisation'!I:I,"88")</f>
        <v>0</v>
      </c>
      <c r="D161">
        <f t="shared" si="4"/>
        <v>0</v>
      </c>
    </row>
    <row r="162" spans="1:4" x14ac:dyDescent="0.2">
      <c r="A162" s="6" t="s">
        <v>1192</v>
      </c>
      <c r="B162">
        <f>COUNTIF('(3344502) Action'!W:W,"89")</f>
        <v>1</v>
      </c>
      <c r="C162">
        <f>COUNTIF('(3308215) Localisation'!I:I,"89")</f>
        <v>0</v>
      </c>
      <c r="D162">
        <f t="shared" si="4"/>
        <v>1</v>
      </c>
    </row>
    <row r="163" spans="1:4" x14ac:dyDescent="0.2">
      <c r="A163" s="6" t="s">
        <v>1485</v>
      </c>
      <c r="B163">
        <f>COUNTIF('(3344502) Action'!W:W,"90")</f>
        <v>0</v>
      </c>
      <c r="C163">
        <f>COUNTIF('(3308215) Localisation'!I:I,"90")</f>
        <v>0</v>
      </c>
      <c r="D163">
        <f t="shared" si="4"/>
        <v>0</v>
      </c>
    </row>
    <row r="164" spans="1:4" x14ac:dyDescent="0.2">
      <c r="A164" s="6" t="s">
        <v>1486</v>
      </c>
      <c r="B164">
        <f>COUNTIF('(3344502) Action'!W:W,"91")</f>
        <v>0</v>
      </c>
      <c r="C164">
        <f>COUNTIF('(3308215) Localisation'!I:I,"91")</f>
        <v>0</v>
      </c>
      <c r="D164">
        <f t="shared" si="4"/>
        <v>0</v>
      </c>
    </row>
    <row r="165" spans="1:4" x14ac:dyDescent="0.2">
      <c r="A165" s="6" t="s">
        <v>1487</v>
      </c>
      <c r="B165">
        <f>COUNTIF('(3344502) Action'!W:W,"92")</f>
        <v>0</v>
      </c>
      <c r="C165">
        <f>COUNTIF('(3308215) Localisation'!I:I,"92")</f>
        <v>0</v>
      </c>
      <c r="D165">
        <f t="shared" si="4"/>
        <v>0</v>
      </c>
    </row>
    <row r="166" spans="1:4" x14ac:dyDescent="0.2">
      <c r="A166" s="6" t="s">
        <v>1488</v>
      </c>
      <c r="B166">
        <f>COUNTIF('(3344502) Action'!W:W,"93")</f>
        <v>0</v>
      </c>
      <c r="C166">
        <f>COUNTIF('(3308215) Localisation'!I:I,"93")</f>
        <v>0</v>
      </c>
      <c r="D166">
        <f t="shared" si="4"/>
        <v>0</v>
      </c>
    </row>
    <row r="167" spans="1:4" x14ac:dyDescent="0.2">
      <c r="A167" s="6" t="s">
        <v>1489</v>
      </c>
      <c r="B167">
        <f>COUNTIF('(3344502) Action'!W:W,"94")</f>
        <v>0</v>
      </c>
      <c r="C167">
        <f>COUNTIF('(3308215) Localisation'!I:I,"94")</f>
        <v>0</v>
      </c>
      <c r="D167">
        <f t="shared" si="4"/>
        <v>0</v>
      </c>
    </row>
    <row r="168" spans="1:4" x14ac:dyDescent="0.2">
      <c r="A168" s="6" t="s">
        <v>1490</v>
      </c>
      <c r="B168">
        <f>COUNTIF('(3344502) Action'!W:W,"95")</f>
        <v>0</v>
      </c>
      <c r="C168">
        <f>COUNTIF('(3308215) Localisation'!I:I,"95")</f>
        <v>0</v>
      </c>
      <c r="D168">
        <f t="shared" si="4"/>
        <v>0</v>
      </c>
    </row>
    <row r="169" spans="1:4" x14ac:dyDescent="0.2">
      <c r="A169" s="6" t="s">
        <v>975</v>
      </c>
      <c r="B169">
        <f>COUNTIF('(3344502) Action'!W:W,"971")</f>
        <v>2</v>
      </c>
      <c r="C169">
        <f>COUNTIF('(3308215) Localisation'!I:I,"971")</f>
        <v>7</v>
      </c>
      <c r="D169">
        <f t="shared" si="4"/>
        <v>9</v>
      </c>
    </row>
    <row r="170" spans="1:4" x14ac:dyDescent="0.2">
      <c r="A170" s="6" t="s">
        <v>998</v>
      </c>
      <c r="B170">
        <f>COUNTIF('(3344502) Action'!W:W,"972")</f>
        <v>3</v>
      </c>
      <c r="C170">
        <f>COUNTIF('(3308215) Localisation'!I:I,"972")</f>
        <v>9</v>
      </c>
      <c r="D170">
        <f t="shared" si="4"/>
        <v>12</v>
      </c>
    </row>
    <row r="171" spans="1:4" x14ac:dyDescent="0.2">
      <c r="A171" s="6" t="s">
        <v>1491</v>
      </c>
      <c r="B171">
        <f>COUNTIF('(3344502) Action'!W:W,"973")</f>
        <v>0</v>
      </c>
      <c r="C171">
        <f>COUNTIF('(3308215) Localisation'!I:I,"973")</f>
        <v>0</v>
      </c>
      <c r="D171">
        <f t="shared" si="4"/>
        <v>0</v>
      </c>
    </row>
    <row r="172" spans="1:4" x14ac:dyDescent="0.2">
      <c r="A172" s="6" t="s">
        <v>1492</v>
      </c>
      <c r="B172">
        <f>COUNTIF('(3344502) Action'!W:W,"974")</f>
        <v>0</v>
      </c>
      <c r="C172">
        <f>COUNTIF('(3308215) Localisation'!I:I,"974")</f>
        <v>0</v>
      </c>
      <c r="D172">
        <f t="shared" si="4"/>
        <v>0</v>
      </c>
    </row>
    <row r="173" spans="1:4" x14ac:dyDescent="0.2">
      <c r="A173" s="6" t="s">
        <v>1493</v>
      </c>
      <c r="B173">
        <f>COUNTIF('(3344502) Action'!W:W,"975")</f>
        <v>0</v>
      </c>
      <c r="C173">
        <f>COUNTIF('(3308215) Localisation'!I:I,"975")</f>
        <v>0</v>
      </c>
      <c r="D173">
        <f>SUM(B173:C173)</f>
        <v>0</v>
      </c>
    </row>
    <row r="174" spans="1:4" x14ac:dyDescent="0.2">
      <c r="A174">
        <v>976</v>
      </c>
      <c r="B174">
        <f>COUNTIF('(3344502) Action'!W:W,"976")</f>
        <v>0</v>
      </c>
      <c r="C174">
        <f>COUNTIF('(3308215) Localisation'!I:I,"976")</f>
        <v>0</v>
      </c>
      <c r="D174">
        <f t="shared" ref="D174:D179" si="5">SUM(B174:C174)</f>
        <v>0</v>
      </c>
    </row>
    <row r="175" spans="1:4" x14ac:dyDescent="0.2">
      <c r="A175">
        <v>977</v>
      </c>
      <c r="B175">
        <f>COUNTIF('(3344502) Action'!W:W,"977")</f>
        <v>0</v>
      </c>
      <c r="C175">
        <f>COUNTIF('(3308215) Localisation'!I:I,"977")</f>
        <v>0</v>
      </c>
      <c r="D175">
        <f t="shared" si="5"/>
        <v>0</v>
      </c>
    </row>
    <row r="176" spans="1:4" x14ac:dyDescent="0.2">
      <c r="A176">
        <v>978</v>
      </c>
      <c r="B176">
        <f>COUNTIF('(3344502) Action'!W:W,"978")</f>
        <v>2</v>
      </c>
      <c r="C176">
        <f>COUNTIF('(3308215) Localisation'!I:I,"978")</f>
        <v>0</v>
      </c>
      <c r="D176">
        <f t="shared" si="5"/>
        <v>2</v>
      </c>
    </row>
    <row r="177" spans="1:4" x14ac:dyDescent="0.2">
      <c r="A177">
        <v>986</v>
      </c>
      <c r="B177">
        <f>COUNTIF('(3344502) Action'!W:W,"986")</f>
        <v>0</v>
      </c>
      <c r="C177">
        <f>COUNTIF('(3308215) Localisation'!I:I,"986")</f>
        <v>0</v>
      </c>
      <c r="D177">
        <f t="shared" si="5"/>
        <v>0</v>
      </c>
    </row>
    <row r="178" spans="1:4" x14ac:dyDescent="0.2">
      <c r="A178">
        <v>987</v>
      </c>
      <c r="B178">
        <f>COUNTIF('(3344502) Action'!W:W,"987")</f>
        <v>0</v>
      </c>
      <c r="C178">
        <f>COUNTIF('(3308215) Localisation'!I:I,"987")</f>
        <v>0</v>
      </c>
      <c r="D178">
        <f t="shared" si="5"/>
        <v>0</v>
      </c>
    </row>
    <row r="179" spans="1:4" x14ac:dyDescent="0.2">
      <c r="A179">
        <v>988</v>
      </c>
      <c r="B179">
        <f>COUNTIF('(3344502) Action'!W:W,"988")</f>
        <v>0</v>
      </c>
      <c r="C179">
        <f>COUNTIF('(3308215) Localisation'!I:I,"988")</f>
        <v>0</v>
      </c>
      <c r="D179">
        <f t="shared" si="5"/>
        <v>0</v>
      </c>
    </row>
    <row r="180" spans="1:4" x14ac:dyDescent="0.2">
      <c r="A180" s="5"/>
      <c r="B180" s="5"/>
      <c r="C180" s="5"/>
      <c r="D180" s="5"/>
    </row>
    <row r="181" spans="1:4" x14ac:dyDescent="0.2">
      <c r="A181" t="s">
        <v>1502</v>
      </c>
      <c r="D181">
        <f>COUNTIF(Dossiers!O:O,"01-AIN")</f>
        <v>0</v>
      </c>
    </row>
    <row r="182" spans="1:4" x14ac:dyDescent="0.2">
      <c r="A182" t="s">
        <v>1494</v>
      </c>
      <c r="D182">
        <f>COUNTIF(Dossiers!O:O,"02-AISNE")</f>
        <v>1</v>
      </c>
    </row>
    <row r="183" spans="1:4" x14ac:dyDescent="0.2">
      <c r="A183" t="s">
        <v>1503</v>
      </c>
      <c r="D183">
        <f>COUNTIF(Dossiers!O:O,"03-ALLIER")</f>
        <v>0</v>
      </c>
    </row>
    <row r="184" spans="1:4" x14ac:dyDescent="0.2">
      <c r="A184" t="s">
        <v>1504</v>
      </c>
      <c r="D184">
        <f>COUNTIF(Dossiers!O:O,"04-ALPES-DE-HAUTE-PROVENCE")</f>
        <v>0</v>
      </c>
    </row>
    <row r="185" spans="1:4" x14ac:dyDescent="0.2">
      <c r="A185" t="s">
        <v>1495</v>
      </c>
      <c r="D185">
        <f>COUNTIF(Dossiers!O:O,"05-HAUTES-ALPES")</f>
        <v>0</v>
      </c>
    </row>
    <row r="186" spans="1:4" x14ac:dyDescent="0.2">
      <c r="A186" t="s">
        <v>1496</v>
      </c>
      <c r="D186">
        <f>COUNTIF(Dossiers!O:O,"06-ALPES-MARITIMES")</f>
        <v>0</v>
      </c>
    </row>
    <row r="187" spans="1:4" x14ac:dyDescent="0.2">
      <c r="A187" t="s">
        <v>1608</v>
      </c>
      <c r="D187">
        <f>COUNTIF(Dossiers!O:O,"07-ARDECHE")</f>
        <v>0</v>
      </c>
    </row>
    <row r="188" spans="1:4" x14ac:dyDescent="0.2">
      <c r="A188" t="s">
        <v>1609</v>
      </c>
      <c r="D188">
        <f>COUNTIF(Dossiers!O:O,"08-ARDENNES")</f>
        <v>0</v>
      </c>
    </row>
    <row r="189" spans="1:4" x14ac:dyDescent="0.2">
      <c r="A189" t="s">
        <v>1610</v>
      </c>
      <c r="D189">
        <f>COUNTIF(Dossiers!O:O,"09-ARIEGE")</f>
        <v>0</v>
      </c>
    </row>
    <row r="190" spans="1:4" x14ac:dyDescent="0.2">
      <c r="A190" t="s">
        <v>1497</v>
      </c>
      <c r="D190">
        <f>COUNTIF(Dossiers!O:O,"10-AUBE")</f>
        <v>0</v>
      </c>
    </row>
    <row r="191" spans="1:4" x14ac:dyDescent="0.2">
      <c r="A191" t="s">
        <v>1498</v>
      </c>
      <c r="D191">
        <f>COUNTIF(Dossiers!O:O,"11-AUDE")</f>
        <v>1</v>
      </c>
    </row>
    <row r="192" spans="1:4" x14ac:dyDescent="0.2">
      <c r="A192" t="s">
        <v>1499</v>
      </c>
      <c r="D192">
        <f>COUNTIF(Dossiers!O:O,"12-AVEYRON")</f>
        <v>0</v>
      </c>
    </row>
    <row r="193" spans="1:4" x14ac:dyDescent="0.2">
      <c r="A193" t="s">
        <v>1500</v>
      </c>
      <c r="D193">
        <f>COUNTIF(Dossiers!O:O,"13-BOUCHES-DU-RHONE")</f>
        <v>1</v>
      </c>
    </row>
    <row r="194" spans="1:4" x14ac:dyDescent="0.2">
      <c r="A194" t="s">
        <v>1501</v>
      </c>
      <c r="D194">
        <f>COUNTIF(Dossiers!O:O,"14-CALVADOS")</f>
        <v>0</v>
      </c>
    </row>
    <row r="195" spans="1:4" x14ac:dyDescent="0.2">
      <c r="A195" t="s">
        <v>1505</v>
      </c>
      <c r="D195">
        <f>COUNTIF(Dossiers!O:O,"15-CANTAL")</f>
        <v>0</v>
      </c>
    </row>
    <row r="196" spans="1:4" x14ac:dyDescent="0.2">
      <c r="A196" t="s">
        <v>1506</v>
      </c>
      <c r="D196">
        <f>COUNTIF(Dossiers!O:O,"16-CHARENTE")</f>
        <v>0</v>
      </c>
    </row>
    <row r="197" spans="1:4" x14ac:dyDescent="0.2">
      <c r="A197" t="s">
        <v>1507</v>
      </c>
      <c r="D197">
        <f>COUNTIF(Dossiers!O:O,"17-CHARENTE-MARITIME")</f>
        <v>2</v>
      </c>
    </row>
    <row r="198" spans="1:4" x14ac:dyDescent="0.2">
      <c r="A198" t="s">
        <v>1508</v>
      </c>
      <c r="D198">
        <f>COUNTIF(Dossiers!O:O,"18-CHER")</f>
        <v>1</v>
      </c>
    </row>
    <row r="199" spans="1:4" x14ac:dyDescent="0.2">
      <c r="A199" t="s">
        <v>1509</v>
      </c>
      <c r="D199">
        <f>COUNTIF(Dossiers!O:O,"19-CORREZE")</f>
        <v>1</v>
      </c>
    </row>
    <row r="200" spans="1:4" x14ac:dyDescent="0.2">
      <c r="A200" t="s">
        <v>1510</v>
      </c>
      <c r="D200">
        <f>COUNTIF(Dossiers!O:O,"2A-CORSE-DU-SUD")</f>
        <v>0</v>
      </c>
    </row>
    <row r="201" spans="1:4" x14ac:dyDescent="0.2">
      <c r="A201" t="s">
        <v>1511</v>
      </c>
      <c r="D201">
        <f>COUNTIF(Dossiers!O:O,"2B-CORSE-DU-NORD")</f>
        <v>0</v>
      </c>
    </row>
    <row r="202" spans="1:4" x14ac:dyDescent="0.2">
      <c r="A202" t="s">
        <v>1512</v>
      </c>
      <c r="D202">
        <f>COUNTIF(Dossiers!O:O,"21-COTE-D'OR")</f>
        <v>0</v>
      </c>
    </row>
    <row r="203" spans="1:4" x14ac:dyDescent="0.2">
      <c r="A203" t="s">
        <v>1513</v>
      </c>
      <c r="D203">
        <f>COUNTIF(Dossiers!O:O,"22-COTES-D'ARMOR")</f>
        <v>0</v>
      </c>
    </row>
    <row r="204" spans="1:4" x14ac:dyDescent="0.2">
      <c r="A204" t="s">
        <v>1514</v>
      </c>
      <c r="D204">
        <f>COUNTIF(Dossiers!O:O,"23-CREUSE")</f>
        <v>0</v>
      </c>
    </row>
    <row r="205" spans="1:4" x14ac:dyDescent="0.2">
      <c r="A205" t="s">
        <v>1515</v>
      </c>
      <c r="D205">
        <f>COUNTIF(Dossiers!O:O,"24-DORDOGNE")</f>
        <v>0</v>
      </c>
    </row>
    <row r="206" spans="1:4" x14ac:dyDescent="0.2">
      <c r="A206" t="s">
        <v>1516</v>
      </c>
      <c r="D206">
        <f>COUNTIF(Dossiers!O:O,"25-DOUBS")</f>
        <v>0</v>
      </c>
    </row>
    <row r="207" spans="1:4" x14ac:dyDescent="0.2">
      <c r="A207" t="s">
        <v>1517</v>
      </c>
      <c r="D207">
        <f>COUNTIF(Dossiers!O:O,"26-DROME")</f>
        <v>1</v>
      </c>
    </row>
    <row r="208" spans="1:4" x14ac:dyDescent="0.2">
      <c r="A208" t="s">
        <v>1518</v>
      </c>
      <c r="D208">
        <f>COUNTIF(Dossiers!O:O,"27-EURE")</f>
        <v>0</v>
      </c>
    </row>
    <row r="209" spans="1:4" x14ac:dyDescent="0.2">
      <c r="A209" t="s">
        <v>1519</v>
      </c>
      <c r="D209">
        <f>COUNTIF(Dossiers!O:O,"28-EURE-ET-LOIR")</f>
        <v>0</v>
      </c>
    </row>
    <row r="210" spans="1:4" x14ac:dyDescent="0.2">
      <c r="A210" t="s">
        <v>1520</v>
      </c>
      <c r="D210">
        <f>COUNTIF(Dossiers!O:O,"29-FINISTERE")</f>
        <v>0</v>
      </c>
    </row>
    <row r="211" spans="1:4" x14ac:dyDescent="0.2">
      <c r="A211" t="s">
        <v>1521</v>
      </c>
      <c r="D211">
        <f>COUNTIF(Dossiers!O:O,"30-GARD")</f>
        <v>0</v>
      </c>
    </row>
    <row r="212" spans="1:4" x14ac:dyDescent="0.2">
      <c r="A212" t="s">
        <v>1522</v>
      </c>
      <c r="D212">
        <f>COUNTIF(Dossiers!O:O,"31-HAUTE-GARONNE")</f>
        <v>0</v>
      </c>
    </row>
    <row r="213" spans="1:4" x14ac:dyDescent="0.2">
      <c r="A213" t="s">
        <v>1523</v>
      </c>
      <c r="D213">
        <f>COUNTIF(Dossiers!O:O,"32-GERS")</f>
        <v>0</v>
      </c>
    </row>
    <row r="214" spans="1:4" x14ac:dyDescent="0.2">
      <c r="A214" t="s">
        <v>1524</v>
      </c>
      <c r="D214">
        <f>COUNTIF(Dossiers!O:O,"33-GIRONDE")</f>
        <v>0</v>
      </c>
    </row>
    <row r="215" spans="1:4" x14ac:dyDescent="0.2">
      <c r="A215" t="s">
        <v>1525</v>
      </c>
      <c r="D215">
        <f>COUNTIF(Dossiers!O:O,"34-HERAULT")</f>
        <v>1</v>
      </c>
    </row>
    <row r="216" spans="1:4" x14ac:dyDescent="0.2">
      <c r="A216" t="s">
        <v>1526</v>
      </c>
      <c r="D216">
        <f>COUNTIF(Dossiers!O:O,"35-ILE-ET-VILAINE")</f>
        <v>0</v>
      </c>
    </row>
    <row r="217" spans="1:4" x14ac:dyDescent="0.2">
      <c r="A217" t="s">
        <v>1527</v>
      </c>
      <c r="D217">
        <f>COUNTIF(Dossiers!O:O,"36-INDRE")</f>
        <v>0</v>
      </c>
    </row>
    <row r="218" spans="1:4" x14ac:dyDescent="0.2">
      <c r="A218" t="s">
        <v>1528</v>
      </c>
      <c r="D218">
        <f>COUNTIF(Dossiers!O:O,"37-INDRE-ET-LOIRE")</f>
        <v>0</v>
      </c>
    </row>
    <row r="219" spans="1:4" x14ac:dyDescent="0.2">
      <c r="A219" t="s">
        <v>1529</v>
      </c>
      <c r="D219">
        <f>COUNTIF(Dossiers!O:O,"38-ISERE")</f>
        <v>1</v>
      </c>
    </row>
    <row r="220" spans="1:4" x14ac:dyDescent="0.2">
      <c r="A220" t="s">
        <v>1611</v>
      </c>
      <c r="D220">
        <f>COUNTIF(Dossiers!O:O,"39-JURA")</f>
        <v>0</v>
      </c>
    </row>
    <row r="221" spans="1:4" x14ac:dyDescent="0.2">
      <c r="A221" t="s">
        <v>1530</v>
      </c>
      <c r="D221">
        <f>COUNTIF(Dossiers!O:O,"40-LANDES")</f>
        <v>0</v>
      </c>
    </row>
    <row r="222" spans="1:4" x14ac:dyDescent="0.2">
      <c r="A222" t="s">
        <v>1531</v>
      </c>
      <c r="D222">
        <f>COUNTIF(Dossiers!O:O,"41-LOIR-ET-CHER")</f>
        <v>0</v>
      </c>
    </row>
    <row r="223" spans="1:4" x14ac:dyDescent="0.2">
      <c r="A223" t="s">
        <v>1532</v>
      </c>
      <c r="D223">
        <f>COUNTIF(Dossiers!O:O,"42-LOIRE")</f>
        <v>0</v>
      </c>
    </row>
    <row r="224" spans="1:4" x14ac:dyDescent="0.2">
      <c r="A224" t="s">
        <v>1533</v>
      </c>
      <c r="D224">
        <f>COUNTIF(Dossiers!O:O,"43-HAUTE-LOIRE")</f>
        <v>0</v>
      </c>
    </row>
    <row r="225" spans="1:4" x14ac:dyDescent="0.2">
      <c r="A225" t="s">
        <v>1534</v>
      </c>
      <c r="D225">
        <f>COUNTIF(Dossiers!O:O,"44-LOIRE-ATLANTIQUE")</f>
        <v>0</v>
      </c>
    </row>
    <row r="226" spans="1:4" x14ac:dyDescent="0.2">
      <c r="A226" t="s">
        <v>1535</v>
      </c>
      <c r="D226">
        <f>COUNTIF(Dossiers!O:O,"45-LOIRET")</f>
        <v>0</v>
      </c>
    </row>
    <row r="227" spans="1:4" x14ac:dyDescent="0.2">
      <c r="A227" t="s">
        <v>1536</v>
      </c>
      <c r="D227">
        <f>COUNTIF(Dossiers!O:O,"46-LOT")</f>
        <v>0</v>
      </c>
    </row>
    <row r="228" spans="1:4" x14ac:dyDescent="0.2">
      <c r="A228" t="s">
        <v>1537</v>
      </c>
      <c r="D228">
        <f>COUNTIF(Dossiers!O:O,"47-LOT-ET-GARONNE")</f>
        <v>0</v>
      </c>
    </row>
    <row r="229" spans="1:4" x14ac:dyDescent="0.2">
      <c r="A229" t="s">
        <v>1538</v>
      </c>
      <c r="D229">
        <f>COUNTIF(Dossiers!O:O,"48-LOZERE")</f>
        <v>0</v>
      </c>
    </row>
    <row r="230" spans="1:4" x14ac:dyDescent="0.2">
      <c r="A230" t="s">
        <v>1539</v>
      </c>
      <c r="D230">
        <f>COUNTIF(Dossiers!O:O,"49-MAINE-ET-LOIRE")</f>
        <v>2</v>
      </c>
    </row>
    <row r="231" spans="1:4" x14ac:dyDescent="0.2">
      <c r="A231" t="s">
        <v>1540</v>
      </c>
      <c r="D231">
        <f>COUNTIF(Dossiers!O:O,"50-MANCHE")</f>
        <v>0</v>
      </c>
    </row>
    <row r="232" spans="1:4" x14ac:dyDescent="0.2">
      <c r="A232" t="s">
        <v>1541</v>
      </c>
      <c r="D232">
        <f>COUNTIF(Dossiers!O:O,"51-MARNE")</f>
        <v>0</v>
      </c>
    </row>
    <row r="233" spans="1:4" x14ac:dyDescent="0.2">
      <c r="A233" t="s">
        <v>1542</v>
      </c>
      <c r="D233">
        <f>COUNTIF(Dossiers!O:O,"52-HAUTE-MARNE")</f>
        <v>0</v>
      </c>
    </row>
    <row r="234" spans="1:4" x14ac:dyDescent="0.2">
      <c r="A234" t="s">
        <v>1543</v>
      </c>
      <c r="D234">
        <f>COUNTIF(Dossiers!O:O,"53-MAYENNE")</f>
        <v>0</v>
      </c>
    </row>
    <row r="235" spans="1:4" x14ac:dyDescent="0.2">
      <c r="A235" t="s">
        <v>1544</v>
      </c>
      <c r="D235">
        <f>COUNTIF(Dossiers!O:O,"54-MEURTHE-ET-MOSELLE")</f>
        <v>0</v>
      </c>
    </row>
    <row r="236" spans="1:4" x14ac:dyDescent="0.2">
      <c r="A236" t="s">
        <v>1545</v>
      </c>
      <c r="D236">
        <f>COUNTIF(Dossiers!O:O,"55-MEUSE")</f>
        <v>0</v>
      </c>
    </row>
    <row r="237" spans="1:4" x14ac:dyDescent="0.2">
      <c r="A237" t="s">
        <v>1546</v>
      </c>
      <c r="D237">
        <f>COUNTIF(Dossiers!O:O,"56-MORBIHAN")</f>
        <v>0</v>
      </c>
    </row>
    <row r="238" spans="1:4" x14ac:dyDescent="0.2">
      <c r="A238" t="s">
        <v>1547</v>
      </c>
      <c r="D238">
        <f>COUNTIF(Dossiers!O:O,"57-MOSELLE")</f>
        <v>0</v>
      </c>
    </row>
    <row r="239" spans="1:4" x14ac:dyDescent="0.2">
      <c r="A239" t="s">
        <v>1548</v>
      </c>
      <c r="D239">
        <f>COUNTIF(Dossiers!O:O,"58-NIEVRE")</f>
        <v>0</v>
      </c>
    </row>
    <row r="240" spans="1:4" x14ac:dyDescent="0.2">
      <c r="A240" t="s">
        <v>1549</v>
      </c>
      <c r="D240">
        <f>COUNTIF(Dossiers!O:O,"59-NORD")</f>
        <v>0</v>
      </c>
    </row>
    <row r="241" spans="1:4" x14ac:dyDescent="0.2">
      <c r="A241" t="s">
        <v>1550</v>
      </c>
      <c r="D241">
        <f>COUNTIF(Dossiers!O:O,"60-OISE")</f>
        <v>0</v>
      </c>
    </row>
    <row r="242" spans="1:4" x14ac:dyDescent="0.2">
      <c r="A242" t="s">
        <v>1551</v>
      </c>
      <c r="D242">
        <f>COUNTIF(Dossiers!O:O,"61-ORNE")</f>
        <v>0</v>
      </c>
    </row>
    <row r="243" spans="1:4" x14ac:dyDescent="0.2">
      <c r="A243" t="s">
        <v>1552</v>
      </c>
      <c r="D243">
        <f>COUNTIF(Dossiers!O:O,"62-¨PAS-DE-CALAIS")</f>
        <v>0</v>
      </c>
    </row>
    <row r="244" spans="1:4" x14ac:dyDescent="0.2">
      <c r="A244" t="s">
        <v>1553</v>
      </c>
      <c r="D244">
        <f>COUNTIF(Dossiers!O:O,"63-PUY-DE-DOME")</f>
        <v>0</v>
      </c>
    </row>
    <row r="245" spans="1:4" x14ac:dyDescent="0.2">
      <c r="A245" t="s">
        <v>1554</v>
      </c>
      <c r="D245">
        <f>COUNTIF(Dossiers!O:O,"64-PYRENEES-ATLANTIQUE")</f>
        <v>0</v>
      </c>
    </row>
    <row r="246" spans="1:4" x14ac:dyDescent="0.2">
      <c r="A246" t="s">
        <v>1555</v>
      </c>
      <c r="D246">
        <f>COUNTIF(Dossiers!O:O,"65-HAUTES-PYRENEES")</f>
        <v>0</v>
      </c>
    </row>
    <row r="247" spans="1:4" x14ac:dyDescent="0.2">
      <c r="A247" t="s">
        <v>1556</v>
      </c>
      <c r="D247">
        <f>COUNTIF(Dossiers!O:O,"66-PYRENEES-ORIENTALES")</f>
        <v>0</v>
      </c>
    </row>
    <row r="248" spans="1:4" x14ac:dyDescent="0.2">
      <c r="A248" t="s">
        <v>1557</v>
      </c>
      <c r="D248">
        <f>COUNTIF(Dossiers!O:O,"67-BAS-RHIN")</f>
        <v>0</v>
      </c>
    </row>
    <row r="249" spans="1:4" x14ac:dyDescent="0.2">
      <c r="A249" t="s">
        <v>1558</v>
      </c>
      <c r="D249">
        <f>COUNTIF(Dossiers!O:O,"68-HAUT-RHIN")</f>
        <v>0</v>
      </c>
    </row>
    <row r="250" spans="1:4" x14ac:dyDescent="0.2">
      <c r="A250" t="s">
        <v>1559</v>
      </c>
      <c r="D250">
        <f>COUNTIF(Dossiers!O:O,"69-RHONE")</f>
        <v>0</v>
      </c>
    </row>
    <row r="251" spans="1:4" x14ac:dyDescent="0.2">
      <c r="A251" t="s">
        <v>1560</v>
      </c>
      <c r="D251">
        <f>COUNTIF(Dossiers!O:O,"70-HAUTE-SAONE")</f>
        <v>0</v>
      </c>
    </row>
    <row r="252" spans="1:4" x14ac:dyDescent="0.2">
      <c r="A252" t="s">
        <v>1561</v>
      </c>
      <c r="D252">
        <f>COUNTIF(Dossiers!O:O,"71-SAONE-ET-LOIR")</f>
        <v>0</v>
      </c>
    </row>
    <row r="253" spans="1:4" x14ac:dyDescent="0.2">
      <c r="A253" t="s">
        <v>1562</v>
      </c>
      <c r="D253">
        <f>COUNTIF(Dossiers!O:O,"72-SARTHE")</f>
        <v>0</v>
      </c>
    </row>
    <row r="254" spans="1:4" x14ac:dyDescent="0.2">
      <c r="A254" t="s">
        <v>1563</v>
      </c>
      <c r="D254">
        <f>COUNTIF(Dossiers!O:O,"73-SAVOIE")</f>
        <v>0</v>
      </c>
    </row>
    <row r="255" spans="1:4" x14ac:dyDescent="0.2">
      <c r="A255" t="s">
        <v>1564</v>
      </c>
      <c r="D255">
        <f>COUNTIF(Dossiers!O:O,"74-HAUTE-SAVOIE")</f>
        <v>1</v>
      </c>
    </row>
    <row r="256" spans="1:4" x14ac:dyDescent="0.2">
      <c r="A256" t="s">
        <v>1565</v>
      </c>
      <c r="D256">
        <f>COUNTIF(Dossiers!O:O,"75-PARIS")</f>
        <v>0</v>
      </c>
    </row>
    <row r="257" spans="1:4" x14ac:dyDescent="0.2">
      <c r="A257" t="s">
        <v>1612</v>
      </c>
      <c r="D257">
        <f>COUNTIF(Dossiers!O:O,"76-SEINE-MARITIME")</f>
        <v>1</v>
      </c>
    </row>
    <row r="258" spans="1:4" x14ac:dyDescent="0.2">
      <c r="A258" t="s">
        <v>1566</v>
      </c>
      <c r="D258">
        <f>COUNTIF(Dossiers!O:O,"77-SEINE-ET-MARNE")</f>
        <v>1</v>
      </c>
    </row>
    <row r="259" spans="1:4" x14ac:dyDescent="0.2">
      <c r="A259" t="s">
        <v>1567</v>
      </c>
      <c r="D259">
        <f>COUNTIF(Dossiers!O:O,"78-YVELINES")</f>
        <v>0</v>
      </c>
    </row>
    <row r="260" spans="1:4" x14ac:dyDescent="0.2">
      <c r="A260" t="s">
        <v>1568</v>
      </c>
      <c r="D260">
        <f>COUNTIF(Dossiers!O:O,"79-DEUX-SEVRES")</f>
        <v>0</v>
      </c>
    </row>
    <row r="261" spans="1:4" x14ac:dyDescent="0.2">
      <c r="A261" t="s">
        <v>1569</v>
      </c>
      <c r="D261">
        <f>COUNTIF(Dossiers!O:O,"80-SOMME")</f>
        <v>0</v>
      </c>
    </row>
    <row r="262" spans="1:4" x14ac:dyDescent="0.2">
      <c r="A262" t="s">
        <v>1570</v>
      </c>
      <c r="D262">
        <f>COUNTIF(Dossiers!O:O,"81-TARNE")</f>
        <v>0</v>
      </c>
    </row>
    <row r="263" spans="1:4" x14ac:dyDescent="0.2">
      <c r="A263" t="s">
        <v>1571</v>
      </c>
      <c r="D263">
        <f>COUNTIF(Dossiers!O:O,"82-TARN-ET-GARONNE")</f>
        <v>0</v>
      </c>
    </row>
    <row r="264" spans="1:4" x14ac:dyDescent="0.2">
      <c r="A264" t="s">
        <v>1572</v>
      </c>
      <c r="D264">
        <f>COUNTIF(Dossiers!O:O,"83-VAR")</f>
        <v>0</v>
      </c>
    </row>
    <row r="265" spans="1:4" x14ac:dyDescent="0.2">
      <c r="A265" t="s">
        <v>1573</v>
      </c>
      <c r="D265">
        <f>COUNTIF(Dossiers!O:O,"84-VAUCLUSE")</f>
        <v>0</v>
      </c>
    </row>
    <row r="266" spans="1:4" x14ac:dyDescent="0.2">
      <c r="A266" t="s">
        <v>1574</v>
      </c>
      <c r="D266">
        <f>COUNTIF(Dossiers!O:O,"85-VENDEE")</f>
        <v>1</v>
      </c>
    </row>
    <row r="267" spans="1:4" x14ac:dyDescent="0.2">
      <c r="A267" t="s">
        <v>1575</v>
      </c>
      <c r="D267">
        <f>COUNTIF(Dossiers!O:O,"86-VIENNE")</f>
        <v>0</v>
      </c>
    </row>
    <row r="268" spans="1:4" x14ac:dyDescent="0.2">
      <c r="A268" t="s">
        <v>1576</v>
      </c>
      <c r="D268">
        <f>COUNTIF(Dossiers!O:O,"87-HAUTE-VIENNE")</f>
        <v>0</v>
      </c>
    </row>
    <row r="269" spans="1:4" x14ac:dyDescent="0.2">
      <c r="A269" t="s">
        <v>1577</v>
      </c>
      <c r="D269">
        <f>COUNTIF(Dossiers!O:O,"88-VOSGES")</f>
        <v>0</v>
      </c>
    </row>
    <row r="270" spans="1:4" x14ac:dyDescent="0.2">
      <c r="A270" t="s">
        <v>1578</v>
      </c>
      <c r="D270">
        <f>COUNTIF(Dossiers!O:O,"89-YONNE")</f>
        <v>1</v>
      </c>
    </row>
    <row r="271" spans="1:4" x14ac:dyDescent="0.2">
      <c r="A271" t="s">
        <v>1579</v>
      </c>
      <c r="D271">
        <f>COUNTIF(Dossiers!O:O,"90-TERRITOIRE-DE-BELFORT")</f>
        <v>0</v>
      </c>
    </row>
    <row r="272" spans="1:4" x14ac:dyDescent="0.2">
      <c r="A272" t="s">
        <v>1580</v>
      </c>
      <c r="D272">
        <f>COUNTIF(Dossiers!O:O,"91-ESSONNE")</f>
        <v>0</v>
      </c>
    </row>
    <row r="273" spans="1:4" x14ac:dyDescent="0.2">
      <c r="A273" t="s">
        <v>1581</v>
      </c>
      <c r="D273">
        <f>COUNTIF(Dossiers!O:O,"92-HAUTS-DE-SEINE")</f>
        <v>1</v>
      </c>
    </row>
    <row r="274" spans="1:4" x14ac:dyDescent="0.2">
      <c r="A274" t="s">
        <v>1582</v>
      </c>
      <c r="D274">
        <f>COUNTIF(Dossiers!O:O,"93-SEINE-SAINT-DENIS")</f>
        <v>1</v>
      </c>
    </row>
    <row r="275" spans="1:4" x14ac:dyDescent="0.2">
      <c r="A275" t="s">
        <v>1583</v>
      </c>
      <c r="D275">
        <f>COUNTIF(Dossiers!O:O,"94-VAL-DE-MARNE")</f>
        <v>1</v>
      </c>
    </row>
    <row r="276" spans="1:4" x14ac:dyDescent="0.2">
      <c r="A276" t="s">
        <v>1584</v>
      </c>
      <c r="D276">
        <f>COUNTIF(Dossiers!O:O,"95-VAL-D'OISE")</f>
        <v>0</v>
      </c>
    </row>
    <row r="277" spans="1:4" x14ac:dyDescent="0.2">
      <c r="A277" t="s">
        <v>1586</v>
      </c>
      <c r="D277">
        <f>COUNTIF(Dossiers!O:O,"971-GUADELOUPE")</f>
        <v>4</v>
      </c>
    </row>
    <row r="278" spans="1:4" x14ac:dyDescent="0.2">
      <c r="A278" t="s">
        <v>1587</v>
      </c>
      <c r="D278">
        <f>COUNTIF(Dossiers!O:O,"972-MARTINIQUE")</f>
        <v>3</v>
      </c>
    </row>
    <row r="279" spans="1:4" x14ac:dyDescent="0.2">
      <c r="A279" t="s">
        <v>1588</v>
      </c>
      <c r="D279">
        <f>COUNTIF(Dossiers!O:O,"973-GUYANE")</f>
        <v>0</v>
      </c>
    </row>
    <row r="280" spans="1:4" x14ac:dyDescent="0.2">
      <c r="A280" t="s">
        <v>1589</v>
      </c>
      <c r="D280">
        <f>COUNTIF(Dossiers!O:O,"974-REUNION")</f>
        <v>0</v>
      </c>
    </row>
    <row r="281" spans="1:4" x14ac:dyDescent="0.2">
      <c r="A281" t="s">
        <v>1590</v>
      </c>
      <c r="D281">
        <f>COUNTIF(Dossiers!O:O,"975-SAINT-PIERRE-ET-MIQUELON")</f>
        <v>0</v>
      </c>
    </row>
    <row r="282" spans="1:4" x14ac:dyDescent="0.2">
      <c r="A282" t="s">
        <v>1591</v>
      </c>
      <c r="D282">
        <f>COUNTIF(Dossiers!O:O,"976-MAYOTTE")</f>
        <v>0</v>
      </c>
    </row>
    <row r="283" spans="1:4" x14ac:dyDescent="0.2">
      <c r="A283" t="s">
        <v>1592</v>
      </c>
      <c r="D283">
        <f>COUNTIF(Dossiers!O:O,"977-SAINT-BARTHELEMY")</f>
        <v>0</v>
      </c>
    </row>
    <row r="284" spans="1:4" x14ac:dyDescent="0.2">
      <c r="A284" t="s">
        <v>1593</v>
      </c>
      <c r="D284">
        <f>COUNTIF(Dossiers!O:O,"978-SAINT-MARTIN")</f>
        <v>1</v>
      </c>
    </row>
    <row r="285" spans="1:4" x14ac:dyDescent="0.2">
      <c r="A285" t="s">
        <v>1594</v>
      </c>
      <c r="D285">
        <f>COUNTIF(Dossiers!O:O,"987-POLYNESIE-FRANCAISE")</f>
        <v>0</v>
      </c>
    </row>
    <row r="286" spans="1:4" x14ac:dyDescent="0.2">
      <c r="A286" t="s">
        <v>1595</v>
      </c>
      <c r="D286">
        <f>COUNTIF(Dossiers!O:O,"988-NOUVELLE-CALEDONIE")</f>
        <v>0</v>
      </c>
    </row>
    <row r="287" spans="1:4" x14ac:dyDescent="0.2">
      <c r="A287" t="s">
        <v>1585</v>
      </c>
      <c r="D287">
        <f>COUNTIF(Dossiers!O:O,"AUVERGNE-RHONE-ALPES")</f>
        <v>0</v>
      </c>
    </row>
    <row r="288" spans="1:4" x14ac:dyDescent="0.2">
      <c r="A288" t="s">
        <v>1613</v>
      </c>
      <c r="D288">
        <f>COUNTIF(Dossiers!O:O,"BOURGOGNE-FRANCHE-COMTE")</f>
        <v>0</v>
      </c>
    </row>
    <row r="289" spans="1:4" x14ac:dyDescent="0.2">
      <c r="A289" t="s">
        <v>1596</v>
      </c>
      <c r="D289">
        <f>COUNTIF(Dossiers!O:O,"BRETAGNE")</f>
        <v>0</v>
      </c>
    </row>
    <row r="290" spans="1:4" x14ac:dyDescent="0.2">
      <c r="A290" t="s">
        <v>1597</v>
      </c>
      <c r="D290">
        <f>COUNTIF(Dossiers!O:O,"CENTRE-VAL-DE-LOIRE")</f>
        <v>0</v>
      </c>
    </row>
    <row r="291" spans="1:4" x14ac:dyDescent="0.2">
      <c r="A291" t="s">
        <v>1598</v>
      </c>
      <c r="D291">
        <f>COUNTIF(Dossiers!O:O,"CORSE")</f>
        <v>0</v>
      </c>
    </row>
    <row r="292" spans="1:4" x14ac:dyDescent="0.2">
      <c r="A292" t="s">
        <v>1599</v>
      </c>
      <c r="D292">
        <f>COUNTIF(Dossiers!O:O,"GRAND-EST")</f>
        <v>0</v>
      </c>
    </row>
    <row r="293" spans="1:4" x14ac:dyDescent="0.2">
      <c r="A293" t="s">
        <v>1600</v>
      </c>
      <c r="D293">
        <f>COUNTIF(Dossiers!O:O,"HAUTS-DE-FRANCE")</f>
        <v>0</v>
      </c>
    </row>
    <row r="294" spans="1:4" x14ac:dyDescent="0.2">
      <c r="A294" t="s">
        <v>1601</v>
      </c>
      <c r="D294">
        <f>COUNTIF(Dossiers!O:O,"ILE-DE-FRANCE")</f>
        <v>0</v>
      </c>
    </row>
    <row r="295" spans="1:4" x14ac:dyDescent="0.2">
      <c r="A295" t="s">
        <v>1602</v>
      </c>
      <c r="D295">
        <f>COUNTIF(Dossiers!O:O,"NORMANDIE")</f>
        <v>0</v>
      </c>
    </row>
    <row r="296" spans="1:4" x14ac:dyDescent="0.2">
      <c r="A296" t="s">
        <v>1603</v>
      </c>
      <c r="D296">
        <f>COUNTIF(Dossiers!O:O,"NOUVELLE-AQUITAINE")</f>
        <v>0</v>
      </c>
    </row>
    <row r="297" spans="1:4" x14ac:dyDescent="0.2">
      <c r="A297" t="s">
        <v>1604</v>
      </c>
      <c r="D297">
        <f>COUNTIF(Dossiers!O:O,"OCCITANIE")</f>
        <v>0</v>
      </c>
    </row>
    <row r="298" spans="1:4" x14ac:dyDescent="0.2">
      <c r="A298" t="s">
        <v>1605</v>
      </c>
      <c r="D298">
        <f>COUNTIF(Dossiers!O:O,"PAYS-DE-LA-LOIRE")</f>
        <v>0</v>
      </c>
    </row>
    <row r="299" spans="1:4" x14ac:dyDescent="0.2">
      <c r="A299" t="s">
        <v>1606</v>
      </c>
      <c r="D299">
        <f>COUNTIF(Dossiers!O:O,"PROVENCE-ALPES-COTE-D'AZUR")</f>
        <v>0</v>
      </c>
    </row>
    <row r="300" spans="1:4" x14ac:dyDescent="0.2">
      <c r="A300" t="s">
        <v>1607</v>
      </c>
      <c r="D300">
        <f>COUNTIF(Dossiers!O:O,"ZONE-FRANCE")</f>
        <v>0</v>
      </c>
    </row>
    <row r="301" spans="1:4" x14ac:dyDescent="0.2">
      <c r="D301">
        <f>SUM(D181:D300)</f>
        <v>28</v>
      </c>
    </row>
  </sheetData>
  <mergeCells count="9">
    <mergeCell ref="A60:D60"/>
    <mergeCell ref="A73:D73"/>
    <mergeCell ref="A180:D180"/>
    <mergeCell ref="A1:D1"/>
    <mergeCell ref="A7:D7"/>
    <mergeCell ref="A16:D16"/>
    <mergeCell ref="A26:D26"/>
    <mergeCell ref="A40:D40"/>
    <mergeCell ref="A44:D44"/>
  </mergeCells>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A1B6-5456-4D85-8CB6-65971390184C}">
  <sheetPr codeName="Feuil18"/>
  <dimension ref="A1:D38"/>
  <sheetViews>
    <sheetView topLeftCell="A4" workbookViewId="0">
      <selection activeCell="E38" sqref="E38"/>
    </sheetView>
  </sheetViews>
  <sheetFormatPr baseColWidth="10" defaultRowHeight="14.25" x14ac:dyDescent="0.2"/>
  <sheetData>
    <row r="1" spans="1:4" x14ac:dyDescent="0.2">
      <c r="A1" s="5" t="s">
        <v>1390</v>
      </c>
      <c r="B1" s="5"/>
      <c r="C1" s="5"/>
      <c r="D1" s="5"/>
    </row>
    <row r="2" spans="1:4" x14ac:dyDescent="0.2">
      <c r="A2" t="s">
        <v>1394</v>
      </c>
      <c r="D2">
        <f>COUNTA(Dossiers!A:A)-1</f>
        <v>32</v>
      </c>
    </row>
    <row r="3" spans="1:4" x14ac:dyDescent="0.2">
      <c r="A3" t="s">
        <v>1393</v>
      </c>
      <c r="D3">
        <f>COUNTIF(Dossiers!G:G,"*construction*")</f>
        <v>25</v>
      </c>
    </row>
    <row r="4" spans="1:4" x14ac:dyDescent="0.2">
      <c r="A4" t="s">
        <v>1392</v>
      </c>
      <c r="D4">
        <f>COUNTIF(Dossiers!G:G,"*instruction*")</f>
        <v>4</v>
      </c>
    </row>
    <row r="5" spans="1:4" x14ac:dyDescent="0.2">
      <c r="A5" t="s">
        <v>1391</v>
      </c>
      <c r="D5">
        <f>SUM(Dossiers!AD:AD)</f>
        <v>110</v>
      </c>
    </row>
    <row r="6" spans="1:4" x14ac:dyDescent="0.2">
      <c r="A6" s="5" t="s">
        <v>1395</v>
      </c>
      <c r="B6" s="5"/>
      <c r="C6" s="5"/>
      <c r="D6" s="5"/>
    </row>
    <row r="7" spans="1:4" x14ac:dyDescent="0.2">
      <c r="A7" t="s">
        <v>70</v>
      </c>
      <c r="D7">
        <f>COUNTIF(Dossiers!P:P,"Association")</f>
        <v>9</v>
      </c>
    </row>
    <row r="8" spans="1:4" x14ac:dyDescent="0.2">
      <c r="A8" t="s">
        <v>88</v>
      </c>
      <c r="D8">
        <f>COUNTIF(Dossiers!P:P,"Collectivité territoriale")</f>
        <v>11</v>
      </c>
    </row>
    <row r="9" spans="1:4" x14ac:dyDescent="0.2">
      <c r="A9" t="s">
        <v>1396</v>
      </c>
      <c r="D9">
        <f>COUNTIF(Dossiers!P:P,"*scolaire")</f>
        <v>0</v>
      </c>
    </row>
    <row r="10" spans="1:4" x14ac:dyDescent="0.2">
      <c r="A10" t="s">
        <v>185</v>
      </c>
      <c r="D10">
        <f>COUNTIF(Dossiers!P:P,"Entreprise")</f>
        <v>5</v>
      </c>
    </row>
    <row r="11" spans="1:4" x14ac:dyDescent="0.2">
      <c r="A11" t="s">
        <v>138</v>
      </c>
      <c r="D11">
        <f>COUNTIF(Dossiers!P:P,"*public")</f>
        <v>3</v>
      </c>
    </row>
    <row r="12" spans="1:4" x14ac:dyDescent="0.2">
      <c r="A12" t="s">
        <v>1397</v>
      </c>
      <c r="D12">
        <f>COUNTIF(Dossiers!P:P,"Particulier*")</f>
        <v>0</v>
      </c>
    </row>
    <row r="13" spans="1:4" x14ac:dyDescent="0.2">
      <c r="A13" t="s">
        <v>1398</v>
      </c>
      <c r="D13">
        <f>COUNTIF(Dossiers!P:P,"Service*")</f>
        <v>3</v>
      </c>
    </row>
    <row r="14" spans="1:4" x14ac:dyDescent="0.2">
      <c r="A14" t="s">
        <v>1399</v>
      </c>
      <c r="D14">
        <f>COUNTIF(Dossiers!P:P,"Université")</f>
        <v>0</v>
      </c>
    </row>
    <row r="15" spans="1:4" x14ac:dyDescent="0.2">
      <c r="A15" s="5" t="s">
        <v>1400</v>
      </c>
      <c r="B15" s="5"/>
      <c r="C15" s="5"/>
      <c r="D15" s="5"/>
    </row>
    <row r="16" spans="1:4" x14ac:dyDescent="0.2">
      <c r="A16" t="s">
        <v>70</v>
      </c>
      <c r="D16">
        <f>COUNTIF('(3286580) Co-porteur de projet'!C:C,"Association")</f>
        <v>1</v>
      </c>
    </row>
    <row r="17" spans="1:4" x14ac:dyDescent="0.2">
      <c r="A17" t="s">
        <v>88</v>
      </c>
      <c r="D17">
        <f>COUNTIF('(3286580) Co-porteur de projet'!C:C,"Collectivité territoriale")</f>
        <v>2</v>
      </c>
    </row>
    <row r="18" spans="1:4" x14ac:dyDescent="0.2">
      <c r="A18" t="s">
        <v>1396</v>
      </c>
      <c r="D18">
        <f>COUNTIF('(3286580) Co-porteur de projet'!C:C,"*scolaire")</f>
        <v>0</v>
      </c>
    </row>
    <row r="19" spans="1:4" x14ac:dyDescent="0.2">
      <c r="A19" t="s">
        <v>185</v>
      </c>
      <c r="D19">
        <f>COUNTIF('(3286580) Co-porteur de projet'!C:C,"Entreprise")</f>
        <v>2</v>
      </c>
    </row>
    <row r="20" spans="1:4" x14ac:dyDescent="0.2">
      <c r="A20" t="s">
        <v>138</v>
      </c>
      <c r="D20">
        <f>COUNTIF('(3286580) Co-porteur de projet'!C:C,"*public")</f>
        <v>0</v>
      </c>
    </row>
    <row r="21" spans="1:4" x14ac:dyDescent="0.2">
      <c r="A21" t="s">
        <v>1397</v>
      </c>
      <c r="D21">
        <f>COUNTIF('(3286580) Co-porteur de projet'!C:C,"Particulier*")</f>
        <v>0</v>
      </c>
    </row>
    <row r="22" spans="1:4" x14ac:dyDescent="0.2">
      <c r="A22" t="s">
        <v>1398</v>
      </c>
      <c r="D22">
        <f>COUNTIF('(3286580) Co-porteur de projet'!C:C,"Service*")</f>
        <v>2</v>
      </c>
    </row>
    <row r="23" spans="1:4" x14ac:dyDescent="0.2">
      <c r="A23" t="s">
        <v>1399</v>
      </c>
      <c r="D23">
        <f>COUNTIF('(3286580) Co-porteur de projet'!C:C,"Université")</f>
        <v>0</v>
      </c>
    </row>
    <row r="24" spans="1:4" x14ac:dyDescent="0.2">
      <c r="A24" t="s">
        <v>919</v>
      </c>
      <c r="D24">
        <f>COUNTIF('(3286580) Co-porteur de projet'!C:C,"*nationale")</f>
        <v>1</v>
      </c>
    </row>
    <row r="25" spans="1:4" x14ac:dyDescent="0.2">
      <c r="A25" s="5" t="s">
        <v>1401</v>
      </c>
      <c r="B25" s="5"/>
      <c r="C25" s="5"/>
      <c r="D25" s="5"/>
    </row>
    <row r="26" spans="1:4" x14ac:dyDescent="0.2">
      <c r="A26" t="s">
        <v>1059</v>
      </c>
      <c r="B26">
        <f>COUNTIF('(3344502) Action'!E:E,"Atelier Jeux")</f>
        <v>1</v>
      </c>
      <c r="C26">
        <f>COUNTIF('(3308253) Action'!E:E,"Atelier Jeux")</f>
        <v>0</v>
      </c>
      <c r="D26">
        <f>SUM(B26:C26)</f>
        <v>1</v>
      </c>
    </row>
    <row r="27" spans="1:4" x14ac:dyDescent="0.2">
      <c r="A27" t="s">
        <v>980</v>
      </c>
      <c r="B27">
        <f>COUNTIF('(3344502) Action'!E:E,"Atelier sensibilisation")</f>
        <v>2</v>
      </c>
      <c r="C27">
        <f>COUNTIF('(3308253) Action'!E:E,"Atelier sensibilisation")</f>
        <v>3</v>
      </c>
      <c r="D27">
        <f t="shared" ref="D27:D38" si="0">SUM(B27:C27)</f>
        <v>5</v>
      </c>
    </row>
    <row r="28" spans="1:4" x14ac:dyDescent="0.2">
      <c r="A28" t="s">
        <v>1135</v>
      </c>
      <c r="B28">
        <f>COUNTIF('(3344502) Action'!E:E,"Conférence")</f>
        <v>6</v>
      </c>
      <c r="C28">
        <f>COUNTIF('(3308253) Action'!E:E,"Conférence")</f>
        <v>1</v>
      </c>
      <c r="D28">
        <f t="shared" si="0"/>
        <v>7</v>
      </c>
    </row>
    <row r="29" spans="1:4" x14ac:dyDescent="0.2">
      <c r="A29" t="s">
        <v>1039</v>
      </c>
      <c r="B29">
        <f>COUNTIF('(3344502) Action'!E:E,"Exercice de gestion de crise")</f>
        <v>1</v>
      </c>
      <c r="C29">
        <f>COUNTIF('(3308253) Action'!E:E,"Exercice de gestion de crise")</f>
        <v>0</v>
      </c>
      <c r="D29">
        <f t="shared" si="0"/>
        <v>1</v>
      </c>
    </row>
    <row r="30" spans="1:4" x14ac:dyDescent="0.2">
      <c r="A30" t="s">
        <v>1283</v>
      </c>
      <c r="B30">
        <f>COUNTIF('(3344502) Action'!E:E,"Exposition")</f>
        <v>0</v>
      </c>
      <c r="C30">
        <f>COUNTIF('(3308253) Action'!E:E,"Exposition")</f>
        <v>1</v>
      </c>
      <c r="D30">
        <f t="shared" si="0"/>
        <v>1</v>
      </c>
    </row>
    <row r="31" spans="1:4" x14ac:dyDescent="0.2">
      <c r="A31" t="s">
        <v>1402</v>
      </c>
      <c r="B31">
        <f>COUNTIF('(3344502) Action'!E:E,"Formation")</f>
        <v>0</v>
      </c>
      <c r="C31">
        <f>COUNTIF('(3308253) Action'!E:E,"Formation")</f>
        <v>0</v>
      </c>
      <c r="D31">
        <f t="shared" si="0"/>
        <v>0</v>
      </c>
    </row>
    <row r="32" spans="1:4" x14ac:dyDescent="0.2">
      <c r="A32" t="s">
        <v>1403</v>
      </c>
      <c r="B32">
        <f>COUNTIF('(3344502) Action'!E:E,"Podcast")</f>
        <v>0</v>
      </c>
      <c r="C32">
        <f>COUNTIF('(3308253) Action'!E:E,"Podcast")</f>
        <v>0</v>
      </c>
      <c r="D32">
        <f t="shared" si="0"/>
        <v>0</v>
      </c>
    </row>
    <row r="33" spans="1:4" x14ac:dyDescent="0.2">
      <c r="A33" t="s">
        <v>1404</v>
      </c>
      <c r="B33">
        <f>COUNTIF('(3344502) Action'!E:E,"Réunion*")</f>
        <v>0</v>
      </c>
      <c r="C33">
        <f>COUNTIF('(3308253) Action'!E:E,"Réunion d'information")</f>
        <v>0</v>
      </c>
      <c r="D33">
        <f t="shared" si="0"/>
        <v>0</v>
      </c>
    </row>
    <row r="34" spans="1:4" x14ac:dyDescent="0.2">
      <c r="A34" t="s">
        <v>1101</v>
      </c>
      <c r="B34">
        <f>COUNTIF('(3344502) Action'!E:E,"Spectacle")</f>
        <v>1</v>
      </c>
      <c r="C34">
        <f>COUNTIF('(3308253) Action'!E:E,"Spectacle")</f>
        <v>0</v>
      </c>
      <c r="D34">
        <f t="shared" si="0"/>
        <v>1</v>
      </c>
    </row>
    <row r="35" spans="1:4" x14ac:dyDescent="0.2">
      <c r="A35" t="s">
        <v>1111</v>
      </c>
      <c r="B35">
        <f>COUNTIF('(3344502) Action'!E:E,"*air")</f>
        <v>4</v>
      </c>
      <c r="C35">
        <f>COUNTIF('(3308253) Action'!E:E,"Visite en plein air")</f>
        <v>1</v>
      </c>
      <c r="D35">
        <f t="shared" si="0"/>
        <v>5</v>
      </c>
    </row>
    <row r="36" spans="1:4" x14ac:dyDescent="0.2">
      <c r="A36" t="s">
        <v>1405</v>
      </c>
      <c r="B36">
        <f>COUNTIF('(3344502) Action'!E:E,"*intérieur")</f>
        <v>0</v>
      </c>
      <c r="C36">
        <f>COUNTIF('(3308253) Action'!E:E,"Visite en intérieur")</f>
        <v>0</v>
      </c>
      <c r="D36">
        <f t="shared" si="0"/>
        <v>0</v>
      </c>
    </row>
    <row r="37" spans="1:4" x14ac:dyDescent="0.2">
      <c r="A37" t="s">
        <v>1406</v>
      </c>
      <c r="B37">
        <f>COUNTIF('(3344502) Action'!E:E,"Webinaire")</f>
        <v>0</v>
      </c>
      <c r="C37">
        <f>COUNTIF('(3308253) Action'!E:E,"Webinaire")</f>
        <v>0</v>
      </c>
      <c r="D37">
        <f t="shared" si="0"/>
        <v>0</v>
      </c>
    </row>
    <row r="38" spans="1:4" x14ac:dyDescent="0.2">
      <c r="A38" t="s">
        <v>1019</v>
      </c>
      <c r="B38">
        <f>COUNTIF('(3344502) Action'!E:E,"Autre")</f>
        <v>5</v>
      </c>
      <c r="C38">
        <f>COUNTIF('(3308253) Action'!E:E,"Atelier Jeux")</f>
        <v>0</v>
      </c>
      <c r="D38">
        <f t="shared" si="0"/>
        <v>5</v>
      </c>
    </row>
  </sheetData>
  <mergeCells count="4">
    <mergeCell ref="A1:D1"/>
    <mergeCell ref="A6:D6"/>
    <mergeCell ref="A15:D15"/>
    <mergeCell ref="A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AH33"/>
  <sheetViews>
    <sheetView showOutlineSymbols="0" showWhiteSpace="0" workbookViewId="0"/>
  </sheetViews>
  <sheetFormatPr baseColWidth="10" defaultColWidth="9" defaultRowHeight="14.25" x14ac:dyDescent="0.2"/>
  <cols>
    <col min="1" max="1" width="23.375" bestFit="1" customWidth="1"/>
    <col min="2" max="2" width="16.75" bestFit="1" customWidth="1"/>
    <col min="3" max="3" width="39.625" bestFit="1" customWidth="1"/>
    <col min="4" max="4" width="45" bestFit="1" customWidth="1"/>
    <col min="5" max="5" width="52.25" bestFit="1" customWidth="1"/>
    <col min="6" max="6" width="36" bestFit="1" customWidth="1"/>
    <col min="7" max="7" width="90" bestFit="1" customWidth="1"/>
    <col min="8" max="8" width="238.75" bestFit="1" customWidth="1"/>
    <col min="9" max="9" width="50.375" bestFit="1" customWidth="1"/>
    <col min="10" max="10" width="46.75" bestFit="1" customWidth="1"/>
    <col min="11" max="11" width="45" bestFit="1" customWidth="1"/>
    <col min="12" max="12" width="63" bestFit="1" customWidth="1"/>
    <col min="13" max="13" width="50.375" bestFit="1" customWidth="1"/>
    <col min="14" max="14" width="45" bestFit="1" customWidth="1"/>
    <col min="15" max="15" width="64.75" bestFit="1" customWidth="1"/>
    <col min="16" max="16" width="34.25" bestFit="1" customWidth="1"/>
    <col min="17" max="17" width="50.375" bestFit="1" customWidth="1"/>
    <col min="18" max="18" width="77.375" bestFit="1" customWidth="1"/>
    <col min="19" max="19" width="99.625" bestFit="1" customWidth="1"/>
    <col min="20" max="20" width="61.25" bestFit="1" customWidth="1"/>
    <col min="21" max="21" width="50.375" bestFit="1" customWidth="1"/>
    <col min="22" max="22" width="147.625" bestFit="1" customWidth="1"/>
    <col min="23" max="23" width="57.625" bestFit="1" customWidth="1"/>
    <col min="24" max="24" width="68.375" bestFit="1" customWidth="1"/>
    <col min="25" max="25" width="54" bestFit="1" customWidth="1"/>
    <col min="26" max="26" width="57.625" bestFit="1" customWidth="1"/>
    <col min="27" max="27" width="30.625" bestFit="1" customWidth="1"/>
    <col min="28" max="28" width="36" bestFit="1" customWidth="1"/>
    <col min="29" max="29" width="32.375" bestFit="1" customWidth="1"/>
    <col min="30" max="31" width="36" bestFit="1" customWidth="1"/>
    <col min="32" max="32" width="55.75" bestFit="1" customWidth="1"/>
    <col min="33" max="34" width="61.25" bestFit="1" customWidth="1"/>
  </cols>
  <sheetData>
    <row r="1" spans="1:34" ht="15.75" x14ac:dyDescent="0.25">
      <c r="A1" s="1" t="s">
        <v>546</v>
      </c>
      <c r="B1" s="1" t="s">
        <v>547</v>
      </c>
      <c r="C1" s="1" t="s">
        <v>548</v>
      </c>
      <c r="D1" s="1" t="s">
        <v>549</v>
      </c>
      <c r="E1" s="1" t="s">
        <v>550</v>
      </c>
      <c r="F1" s="1" t="s">
        <v>551</v>
      </c>
      <c r="G1" s="1" t="s">
        <v>552</v>
      </c>
      <c r="H1" s="1" t="s">
        <v>553</v>
      </c>
      <c r="I1" s="1" t="s">
        <v>554</v>
      </c>
      <c r="J1" s="1" t="s">
        <v>555</v>
      </c>
      <c r="K1" s="1" t="s">
        <v>556</v>
      </c>
      <c r="L1" s="1" t="s">
        <v>557</v>
      </c>
      <c r="M1" s="1" t="s">
        <v>558</v>
      </c>
      <c r="N1" s="1" t="s">
        <v>559</v>
      </c>
      <c r="O1" s="1" t="s">
        <v>560</v>
      </c>
      <c r="P1" s="1" t="s">
        <v>561</v>
      </c>
      <c r="Q1" s="1" t="s">
        <v>562</v>
      </c>
      <c r="R1" s="1" t="s">
        <v>563</v>
      </c>
      <c r="S1" s="1" t="s">
        <v>564</v>
      </c>
      <c r="T1" s="1" t="s">
        <v>565</v>
      </c>
      <c r="U1" s="1" t="s">
        <v>566</v>
      </c>
      <c r="V1" s="1" t="s">
        <v>567</v>
      </c>
      <c r="W1" s="1" t="s">
        <v>568</v>
      </c>
      <c r="X1" s="1" t="s">
        <v>569</v>
      </c>
      <c r="Y1" s="1" t="s">
        <v>570</v>
      </c>
      <c r="Z1" s="1" t="s">
        <v>571</v>
      </c>
      <c r="AA1" s="1" t="s">
        <v>572</v>
      </c>
      <c r="AB1" s="1" t="s">
        <v>573</v>
      </c>
      <c r="AC1" s="1" t="s">
        <v>574</v>
      </c>
      <c r="AD1" s="1" t="s">
        <v>575</v>
      </c>
      <c r="AE1" s="1" t="s">
        <v>576</v>
      </c>
      <c r="AF1" s="1" t="s">
        <v>577</v>
      </c>
      <c r="AG1" s="1" t="s">
        <v>578</v>
      </c>
      <c r="AH1" s="1" t="s">
        <v>579</v>
      </c>
    </row>
    <row r="2" spans="1:34" ht="15" x14ac:dyDescent="0.2">
      <c r="A2" s="2" t="s">
        <v>40</v>
      </c>
      <c r="B2" s="2" t="s">
        <v>17</v>
      </c>
      <c r="C2" s="2" t="s">
        <v>51</v>
      </c>
      <c r="D2" s="2"/>
      <c r="E2" s="2" t="s">
        <v>580</v>
      </c>
      <c r="F2" s="2" t="s">
        <v>581</v>
      </c>
      <c r="G2" s="2" t="s">
        <v>582</v>
      </c>
      <c r="H2" s="2" t="s">
        <v>583</v>
      </c>
      <c r="I2" s="2" t="s">
        <v>584</v>
      </c>
      <c r="J2" s="2" t="s">
        <v>585</v>
      </c>
      <c r="K2" s="2" t="s">
        <v>586</v>
      </c>
      <c r="L2" s="2"/>
      <c r="M2" s="2" t="s">
        <v>587</v>
      </c>
      <c r="N2" s="2" t="s">
        <v>588</v>
      </c>
      <c r="O2" s="2" t="s">
        <v>589</v>
      </c>
      <c r="P2" s="2" t="s">
        <v>590</v>
      </c>
      <c r="Q2" s="2"/>
      <c r="R2" s="2"/>
      <c r="S2" s="2" t="s">
        <v>591</v>
      </c>
      <c r="T2" s="2" t="s">
        <v>592</v>
      </c>
      <c r="U2" s="2"/>
      <c r="V2" s="2" t="s">
        <v>593</v>
      </c>
      <c r="W2" s="2" t="s">
        <v>51</v>
      </c>
      <c r="X2" s="2" t="s">
        <v>594</v>
      </c>
      <c r="Y2" s="4">
        <v>40360</v>
      </c>
      <c r="Z2" s="2" t="s">
        <v>595</v>
      </c>
      <c r="AA2" s="2"/>
      <c r="AB2" s="2"/>
      <c r="AC2" s="2"/>
      <c r="AD2" s="2"/>
      <c r="AE2" s="2"/>
      <c r="AF2" s="2"/>
      <c r="AG2" s="2"/>
      <c r="AH2" s="2"/>
    </row>
    <row r="3" spans="1:34" ht="15" x14ac:dyDescent="0.2">
      <c r="A3" s="2" t="s">
        <v>64</v>
      </c>
      <c r="B3" s="2" t="s">
        <v>17</v>
      </c>
      <c r="C3" s="2" t="s">
        <v>72</v>
      </c>
      <c r="D3" s="2"/>
      <c r="E3" s="2" t="s">
        <v>580</v>
      </c>
      <c r="F3" s="2" t="s">
        <v>596</v>
      </c>
      <c r="G3" s="2" t="s">
        <v>597</v>
      </c>
      <c r="H3" s="2" t="s">
        <v>598</v>
      </c>
      <c r="I3" s="2" t="s">
        <v>599</v>
      </c>
      <c r="J3" s="2" t="s">
        <v>600</v>
      </c>
      <c r="K3" s="2" t="s">
        <v>601</v>
      </c>
      <c r="L3" s="2"/>
      <c r="M3" s="2" t="s">
        <v>602</v>
      </c>
      <c r="N3" s="2" t="s">
        <v>603</v>
      </c>
      <c r="O3" s="2" t="s">
        <v>604</v>
      </c>
      <c r="P3" s="2" t="s">
        <v>605</v>
      </c>
      <c r="Q3" s="2"/>
      <c r="R3" s="2"/>
      <c r="S3" s="2" t="s">
        <v>606</v>
      </c>
      <c r="T3" s="2" t="s">
        <v>607</v>
      </c>
      <c r="U3" s="2"/>
      <c r="V3" s="2" t="s">
        <v>608</v>
      </c>
      <c r="W3" s="2" t="s">
        <v>72</v>
      </c>
      <c r="X3" s="2" t="s">
        <v>609</v>
      </c>
      <c r="Y3" s="4">
        <v>35695</v>
      </c>
      <c r="Z3" s="2" t="s">
        <v>595</v>
      </c>
      <c r="AA3" s="2"/>
      <c r="AB3" s="2"/>
      <c r="AC3" s="2"/>
      <c r="AD3" s="2"/>
      <c r="AE3" s="2"/>
      <c r="AF3" s="2"/>
      <c r="AG3" s="2"/>
      <c r="AH3" s="2"/>
    </row>
    <row r="4" spans="1:34" ht="15" x14ac:dyDescent="0.2">
      <c r="A4" s="2" t="s">
        <v>82</v>
      </c>
      <c r="B4" s="2" t="s">
        <v>17</v>
      </c>
      <c r="C4" s="2" t="s">
        <v>90</v>
      </c>
      <c r="D4" s="2"/>
      <c r="E4" s="2" t="s">
        <v>580</v>
      </c>
      <c r="F4" s="2" t="s">
        <v>610</v>
      </c>
      <c r="G4" s="2" t="s">
        <v>611</v>
      </c>
      <c r="H4" s="2" t="s">
        <v>612</v>
      </c>
      <c r="I4" s="2" t="s">
        <v>613</v>
      </c>
      <c r="J4" s="2" t="s">
        <v>600</v>
      </c>
      <c r="K4" s="2" t="s">
        <v>614</v>
      </c>
      <c r="L4" s="2"/>
      <c r="M4" s="2" t="s">
        <v>615</v>
      </c>
      <c r="N4" s="2" t="s">
        <v>616</v>
      </c>
      <c r="O4" s="2" t="s">
        <v>617</v>
      </c>
      <c r="P4" s="2" t="s">
        <v>618</v>
      </c>
      <c r="Q4" s="2"/>
      <c r="R4" s="2" t="s">
        <v>619</v>
      </c>
      <c r="S4" s="2" t="s">
        <v>620</v>
      </c>
      <c r="T4" s="2" t="s">
        <v>621</v>
      </c>
      <c r="U4" s="2"/>
      <c r="V4" s="2" t="s">
        <v>622</v>
      </c>
      <c r="W4" s="2" t="s">
        <v>90</v>
      </c>
      <c r="X4" s="2" t="s">
        <v>594</v>
      </c>
      <c r="Y4" s="4">
        <v>42736</v>
      </c>
      <c r="Z4" s="2" t="s">
        <v>595</v>
      </c>
      <c r="AA4" s="2"/>
      <c r="AB4" s="2"/>
      <c r="AC4" s="2"/>
      <c r="AD4" s="2"/>
      <c r="AE4" s="2"/>
      <c r="AF4" s="2"/>
      <c r="AG4" s="2"/>
      <c r="AH4" s="2"/>
    </row>
    <row r="5" spans="1:34" ht="15" x14ac:dyDescent="0.2">
      <c r="A5" s="2" t="s">
        <v>102</v>
      </c>
      <c r="B5" s="2" t="s">
        <v>17</v>
      </c>
      <c r="C5" s="2" t="s">
        <v>109</v>
      </c>
      <c r="D5" s="2"/>
      <c r="E5" s="2" t="s">
        <v>580</v>
      </c>
      <c r="F5" s="2" t="s">
        <v>623</v>
      </c>
      <c r="G5" s="2" t="s">
        <v>624</v>
      </c>
      <c r="H5" s="2" t="s">
        <v>625</v>
      </c>
      <c r="I5" s="2"/>
      <c r="J5" s="2" t="s">
        <v>585</v>
      </c>
      <c r="K5" s="2" t="s">
        <v>626</v>
      </c>
      <c r="L5" s="2" t="s">
        <v>627</v>
      </c>
      <c r="M5" s="2" t="s">
        <v>628</v>
      </c>
      <c r="N5" s="2" t="s">
        <v>629</v>
      </c>
      <c r="O5" s="2" t="s">
        <v>630</v>
      </c>
      <c r="P5" s="2" t="s">
        <v>631</v>
      </c>
      <c r="Q5" s="2"/>
      <c r="R5" s="2"/>
      <c r="S5" s="2" t="s">
        <v>606</v>
      </c>
      <c r="T5" s="2" t="s">
        <v>607</v>
      </c>
      <c r="U5" s="2"/>
      <c r="V5" s="2" t="s">
        <v>108</v>
      </c>
      <c r="W5" s="2" t="s">
        <v>109</v>
      </c>
      <c r="X5" s="2"/>
      <c r="Y5" s="4">
        <v>39723</v>
      </c>
      <c r="Z5" s="2" t="s">
        <v>595</v>
      </c>
      <c r="AA5" s="2"/>
      <c r="AB5" s="2"/>
      <c r="AC5" s="2"/>
      <c r="AD5" s="2"/>
      <c r="AE5" s="2"/>
      <c r="AF5" s="2"/>
      <c r="AG5" s="2"/>
      <c r="AH5" s="2"/>
    </row>
    <row r="6" spans="1:34" ht="15" x14ac:dyDescent="0.2">
      <c r="A6" s="2" t="s">
        <v>118</v>
      </c>
      <c r="B6" s="2" t="s">
        <v>17</v>
      </c>
      <c r="C6" s="2" t="s">
        <v>124</v>
      </c>
      <c r="D6" s="2"/>
      <c r="E6" s="2" t="s">
        <v>580</v>
      </c>
      <c r="F6" s="2" t="s">
        <v>632</v>
      </c>
      <c r="G6" s="2" t="s">
        <v>633</v>
      </c>
      <c r="H6" s="2" t="s">
        <v>634</v>
      </c>
      <c r="I6" s="2" t="s">
        <v>635</v>
      </c>
      <c r="J6" s="2" t="s">
        <v>600</v>
      </c>
      <c r="K6" s="2" t="s">
        <v>636</v>
      </c>
      <c r="L6" s="2"/>
      <c r="M6" s="2" t="s">
        <v>637</v>
      </c>
      <c r="N6" s="2" t="s">
        <v>638</v>
      </c>
      <c r="O6" s="2" t="s">
        <v>639</v>
      </c>
      <c r="P6" s="2" t="s">
        <v>640</v>
      </c>
      <c r="Q6" s="2"/>
      <c r="R6" s="2"/>
      <c r="S6" s="2" t="s">
        <v>606</v>
      </c>
      <c r="T6" s="2" t="s">
        <v>607</v>
      </c>
      <c r="U6" s="2"/>
      <c r="V6" s="2" t="s">
        <v>641</v>
      </c>
      <c r="W6" s="2" t="s">
        <v>124</v>
      </c>
      <c r="X6" s="2" t="s">
        <v>642</v>
      </c>
      <c r="Y6" s="4">
        <v>36977</v>
      </c>
      <c r="Z6" s="2" t="s">
        <v>595</v>
      </c>
      <c r="AA6" s="2"/>
      <c r="AB6" s="2"/>
      <c r="AC6" s="2"/>
      <c r="AD6" s="2"/>
      <c r="AE6" s="2"/>
      <c r="AF6" s="2"/>
      <c r="AG6" s="2"/>
      <c r="AH6" s="2"/>
    </row>
    <row r="7" spans="1:34" ht="15" x14ac:dyDescent="0.2">
      <c r="A7" s="2" t="s">
        <v>133</v>
      </c>
      <c r="B7" s="2" t="s">
        <v>17</v>
      </c>
      <c r="C7" s="2" t="s">
        <v>140</v>
      </c>
      <c r="D7" s="2"/>
      <c r="E7" s="2" t="s">
        <v>580</v>
      </c>
      <c r="F7" s="2" t="s">
        <v>643</v>
      </c>
      <c r="G7" s="2" t="s">
        <v>644</v>
      </c>
      <c r="H7" s="2" t="s">
        <v>645</v>
      </c>
      <c r="I7" s="2" t="s">
        <v>646</v>
      </c>
      <c r="J7" s="2" t="s">
        <v>600</v>
      </c>
      <c r="K7" s="2" t="s">
        <v>647</v>
      </c>
      <c r="L7" s="2"/>
      <c r="M7" s="2" t="s">
        <v>648</v>
      </c>
      <c r="N7" s="2" t="s">
        <v>649</v>
      </c>
      <c r="O7" s="2" t="s">
        <v>650</v>
      </c>
      <c r="P7" s="2" t="s">
        <v>651</v>
      </c>
      <c r="Q7" s="2"/>
      <c r="R7" s="2" t="s">
        <v>652</v>
      </c>
      <c r="S7" s="2" t="s">
        <v>653</v>
      </c>
      <c r="T7" s="2" t="s">
        <v>654</v>
      </c>
      <c r="U7" s="2"/>
      <c r="V7" s="2" t="s">
        <v>655</v>
      </c>
      <c r="W7" s="2" t="s">
        <v>140</v>
      </c>
      <c r="X7" s="2" t="s">
        <v>656</v>
      </c>
      <c r="Y7" s="4">
        <v>30707</v>
      </c>
      <c r="Z7" s="2" t="s">
        <v>595</v>
      </c>
      <c r="AA7" s="2"/>
      <c r="AB7" s="2"/>
      <c r="AC7" s="2"/>
      <c r="AD7" s="2"/>
      <c r="AE7" s="2"/>
      <c r="AF7" s="2"/>
      <c r="AG7" s="2"/>
      <c r="AH7" s="2"/>
    </row>
    <row r="8" spans="1:34" ht="15" x14ac:dyDescent="0.2">
      <c r="A8" s="2" t="s">
        <v>149</v>
      </c>
      <c r="B8" s="2" t="s">
        <v>17</v>
      </c>
      <c r="C8" s="2" t="s">
        <v>155</v>
      </c>
      <c r="D8" s="2" t="s">
        <v>657</v>
      </c>
      <c r="E8" s="2" t="s">
        <v>580</v>
      </c>
      <c r="F8" s="2" t="s">
        <v>610</v>
      </c>
      <c r="G8" s="2" t="s">
        <v>611</v>
      </c>
      <c r="H8" s="2" t="s">
        <v>658</v>
      </c>
      <c r="I8" s="2"/>
      <c r="J8" s="2"/>
      <c r="K8" s="2" t="s">
        <v>659</v>
      </c>
      <c r="L8" s="2"/>
      <c r="M8" s="2" t="s">
        <v>660</v>
      </c>
      <c r="N8" s="2" t="s">
        <v>661</v>
      </c>
      <c r="O8" s="2" t="s">
        <v>662</v>
      </c>
      <c r="P8" s="2" t="s">
        <v>663</v>
      </c>
      <c r="Q8" s="2"/>
      <c r="R8" s="2"/>
      <c r="S8" s="2" t="s">
        <v>664</v>
      </c>
      <c r="T8" s="2" t="s">
        <v>665</v>
      </c>
      <c r="U8" s="2"/>
      <c r="V8" s="2" t="s">
        <v>666</v>
      </c>
      <c r="W8" s="2" t="s">
        <v>155</v>
      </c>
      <c r="X8" s="2" t="s">
        <v>594</v>
      </c>
      <c r="Y8" s="4">
        <v>30376</v>
      </c>
      <c r="Z8" s="2" t="s">
        <v>595</v>
      </c>
      <c r="AA8" s="2"/>
      <c r="AB8" s="2"/>
      <c r="AC8" s="2"/>
      <c r="AD8" s="2"/>
      <c r="AE8" s="2"/>
      <c r="AF8" s="2"/>
      <c r="AG8" s="2"/>
      <c r="AH8" s="2"/>
    </row>
    <row r="9" spans="1:34" ht="15" x14ac:dyDescent="0.2">
      <c r="A9" s="2" t="s">
        <v>163</v>
      </c>
      <c r="B9" s="2" t="s">
        <v>17</v>
      </c>
      <c r="C9" s="2" t="s">
        <v>170</v>
      </c>
      <c r="D9" s="2" t="s">
        <v>667</v>
      </c>
      <c r="E9" s="2" t="s">
        <v>580</v>
      </c>
      <c r="F9" s="2" t="s">
        <v>668</v>
      </c>
      <c r="G9" s="2" t="s">
        <v>669</v>
      </c>
      <c r="H9" s="2" t="s">
        <v>670</v>
      </c>
      <c r="I9" s="2"/>
      <c r="J9" s="2"/>
      <c r="K9" s="2" t="s">
        <v>671</v>
      </c>
      <c r="L9" s="2" t="s">
        <v>657</v>
      </c>
      <c r="M9" s="2" t="s">
        <v>672</v>
      </c>
      <c r="N9" s="2" t="s">
        <v>673</v>
      </c>
      <c r="O9" s="2" t="s">
        <v>674</v>
      </c>
      <c r="P9" s="2" t="s">
        <v>675</v>
      </c>
      <c r="Q9" s="2"/>
      <c r="R9" s="2"/>
      <c r="S9" s="2" t="s">
        <v>676</v>
      </c>
      <c r="T9" s="2" t="s">
        <v>677</v>
      </c>
      <c r="U9" s="2"/>
      <c r="V9" s="2" t="s">
        <v>678</v>
      </c>
      <c r="W9" s="2" t="s">
        <v>170</v>
      </c>
      <c r="X9" s="2" t="s">
        <v>679</v>
      </c>
      <c r="Y9" s="4">
        <v>29760</v>
      </c>
      <c r="Z9" s="2" t="s">
        <v>595</v>
      </c>
      <c r="AA9" s="2"/>
      <c r="AB9" s="2"/>
      <c r="AC9" s="2"/>
      <c r="AD9" s="2"/>
      <c r="AE9" s="2"/>
      <c r="AF9" s="2"/>
      <c r="AG9" s="2"/>
      <c r="AH9" s="2"/>
    </row>
    <row r="10" spans="1:34" ht="15" x14ac:dyDescent="0.2">
      <c r="A10" s="2" t="s">
        <v>178</v>
      </c>
      <c r="B10" s="2" t="s">
        <v>17</v>
      </c>
      <c r="C10" s="2" t="s">
        <v>187</v>
      </c>
      <c r="D10" s="2"/>
      <c r="E10" s="2" t="s">
        <v>580</v>
      </c>
      <c r="F10" s="2" t="s">
        <v>632</v>
      </c>
      <c r="G10" s="2" t="s">
        <v>633</v>
      </c>
      <c r="H10" s="2" t="s">
        <v>680</v>
      </c>
      <c r="I10" s="2"/>
      <c r="J10" s="2" t="s">
        <v>600</v>
      </c>
      <c r="K10" s="2" t="s">
        <v>681</v>
      </c>
      <c r="L10" s="2"/>
      <c r="M10" s="2" t="s">
        <v>682</v>
      </c>
      <c r="N10" s="2" t="s">
        <v>683</v>
      </c>
      <c r="O10" s="2" t="s">
        <v>684</v>
      </c>
      <c r="P10" s="2" t="s">
        <v>685</v>
      </c>
      <c r="Q10" s="2">
        <v>26533500</v>
      </c>
      <c r="R10" s="2" t="s">
        <v>686</v>
      </c>
      <c r="S10" s="2" t="s">
        <v>687</v>
      </c>
      <c r="T10" s="2" t="s">
        <v>688</v>
      </c>
      <c r="U10" s="2" t="s">
        <v>62</v>
      </c>
      <c r="V10" s="2" t="s">
        <v>689</v>
      </c>
      <c r="W10" s="2" t="s">
        <v>187</v>
      </c>
      <c r="X10" s="2" t="s">
        <v>594</v>
      </c>
      <c r="Y10" s="4">
        <v>36251</v>
      </c>
      <c r="Z10" s="2" t="s">
        <v>595</v>
      </c>
      <c r="AA10" s="2"/>
      <c r="AB10" s="2"/>
      <c r="AC10" s="2"/>
      <c r="AD10" s="2"/>
      <c r="AE10" s="2"/>
      <c r="AF10" s="2"/>
      <c r="AG10" s="2"/>
      <c r="AH10" s="2"/>
    </row>
    <row r="11" spans="1:34" ht="15" x14ac:dyDescent="0.2">
      <c r="A11" s="2" t="s">
        <v>197</v>
      </c>
      <c r="B11" s="2" t="s">
        <v>17</v>
      </c>
      <c r="C11" s="2" t="s">
        <v>203</v>
      </c>
      <c r="D11" s="2"/>
      <c r="E11" s="2" t="s">
        <v>580</v>
      </c>
      <c r="F11" s="2" t="s">
        <v>690</v>
      </c>
      <c r="G11" s="2" t="s">
        <v>691</v>
      </c>
      <c r="H11" s="2" t="s">
        <v>692</v>
      </c>
      <c r="I11" s="2" t="s">
        <v>693</v>
      </c>
      <c r="J11" s="2" t="s">
        <v>600</v>
      </c>
      <c r="K11" s="2" t="s">
        <v>694</v>
      </c>
      <c r="L11" s="2"/>
      <c r="M11" s="2" t="s">
        <v>695</v>
      </c>
      <c r="N11" s="2" t="s">
        <v>696</v>
      </c>
      <c r="O11" s="2" t="s">
        <v>697</v>
      </c>
      <c r="P11" s="2" t="s">
        <v>698</v>
      </c>
      <c r="Q11" s="2"/>
      <c r="R11" s="2"/>
      <c r="S11" s="2" t="s">
        <v>699</v>
      </c>
      <c r="T11" s="2" t="s">
        <v>700</v>
      </c>
      <c r="U11" s="2"/>
      <c r="V11" s="2" t="s">
        <v>701</v>
      </c>
      <c r="W11" s="2" t="s">
        <v>203</v>
      </c>
      <c r="X11" s="2"/>
      <c r="Y11" s="4">
        <v>44844</v>
      </c>
      <c r="Z11" s="2" t="s">
        <v>595</v>
      </c>
      <c r="AA11" s="2" t="s">
        <v>702</v>
      </c>
      <c r="AB11" s="2" t="s">
        <v>703</v>
      </c>
      <c r="AC11" s="2"/>
      <c r="AD11" s="2"/>
      <c r="AE11" s="2"/>
      <c r="AF11" s="2"/>
      <c r="AG11" s="2"/>
      <c r="AH11" s="2"/>
    </row>
    <row r="12" spans="1:34" ht="15" x14ac:dyDescent="0.2">
      <c r="A12" s="2" t="s">
        <v>213</v>
      </c>
      <c r="B12" s="2" t="s">
        <v>17</v>
      </c>
      <c r="C12" s="2" t="s">
        <v>219</v>
      </c>
      <c r="D12" s="2"/>
      <c r="E12" s="2" t="s">
        <v>580</v>
      </c>
      <c r="F12" s="2" t="s">
        <v>704</v>
      </c>
      <c r="G12" s="2" t="s">
        <v>705</v>
      </c>
      <c r="H12" s="2" t="s">
        <v>706</v>
      </c>
      <c r="I12" s="2" t="s">
        <v>646</v>
      </c>
      <c r="J12" s="2" t="s">
        <v>600</v>
      </c>
      <c r="K12" s="2" t="s">
        <v>707</v>
      </c>
      <c r="L12" s="2"/>
      <c r="M12" s="2" t="s">
        <v>708</v>
      </c>
      <c r="N12" s="2" t="s">
        <v>709</v>
      </c>
      <c r="O12" s="2" t="s">
        <v>710</v>
      </c>
      <c r="P12" s="2" t="s">
        <v>711</v>
      </c>
      <c r="Q12" s="2"/>
      <c r="R12" s="2"/>
      <c r="S12" s="2" t="s">
        <v>699</v>
      </c>
      <c r="T12" s="2" t="s">
        <v>700</v>
      </c>
      <c r="U12" s="2"/>
      <c r="V12" s="2" t="s">
        <v>712</v>
      </c>
      <c r="W12" s="2" t="s">
        <v>219</v>
      </c>
      <c r="X12" s="2"/>
      <c r="Y12" s="4">
        <v>44634</v>
      </c>
      <c r="Z12" s="2" t="s">
        <v>595</v>
      </c>
      <c r="AA12" s="2" t="s">
        <v>215</v>
      </c>
      <c r="AB12" s="2" t="s">
        <v>713</v>
      </c>
      <c r="AC12" s="2"/>
      <c r="AD12" s="2"/>
      <c r="AE12" s="2"/>
      <c r="AF12" s="2"/>
      <c r="AG12" s="2"/>
      <c r="AH12" s="2"/>
    </row>
    <row r="13" spans="1:34" ht="15" x14ac:dyDescent="0.2">
      <c r="A13" s="2" t="s">
        <v>230</v>
      </c>
      <c r="B13" s="2" t="s">
        <v>17</v>
      </c>
      <c r="C13" s="2" t="s">
        <v>235</v>
      </c>
      <c r="D13" s="2"/>
      <c r="E13" s="2" t="s">
        <v>580</v>
      </c>
      <c r="F13" s="2" t="s">
        <v>714</v>
      </c>
      <c r="G13" s="2" t="s">
        <v>715</v>
      </c>
      <c r="H13" s="2" t="s">
        <v>716</v>
      </c>
      <c r="I13" s="2"/>
      <c r="J13" s="2" t="s">
        <v>717</v>
      </c>
      <c r="K13" s="2" t="s">
        <v>718</v>
      </c>
      <c r="L13" s="2"/>
      <c r="M13" s="2" t="s">
        <v>719</v>
      </c>
      <c r="N13" s="2" t="s">
        <v>720</v>
      </c>
      <c r="O13" s="2" t="s">
        <v>721</v>
      </c>
      <c r="P13" s="2" t="s">
        <v>722</v>
      </c>
      <c r="Q13" s="2">
        <v>160000</v>
      </c>
      <c r="R13" s="2" t="s">
        <v>723</v>
      </c>
      <c r="S13" s="2" t="s">
        <v>724</v>
      </c>
      <c r="T13" s="2" t="s">
        <v>725</v>
      </c>
      <c r="U13" s="2" t="s">
        <v>726</v>
      </c>
      <c r="V13" s="2" t="s">
        <v>726</v>
      </c>
      <c r="W13" s="2" t="s">
        <v>235</v>
      </c>
      <c r="X13" s="2"/>
      <c r="Y13" s="4">
        <v>39967</v>
      </c>
      <c r="Z13" s="2" t="s">
        <v>595</v>
      </c>
      <c r="AA13" s="2"/>
      <c r="AB13" s="2"/>
      <c r="AC13" s="2"/>
      <c r="AD13" s="2"/>
      <c r="AE13" s="2"/>
      <c r="AF13" s="2"/>
      <c r="AG13" s="2"/>
      <c r="AH13" s="2"/>
    </row>
    <row r="14" spans="1:34" ht="15" x14ac:dyDescent="0.2">
      <c r="A14" s="2" t="s">
        <v>245</v>
      </c>
      <c r="B14" s="2" t="s">
        <v>17</v>
      </c>
      <c r="C14" s="2" t="s">
        <v>251</v>
      </c>
      <c r="D14" s="2" t="s">
        <v>657</v>
      </c>
      <c r="E14" s="2" t="s">
        <v>580</v>
      </c>
      <c r="F14" s="2" t="s">
        <v>610</v>
      </c>
      <c r="G14" s="2" t="s">
        <v>611</v>
      </c>
      <c r="H14" s="2" t="s">
        <v>727</v>
      </c>
      <c r="I14" s="2"/>
      <c r="J14" s="2" t="s">
        <v>728</v>
      </c>
      <c r="K14" s="2" t="s">
        <v>729</v>
      </c>
      <c r="L14" s="2"/>
      <c r="M14" s="2" t="s">
        <v>730</v>
      </c>
      <c r="N14" s="2" t="s">
        <v>731</v>
      </c>
      <c r="O14" s="2" t="s">
        <v>732</v>
      </c>
      <c r="P14" s="2" t="s">
        <v>733</v>
      </c>
      <c r="Q14" s="2"/>
      <c r="R14" s="2" t="s">
        <v>734</v>
      </c>
      <c r="S14" s="2" t="s">
        <v>664</v>
      </c>
      <c r="T14" s="2" t="s">
        <v>665</v>
      </c>
      <c r="U14" s="2"/>
      <c r="V14" s="2" t="s">
        <v>735</v>
      </c>
      <c r="W14" s="2" t="s">
        <v>251</v>
      </c>
      <c r="X14" s="2" t="s">
        <v>736</v>
      </c>
      <c r="Y14" s="4">
        <v>29221</v>
      </c>
      <c r="Z14" s="2" t="s">
        <v>595</v>
      </c>
      <c r="AA14" s="2"/>
      <c r="AB14" s="2"/>
      <c r="AC14" s="2"/>
      <c r="AD14" s="2"/>
      <c r="AE14" s="2"/>
      <c r="AF14" s="2"/>
      <c r="AG14" s="2"/>
      <c r="AH14" s="2"/>
    </row>
    <row r="15" spans="1:34" ht="15" x14ac:dyDescent="0.2">
      <c r="A15" s="2" t="s">
        <v>261</v>
      </c>
      <c r="B15" s="2" t="s">
        <v>17</v>
      </c>
      <c r="C15" s="2" t="s">
        <v>268</v>
      </c>
      <c r="D15" s="2"/>
      <c r="E15" s="2" t="s">
        <v>580</v>
      </c>
      <c r="F15" s="2" t="s">
        <v>610</v>
      </c>
      <c r="G15" s="2" t="s">
        <v>611</v>
      </c>
      <c r="H15" s="2" t="s">
        <v>737</v>
      </c>
      <c r="I15" s="2" t="s">
        <v>738</v>
      </c>
      <c r="J15" s="2" t="s">
        <v>728</v>
      </c>
      <c r="K15" s="2" t="s">
        <v>739</v>
      </c>
      <c r="L15" s="2"/>
      <c r="M15" s="2" t="s">
        <v>740</v>
      </c>
      <c r="N15" s="2" t="s">
        <v>741</v>
      </c>
      <c r="O15" s="2" t="s">
        <v>742</v>
      </c>
      <c r="P15" s="2" t="s">
        <v>743</v>
      </c>
      <c r="Q15" s="2"/>
      <c r="R15" s="2"/>
      <c r="S15" s="2" t="s">
        <v>591</v>
      </c>
      <c r="T15" s="2" t="s">
        <v>592</v>
      </c>
      <c r="U15" s="2"/>
      <c r="V15" s="2" t="s">
        <v>744</v>
      </c>
      <c r="W15" s="2" t="s">
        <v>268</v>
      </c>
      <c r="X15" s="2" t="s">
        <v>594</v>
      </c>
      <c r="Y15" s="4">
        <v>29760</v>
      </c>
      <c r="Z15" s="2" t="s">
        <v>595</v>
      </c>
      <c r="AA15" s="2"/>
      <c r="AB15" s="2"/>
      <c r="AC15" s="2"/>
      <c r="AD15" s="2"/>
      <c r="AE15" s="2"/>
      <c r="AF15" s="2"/>
      <c r="AG15" s="2"/>
      <c r="AH15" s="2"/>
    </row>
    <row r="16" spans="1:34" ht="15" x14ac:dyDescent="0.2">
      <c r="A16" s="2" t="s">
        <v>278</v>
      </c>
      <c r="B16" s="2" t="s">
        <v>17</v>
      </c>
      <c r="C16" s="2" t="s">
        <v>285</v>
      </c>
      <c r="D16" s="2" t="s">
        <v>657</v>
      </c>
      <c r="E16" s="2" t="s">
        <v>580</v>
      </c>
      <c r="F16" s="2" t="s">
        <v>610</v>
      </c>
      <c r="G16" s="2" t="s">
        <v>611</v>
      </c>
      <c r="H16" s="2" t="s">
        <v>745</v>
      </c>
      <c r="I16" s="2"/>
      <c r="J16" s="2" t="s">
        <v>585</v>
      </c>
      <c r="K16" s="2" t="s">
        <v>746</v>
      </c>
      <c r="L16" s="2"/>
      <c r="M16" s="2" t="s">
        <v>747</v>
      </c>
      <c r="N16" s="2" t="s">
        <v>748</v>
      </c>
      <c r="O16" s="2" t="s">
        <v>749</v>
      </c>
      <c r="P16" s="2" t="s">
        <v>750</v>
      </c>
      <c r="Q16" s="2"/>
      <c r="R16" s="2" t="s">
        <v>751</v>
      </c>
      <c r="S16" s="2" t="s">
        <v>664</v>
      </c>
      <c r="T16" s="2" t="s">
        <v>665</v>
      </c>
      <c r="U16" s="2"/>
      <c r="V16" s="2" t="s">
        <v>752</v>
      </c>
      <c r="W16" s="2" t="s">
        <v>285</v>
      </c>
      <c r="X16" s="2" t="s">
        <v>656</v>
      </c>
      <c r="Y16" s="4">
        <v>28491</v>
      </c>
      <c r="Z16" s="2" t="s">
        <v>595</v>
      </c>
      <c r="AA16" s="2"/>
      <c r="AB16" s="2"/>
      <c r="AC16" s="2"/>
      <c r="AD16" s="2"/>
      <c r="AE16" s="2"/>
      <c r="AF16" s="2"/>
      <c r="AG16" s="2"/>
      <c r="AH16" s="2"/>
    </row>
    <row r="17" spans="1:34" ht="15" x14ac:dyDescent="0.2">
      <c r="A17" s="2" t="s">
        <v>294</v>
      </c>
      <c r="B17" s="2" t="s">
        <v>17</v>
      </c>
      <c r="C17" s="2" t="s">
        <v>300</v>
      </c>
      <c r="D17" s="2"/>
      <c r="E17" s="2" t="s">
        <v>580</v>
      </c>
      <c r="F17" s="2" t="s">
        <v>753</v>
      </c>
      <c r="G17" s="2" t="s">
        <v>754</v>
      </c>
      <c r="H17" s="2" t="s">
        <v>755</v>
      </c>
      <c r="I17" s="2" t="s">
        <v>756</v>
      </c>
      <c r="J17" s="2" t="s">
        <v>585</v>
      </c>
      <c r="K17" s="2" t="s">
        <v>757</v>
      </c>
      <c r="L17" s="2" t="s">
        <v>758</v>
      </c>
      <c r="M17" s="2" t="s">
        <v>759</v>
      </c>
      <c r="N17" s="2" t="s">
        <v>760</v>
      </c>
      <c r="O17" s="2" t="s">
        <v>761</v>
      </c>
      <c r="P17" s="2" t="s">
        <v>762</v>
      </c>
      <c r="Q17" s="2"/>
      <c r="R17" s="2" t="s">
        <v>763</v>
      </c>
      <c r="S17" s="2" t="s">
        <v>764</v>
      </c>
      <c r="T17" s="2" t="s">
        <v>765</v>
      </c>
      <c r="U17" s="2"/>
      <c r="V17" s="2" t="s">
        <v>766</v>
      </c>
      <c r="W17" s="2" t="s">
        <v>300</v>
      </c>
      <c r="X17" s="2" t="s">
        <v>767</v>
      </c>
      <c r="Y17" s="4">
        <v>25462</v>
      </c>
      <c r="Z17" s="2" t="s">
        <v>595</v>
      </c>
      <c r="AA17" s="2"/>
      <c r="AB17" s="2"/>
      <c r="AC17" s="2"/>
      <c r="AD17" s="2"/>
      <c r="AE17" s="2"/>
      <c r="AF17" s="2"/>
      <c r="AG17" s="2"/>
      <c r="AH17" s="2"/>
    </row>
    <row r="18" spans="1:34" ht="15" x14ac:dyDescent="0.2">
      <c r="A18" s="2" t="s">
        <v>310</v>
      </c>
      <c r="B18" s="2" t="s">
        <v>17</v>
      </c>
      <c r="C18" s="2" t="s">
        <v>315</v>
      </c>
      <c r="D18" s="2"/>
      <c r="E18" s="2" t="s">
        <v>580</v>
      </c>
      <c r="F18" s="2" t="s">
        <v>768</v>
      </c>
      <c r="G18" s="2" t="s">
        <v>769</v>
      </c>
      <c r="H18" s="2" t="s">
        <v>770</v>
      </c>
      <c r="I18" s="2" t="s">
        <v>771</v>
      </c>
      <c r="J18" s="2"/>
      <c r="K18" s="2" t="s">
        <v>772</v>
      </c>
      <c r="L18" s="2"/>
      <c r="M18" s="2" t="s">
        <v>773</v>
      </c>
      <c r="N18" s="2" t="s">
        <v>774</v>
      </c>
      <c r="O18" s="2" t="s">
        <v>775</v>
      </c>
      <c r="P18" s="2" t="s">
        <v>776</v>
      </c>
      <c r="Q18" s="2"/>
      <c r="R18" s="2"/>
      <c r="S18" s="2" t="s">
        <v>606</v>
      </c>
      <c r="T18" s="2" t="s">
        <v>607</v>
      </c>
      <c r="U18" s="2"/>
      <c r="V18" s="2" t="s">
        <v>314</v>
      </c>
      <c r="W18" s="2" t="s">
        <v>315</v>
      </c>
      <c r="X18" s="2" t="s">
        <v>642</v>
      </c>
      <c r="Y18" s="4">
        <v>42878</v>
      </c>
      <c r="Z18" s="2" t="s">
        <v>595</v>
      </c>
      <c r="AA18" s="2"/>
      <c r="AB18" s="2"/>
      <c r="AC18" s="2"/>
      <c r="AD18" s="2"/>
      <c r="AE18" s="2"/>
      <c r="AF18" s="2"/>
      <c r="AG18" s="2"/>
      <c r="AH18" s="2"/>
    </row>
    <row r="19" spans="1:34" ht="15" x14ac:dyDescent="0.2">
      <c r="A19" s="2" t="s">
        <v>325</v>
      </c>
      <c r="B19" s="2" t="s">
        <v>17</v>
      </c>
      <c r="C19" s="2" t="s">
        <v>328</v>
      </c>
      <c r="D19" s="2"/>
      <c r="E19" s="2" t="s">
        <v>580</v>
      </c>
      <c r="F19" s="2" t="s">
        <v>768</v>
      </c>
      <c r="G19" s="2" t="s">
        <v>769</v>
      </c>
      <c r="H19" s="2" t="s">
        <v>777</v>
      </c>
      <c r="I19" s="2"/>
      <c r="J19" s="2"/>
      <c r="K19" s="2" t="s">
        <v>778</v>
      </c>
      <c r="L19" s="2" t="s">
        <v>779</v>
      </c>
      <c r="M19" s="2" t="s">
        <v>780</v>
      </c>
      <c r="N19" s="2" t="s">
        <v>781</v>
      </c>
      <c r="O19" s="2" t="s">
        <v>782</v>
      </c>
      <c r="P19" s="2" t="s">
        <v>783</v>
      </c>
      <c r="Q19" s="2"/>
      <c r="R19" s="2"/>
      <c r="S19" s="2" t="s">
        <v>606</v>
      </c>
      <c r="T19" s="2" t="s">
        <v>607</v>
      </c>
      <c r="U19" s="2"/>
      <c r="V19" s="2" t="s">
        <v>327</v>
      </c>
      <c r="W19" s="2" t="s">
        <v>328</v>
      </c>
      <c r="X19" s="2"/>
      <c r="Y19" s="4">
        <v>45064</v>
      </c>
      <c r="Z19" s="2" t="s">
        <v>595</v>
      </c>
      <c r="AA19" s="2"/>
      <c r="AB19" s="2"/>
      <c r="AC19" s="2"/>
      <c r="AD19" s="2"/>
      <c r="AE19" s="2"/>
      <c r="AF19" s="2"/>
      <c r="AG19" s="2"/>
      <c r="AH19" s="2"/>
    </row>
    <row r="20" spans="1:34" ht="15" x14ac:dyDescent="0.2">
      <c r="A20" s="2" t="s">
        <v>336</v>
      </c>
      <c r="B20" s="2" t="s">
        <v>17</v>
      </c>
      <c r="C20" s="2" t="s">
        <v>341</v>
      </c>
      <c r="D20" s="2"/>
      <c r="E20" s="2" t="s">
        <v>580</v>
      </c>
      <c r="F20" s="2" t="s">
        <v>784</v>
      </c>
      <c r="G20" s="2" t="s">
        <v>785</v>
      </c>
      <c r="H20" s="2" t="s">
        <v>786</v>
      </c>
      <c r="I20" s="2"/>
      <c r="J20" s="2"/>
      <c r="K20" s="2" t="s">
        <v>787</v>
      </c>
      <c r="L20" s="2"/>
      <c r="M20" s="2" t="s">
        <v>788</v>
      </c>
      <c r="N20" s="2" t="s">
        <v>789</v>
      </c>
      <c r="O20" s="2" t="s">
        <v>790</v>
      </c>
      <c r="P20" s="2" t="s">
        <v>791</v>
      </c>
      <c r="Q20" s="2">
        <v>4000</v>
      </c>
      <c r="R20" s="2" t="s">
        <v>792</v>
      </c>
      <c r="S20" s="2" t="s">
        <v>724</v>
      </c>
      <c r="T20" s="2" t="s">
        <v>725</v>
      </c>
      <c r="U20" s="2" t="s">
        <v>62</v>
      </c>
      <c r="V20" s="2" t="s">
        <v>793</v>
      </c>
      <c r="W20" s="2" t="s">
        <v>341</v>
      </c>
      <c r="X20" s="2"/>
      <c r="Y20" s="4">
        <v>44849</v>
      </c>
      <c r="Z20" s="2" t="s">
        <v>595</v>
      </c>
      <c r="AA20" s="2"/>
      <c r="AB20" s="2"/>
      <c r="AC20" s="2"/>
      <c r="AD20" s="2"/>
      <c r="AE20" s="2"/>
      <c r="AF20" s="2"/>
      <c r="AG20" s="2"/>
      <c r="AH20" s="2"/>
    </row>
    <row r="21" spans="1:34" ht="15" x14ac:dyDescent="0.2">
      <c r="A21" s="2" t="s">
        <v>351</v>
      </c>
      <c r="B21" s="2" t="s">
        <v>17</v>
      </c>
      <c r="C21" s="2" t="s">
        <v>357</v>
      </c>
      <c r="D21" s="2"/>
      <c r="E21" s="2" t="s">
        <v>580</v>
      </c>
      <c r="F21" s="2" t="s">
        <v>581</v>
      </c>
      <c r="G21" s="2" t="s">
        <v>582</v>
      </c>
      <c r="H21" s="2" t="s">
        <v>794</v>
      </c>
      <c r="I21" s="2"/>
      <c r="J21" s="2"/>
      <c r="K21" s="2" t="s">
        <v>795</v>
      </c>
      <c r="L21" s="2" t="s">
        <v>796</v>
      </c>
      <c r="M21" s="2" t="s">
        <v>797</v>
      </c>
      <c r="N21" s="2" t="s">
        <v>798</v>
      </c>
      <c r="O21" s="2" t="s">
        <v>799</v>
      </c>
      <c r="P21" s="2" t="s">
        <v>800</v>
      </c>
      <c r="Q21" s="2"/>
      <c r="R21" s="2"/>
      <c r="S21" s="2" t="s">
        <v>801</v>
      </c>
      <c r="T21" s="2" t="s">
        <v>802</v>
      </c>
      <c r="U21" s="2"/>
      <c r="V21" s="2" t="s">
        <v>803</v>
      </c>
      <c r="W21" s="2" t="s">
        <v>357</v>
      </c>
      <c r="X21" s="2" t="s">
        <v>635</v>
      </c>
      <c r="Y21" s="4">
        <v>37406</v>
      </c>
      <c r="Z21" s="2" t="s">
        <v>595</v>
      </c>
      <c r="AA21" s="2"/>
      <c r="AB21" s="2"/>
      <c r="AC21" s="2"/>
      <c r="AD21" s="2"/>
      <c r="AE21" s="2"/>
      <c r="AF21" s="2"/>
      <c r="AG21" s="2"/>
      <c r="AH21" s="2"/>
    </row>
    <row r="22" spans="1:34" ht="15" x14ac:dyDescent="0.2">
      <c r="A22" s="2" t="s">
        <v>365</v>
      </c>
      <c r="B22" s="2" t="s">
        <v>17</v>
      </c>
      <c r="C22" s="2" t="s">
        <v>370</v>
      </c>
      <c r="D22" s="2"/>
      <c r="E22" s="2" t="s">
        <v>580</v>
      </c>
      <c r="F22" s="2" t="s">
        <v>581</v>
      </c>
      <c r="G22" s="2" t="s">
        <v>582</v>
      </c>
      <c r="H22" s="2" t="s">
        <v>804</v>
      </c>
      <c r="I22" s="2" t="s">
        <v>805</v>
      </c>
      <c r="J22" s="2" t="s">
        <v>600</v>
      </c>
      <c r="K22" s="2" t="s">
        <v>806</v>
      </c>
      <c r="L22" s="2"/>
      <c r="M22" s="2" t="s">
        <v>807</v>
      </c>
      <c r="N22" s="2" t="s">
        <v>808</v>
      </c>
      <c r="O22" s="2" t="s">
        <v>809</v>
      </c>
      <c r="P22" s="2" t="s">
        <v>810</v>
      </c>
      <c r="Q22" s="2"/>
      <c r="R22" s="2"/>
      <c r="S22" s="2" t="s">
        <v>811</v>
      </c>
      <c r="T22" s="2" t="s">
        <v>812</v>
      </c>
      <c r="U22" s="2"/>
      <c r="V22" s="2" t="s">
        <v>813</v>
      </c>
      <c r="W22" s="2" t="s">
        <v>370</v>
      </c>
      <c r="X22" s="2" t="s">
        <v>609</v>
      </c>
      <c r="Y22" s="4">
        <v>43208</v>
      </c>
      <c r="Z22" s="2" t="s">
        <v>595</v>
      </c>
      <c r="AA22" s="2"/>
      <c r="AB22" s="2"/>
      <c r="AC22" s="2"/>
      <c r="AD22" s="2"/>
      <c r="AE22" s="2"/>
      <c r="AF22" s="2"/>
      <c r="AG22" s="2"/>
      <c r="AH22" s="2"/>
    </row>
    <row r="23" spans="1:34" ht="15" x14ac:dyDescent="0.2">
      <c r="A23" s="2" t="s">
        <v>379</v>
      </c>
      <c r="B23" s="2" t="s">
        <v>17</v>
      </c>
      <c r="C23" s="2" t="s">
        <v>385</v>
      </c>
      <c r="D23" s="2" t="s">
        <v>657</v>
      </c>
      <c r="E23" s="2" t="s">
        <v>580</v>
      </c>
      <c r="F23" s="2" t="s">
        <v>610</v>
      </c>
      <c r="G23" s="2" t="s">
        <v>611</v>
      </c>
      <c r="H23" s="2" t="s">
        <v>814</v>
      </c>
      <c r="I23" s="2"/>
      <c r="J23" s="2"/>
      <c r="K23" s="2"/>
      <c r="L23" s="2" t="s">
        <v>815</v>
      </c>
      <c r="M23" s="2" t="s">
        <v>816</v>
      </c>
      <c r="N23" s="2" t="s">
        <v>817</v>
      </c>
      <c r="O23" s="2" t="s">
        <v>818</v>
      </c>
      <c r="P23" s="2" t="s">
        <v>819</v>
      </c>
      <c r="Q23" s="2"/>
      <c r="R23" s="2" t="s">
        <v>820</v>
      </c>
      <c r="S23" s="2" t="s">
        <v>664</v>
      </c>
      <c r="T23" s="2" t="s">
        <v>665</v>
      </c>
      <c r="U23" s="2"/>
      <c r="V23" s="2" t="s">
        <v>821</v>
      </c>
      <c r="W23" s="2" t="s">
        <v>385</v>
      </c>
      <c r="X23" s="2" t="s">
        <v>635</v>
      </c>
      <c r="Y23" s="4">
        <v>30376</v>
      </c>
      <c r="Z23" s="2" t="s">
        <v>595</v>
      </c>
      <c r="AA23" s="2"/>
      <c r="AB23" s="2"/>
      <c r="AC23" s="2"/>
      <c r="AD23" s="2"/>
      <c r="AE23" s="2"/>
      <c r="AF23" s="2"/>
      <c r="AG23" s="2"/>
      <c r="AH23" s="2"/>
    </row>
    <row r="24" spans="1:34" ht="15" x14ac:dyDescent="0.2">
      <c r="A24" s="2" t="s">
        <v>395</v>
      </c>
      <c r="B24" s="2" t="s">
        <v>17</v>
      </c>
      <c r="C24" s="2" t="s">
        <v>402</v>
      </c>
      <c r="D24" s="2"/>
      <c r="E24" s="2" t="s">
        <v>580</v>
      </c>
      <c r="F24" s="2" t="s">
        <v>596</v>
      </c>
      <c r="G24" s="2" t="s">
        <v>597</v>
      </c>
      <c r="H24" s="2" t="s">
        <v>822</v>
      </c>
      <c r="I24" s="2" t="s">
        <v>823</v>
      </c>
      <c r="J24" s="2" t="s">
        <v>600</v>
      </c>
      <c r="K24" s="2" t="s">
        <v>824</v>
      </c>
      <c r="L24" s="2" t="s">
        <v>825</v>
      </c>
      <c r="M24" s="2" t="s">
        <v>826</v>
      </c>
      <c r="N24" s="2" t="s">
        <v>827</v>
      </c>
      <c r="O24" s="2" t="s">
        <v>828</v>
      </c>
      <c r="P24" s="2" t="s">
        <v>829</v>
      </c>
      <c r="Q24" s="2"/>
      <c r="R24" s="2"/>
      <c r="S24" s="2" t="s">
        <v>606</v>
      </c>
      <c r="T24" s="2" t="s">
        <v>607</v>
      </c>
      <c r="U24" s="2"/>
      <c r="V24" s="2" t="s">
        <v>830</v>
      </c>
      <c r="W24" s="2" t="s">
        <v>402</v>
      </c>
      <c r="X24" s="2"/>
      <c r="Y24" s="4">
        <v>43885</v>
      </c>
      <c r="Z24" s="2" t="s">
        <v>595</v>
      </c>
      <c r="AA24" s="2"/>
      <c r="AB24" s="2"/>
      <c r="AC24" s="2"/>
      <c r="AD24" s="2"/>
      <c r="AE24" s="2"/>
      <c r="AF24" s="2"/>
      <c r="AG24" s="2"/>
      <c r="AH24" s="2"/>
    </row>
    <row r="25" spans="1:34" ht="15" x14ac:dyDescent="0.2">
      <c r="A25" s="2" t="s">
        <v>411</v>
      </c>
      <c r="B25" s="2" t="s">
        <v>17</v>
      </c>
      <c r="C25" s="2" t="s">
        <v>418</v>
      </c>
      <c r="D25" s="2"/>
      <c r="E25" s="2" t="s">
        <v>580</v>
      </c>
      <c r="F25" s="2" t="s">
        <v>610</v>
      </c>
      <c r="G25" s="2" t="s">
        <v>611</v>
      </c>
      <c r="H25" s="2" t="s">
        <v>831</v>
      </c>
      <c r="I25" s="2" t="s">
        <v>738</v>
      </c>
      <c r="J25" s="2" t="s">
        <v>832</v>
      </c>
      <c r="K25" s="2" t="s">
        <v>833</v>
      </c>
      <c r="L25" s="2"/>
      <c r="M25" s="2" t="s">
        <v>834</v>
      </c>
      <c r="N25" s="2" t="s">
        <v>835</v>
      </c>
      <c r="O25" s="2" t="s">
        <v>836</v>
      </c>
      <c r="P25" s="2" t="s">
        <v>837</v>
      </c>
      <c r="Q25" s="2"/>
      <c r="R25" s="2"/>
      <c r="S25" s="2" t="s">
        <v>811</v>
      </c>
      <c r="T25" s="2" t="s">
        <v>812</v>
      </c>
      <c r="U25" s="2"/>
      <c r="V25" s="2" t="s">
        <v>838</v>
      </c>
      <c r="W25" s="2" t="s">
        <v>418</v>
      </c>
      <c r="X25" s="2" t="s">
        <v>635</v>
      </c>
      <c r="Y25" s="4">
        <v>36629</v>
      </c>
      <c r="Z25" s="2" t="s">
        <v>595</v>
      </c>
      <c r="AA25" s="2"/>
      <c r="AB25" s="2"/>
      <c r="AC25" s="2"/>
      <c r="AD25" s="2"/>
      <c r="AE25" s="2"/>
      <c r="AF25" s="2"/>
      <c r="AG25" s="2"/>
      <c r="AH25" s="2"/>
    </row>
    <row r="26" spans="1:34" ht="15" x14ac:dyDescent="0.2">
      <c r="A26" s="2" t="s">
        <v>429</v>
      </c>
      <c r="B26" s="2" t="s">
        <v>17</v>
      </c>
      <c r="C26" s="2" t="s">
        <v>435</v>
      </c>
      <c r="D26" s="2"/>
      <c r="E26" s="2" t="s">
        <v>580</v>
      </c>
      <c r="F26" s="2" t="s">
        <v>596</v>
      </c>
      <c r="G26" s="2" t="s">
        <v>597</v>
      </c>
      <c r="H26" s="2" t="s">
        <v>839</v>
      </c>
      <c r="I26" s="2" t="s">
        <v>840</v>
      </c>
      <c r="J26" s="2" t="s">
        <v>728</v>
      </c>
      <c r="K26" s="2" t="s">
        <v>841</v>
      </c>
      <c r="L26" s="2" t="s">
        <v>657</v>
      </c>
      <c r="M26" s="2" t="s">
        <v>842</v>
      </c>
      <c r="N26" s="2" t="s">
        <v>843</v>
      </c>
      <c r="O26" s="2" t="s">
        <v>844</v>
      </c>
      <c r="P26" s="2" t="s">
        <v>845</v>
      </c>
      <c r="Q26" s="2"/>
      <c r="R26" s="2"/>
      <c r="S26" s="2" t="s">
        <v>606</v>
      </c>
      <c r="T26" s="2" t="s">
        <v>607</v>
      </c>
      <c r="U26" s="2"/>
      <c r="V26" s="2" t="s">
        <v>846</v>
      </c>
      <c r="W26" s="2" t="s">
        <v>435</v>
      </c>
      <c r="X26" s="2"/>
      <c r="Y26" s="4">
        <v>44260</v>
      </c>
      <c r="Z26" s="2" t="s">
        <v>595</v>
      </c>
      <c r="AA26" s="2"/>
      <c r="AB26" s="2"/>
      <c r="AC26" s="2"/>
      <c r="AD26" s="2"/>
      <c r="AE26" s="2"/>
      <c r="AF26" s="2"/>
      <c r="AG26" s="2"/>
      <c r="AH26" s="2"/>
    </row>
    <row r="27" spans="1:34" ht="15" x14ac:dyDescent="0.2">
      <c r="A27" s="2" t="s">
        <v>445</v>
      </c>
      <c r="B27" s="2" t="s">
        <v>17</v>
      </c>
      <c r="C27" s="2" t="s">
        <v>452</v>
      </c>
      <c r="D27" s="2"/>
      <c r="E27" s="2" t="s">
        <v>580</v>
      </c>
      <c r="F27" s="2" t="s">
        <v>610</v>
      </c>
      <c r="G27" s="2" t="s">
        <v>611</v>
      </c>
      <c r="H27" s="2" t="s">
        <v>847</v>
      </c>
      <c r="I27" s="2"/>
      <c r="J27" s="2" t="s">
        <v>728</v>
      </c>
      <c r="K27" s="2" t="s">
        <v>848</v>
      </c>
      <c r="L27" s="2"/>
      <c r="M27" s="2" t="s">
        <v>849</v>
      </c>
      <c r="N27" s="2" t="s">
        <v>850</v>
      </c>
      <c r="O27" s="2" t="s">
        <v>851</v>
      </c>
      <c r="P27" s="2" t="s">
        <v>852</v>
      </c>
      <c r="Q27" s="2"/>
      <c r="R27" s="2"/>
      <c r="S27" s="2" t="s">
        <v>591</v>
      </c>
      <c r="T27" s="2" t="s">
        <v>592</v>
      </c>
      <c r="U27" s="2"/>
      <c r="V27" s="2" t="s">
        <v>853</v>
      </c>
      <c r="W27" s="2" t="s">
        <v>452</v>
      </c>
      <c r="X27" s="2" t="s">
        <v>656</v>
      </c>
      <c r="Y27" s="4">
        <v>29760</v>
      </c>
      <c r="Z27" s="2" t="s">
        <v>595</v>
      </c>
      <c r="AA27" s="2"/>
      <c r="AB27" s="2"/>
      <c r="AC27" s="2"/>
      <c r="AD27" s="2"/>
      <c r="AE27" s="2"/>
      <c r="AF27" s="2"/>
      <c r="AG27" s="2"/>
      <c r="AH27" s="2"/>
    </row>
    <row r="28" spans="1:34" ht="15" x14ac:dyDescent="0.2">
      <c r="A28" s="2" t="s">
        <v>456</v>
      </c>
      <c r="B28" s="2" t="s">
        <v>17</v>
      </c>
      <c r="C28" s="2" t="s">
        <v>462</v>
      </c>
      <c r="D28" s="2"/>
      <c r="E28" s="2" t="s">
        <v>580</v>
      </c>
      <c r="F28" s="2" t="s">
        <v>610</v>
      </c>
      <c r="G28" s="2" t="s">
        <v>611</v>
      </c>
      <c r="H28" s="2" t="s">
        <v>854</v>
      </c>
      <c r="I28" s="2" t="s">
        <v>855</v>
      </c>
      <c r="J28" s="2" t="s">
        <v>856</v>
      </c>
      <c r="K28" s="2" t="s">
        <v>857</v>
      </c>
      <c r="L28" s="2"/>
      <c r="M28" s="2" t="s">
        <v>858</v>
      </c>
      <c r="N28" s="2" t="s">
        <v>859</v>
      </c>
      <c r="O28" s="2" t="s">
        <v>860</v>
      </c>
      <c r="P28" s="2" t="s">
        <v>861</v>
      </c>
      <c r="Q28" s="2"/>
      <c r="R28" s="2" t="s">
        <v>862</v>
      </c>
      <c r="S28" s="2" t="s">
        <v>620</v>
      </c>
      <c r="T28" s="2" t="s">
        <v>621</v>
      </c>
      <c r="U28" s="2"/>
      <c r="V28" s="2" t="s">
        <v>863</v>
      </c>
      <c r="W28" s="2" t="s">
        <v>462</v>
      </c>
      <c r="X28" s="2" t="s">
        <v>864</v>
      </c>
      <c r="Y28" s="4">
        <v>42736</v>
      </c>
      <c r="Z28" s="2" t="s">
        <v>595</v>
      </c>
      <c r="AA28" s="2"/>
      <c r="AB28" s="2"/>
      <c r="AC28" s="2"/>
      <c r="AD28" s="2"/>
      <c r="AE28" s="2"/>
      <c r="AF28" s="2"/>
      <c r="AG28" s="2"/>
      <c r="AH28" s="2"/>
    </row>
    <row r="29" spans="1:34" ht="15" x14ac:dyDescent="0.2">
      <c r="A29" s="2" t="s">
        <v>471</v>
      </c>
      <c r="B29" s="2" t="s">
        <v>17</v>
      </c>
      <c r="C29" s="2" t="s">
        <v>477</v>
      </c>
      <c r="D29" s="2" t="s">
        <v>657</v>
      </c>
      <c r="E29" s="2" t="s">
        <v>580</v>
      </c>
      <c r="F29" s="2" t="s">
        <v>610</v>
      </c>
      <c r="G29" s="2" t="s">
        <v>611</v>
      </c>
      <c r="H29" s="2" t="s">
        <v>865</v>
      </c>
      <c r="I29" s="2"/>
      <c r="J29" s="2" t="s">
        <v>866</v>
      </c>
      <c r="K29" s="2" t="s">
        <v>867</v>
      </c>
      <c r="L29" s="2"/>
      <c r="M29" s="2" t="s">
        <v>868</v>
      </c>
      <c r="N29" s="2" t="s">
        <v>869</v>
      </c>
      <c r="O29" s="2" t="s">
        <v>870</v>
      </c>
      <c r="P29" s="2" t="s">
        <v>871</v>
      </c>
      <c r="Q29" s="2"/>
      <c r="R29" s="2" t="s">
        <v>872</v>
      </c>
      <c r="S29" s="2" t="s">
        <v>664</v>
      </c>
      <c r="T29" s="2" t="s">
        <v>665</v>
      </c>
      <c r="U29" s="2"/>
      <c r="V29" s="2" t="s">
        <v>873</v>
      </c>
      <c r="W29" s="2" t="s">
        <v>477</v>
      </c>
      <c r="X29" s="2" t="s">
        <v>840</v>
      </c>
      <c r="Y29" s="4">
        <v>29221</v>
      </c>
      <c r="Z29" s="2" t="s">
        <v>595</v>
      </c>
      <c r="AA29" s="2"/>
      <c r="AB29" s="2"/>
      <c r="AC29" s="2"/>
      <c r="AD29" s="2"/>
      <c r="AE29" s="2"/>
      <c r="AF29" s="2"/>
      <c r="AG29" s="2"/>
      <c r="AH29" s="2"/>
    </row>
    <row r="30" spans="1:34" ht="15" x14ac:dyDescent="0.2">
      <c r="A30" s="2" t="s">
        <v>486</v>
      </c>
      <c r="B30" s="2" t="s">
        <v>17</v>
      </c>
      <c r="C30" s="2" t="s">
        <v>492</v>
      </c>
      <c r="D30" s="2" t="s">
        <v>657</v>
      </c>
      <c r="E30" s="2" t="s">
        <v>580</v>
      </c>
      <c r="F30" s="2" t="s">
        <v>610</v>
      </c>
      <c r="G30" s="2" t="s">
        <v>611</v>
      </c>
      <c r="H30" s="2" t="s">
        <v>874</v>
      </c>
      <c r="I30" s="2" t="s">
        <v>646</v>
      </c>
      <c r="J30" s="2" t="s">
        <v>728</v>
      </c>
      <c r="K30" s="2" t="s">
        <v>875</v>
      </c>
      <c r="L30" s="2"/>
      <c r="M30" s="2" t="s">
        <v>876</v>
      </c>
      <c r="N30" s="2" t="s">
        <v>877</v>
      </c>
      <c r="O30" s="2" t="s">
        <v>878</v>
      </c>
      <c r="P30" s="2" t="s">
        <v>879</v>
      </c>
      <c r="Q30" s="2"/>
      <c r="R30" s="2"/>
      <c r="S30" s="2" t="s">
        <v>664</v>
      </c>
      <c r="T30" s="2" t="s">
        <v>665</v>
      </c>
      <c r="U30" s="2"/>
      <c r="V30" s="2" t="s">
        <v>880</v>
      </c>
      <c r="W30" s="2" t="s">
        <v>492</v>
      </c>
      <c r="X30" s="2" t="s">
        <v>736</v>
      </c>
      <c r="Y30" s="4">
        <v>30376</v>
      </c>
      <c r="Z30" s="2" t="s">
        <v>595</v>
      </c>
      <c r="AA30" s="2"/>
      <c r="AB30" s="2"/>
      <c r="AC30" s="2"/>
      <c r="AD30" s="2"/>
      <c r="AE30" s="2"/>
      <c r="AF30" s="2"/>
      <c r="AG30" s="2"/>
      <c r="AH30" s="2"/>
    </row>
    <row r="31" spans="1:34" ht="15" x14ac:dyDescent="0.2">
      <c r="A31" s="2" t="s">
        <v>501</v>
      </c>
      <c r="B31" s="2" t="s">
        <v>17</v>
      </c>
      <c r="C31" s="2" t="s">
        <v>507</v>
      </c>
      <c r="D31" s="2" t="s">
        <v>657</v>
      </c>
      <c r="E31" s="2" t="s">
        <v>580</v>
      </c>
      <c r="F31" s="2" t="s">
        <v>610</v>
      </c>
      <c r="G31" s="2" t="s">
        <v>611</v>
      </c>
      <c r="H31" s="2" t="s">
        <v>881</v>
      </c>
      <c r="I31" s="2"/>
      <c r="J31" s="2" t="s">
        <v>728</v>
      </c>
      <c r="K31" s="2" t="s">
        <v>882</v>
      </c>
      <c r="L31" s="2"/>
      <c r="M31" s="2" t="s">
        <v>883</v>
      </c>
      <c r="N31" s="2" t="s">
        <v>884</v>
      </c>
      <c r="O31" s="2" t="s">
        <v>885</v>
      </c>
      <c r="P31" s="2" t="s">
        <v>886</v>
      </c>
      <c r="Q31" s="2"/>
      <c r="R31" s="2"/>
      <c r="S31" s="2" t="s">
        <v>664</v>
      </c>
      <c r="T31" s="2" t="s">
        <v>665</v>
      </c>
      <c r="U31" s="2"/>
      <c r="V31" s="2" t="s">
        <v>887</v>
      </c>
      <c r="W31" s="2" t="s">
        <v>507</v>
      </c>
      <c r="X31" s="2" t="s">
        <v>840</v>
      </c>
      <c r="Y31" s="4">
        <v>28491</v>
      </c>
      <c r="Z31" s="2" t="s">
        <v>595</v>
      </c>
      <c r="AA31" s="2"/>
      <c r="AB31" s="2"/>
      <c r="AC31" s="2"/>
      <c r="AD31" s="2"/>
      <c r="AE31" s="2"/>
      <c r="AF31" s="2"/>
      <c r="AG31" s="2"/>
      <c r="AH31" s="2"/>
    </row>
    <row r="32" spans="1:34" ht="15" x14ac:dyDescent="0.2">
      <c r="A32" s="2" t="s">
        <v>517</v>
      </c>
      <c r="B32" s="2" t="s">
        <v>17</v>
      </c>
      <c r="C32" s="2" t="s">
        <v>124</v>
      </c>
      <c r="D32" s="2"/>
      <c r="E32" s="2" t="s">
        <v>580</v>
      </c>
      <c r="F32" s="2" t="s">
        <v>632</v>
      </c>
      <c r="G32" s="2" t="s">
        <v>633</v>
      </c>
      <c r="H32" s="2" t="s">
        <v>634</v>
      </c>
      <c r="I32" s="2" t="s">
        <v>635</v>
      </c>
      <c r="J32" s="2" t="s">
        <v>600</v>
      </c>
      <c r="K32" s="2" t="s">
        <v>636</v>
      </c>
      <c r="L32" s="2"/>
      <c r="M32" s="2" t="s">
        <v>637</v>
      </c>
      <c r="N32" s="2" t="s">
        <v>638</v>
      </c>
      <c r="O32" s="2" t="s">
        <v>639</v>
      </c>
      <c r="P32" s="2" t="s">
        <v>640</v>
      </c>
      <c r="Q32" s="2"/>
      <c r="R32" s="2"/>
      <c r="S32" s="2" t="s">
        <v>606</v>
      </c>
      <c r="T32" s="2" t="s">
        <v>607</v>
      </c>
      <c r="U32" s="2"/>
      <c r="V32" s="2" t="s">
        <v>641</v>
      </c>
      <c r="W32" s="2" t="s">
        <v>124</v>
      </c>
      <c r="X32" s="2" t="s">
        <v>642</v>
      </c>
      <c r="Y32" s="4">
        <v>36977</v>
      </c>
      <c r="Z32" s="2" t="s">
        <v>595</v>
      </c>
      <c r="AA32" s="2"/>
      <c r="AB32" s="2"/>
      <c r="AC32" s="2"/>
      <c r="AD32" s="2"/>
      <c r="AE32" s="2"/>
      <c r="AF32" s="2"/>
      <c r="AG32" s="2"/>
      <c r="AH32" s="2"/>
    </row>
    <row r="33" spans="1:34" ht="15" x14ac:dyDescent="0.2">
      <c r="A33" s="2" t="s">
        <v>531</v>
      </c>
      <c r="B33" s="2" t="s">
        <v>17</v>
      </c>
      <c r="C33" s="2" t="s">
        <v>537</v>
      </c>
      <c r="D33" s="2"/>
      <c r="E33" s="2" t="s">
        <v>45</v>
      </c>
      <c r="F33" s="2" t="s">
        <v>596</v>
      </c>
      <c r="G33" s="2" t="s">
        <v>597</v>
      </c>
      <c r="H33" s="2" t="s">
        <v>888</v>
      </c>
      <c r="I33" s="2"/>
      <c r="J33" s="2" t="s">
        <v>832</v>
      </c>
      <c r="K33" s="2" t="s">
        <v>889</v>
      </c>
      <c r="L33" s="2" t="s">
        <v>890</v>
      </c>
      <c r="M33" s="2" t="s">
        <v>891</v>
      </c>
      <c r="N33" s="2" t="s">
        <v>892</v>
      </c>
      <c r="O33" s="2" t="s">
        <v>893</v>
      </c>
      <c r="P33" s="2" t="s">
        <v>894</v>
      </c>
      <c r="Q33" s="2"/>
      <c r="R33" s="2" t="s">
        <v>895</v>
      </c>
      <c r="S33" s="2" t="s">
        <v>606</v>
      </c>
      <c r="T33" s="2" t="s">
        <v>607</v>
      </c>
      <c r="U33" s="2"/>
      <c r="V33" s="2" t="s">
        <v>896</v>
      </c>
      <c r="W33" s="2" t="s">
        <v>897</v>
      </c>
      <c r="X33" s="2" t="s">
        <v>635</v>
      </c>
      <c r="Y33" s="4">
        <v>33786</v>
      </c>
      <c r="Z33" s="2" t="s">
        <v>595</v>
      </c>
      <c r="AA33" s="2"/>
      <c r="AB33" s="2"/>
      <c r="AC33" s="2"/>
      <c r="AD33" s="2"/>
      <c r="AE33" s="2"/>
      <c r="AF33" s="2"/>
      <c r="AG33" s="2"/>
      <c r="AH33" s="2"/>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I2"/>
  <sheetViews>
    <sheetView showOutlineSymbols="0" showWhiteSpace="0" workbookViewId="0"/>
  </sheetViews>
  <sheetFormatPr baseColWidth="10" defaultColWidth="9" defaultRowHeight="14.25" x14ac:dyDescent="0.2"/>
  <cols>
    <col min="1" max="1" width="23.375" bestFit="1" customWidth="1"/>
    <col min="2" max="2" width="68.375" bestFit="1" customWidth="1"/>
    <col min="3" max="3" width="18" bestFit="1" customWidth="1"/>
    <col min="4" max="4" width="19.75" bestFit="1" customWidth="1"/>
    <col min="5" max="5" width="32.375" bestFit="1" customWidth="1"/>
    <col min="6" max="7" width="33.625" bestFit="1" customWidth="1"/>
    <col min="8" max="8" width="38.375" bestFit="1" customWidth="1"/>
    <col min="9" max="9" width="54" bestFit="1" customWidth="1"/>
  </cols>
  <sheetData>
    <row r="1" spans="1:9" ht="15.75" x14ac:dyDescent="0.25">
      <c r="A1" s="1" t="s">
        <v>546</v>
      </c>
      <c r="B1" s="1" t="s">
        <v>898</v>
      </c>
      <c r="C1" s="1" t="s">
        <v>899</v>
      </c>
      <c r="D1" s="1" t="s">
        <v>900</v>
      </c>
      <c r="E1" s="1" t="s">
        <v>901</v>
      </c>
      <c r="F1" s="1" t="s">
        <v>902</v>
      </c>
      <c r="G1" s="1" t="s">
        <v>903</v>
      </c>
      <c r="H1" s="1" t="s">
        <v>904</v>
      </c>
      <c r="I1" s="1" t="s">
        <v>905</v>
      </c>
    </row>
    <row r="2" spans="1:9" ht="15" x14ac:dyDescent="0.2">
      <c r="A2" s="2" t="s">
        <v>133</v>
      </c>
      <c r="B2" s="2" t="s">
        <v>906</v>
      </c>
      <c r="C2" s="2"/>
      <c r="D2" s="2"/>
      <c r="E2" s="2"/>
      <c r="F2" s="3">
        <v>45127.904394800127</v>
      </c>
      <c r="G2" s="3">
        <v>45127.904394800127</v>
      </c>
      <c r="H2" s="2" t="s">
        <v>137</v>
      </c>
      <c r="I2" s="2" t="s">
        <v>907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H9"/>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59.375" bestFit="1" customWidth="1"/>
    <col min="4" max="4" width="66" bestFit="1" customWidth="1"/>
    <col min="5" max="5" width="85.25" bestFit="1" customWidth="1"/>
    <col min="6" max="6" width="81" bestFit="1" customWidth="1"/>
    <col min="7" max="7" width="45" bestFit="1" customWidth="1"/>
    <col min="8" max="8" width="66.625" bestFit="1" customWidth="1"/>
  </cols>
  <sheetData>
    <row r="1" spans="1:8" ht="15.75" x14ac:dyDescent="0.25">
      <c r="A1" s="1" t="s">
        <v>546</v>
      </c>
      <c r="B1" s="1" t="s">
        <v>908</v>
      </c>
      <c r="C1" s="1" t="s">
        <v>909</v>
      </c>
      <c r="D1" s="1" t="s">
        <v>910</v>
      </c>
      <c r="E1" s="1" t="s">
        <v>911</v>
      </c>
      <c r="F1" s="1" t="s">
        <v>912</v>
      </c>
      <c r="G1" s="1" t="s">
        <v>913</v>
      </c>
      <c r="H1" s="1" t="s">
        <v>914</v>
      </c>
    </row>
    <row r="2" spans="1:8" ht="15" x14ac:dyDescent="0.2">
      <c r="A2" s="2" t="s">
        <v>40</v>
      </c>
      <c r="B2" s="2">
        <v>1</v>
      </c>
      <c r="C2" s="2" t="s">
        <v>49</v>
      </c>
      <c r="D2" s="2" t="s">
        <v>915</v>
      </c>
      <c r="E2" s="2" t="s">
        <v>916</v>
      </c>
      <c r="F2" s="2" t="s">
        <v>47</v>
      </c>
      <c r="G2" s="2"/>
      <c r="H2" s="2"/>
    </row>
    <row r="3" spans="1:8" ht="15" x14ac:dyDescent="0.2">
      <c r="A3" s="2" t="s">
        <v>64</v>
      </c>
      <c r="B3" s="2">
        <v>1</v>
      </c>
      <c r="C3" s="2" t="s">
        <v>49</v>
      </c>
      <c r="D3" s="2" t="s">
        <v>917</v>
      </c>
      <c r="E3" s="2" t="s">
        <v>918</v>
      </c>
      <c r="F3" s="2" t="s">
        <v>68</v>
      </c>
      <c r="G3" s="2"/>
      <c r="H3" s="2"/>
    </row>
    <row r="4" spans="1:8" ht="15" x14ac:dyDescent="0.2">
      <c r="A4" s="2" t="s">
        <v>64</v>
      </c>
      <c r="B4" s="2">
        <v>2</v>
      </c>
      <c r="C4" s="2" t="s">
        <v>919</v>
      </c>
      <c r="D4" s="2" t="s">
        <v>920</v>
      </c>
      <c r="E4" s="2" t="s">
        <v>921</v>
      </c>
      <c r="F4" s="2" t="s">
        <v>922</v>
      </c>
      <c r="G4" s="2" t="s">
        <v>923</v>
      </c>
      <c r="H4" s="2" t="s">
        <v>924</v>
      </c>
    </row>
    <row r="5" spans="1:8" ht="15" x14ac:dyDescent="0.2">
      <c r="A5" s="2" t="s">
        <v>118</v>
      </c>
      <c r="B5" s="2">
        <v>1</v>
      </c>
      <c r="C5" s="2" t="s">
        <v>88</v>
      </c>
      <c r="D5" s="2" t="s">
        <v>925</v>
      </c>
      <c r="E5" s="2" t="s">
        <v>926</v>
      </c>
      <c r="F5" s="2" t="s">
        <v>927</v>
      </c>
      <c r="G5" s="2"/>
      <c r="H5" s="2"/>
    </row>
    <row r="6" spans="1:8" ht="15" x14ac:dyDescent="0.2">
      <c r="A6" s="2" t="s">
        <v>197</v>
      </c>
      <c r="B6" s="2">
        <v>1</v>
      </c>
      <c r="C6" s="2" t="s">
        <v>185</v>
      </c>
      <c r="D6" s="2" t="s">
        <v>928</v>
      </c>
      <c r="E6" s="2" t="s">
        <v>929</v>
      </c>
      <c r="F6" s="2" t="s">
        <v>930</v>
      </c>
      <c r="G6" s="2"/>
      <c r="H6" s="2"/>
    </row>
    <row r="7" spans="1:8" ht="15" x14ac:dyDescent="0.2">
      <c r="A7" s="2" t="s">
        <v>197</v>
      </c>
      <c r="B7" s="2">
        <v>2</v>
      </c>
      <c r="C7" s="2" t="s">
        <v>185</v>
      </c>
      <c r="D7" s="2" t="s">
        <v>931</v>
      </c>
      <c r="E7" s="2" t="s">
        <v>932</v>
      </c>
      <c r="F7" s="2" t="s">
        <v>933</v>
      </c>
      <c r="G7" s="2"/>
      <c r="H7" s="2"/>
    </row>
    <row r="8" spans="1:8" ht="15" x14ac:dyDescent="0.2">
      <c r="A8" s="2" t="s">
        <v>278</v>
      </c>
      <c r="B8" s="2">
        <v>1</v>
      </c>
      <c r="C8" s="2" t="s">
        <v>88</v>
      </c>
      <c r="D8" s="2" t="s">
        <v>934</v>
      </c>
      <c r="E8" s="2" t="s">
        <v>935</v>
      </c>
      <c r="F8" s="2" t="s">
        <v>936</v>
      </c>
      <c r="G8" s="2"/>
      <c r="H8" s="2"/>
    </row>
    <row r="9" spans="1:8" ht="15" x14ac:dyDescent="0.2">
      <c r="A9" s="2" t="s">
        <v>517</v>
      </c>
      <c r="B9" s="2">
        <v>1</v>
      </c>
      <c r="C9" s="2" t="s">
        <v>70</v>
      </c>
      <c r="D9" s="2" t="s">
        <v>937</v>
      </c>
      <c r="E9" s="2" t="s">
        <v>938</v>
      </c>
      <c r="F9" s="2" t="s">
        <v>939</v>
      </c>
      <c r="G9" s="2"/>
      <c r="H9" s="2"/>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Z37"/>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247.25" bestFit="1" customWidth="1"/>
    <col min="4" max="4" width="255" bestFit="1" customWidth="1"/>
    <col min="5" max="5" width="94.75" bestFit="1" customWidth="1"/>
    <col min="6" max="6" width="252" bestFit="1" customWidth="1"/>
    <col min="7" max="7" width="51.625" bestFit="1" customWidth="1"/>
    <col min="8" max="8" width="160.75" bestFit="1" customWidth="1"/>
    <col min="9" max="9" width="121.25" bestFit="1" customWidth="1"/>
    <col min="10" max="10" width="82.75" bestFit="1" customWidth="1"/>
    <col min="11" max="11" width="55.25" bestFit="1" customWidth="1"/>
    <col min="12" max="12" width="34.25" bestFit="1" customWidth="1"/>
    <col min="13" max="13" width="75.625" bestFit="1" customWidth="1"/>
    <col min="14" max="14" width="77.375" bestFit="1" customWidth="1"/>
    <col min="15" max="15" width="79.25" bestFit="1" customWidth="1"/>
    <col min="16" max="16" width="73.75" bestFit="1" customWidth="1"/>
    <col min="17" max="17" width="252" bestFit="1" customWidth="1"/>
    <col min="18" max="18" width="206.375" bestFit="1" customWidth="1"/>
    <col min="19" max="19" width="39.625" bestFit="1" customWidth="1"/>
    <col min="20" max="20" width="41.375" bestFit="1" customWidth="1"/>
    <col min="21" max="21" width="43.25" bestFit="1" customWidth="1"/>
    <col min="22" max="22" width="27.625" bestFit="1" customWidth="1"/>
    <col min="23" max="23" width="37.75" bestFit="1" customWidth="1"/>
    <col min="24" max="24" width="146.375" bestFit="1" customWidth="1"/>
    <col min="25" max="25" width="70.25" bestFit="1" customWidth="1"/>
    <col min="26" max="26" width="176.375" bestFit="1" customWidth="1"/>
  </cols>
  <sheetData>
    <row r="1" spans="1:26" ht="15.75" x14ac:dyDescent="0.25">
      <c r="A1" s="1" t="s">
        <v>546</v>
      </c>
      <c r="B1" s="1" t="s">
        <v>908</v>
      </c>
      <c r="C1" s="1" t="s">
        <v>940</v>
      </c>
      <c r="D1" s="1" t="s">
        <v>941</v>
      </c>
      <c r="E1" s="1" t="s">
        <v>942</v>
      </c>
      <c r="F1" s="1" t="s">
        <v>943</v>
      </c>
      <c r="G1" s="1" t="s">
        <v>944</v>
      </c>
      <c r="H1" s="1" t="s">
        <v>945</v>
      </c>
      <c r="I1" s="1" t="s">
        <v>946</v>
      </c>
      <c r="J1" s="1" t="s">
        <v>947</v>
      </c>
      <c r="K1" s="1" t="s">
        <v>948</v>
      </c>
      <c r="L1" s="1" t="s">
        <v>949</v>
      </c>
      <c r="M1" s="1" t="s">
        <v>950</v>
      </c>
      <c r="N1" s="1" t="s">
        <v>951</v>
      </c>
      <c r="O1" s="1" t="s">
        <v>952</v>
      </c>
      <c r="P1" s="1" t="s">
        <v>953</v>
      </c>
      <c r="Q1" s="1" t="s">
        <v>954</v>
      </c>
      <c r="R1" s="1" t="s">
        <v>955</v>
      </c>
      <c r="S1" s="1" t="s">
        <v>956</v>
      </c>
      <c r="T1" s="1" t="s">
        <v>957</v>
      </c>
      <c r="U1" s="1" t="s">
        <v>958</v>
      </c>
      <c r="V1" s="1" t="s">
        <v>959</v>
      </c>
      <c r="W1" s="1" t="s">
        <v>960</v>
      </c>
      <c r="X1" s="1" t="s">
        <v>961</v>
      </c>
      <c r="Y1" s="1" t="s">
        <v>962</v>
      </c>
      <c r="Z1" s="1" t="s">
        <v>963</v>
      </c>
    </row>
    <row r="2" spans="1:26" ht="15" x14ac:dyDescent="0.2">
      <c r="A2" s="2" t="s">
        <v>118</v>
      </c>
      <c r="B2" s="2">
        <v>1</v>
      </c>
      <c r="C2" s="2" t="s">
        <v>130</v>
      </c>
      <c r="D2" s="2" t="s">
        <v>131</v>
      </c>
      <c r="E2" s="2" t="s">
        <v>964</v>
      </c>
      <c r="F2" s="2" t="s">
        <v>965</v>
      </c>
      <c r="G2" s="2" t="s">
        <v>945</v>
      </c>
      <c r="H2" s="2" t="s">
        <v>966</v>
      </c>
      <c r="I2" s="2"/>
      <c r="J2" s="2" t="s">
        <v>57</v>
      </c>
      <c r="K2" s="2" t="s">
        <v>967</v>
      </c>
      <c r="L2" s="2"/>
      <c r="M2" s="2">
        <v>200</v>
      </c>
      <c r="N2" s="2" t="s">
        <v>968</v>
      </c>
      <c r="O2" s="2" t="s">
        <v>969</v>
      </c>
      <c r="P2" s="2" t="s">
        <v>60</v>
      </c>
      <c r="Q2" s="2"/>
      <c r="R2" s="2" t="s">
        <v>970</v>
      </c>
      <c r="S2" s="2" t="s">
        <v>971</v>
      </c>
      <c r="T2" s="2" t="s">
        <v>972</v>
      </c>
      <c r="U2" s="2" t="s">
        <v>973</v>
      </c>
      <c r="V2" s="2" t="s">
        <v>974</v>
      </c>
      <c r="W2" s="2" t="s">
        <v>975</v>
      </c>
      <c r="X2" s="2" t="s">
        <v>976</v>
      </c>
      <c r="Y2" s="2" t="s">
        <v>977</v>
      </c>
      <c r="Z2" s="2"/>
    </row>
    <row r="3" spans="1:26" ht="15" x14ac:dyDescent="0.2">
      <c r="A3" s="2" t="s">
        <v>149</v>
      </c>
      <c r="B3" s="2">
        <v>1</v>
      </c>
      <c r="C3" s="2" t="s">
        <v>978</v>
      </c>
      <c r="D3" s="2" t="s">
        <v>979</v>
      </c>
      <c r="E3" s="2" t="s">
        <v>980</v>
      </c>
      <c r="F3" s="2" t="s">
        <v>981</v>
      </c>
      <c r="G3" s="2" t="s">
        <v>945</v>
      </c>
      <c r="H3" s="2" t="s">
        <v>982</v>
      </c>
      <c r="I3" s="2"/>
      <c r="J3" s="2" t="s">
        <v>57</v>
      </c>
      <c r="K3" s="2" t="s">
        <v>967</v>
      </c>
      <c r="L3" s="2"/>
      <c r="M3" s="2">
        <v>50</v>
      </c>
      <c r="N3" s="2" t="s">
        <v>968</v>
      </c>
      <c r="O3" s="2" t="s">
        <v>968</v>
      </c>
      <c r="P3" s="2" t="s">
        <v>60</v>
      </c>
      <c r="Q3" s="2"/>
      <c r="R3" s="2" t="s">
        <v>156</v>
      </c>
      <c r="S3" s="2" t="s">
        <v>983</v>
      </c>
      <c r="T3" s="2" t="s">
        <v>662</v>
      </c>
      <c r="U3" s="2" t="s">
        <v>984</v>
      </c>
      <c r="V3" s="2" t="s">
        <v>985</v>
      </c>
      <c r="W3" s="2" t="s">
        <v>693</v>
      </c>
      <c r="X3" s="2" t="s">
        <v>986</v>
      </c>
      <c r="Y3" s="2" t="s">
        <v>159</v>
      </c>
      <c r="Z3" s="2"/>
    </row>
    <row r="4" spans="1:26" ht="15" x14ac:dyDescent="0.2">
      <c r="A4" s="2" t="s">
        <v>163</v>
      </c>
      <c r="B4" s="2">
        <v>1</v>
      </c>
      <c r="C4" s="2" t="s">
        <v>987</v>
      </c>
      <c r="D4" s="2" t="s">
        <v>988</v>
      </c>
      <c r="E4" s="2" t="s">
        <v>989</v>
      </c>
      <c r="F4" s="2" t="s">
        <v>990</v>
      </c>
      <c r="G4" s="2" t="s">
        <v>945</v>
      </c>
      <c r="H4" s="2" t="s">
        <v>991</v>
      </c>
      <c r="I4" s="2"/>
      <c r="J4" s="2" t="s">
        <v>57</v>
      </c>
      <c r="K4" s="2" t="s">
        <v>967</v>
      </c>
      <c r="L4" s="2"/>
      <c r="M4" s="2">
        <v>60</v>
      </c>
      <c r="N4" s="2" t="s">
        <v>992</v>
      </c>
      <c r="O4" s="2" t="s">
        <v>993</v>
      </c>
      <c r="P4" s="2" t="s">
        <v>60</v>
      </c>
      <c r="Q4" s="2"/>
      <c r="R4" s="2" t="s">
        <v>994</v>
      </c>
      <c r="S4" s="2" t="s">
        <v>995</v>
      </c>
      <c r="T4" s="2" t="s">
        <v>674</v>
      </c>
      <c r="U4" s="2" t="s">
        <v>996</v>
      </c>
      <c r="V4" s="2" t="s">
        <v>997</v>
      </c>
      <c r="W4" s="2" t="s">
        <v>998</v>
      </c>
      <c r="X4" s="2" t="s">
        <v>999</v>
      </c>
      <c r="Y4" s="2" t="s">
        <v>174</v>
      </c>
      <c r="Z4" s="2"/>
    </row>
    <row r="5" spans="1:26" ht="15" x14ac:dyDescent="0.2">
      <c r="A5" s="2" t="s">
        <v>197</v>
      </c>
      <c r="B5" s="2">
        <v>1</v>
      </c>
      <c r="C5" s="2" t="s">
        <v>1000</v>
      </c>
      <c r="D5" s="2" t="s">
        <v>1001</v>
      </c>
      <c r="E5" s="2" t="s">
        <v>1002</v>
      </c>
      <c r="F5" s="2" t="s">
        <v>965</v>
      </c>
      <c r="G5" s="2" t="s">
        <v>945</v>
      </c>
      <c r="H5" s="2" t="s">
        <v>1003</v>
      </c>
      <c r="I5" s="2"/>
      <c r="J5" s="2" t="s">
        <v>60</v>
      </c>
      <c r="K5" s="2"/>
      <c r="L5" s="2" t="s">
        <v>1004</v>
      </c>
      <c r="M5" s="2">
        <v>12</v>
      </c>
      <c r="N5" s="2" t="s">
        <v>1005</v>
      </c>
      <c r="O5" s="2" t="s">
        <v>1006</v>
      </c>
      <c r="P5" s="2" t="s">
        <v>60</v>
      </c>
      <c r="Q5" s="2"/>
      <c r="R5" s="2" t="s">
        <v>1007</v>
      </c>
      <c r="S5" s="2" t="s">
        <v>1008</v>
      </c>
      <c r="T5" s="2" t="s">
        <v>697</v>
      </c>
      <c r="U5" s="2" t="s">
        <v>1009</v>
      </c>
      <c r="V5" s="2" t="s">
        <v>1010</v>
      </c>
      <c r="W5" s="2" t="s">
        <v>1011</v>
      </c>
      <c r="X5" s="2" t="s">
        <v>1012</v>
      </c>
      <c r="Y5" s="2" t="s">
        <v>206</v>
      </c>
      <c r="Z5" s="2" t="s">
        <v>1013</v>
      </c>
    </row>
    <row r="6" spans="1:26" ht="15" x14ac:dyDescent="0.2">
      <c r="A6" s="2" t="s">
        <v>197</v>
      </c>
      <c r="B6" s="2">
        <v>2</v>
      </c>
      <c r="C6" s="2" t="s">
        <v>1000</v>
      </c>
      <c r="D6" s="2" t="s">
        <v>1001</v>
      </c>
      <c r="E6" s="2" t="s">
        <v>1002</v>
      </c>
      <c r="F6" s="2" t="s">
        <v>965</v>
      </c>
      <c r="G6" s="2" t="s">
        <v>945</v>
      </c>
      <c r="H6" s="2" t="s">
        <v>1003</v>
      </c>
      <c r="I6" s="2"/>
      <c r="J6" s="2" t="s">
        <v>60</v>
      </c>
      <c r="K6" s="2"/>
      <c r="L6" s="2" t="s">
        <v>1014</v>
      </c>
      <c r="M6" s="2">
        <v>12</v>
      </c>
      <c r="N6" s="2" t="s">
        <v>1005</v>
      </c>
      <c r="O6" s="2" t="s">
        <v>1006</v>
      </c>
      <c r="P6" s="2" t="s">
        <v>60</v>
      </c>
      <c r="Q6" s="2"/>
      <c r="R6" s="2" t="s">
        <v>1007</v>
      </c>
      <c r="S6" s="2" t="s">
        <v>1008</v>
      </c>
      <c r="T6" s="2" t="s">
        <v>697</v>
      </c>
      <c r="U6" s="2" t="s">
        <v>1009</v>
      </c>
      <c r="V6" s="2" t="s">
        <v>1010</v>
      </c>
      <c r="W6" s="2" t="s">
        <v>1011</v>
      </c>
      <c r="X6" s="2" t="s">
        <v>1015</v>
      </c>
      <c r="Y6" s="2" t="s">
        <v>206</v>
      </c>
      <c r="Z6" s="2" t="s">
        <v>1016</v>
      </c>
    </row>
    <row r="7" spans="1:26" ht="15" x14ac:dyDescent="0.2">
      <c r="A7" s="2" t="s">
        <v>213</v>
      </c>
      <c r="B7" s="2">
        <v>1</v>
      </c>
      <c r="C7" s="2" t="s">
        <v>1017</v>
      </c>
      <c r="D7" s="2" t="s">
        <v>1018</v>
      </c>
      <c r="E7" s="2" t="s">
        <v>1019</v>
      </c>
      <c r="F7" s="2" t="s">
        <v>1020</v>
      </c>
      <c r="G7" s="2" t="s">
        <v>945</v>
      </c>
      <c r="H7" s="2" t="s">
        <v>1021</v>
      </c>
      <c r="I7" s="2"/>
      <c r="J7" s="2" t="s">
        <v>57</v>
      </c>
      <c r="K7" s="2" t="s">
        <v>1022</v>
      </c>
      <c r="L7" s="2"/>
      <c r="M7" s="2">
        <v>50000</v>
      </c>
      <c r="N7" s="2" t="s">
        <v>968</v>
      </c>
      <c r="O7" s="2" t="s">
        <v>1023</v>
      </c>
      <c r="P7" s="2" t="s">
        <v>57</v>
      </c>
      <c r="Q7" s="2" t="s">
        <v>1024</v>
      </c>
      <c r="R7" s="2"/>
      <c r="S7" s="2" t="s">
        <v>62</v>
      </c>
      <c r="T7" s="2" t="s">
        <v>62</v>
      </c>
      <c r="U7" s="2" t="s">
        <v>62</v>
      </c>
      <c r="V7" s="2"/>
      <c r="W7" s="2"/>
      <c r="X7" s="2" t="s">
        <v>1025</v>
      </c>
      <c r="Y7" s="2" t="s">
        <v>223</v>
      </c>
      <c r="Z7" s="2"/>
    </row>
    <row r="8" spans="1:26" ht="15" x14ac:dyDescent="0.2">
      <c r="A8" s="2" t="s">
        <v>213</v>
      </c>
      <c r="B8" s="2">
        <v>2</v>
      </c>
      <c r="C8" s="2" t="s">
        <v>1026</v>
      </c>
      <c r="D8" s="2" t="s">
        <v>1027</v>
      </c>
      <c r="E8" s="2" t="s">
        <v>1019</v>
      </c>
      <c r="F8" s="2" t="s">
        <v>965</v>
      </c>
      <c r="G8" s="2" t="s">
        <v>946</v>
      </c>
      <c r="H8" s="2"/>
      <c r="I8" s="2" t="s">
        <v>1028</v>
      </c>
      <c r="J8" s="2" t="s">
        <v>57</v>
      </c>
      <c r="K8" s="2" t="s">
        <v>1022</v>
      </c>
      <c r="L8" s="2"/>
      <c r="M8" s="2">
        <v>50000</v>
      </c>
      <c r="N8" s="2" t="s">
        <v>968</v>
      </c>
      <c r="O8" s="2" t="s">
        <v>1023</v>
      </c>
      <c r="P8" s="2" t="s">
        <v>57</v>
      </c>
      <c r="Q8" s="2" t="s">
        <v>1029</v>
      </c>
      <c r="R8" s="2"/>
      <c r="S8" s="2" t="s">
        <v>62</v>
      </c>
      <c r="T8" s="2" t="s">
        <v>62</v>
      </c>
      <c r="U8" s="2" t="s">
        <v>62</v>
      </c>
      <c r="V8" s="2"/>
      <c r="W8" s="2"/>
      <c r="X8" s="2" t="s">
        <v>1025</v>
      </c>
      <c r="Y8" s="2" t="s">
        <v>1030</v>
      </c>
      <c r="Z8" s="2"/>
    </row>
    <row r="9" spans="1:26" ht="15" x14ac:dyDescent="0.2">
      <c r="A9" s="2" t="s">
        <v>230</v>
      </c>
      <c r="B9" s="2">
        <v>1</v>
      </c>
      <c r="C9" s="2" t="s">
        <v>1031</v>
      </c>
      <c r="D9" s="2" t="s">
        <v>1032</v>
      </c>
      <c r="E9" s="2" t="s">
        <v>1033</v>
      </c>
      <c r="F9" s="2" t="s">
        <v>965</v>
      </c>
      <c r="G9" s="2" t="s">
        <v>945</v>
      </c>
      <c r="H9" s="2" t="s">
        <v>1034</v>
      </c>
      <c r="I9" s="2"/>
      <c r="J9" s="2" t="s">
        <v>57</v>
      </c>
      <c r="K9" s="2" t="s">
        <v>1022</v>
      </c>
      <c r="L9" s="2"/>
      <c r="M9" s="2">
        <v>3000</v>
      </c>
      <c r="N9" s="2" t="s">
        <v>1035</v>
      </c>
      <c r="O9" s="2" t="s">
        <v>969</v>
      </c>
      <c r="P9" s="2" t="s">
        <v>57</v>
      </c>
      <c r="Q9" s="2" t="s">
        <v>1036</v>
      </c>
      <c r="R9" s="2"/>
      <c r="S9" s="2" t="s">
        <v>62</v>
      </c>
      <c r="T9" s="2" t="s">
        <v>62</v>
      </c>
      <c r="U9" s="2" t="s">
        <v>62</v>
      </c>
      <c r="V9" s="2"/>
      <c r="W9" s="2"/>
      <c r="X9" s="2" t="s">
        <v>1037</v>
      </c>
      <c r="Y9" s="2" t="s">
        <v>231</v>
      </c>
      <c r="Z9" s="2" t="s">
        <v>1038</v>
      </c>
    </row>
    <row r="10" spans="1:26" ht="15" x14ac:dyDescent="0.2">
      <c r="A10" s="2" t="s">
        <v>261</v>
      </c>
      <c r="B10" s="2">
        <v>1</v>
      </c>
      <c r="C10" s="2" t="s">
        <v>274</v>
      </c>
      <c r="D10" s="2" t="s">
        <v>276</v>
      </c>
      <c r="E10" s="2" t="s">
        <v>1039</v>
      </c>
      <c r="F10" s="2" t="s">
        <v>965</v>
      </c>
      <c r="G10" s="2" t="s">
        <v>945</v>
      </c>
      <c r="H10" s="2" t="s">
        <v>1040</v>
      </c>
      <c r="I10" s="2"/>
      <c r="J10" s="2" t="s">
        <v>57</v>
      </c>
      <c r="K10" s="2" t="s">
        <v>967</v>
      </c>
      <c r="L10" s="2"/>
      <c r="M10" s="2">
        <v>150</v>
      </c>
      <c r="N10" s="2" t="s">
        <v>968</v>
      </c>
      <c r="O10" s="2" t="s">
        <v>968</v>
      </c>
      <c r="P10" s="2" t="s">
        <v>60</v>
      </c>
      <c r="Q10" s="2"/>
      <c r="R10" s="2" t="s">
        <v>1041</v>
      </c>
      <c r="S10" s="2" t="s">
        <v>1042</v>
      </c>
      <c r="T10" s="2" t="s">
        <v>1043</v>
      </c>
      <c r="U10" s="2" t="s">
        <v>1044</v>
      </c>
      <c r="V10" s="2" t="s">
        <v>1045</v>
      </c>
      <c r="W10" s="2" t="s">
        <v>738</v>
      </c>
      <c r="X10" s="2" t="s">
        <v>1046</v>
      </c>
      <c r="Y10" s="2"/>
      <c r="Z10" s="2"/>
    </row>
    <row r="11" spans="1:26" ht="15" x14ac:dyDescent="0.2">
      <c r="A11" s="2" t="s">
        <v>278</v>
      </c>
      <c r="B11" s="2">
        <v>1</v>
      </c>
      <c r="C11" s="2" t="s">
        <v>1047</v>
      </c>
      <c r="D11" s="2" t="s">
        <v>1048</v>
      </c>
      <c r="E11" s="2" t="s">
        <v>1049</v>
      </c>
      <c r="F11" s="2" t="s">
        <v>965</v>
      </c>
      <c r="G11" s="2" t="s">
        <v>945</v>
      </c>
      <c r="H11" s="2" t="s">
        <v>1050</v>
      </c>
      <c r="I11" s="2"/>
      <c r="J11" s="2" t="s">
        <v>60</v>
      </c>
      <c r="K11" s="2"/>
      <c r="L11" s="2" t="s">
        <v>1051</v>
      </c>
      <c r="M11" s="2">
        <v>30</v>
      </c>
      <c r="N11" s="2" t="s">
        <v>1052</v>
      </c>
      <c r="O11" s="2" t="s">
        <v>1052</v>
      </c>
      <c r="P11" s="2" t="s">
        <v>60</v>
      </c>
      <c r="Q11" s="2"/>
      <c r="R11" s="2" t="s">
        <v>286</v>
      </c>
      <c r="S11" s="2" t="s">
        <v>1053</v>
      </c>
      <c r="T11" s="2" t="s">
        <v>749</v>
      </c>
      <c r="U11" s="2" t="s">
        <v>1054</v>
      </c>
      <c r="V11" s="2" t="s">
        <v>1055</v>
      </c>
      <c r="W11" s="2" t="s">
        <v>1056</v>
      </c>
      <c r="X11" s="2" t="s">
        <v>62</v>
      </c>
      <c r="Y11" s="2"/>
      <c r="Z11" s="2"/>
    </row>
    <row r="12" spans="1:26" ht="15" x14ac:dyDescent="0.2">
      <c r="A12" s="2" t="s">
        <v>294</v>
      </c>
      <c r="B12" s="2">
        <v>1</v>
      </c>
      <c r="C12" s="2" t="s">
        <v>1057</v>
      </c>
      <c r="D12" s="2" t="s">
        <v>1058</v>
      </c>
      <c r="E12" s="2" t="s">
        <v>1059</v>
      </c>
      <c r="F12" s="2" t="s">
        <v>965</v>
      </c>
      <c r="G12" s="2" t="s">
        <v>1060</v>
      </c>
      <c r="H12" s="2" t="s">
        <v>1061</v>
      </c>
      <c r="I12" s="2" t="s">
        <v>1062</v>
      </c>
      <c r="J12" s="2" t="s">
        <v>57</v>
      </c>
      <c r="K12" s="2" t="s">
        <v>1063</v>
      </c>
      <c r="L12" s="2"/>
      <c r="M12" s="2">
        <v>15</v>
      </c>
      <c r="N12" s="2" t="s">
        <v>1035</v>
      </c>
      <c r="O12" s="2" t="s">
        <v>968</v>
      </c>
      <c r="P12" s="2" t="s">
        <v>57</v>
      </c>
      <c r="Q12" s="2" t="s">
        <v>1064</v>
      </c>
      <c r="R12" s="2"/>
      <c r="S12" s="2" t="s">
        <v>62</v>
      </c>
      <c r="T12" s="2" t="s">
        <v>62</v>
      </c>
      <c r="U12" s="2" t="s">
        <v>62</v>
      </c>
      <c r="V12" s="2"/>
      <c r="W12" s="2"/>
      <c r="X12" s="2" t="s">
        <v>1065</v>
      </c>
      <c r="Y12" s="2" t="s">
        <v>1066</v>
      </c>
      <c r="Z12" s="2" t="s">
        <v>1067</v>
      </c>
    </row>
    <row r="13" spans="1:26" ht="15" x14ac:dyDescent="0.2">
      <c r="A13" s="2" t="s">
        <v>310</v>
      </c>
      <c r="B13" s="2">
        <v>1</v>
      </c>
      <c r="C13" s="2" t="s">
        <v>333</v>
      </c>
      <c r="D13" s="2" t="s">
        <v>1068</v>
      </c>
      <c r="E13" s="2" t="s">
        <v>1002</v>
      </c>
      <c r="F13" s="2" t="s">
        <v>965</v>
      </c>
      <c r="G13" s="2" t="s">
        <v>945</v>
      </c>
      <c r="H13" s="2" t="s">
        <v>1069</v>
      </c>
      <c r="I13" s="2"/>
      <c r="J13" s="2" t="s">
        <v>57</v>
      </c>
      <c r="K13" s="2" t="s">
        <v>1022</v>
      </c>
      <c r="L13" s="2"/>
      <c r="M13" s="2">
        <v>250</v>
      </c>
      <c r="N13" s="2" t="s">
        <v>1070</v>
      </c>
      <c r="O13" s="2" t="s">
        <v>1006</v>
      </c>
      <c r="P13" s="2" t="s">
        <v>60</v>
      </c>
      <c r="Q13" s="2"/>
      <c r="R13" s="2" t="s">
        <v>1071</v>
      </c>
      <c r="S13" s="2" t="s">
        <v>1072</v>
      </c>
      <c r="T13" s="2" t="s">
        <v>1073</v>
      </c>
      <c r="U13" s="2" t="s">
        <v>996</v>
      </c>
      <c r="V13" s="2" t="s">
        <v>997</v>
      </c>
      <c r="W13" s="2" t="s">
        <v>998</v>
      </c>
      <c r="X13" s="2" t="s">
        <v>1074</v>
      </c>
      <c r="Y13" s="2" t="s">
        <v>311</v>
      </c>
      <c r="Z13" s="2" t="s">
        <v>1075</v>
      </c>
    </row>
    <row r="14" spans="1:26" ht="15" x14ac:dyDescent="0.2">
      <c r="A14" s="2" t="s">
        <v>325</v>
      </c>
      <c r="B14" s="2">
        <v>1</v>
      </c>
      <c r="C14" s="2" t="s">
        <v>333</v>
      </c>
      <c r="D14" s="2" t="s">
        <v>334</v>
      </c>
      <c r="E14" s="2" t="s">
        <v>1002</v>
      </c>
      <c r="F14" s="2" t="s">
        <v>981</v>
      </c>
      <c r="G14" s="2" t="s">
        <v>1060</v>
      </c>
      <c r="H14" s="2" t="s">
        <v>1076</v>
      </c>
      <c r="I14" s="2" t="s">
        <v>1077</v>
      </c>
      <c r="J14" s="2" t="s">
        <v>57</v>
      </c>
      <c r="K14" s="2" t="s">
        <v>1022</v>
      </c>
      <c r="L14" s="2"/>
      <c r="M14" s="2">
        <v>250</v>
      </c>
      <c r="N14" s="2" t="s">
        <v>1005</v>
      </c>
      <c r="O14" s="2" t="s">
        <v>1078</v>
      </c>
      <c r="P14" s="2" t="s">
        <v>57</v>
      </c>
      <c r="Q14" s="2" t="s">
        <v>1075</v>
      </c>
      <c r="R14" s="2"/>
      <c r="S14" s="2" t="s">
        <v>62</v>
      </c>
      <c r="T14" s="2" t="s">
        <v>62</v>
      </c>
      <c r="U14" s="2" t="s">
        <v>62</v>
      </c>
      <c r="V14" s="2"/>
      <c r="W14" s="2"/>
      <c r="X14" s="2" t="s">
        <v>1079</v>
      </c>
      <c r="Y14" s="2" t="s">
        <v>326</v>
      </c>
      <c r="Z14" s="2" t="s">
        <v>1075</v>
      </c>
    </row>
    <row r="15" spans="1:26" ht="15" x14ac:dyDescent="0.2">
      <c r="A15" s="2" t="s">
        <v>336</v>
      </c>
      <c r="B15" s="2">
        <v>1</v>
      </c>
      <c r="C15" s="2" t="s">
        <v>1080</v>
      </c>
      <c r="D15" s="2" t="s">
        <v>1081</v>
      </c>
      <c r="E15" s="2" t="s">
        <v>1082</v>
      </c>
      <c r="F15" s="2" t="s">
        <v>1083</v>
      </c>
      <c r="G15" s="2" t="s">
        <v>945</v>
      </c>
      <c r="H15" s="2" t="s">
        <v>1084</v>
      </c>
      <c r="I15" s="2"/>
      <c r="J15" s="2" t="s">
        <v>60</v>
      </c>
      <c r="K15" s="2"/>
      <c r="L15" s="2" t="s">
        <v>1085</v>
      </c>
      <c r="M15" s="2">
        <v>25</v>
      </c>
      <c r="N15" s="2" t="s">
        <v>1086</v>
      </c>
      <c r="O15" s="2" t="s">
        <v>968</v>
      </c>
      <c r="P15" s="2" t="s">
        <v>60</v>
      </c>
      <c r="Q15" s="2"/>
      <c r="R15" s="2" t="s">
        <v>1087</v>
      </c>
      <c r="S15" s="2" t="s">
        <v>1088</v>
      </c>
      <c r="T15" s="2" t="s">
        <v>1089</v>
      </c>
      <c r="U15" s="2" t="s">
        <v>973</v>
      </c>
      <c r="V15" s="2" t="s">
        <v>974</v>
      </c>
      <c r="W15" s="2" t="s">
        <v>975</v>
      </c>
      <c r="X15" s="2" t="s">
        <v>1090</v>
      </c>
      <c r="Y15" s="2" t="s">
        <v>1091</v>
      </c>
      <c r="Z15" s="2" t="s">
        <v>1092</v>
      </c>
    </row>
    <row r="16" spans="1:26" ht="15" x14ac:dyDescent="0.2">
      <c r="A16" s="2" t="s">
        <v>336</v>
      </c>
      <c r="B16" s="2">
        <v>2</v>
      </c>
      <c r="C16" s="2" t="s">
        <v>1080</v>
      </c>
      <c r="D16" s="2" t="s">
        <v>1081</v>
      </c>
      <c r="E16" s="2" t="s">
        <v>1093</v>
      </c>
      <c r="F16" s="2" t="s">
        <v>1083</v>
      </c>
      <c r="G16" s="2" t="s">
        <v>945</v>
      </c>
      <c r="H16" s="2" t="s">
        <v>1094</v>
      </c>
      <c r="I16" s="2"/>
      <c r="J16" s="2" t="s">
        <v>60</v>
      </c>
      <c r="K16" s="2"/>
      <c r="L16" s="2" t="s">
        <v>1095</v>
      </c>
      <c r="M16" s="2">
        <v>25</v>
      </c>
      <c r="N16" s="2" t="s">
        <v>968</v>
      </c>
      <c r="O16" s="2" t="s">
        <v>968</v>
      </c>
      <c r="P16" s="2" t="s">
        <v>60</v>
      </c>
      <c r="Q16" s="2"/>
      <c r="R16" s="2" t="s">
        <v>1096</v>
      </c>
      <c r="S16" s="2" t="s">
        <v>995</v>
      </c>
      <c r="T16" s="2" t="s">
        <v>674</v>
      </c>
      <c r="U16" s="2" t="s">
        <v>996</v>
      </c>
      <c r="V16" s="2" t="s">
        <v>997</v>
      </c>
      <c r="W16" s="2" t="s">
        <v>998</v>
      </c>
      <c r="X16" s="2" t="s">
        <v>1097</v>
      </c>
      <c r="Y16" s="2" t="s">
        <v>1098</v>
      </c>
      <c r="Z16" s="2" t="s">
        <v>1092</v>
      </c>
    </row>
    <row r="17" spans="1:26" ht="15" x14ac:dyDescent="0.2">
      <c r="A17" s="2" t="s">
        <v>351</v>
      </c>
      <c r="B17" s="2">
        <v>1</v>
      </c>
      <c r="C17" s="2" t="s">
        <v>1099</v>
      </c>
      <c r="D17" s="2" t="s">
        <v>1100</v>
      </c>
      <c r="E17" s="2" t="s">
        <v>1101</v>
      </c>
      <c r="F17" s="2" t="s">
        <v>965</v>
      </c>
      <c r="G17" s="2" t="s">
        <v>945</v>
      </c>
      <c r="H17" s="2" t="s">
        <v>1102</v>
      </c>
      <c r="I17" s="2"/>
      <c r="J17" s="2" t="s">
        <v>57</v>
      </c>
      <c r="K17" s="2" t="s">
        <v>1022</v>
      </c>
      <c r="L17" s="2"/>
      <c r="M17" s="2">
        <v>280</v>
      </c>
      <c r="N17" s="2" t="s">
        <v>968</v>
      </c>
      <c r="O17" s="2" t="s">
        <v>968</v>
      </c>
      <c r="P17" s="2" t="s">
        <v>60</v>
      </c>
      <c r="Q17" s="2"/>
      <c r="R17" s="2" t="s">
        <v>1103</v>
      </c>
      <c r="S17" s="2" t="s">
        <v>1104</v>
      </c>
      <c r="T17" s="2" t="s">
        <v>1105</v>
      </c>
      <c r="U17" s="2" t="s">
        <v>1106</v>
      </c>
      <c r="V17" s="2" t="s">
        <v>1107</v>
      </c>
      <c r="W17" s="2" t="s">
        <v>613</v>
      </c>
      <c r="X17" s="2" t="s">
        <v>1108</v>
      </c>
      <c r="Y17" s="2"/>
      <c r="Z17" s="2"/>
    </row>
    <row r="18" spans="1:26" ht="15" x14ac:dyDescent="0.2">
      <c r="A18" s="2" t="s">
        <v>365</v>
      </c>
      <c r="B18" s="2">
        <v>1</v>
      </c>
      <c r="C18" s="2" t="s">
        <v>1109</v>
      </c>
      <c r="D18" s="2" t="s">
        <v>1110</v>
      </c>
      <c r="E18" s="2" t="s">
        <v>1111</v>
      </c>
      <c r="F18" s="2" t="s">
        <v>1112</v>
      </c>
      <c r="G18" s="2" t="s">
        <v>945</v>
      </c>
      <c r="H18" s="2" t="s">
        <v>1102</v>
      </c>
      <c r="I18" s="2"/>
      <c r="J18" s="2" t="s">
        <v>57</v>
      </c>
      <c r="K18" s="2" t="s">
        <v>967</v>
      </c>
      <c r="L18" s="2"/>
      <c r="M18" s="2">
        <v>45</v>
      </c>
      <c r="N18" s="2" t="s">
        <v>968</v>
      </c>
      <c r="O18" s="2" t="s">
        <v>968</v>
      </c>
      <c r="P18" s="2" t="s">
        <v>60</v>
      </c>
      <c r="Q18" s="2"/>
      <c r="R18" s="2" t="s">
        <v>1113</v>
      </c>
      <c r="S18" s="2" t="s">
        <v>1114</v>
      </c>
      <c r="T18" s="2" t="s">
        <v>809</v>
      </c>
      <c r="U18" s="2" t="s">
        <v>1115</v>
      </c>
      <c r="V18" s="2" t="s">
        <v>1116</v>
      </c>
      <c r="W18" s="2" t="s">
        <v>1117</v>
      </c>
      <c r="X18" s="2" t="s">
        <v>1118</v>
      </c>
      <c r="Y18" s="2"/>
      <c r="Z18" s="2"/>
    </row>
    <row r="19" spans="1:26" ht="15" x14ac:dyDescent="0.2">
      <c r="A19" s="2" t="s">
        <v>365</v>
      </c>
      <c r="B19" s="2">
        <v>2</v>
      </c>
      <c r="C19" s="2" t="s">
        <v>1119</v>
      </c>
      <c r="D19" s="2" t="s">
        <v>1120</v>
      </c>
      <c r="E19" s="2" t="s">
        <v>1121</v>
      </c>
      <c r="F19" s="2" t="s">
        <v>1112</v>
      </c>
      <c r="G19" s="2" t="s">
        <v>945</v>
      </c>
      <c r="H19" s="2" t="s">
        <v>1102</v>
      </c>
      <c r="I19" s="2"/>
      <c r="J19" s="2" t="s">
        <v>57</v>
      </c>
      <c r="K19" s="2" t="s">
        <v>967</v>
      </c>
      <c r="L19" s="2"/>
      <c r="M19" s="2">
        <v>25</v>
      </c>
      <c r="N19" s="2" t="s">
        <v>968</v>
      </c>
      <c r="O19" s="2" t="s">
        <v>968</v>
      </c>
      <c r="P19" s="2" t="s">
        <v>60</v>
      </c>
      <c r="Q19" s="2"/>
      <c r="R19" s="2" t="s">
        <v>1122</v>
      </c>
      <c r="S19" s="2" t="s">
        <v>1114</v>
      </c>
      <c r="T19" s="2" t="s">
        <v>809</v>
      </c>
      <c r="U19" s="2" t="s">
        <v>1115</v>
      </c>
      <c r="V19" s="2" t="s">
        <v>1116</v>
      </c>
      <c r="W19" s="2" t="s">
        <v>1117</v>
      </c>
      <c r="X19" s="2" t="s">
        <v>1123</v>
      </c>
      <c r="Y19" s="2"/>
      <c r="Z19" s="2"/>
    </row>
    <row r="20" spans="1:26" ht="15" x14ac:dyDescent="0.2">
      <c r="A20" s="2" t="s">
        <v>365</v>
      </c>
      <c r="B20" s="2">
        <v>3</v>
      </c>
      <c r="C20" s="2" t="s">
        <v>1124</v>
      </c>
      <c r="D20" s="2" t="s">
        <v>1125</v>
      </c>
      <c r="E20" s="2" t="s">
        <v>1019</v>
      </c>
      <c r="F20" s="2" t="s">
        <v>1112</v>
      </c>
      <c r="G20" s="2" t="s">
        <v>945</v>
      </c>
      <c r="H20" s="2" t="s">
        <v>1102</v>
      </c>
      <c r="I20" s="2"/>
      <c r="J20" s="2" t="s">
        <v>57</v>
      </c>
      <c r="K20" s="2" t="s">
        <v>1126</v>
      </c>
      <c r="L20" s="2"/>
      <c r="M20" s="2">
        <v>35</v>
      </c>
      <c r="N20" s="2" t="s">
        <v>968</v>
      </c>
      <c r="O20" s="2" t="s">
        <v>968</v>
      </c>
      <c r="P20" s="2" t="s">
        <v>60</v>
      </c>
      <c r="Q20" s="2"/>
      <c r="R20" s="2" t="s">
        <v>1113</v>
      </c>
      <c r="S20" s="2" t="s">
        <v>1114</v>
      </c>
      <c r="T20" s="2" t="s">
        <v>809</v>
      </c>
      <c r="U20" s="2" t="s">
        <v>1115</v>
      </c>
      <c r="V20" s="2" t="s">
        <v>1116</v>
      </c>
      <c r="W20" s="2" t="s">
        <v>1117</v>
      </c>
      <c r="X20" s="2" t="s">
        <v>1127</v>
      </c>
      <c r="Y20" s="2"/>
      <c r="Z20" s="2"/>
    </row>
    <row r="21" spans="1:26" ht="15" x14ac:dyDescent="0.2">
      <c r="A21" s="2" t="s">
        <v>365</v>
      </c>
      <c r="B21" s="2">
        <v>4</v>
      </c>
      <c r="C21" s="2" t="s">
        <v>1128</v>
      </c>
      <c r="D21" s="2" t="s">
        <v>1129</v>
      </c>
      <c r="E21" s="2" t="s">
        <v>1130</v>
      </c>
      <c r="F21" s="2" t="s">
        <v>1112</v>
      </c>
      <c r="G21" s="2" t="s">
        <v>945</v>
      </c>
      <c r="H21" s="2" t="s">
        <v>1102</v>
      </c>
      <c r="I21" s="2"/>
      <c r="J21" s="2" t="s">
        <v>57</v>
      </c>
      <c r="K21" s="2" t="s">
        <v>967</v>
      </c>
      <c r="L21" s="2"/>
      <c r="M21" s="2">
        <v>500</v>
      </c>
      <c r="N21" s="2" t="s">
        <v>968</v>
      </c>
      <c r="O21" s="2" t="s">
        <v>968</v>
      </c>
      <c r="P21" s="2" t="s">
        <v>60</v>
      </c>
      <c r="Q21" s="2"/>
      <c r="R21" s="2" t="s">
        <v>1131</v>
      </c>
      <c r="S21" s="2" t="s">
        <v>1114</v>
      </c>
      <c r="T21" s="2" t="s">
        <v>809</v>
      </c>
      <c r="U21" s="2" t="s">
        <v>1115</v>
      </c>
      <c r="V21" s="2" t="s">
        <v>1116</v>
      </c>
      <c r="W21" s="2" t="s">
        <v>1117</v>
      </c>
      <c r="X21" s="2" t="s">
        <v>1132</v>
      </c>
      <c r="Y21" s="2"/>
      <c r="Z21" s="2"/>
    </row>
    <row r="22" spans="1:26" ht="15" x14ac:dyDescent="0.2">
      <c r="A22" s="2" t="s">
        <v>365</v>
      </c>
      <c r="B22" s="2">
        <v>5</v>
      </c>
      <c r="C22" s="2" t="s">
        <v>1133</v>
      </c>
      <c r="D22" s="2" t="s">
        <v>1134</v>
      </c>
      <c r="E22" s="2" t="s">
        <v>1135</v>
      </c>
      <c r="F22" s="2" t="s">
        <v>1112</v>
      </c>
      <c r="G22" s="2" t="s">
        <v>945</v>
      </c>
      <c r="H22" s="2" t="s">
        <v>1102</v>
      </c>
      <c r="I22" s="2"/>
      <c r="J22" s="2" t="s">
        <v>57</v>
      </c>
      <c r="K22" s="2" t="s">
        <v>1063</v>
      </c>
      <c r="L22" s="2"/>
      <c r="M22" s="2">
        <v>35</v>
      </c>
      <c r="N22" s="2" t="s">
        <v>968</v>
      </c>
      <c r="O22" s="2" t="s">
        <v>968</v>
      </c>
      <c r="P22" s="2" t="s">
        <v>60</v>
      </c>
      <c r="Q22" s="2"/>
      <c r="R22" s="2" t="s">
        <v>1136</v>
      </c>
      <c r="S22" s="2" t="s">
        <v>1114</v>
      </c>
      <c r="T22" s="2" t="s">
        <v>809</v>
      </c>
      <c r="U22" s="2" t="s">
        <v>1115</v>
      </c>
      <c r="V22" s="2" t="s">
        <v>1116</v>
      </c>
      <c r="W22" s="2" t="s">
        <v>1117</v>
      </c>
      <c r="X22" s="2" t="s">
        <v>1137</v>
      </c>
      <c r="Y22" s="2"/>
      <c r="Z22" s="2"/>
    </row>
    <row r="23" spans="1:26" ht="15" x14ac:dyDescent="0.2">
      <c r="A23" s="2" t="s">
        <v>379</v>
      </c>
      <c r="B23" s="2">
        <v>1</v>
      </c>
      <c r="C23" s="2" t="s">
        <v>1138</v>
      </c>
      <c r="D23" s="2" t="s">
        <v>1139</v>
      </c>
      <c r="E23" s="2" t="s">
        <v>1135</v>
      </c>
      <c r="F23" s="2" t="s">
        <v>990</v>
      </c>
      <c r="G23" s="2" t="s">
        <v>1060</v>
      </c>
      <c r="H23" s="2" t="s">
        <v>1140</v>
      </c>
      <c r="I23" s="2" t="s">
        <v>1141</v>
      </c>
      <c r="J23" s="2" t="s">
        <v>57</v>
      </c>
      <c r="K23" s="2" t="s">
        <v>967</v>
      </c>
      <c r="L23" s="2"/>
      <c r="M23" s="2">
        <v>50</v>
      </c>
      <c r="N23" s="2" t="s">
        <v>1086</v>
      </c>
      <c r="O23" s="2" t="s">
        <v>1086</v>
      </c>
      <c r="P23" s="2" t="s">
        <v>60</v>
      </c>
      <c r="Q23" s="2"/>
      <c r="R23" s="2" t="s">
        <v>1142</v>
      </c>
      <c r="S23" s="2" t="s">
        <v>1143</v>
      </c>
      <c r="T23" s="2" t="s">
        <v>818</v>
      </c>
      <c r="U23" s="2" t="s">
        <v>1144</v>
      </c>
      <c r="V23" s="2" t="s">
        <v>1145</v>
      </c>
      <c r="W23" s="2" t="s">
        <v>1146</v>
      </c>
      <c r="X23" s="2" t="s">
        <v>1147</v>
      </c>
      <c r="Y23" s="2" t="s">
        <v>380</v>
      </c>
      <c r="Z23" s="2" t="s">
        <v>1148</v>
      </c>
    </row>
    <row r="24" spans="1:26" ht="15" x14ac:dyDescent="0.2">
      <c r="A24" s="2" t="s">
        <v>379</v>
      </c>
      <c r="B24" s="2">
        <v>2</v>
      </c>
      <c r="C24" s="2" t="s">
        <v>1149</v>
      </c>
      <c r="D24" s="2" t="s">
        <v>1150</v>
      </c>
      <c r="E24" s="2" t="s">
        <v>1135</v>
      </c>
      <c r="F24" s="2" t="s">
        <v>990</v>
      </c>
      <c r="G24" s="2" t="s">
        <v>1060</v>
      </c>
      <c r="H24" s="2" t="s">
        <v>1151</v>
      </c>
      <c r="I24" s="2" t="s">
        <v>1141</v>
      </c>
      <c r="J24" s="2" t="s">
        <v>57</v>
      </c>
      <c r="K24" s="2" t="s">
        <v>967</v>
      </c>
      <c r="L24" s="2"/>
      <c r="M24" s="2">
        <v>50</v>
      </c>
      <c r="N24" s="2" t="s">
        <v>1086</v>
      </c>
      <c r="O24" s="2" t="s">
        <v>1086</v>
      </c>
      <c r="P24" s="2" t="s">
        <v>60</v>
      </c>
      <c r="Q24" s="2"/>
      <c r="R24" s="2" t="s">
        <v>1142</v>
      </c>
      <c r="S24" s="2" t="s">
        <v>1143</v>
      </c>
      <c r="T24" s="2" t="s">
        <v>818</v>
      </c>
      <c r="U24" s="2" t="s">
        <v>1144</v>
      </c>
      <c r="V24" s="2" t="s">
        <v>1145</v>
      </c>
      <c r="W24" s="2" t="s">
        <v>1146</v>
      </c>
      <c r="X24" s="2" t="s">
        <v>1147</v>
      </c>
      <c r="Y24" s="2" t="s">
        <v>380</v>
      </c>
      <c r="Z24" s="2"/>
    </row>
    <row r="25" spans="1:26" ht="15" x14ac:dyDescent="0.2">
      <c r="A25" s="2" t="s">
        <v>379</v>
      </c>
      <c r="B25" s="2">
        <v>3</v>
      </c>
      <c r="C25" s="2" t="s">
        <v>1152</v>
      </c>
      <c r="D25" s="2" t="s">
        <v>1153</v>
      </c>
      <c r="E25" s="2" t="s">
        <v>1135</v>
      </c>
      <c r="F25" s="2" t="s">
        <v>1112</v>
      </c>
      <c r="G25" s="2" t="s">
        <v>945</v>
      </c>
      <c r="H25" s="2" t="s">
        <v>1154</v>
      </c>
      <c r="I25" s="2"/>
      <c r="J25" s="2" t="s">
        <v>57</v>
      </c>
      <c r="K25" s="2" t="s">
        <v>967</v>
      </c>
      <c r="L25" s="2"/>
      <c r="M25" s="2">
        <v>50</v>
      </c>
      <c r="N25" s="2" t="s">
        <v>1086</v>
      </c>
      <c r="O25" s="2" t="s">
        <v>1086</v>
      </c>
      <c r="P25" s="2" t="s">
        <v>60</v>
      </c>
      <c r="Q25" s="2"/>
      <c r="R25" s="2" t="s">
        <v>1142</v>
      </c>
      <c r="S25" s="2" t="s">
        <v>1143</v>
      </c>
      <c r="T25" s="2" t="s">
        <v>818</v>
      </c>
      <c r="U25" s="2" t="s">
        <v>1144</v>
      </c>
      <c r="V25" s="2" t="s">
        <v>1145</v>
      </c>
      <c r="W25" s="2" t="s">
        <v>1146</v>
      </c>
      <c r="X25" s="2" t="s">
        <v>1147</v>
      </c>
      <c r="Y25" s="2" t="s">
        <v>380</v>
      </c>
      <c r="Z25" s="2"/>
    </row>
    <row r="26" spans="1:26" ht="15" x14ac:dyDescent="0.2">
      <c r="A26" s="2" t="s">
        <v>395</v>
      </c>
      <c r="B26" s="2">
        <v>1</v>
      </c>
      <c r="C26" s="2" t="s">
        <v>408</v>
      </c>
      <c r="D26" s="2" t="s">
        <v>1155</v>
      </c>
      <c r="E26" s="2" t="s">
        <v>980</v>
      </c>
      <c r="F26" s="2" t="s">
        <v>1083</v>
      </c>
      <c r="G26" s="2" t="s">
        <v>945</v>
      </c>
      <c r="H26" s="2" t="s">
        <v>1156</v>
      </c>
      <c r="I26" s="2"/>
      <c r="J26" s="2" t="s">
        <v>60</v>
      </c>
      <c r="K26" s="2"/>
      <c r="L26" s="2" t="s">
        <v>1157</v>
      </c>
      <c r="M26" s="2">
        <v>30</v>
      </c>
      <c r="N26" s="2" t="s">
        <v>1158</v>
      </c>
      <c r="O26" s="2" t="s">
        <v>1052</v>
      </c>
      <c r="P26" s="2" t="s">
        <v>60</v>
      </c>
      <c r="Q26" s="2"/>
      <c r="R26" s="2" t="s">
        <v>1159</v>
      </c>
      <c r="S26" s="2" t="s">
        <v>1160</v>
      </c>
      <c r="T26" s="2" t="s">
        <v>826</v>
      </c>
      <c r="U26" s="2" t="s">
        <v>1161</v>
      </c>
      <c r="V26" s="2" t="s">
        <v>1162</v>
      </c>
      <c r="W26" s="2" t="s">
        <v>1163</v>
      </c>
      <c r="X26" s="2" t="s">
        <v>1164</v>
      </c>
      <c r="Y26" s="2" t="s">
        <v>406</v>
      </c>
      <c r="Z26" s="2" t="s">
        <v>1165</v>
      </c>
    </row>
    <row r="27" spans="1:26" ht="15" x14ac:dyDescent="0.2">
      <c r="A27" s="2" t="s">
        <v>411</v>
      </c>
      <c r="B27" s="2">
        <v>1</v>
      </c>
      <c r="C27" s="2" t="s">
        <v>1166</v>
      </c>
      <c r="D27" s="2" t="s">
        <v>1167</v>
      </c>
      <c r="E27" s="2" t="s">
        <v>1168</v>
      </c>
      <c r="F27" s="2" t="s">
        <v>965</v>
      </c>
      <c r="G27" s="2" t="s">
        <v>945</v>
      </c>
      <c r="H27" s="2" t="s">
        <v>1102</v>
      </c>
      <c r="I27" s="2"/>
      <c r="J27" s="2" t="s">
        <v>57</v>
      </c>
      <c r="K27" s="2" t="s">
        <v>967</v>
      </c>
      <c r="L27" s="2"/>
      <c r="M27" s="2">
        <v>30</v>
      </c>
      <c r="N27" s="2" t="s">
        <v>968</v>
      </c>
      <c r="O27" s="2" t="s">
        <v>969</v>
      </c>
      <c r="P27" s="2" t="s">
        <v>60</v>
      </c>
      <c r="Q27" s="2"/>
      <c r="R27" s="2" t="s">
        <v>1169</v>
      </c>
      <c r="S27" s="2" t="s">
        <v>1170</v>
      </c>
      <c r="T27" s="2" t="s">
        <v>1171</v>
      </c>
      <c r="U27" s="2" t="s">
        <v>1172</v>
      </c>
      <c r="V27" s="2" t="s">
        <v>1173</v>
      </c>
      <c r="W27" s="2" t="s">
        <v>1174</v>
      </c>
      <c r="X27" s="2" t="s">
        <v>1175</v>
      </c>
      <c r="Y27" s="2" t="s">
        <v>412</v>
      </c>
      <c r="Z27" s="2"/>
    </row>
    <row r="28" spans="1:26" ht="15" x14ac:dyDescent="0.2">
      <c r="A28" s="2" t="s">
        <v>411</v>
      </c>
      <c r="B28" s="2">
        <v>2</v>
      </c>
      <c r="C28" s="2" t="s">
        <v>1176</v>
      </c>
      <c r="D28" s="2" t="s">
        <v>1177</v>
      </c>
      <c r="E28" s="2" t="s">
        <v>1178</v>
      </c>
      <c r="F28" s="2" t="s">
        <v>965</v>
      </c>
      <c r="G28" s="2" t="s">
        <v>945</v>
      </c>
      <c r="H28" s="2" t="s">
        <v>1102</v>
      </c>
      <c r="I28" s="2"/>
      <c r="J28" s="2" t="s">
        <v>57</v>
      </c>
      <c r="K28" s="2" t="s">
        <v>967</v>
      </c>
      <c r="L28" s="2"/>
      <c r="M28" s="2">
        <v>30</v>
      </c>
      <c r="N28" s="2" t="s">
        <v>968</v>
      </c>
      <c r="O28" s="2" t="s">
        <v>969</v>
      </c>
      <c r="P28" s="2" t="s">
        <v>60</v>
      </c>
      <c r="Q28" s="2"/>
      <c r="R28" s="2" t="s">
        <v>1169</v>
      </c>
      <c r="S28" s="2" t="s">
        <v>1170</v>
      </c>
      <c r="T28" s="2" t="s">
        <v>1171</v>
      </c>
      <c r="U28" s="2" t="s">
        <v>1172</v>
      </c>
      <c r="V28" s="2" t="s">
        <v>1173</v>
      </c>
      <c r="W28" s="2" t="s">
        <v>1174</v>
      </c>
      <c r="X28" s="2" t="s">
        <v>1179</v>
      </c>
      <c r="Y28" s="2" t="s">
        <v>412</v>
      </c>
      <c r="Z28" s="2"/>
    </row>
    <row r="29" spans="1:26" ht="15" x14ac:dyDescent="0.2">
      <c r="A29" s="2" t="s">
        <v>429</v>
      </c>
      <c r="B29" s="2">
        <v>1</v>
      </c>
      <c r="C29" s="2" t="s">
        <v>1180</v>
      </c>
      <c r="D29" s="2" t="s">
        <v>1181</v>
      </c>
      <c r="E29" s="2" t="s">
        <v>1019</v>
      </c>
      <c r="F29" s="2" t="s">
        <v>965</v>
      </c>
      <c r="G29" s="2" t="s">
        <v>945</v>
      </c>
      <c r="H29" s="2" t="s">
        <v>1040</v>
      </c>
      <c r="I29" s="2"/>
      <c r="J29" s="2" t="s">
        <v>57</v>
      </c>
      <c r="K29" s="2" t="s">
        <v>967</v>
      </c>
      <c r="L29" s="2"/>
      <c r="M29" s="2">
        <v>10000</v>
      </c>
      <c r="N29" s="2" t="s">
        <v>1005</v>
      </c>
      <c r="O29" s="2" t="s">
        <v>1182</v>
      </c>
      <c r="P29" s="2" t="s">
        <v>57</v>
      </c>
      <c r="Q29" s="2" t="s">
        <v>1183</v>
      </c>
      <c r="R29" s="2"/>
      <c r="S29" s="2" t="s">
        <v>62</v>
      </c>
      <c r="T29" s="2" t="s">
        <v>62</v>
      </c>
      <c r="U29" s="2" t="s">
        <v>62</v>
      </c>
      <c r="V29" s="2"/>
      <c r="W29" s="2"/>
      <c r="X29" s="2" t="s">
        <v>1184</v>
      </c>
      <c r="Y29" s="2" t="s">
        <v>430</v>
      </c>
      <c r="Z29" s="2"/>
    </row>
    <row r="30" spans="1:26" ht="15" x14ac:dyDescent="0.2">
      <c r="A30" s="2" t="s">
        <v>445</v>
      </c>
      <c r="B30" s="2">
        <v>1</v>
      </c>
      <c r="C30" s="2" t="s">
        <v>451</v>
      </c>
      <c r="D30" s="2" t="s">
        <v>451</v>
      </c>
      <c r="E30" s="2" t="s">
        <v>1135</v>
      </c>
      <c r="F30" s="2" t="s">
        <v>1112</v>
      </c>
      <c r="G30" s="2" t="s">
        <v>1060</v>
      </c>
      <c r="H30" s="2" t="s">
        <v>1185</v>
      </c>
      <c r="I30" s="2" t="s">
        <v>1186</v>
      </c>
      <c r="J30" s="2" t="s">
        <v>60</v>
      </c>
      <c r="K30" s="2"/>
      <c r="L30" s="2" t="s">
        <v>1187</v>
      </c>
      <c r="M30" s="2">
        <v>20</v>
      </c>
      <c r="N30" s="2" t="s">
        <v>968</v>
      </c>
      <c r="O30" s="2" t="s">
        <v>968</v>
      </c>
      <c r="P30" s="2" t="s">
        <v>60</v>
      </c>
      <c r="Q30" s="2"/>
      <c r="R30" s="2" t="s">
        <v>1188</v>
      </c>
      <c r="S30" s="2" t="s">
        <v>1189</v>
      </c>
      <c r="T30" s="2" t="s">
        <v>851</v>
      </c>
      <c r="U30" s="2" t="s">
        <v>1190</v>
      </c>
      <c r="V30" s="2" t="s">
        <v>1191</v>
      </c>
      <c r="W30" s="2" t="s">
        <v>1192</v>
      </c>
      <c r="X30" s="2"/>
      <c r="Y30" s="2"/>
      <c r="Z30" s="2"/>
    </row>
    <row r="31" spans="1:26" ht="15" x14ac:dyDescent="0.2">
      <c r="A31" s="2" t="s">
        <v>471</v>
      </c>
      <c r="B31" s="2">
        <v>1</v>
      </c>
      <c r="C31" s="2" t="s">
        <v>482</v>
      </c>
      <c r="D31" s="2" t="s">
        <v>483</v>
      </c>
      <c r="E31" s="2" t="s">
        <v>1019</v>
      </c>
      <c r="F31" s="2" t="s">
        <v>965</v>
      </c>
      <c r="G31" s="2" t="s">
        <v>1060</v>
      </c>
      <c r="H31" s="2" t="s">
        <v>982</v>
      </c>
      <c r="I31" s="2" t="s">
        <v>1193</v>
      </c>
      <c r="J31" s="2" t="s">
        <v>57</v>
      </c>
      <c r="K31" s="2" t="s">
        <v>967</v>
      </c>
      <c r="L31" s="2"/>
      <c r="M31" s="2">
        <v>7500</v>
      </c>
      <c r="N31" s="2" t="s">
        <v>1005</v>
      </c>
      <c r="O31" s="2" t="s">
        <v>1006</v>
      </c>
      <c r="P31" s="2" t="s">
        <v>60</v>
      </c>
      <c r="Q31" s="2"/>
      <c r="R31" s="2" t="s">
        <v>478</v>
      </c>
      <c r="S31" s="2" t="s">
        <v>1194</v>
      </c>
      <c r="T31" s="2" t="s">
        <v>870</v>
      </c>
      <c r="U31" s="2" t="s">
        <v>1195</v>
      </c>
      <c r="V31" s="2" t="s">
        <v>1196</v>
      </c>
      <c r="W31" s="2" t="s">
        <v>1197</v>
      </c>
      <c r="X31" s="2" t="s">
        <v>1198</v>
      </c>
      <c r="Y31" s="2" t="s">
        <v>472</v>
      </c>
      <c r="Z31" s="2" t="s">
        <v>1199</v>
      </c>
    </row>
    <row r="32" spans="1:26" ht="15" x14ac:dyDescent="0.2">
      <c r="A32" s="2" t="s">
        <v>486</v>
      </c>
      <c r="B32" s="2">
        <v>1</v>
      </c>
      <c r="C32" s="2" t="s">
        <v>1200</v>
      </c>
      <c r="D32" s="2" t="s">
        <v>1201</v>
      </c>
      <c r="E32" s="2" t="s">
        <v>1202</v>
      </c>
      <c r="F32" s="2" t="s">
        <v>965</v>
      </c>
      <c r="G32" s="2" t="s">
        <v>1060</v>
      </c>
      <c r="H32" s="2" t="s">
        <v>1203</v>
      </c>
      <c r="I32" s="2" t="s">
        <v>1204</v>
      </c>
      <c r="J32" s="2" t="s">
        <v>57</v>
      </c>
      <c r="K32" s="2" t="s">
        <v>967</v>
      </c>
      <c r="L32" s="2"/>
      <c r="M32" s="2">
        <v>500</v>
      </c>
      <c r="N32" s="2" t="s">
        <v>1035</v>
      </c>
      <c r="O32" s="2" t="s">
        <v>969</v>
      </c>
      <c r="P32" s="2" t="s">
        <v>60</v>
      </c>
      <c r="Q32" s="2"/>
      <c r="R32" s="2" t="s">
        <v>1205</v>
      </c>
      <c r="S32" s="2" t="s">
        <v>1206</v>
      </c>
      <c r="T32" s="2" t="s">
        <v>878</v>
      </c>
      <c r="U32" s="2" t="s">
        <v>1207</v>
      </c>
      <c r="V32" s="2" t="s">
        <v>1208</v>
      </c>
      <c r="W32" s="2" t="s">
        <v>1209</v>
      </c>
      <c r="X32" s="2" t="s">
        <v>1210</v>
      </c>
      <c r="Y32" s="2" t="s">
        <v>487</v>
      </c>
      <c r="Z32" s="2"/>
    </row>
    <row r="33" spans="1:26" ht="15" x14ac:dyDescent="0.2">
      <c r="A33" s="2" t="s">
        <v>501</v>
      </c>
      <c r="B33" s="2">
        <v>1</v>
      </c>
      <c r="C33" s="2" t="s">
        <v>1211</v>
      </c>
      <c r="D33" s="2" t="s">
        <v>1212</v>
      </c>
      <c r="E33" s="2" t="s">
        <v>1111</v>
      </c>
      <c r="F33" s="2" t="s">
        <v>1020</v>
      </c>
      <c r="G33" s="2" t="s">
        <v>945</v>
      </c>
      <c r="H33" s="2" t="s">
        <v>1102</v>
      </c>
      <c r="I33" s="2"/>
      <c r="J33" s="2" t="s">
        <v>57</v>
      </c>
      <c r="K33" s="2" t="s">
        <v>967</v>
      </c>
      <c r="L33" s="2"/>
      <c r="M33" s="2">
        <v>100</v>
      </c>
      <c r="N33" s="2" t="s">
        <v>1213</v>
      </c>
      <c r="O33" s="2" t="s">
        <v>1078</v>
      </c>
      <c r="P33" s="2" t="s">
        <v>60</v>
      </c>
      <c r="Q33" s="2"/>
      <c r="R33" s="2" t="s">
        <v>1214</v>
      </c>
      <c r="S33" s="2" t="s">
        <v>1215</v>
      </c>
      <c r="T33" s="2" t="s">
        <v>885</v>
      </c>
      <c r="U33" s="2" t="s">
        <v>1216</v>
      </c>
      <c r="V33" s="2" t="s">
        <v>1217</v>
      </c>
      <c r="W33" s="2" t="s">
        <v>1218</v>
      </c>
      <c r="X33" s="2" t="s">
        <v>1219</v>
      </c>
      <c r="Y33" s="2"/>
      <c r="Z33" s="2" t="s">
        <v>1220</v>
      </c>
    </row>
    <row r="34" spans="1:26" ht="15" x14ac:dyDescent="0.2">
      <c r="A34" s="2" t="s">
        <v>501</v>
      </c>
      <c r="B34" s="2">
        <v>2</v>
      </c>
      <c r="C34" s="2" t="s">
        <v>1221</v>
      </c>
      <c r="D34" s="2" t="s">
        <v>1222</v>
      </c>
      <c r="E34" s="2" t="s">
        <v>1111</v>
      </c>
      <c r="F34" s="2" t="s">
        <v>1020</v>
      </c>
      <c r="G34" s="2" t="s">
        <v>945</v>
      </c>
      <c r="H34" s="2" t="s">
        <v>1102</v>
      </c>
      <c r="I34" s="2"/>
      <c r="J34" s="2" t="s">
        <v>57</v>
      </c>
      <c r="K34" s="2" t="s">
        <v>967</v>
      </c>
      <c r="L34" s="2"/>
      <c r="M34" s="2">
        <v>50</v>
      </c>
      <c r="N34" s="2" t="s">
        <v>1005</v>
      </c>
      <c r="O34" s="2" t="s">
        <v>1005</v>
      </c>
      <c r="P34" s="2" t="s">
        <v>60</v>
      </c>
      <c r="Q34" s="2"/>
      <c r="R34" s="2" t="s">
        <v>1214</v>
      </c>
      <c r="S34" s="2" t="s">
        <v>1215</v>
      </c>
      <c r="T34" s="2" t="s">
        <v>885</v>
      </c>
      <c r="U34" s="2" t="s">
        <v>1216</v>
      </c>
      <c r="V34" s="2" t="s">
        <v>1217</v>
      </c>
      <c r="W34" s="2" t="s">
        <v>1218</v>
      </c>
      <c r="X34" s="2" t="s">
        <v>1223</v>
      </c>
      <c r="Y34" s="2"/>
      <c r="Z34" s="2" t="s">
        <v>1220</v>
      </c>
    </row>
    <row r="35" spans="1:26" ht="15" x14ac:dyDescent="0.2">
      <c r="A35" s="2" t="s">
        <v>517</v>
      </c>
      <c r="B35" s="2">
        <v>1</v>
      </c>
      <c r="C35" s="2" t="s">
        <v>527</v>
      </c>
      <c r="D35" s="2" t="s">
        <v>528</v>
      </c>
      <c r="E35" s="2" t="s">
        <v>1135</v>
      </c>
      <c r="F35" s="2" t="s">
        <v>1020</v>
      </c>
      <c r="G35" s="2" t="s">
        <v>1060</v>
      </c>
      <c r="H35" s="2" t="s">
        <v>1224</v>
      </c>
      <c r="I35" s="2" t="s">
        <v>1204</v>
      </c>
      <c r="J35" s="2" t="s">
        <v>57</v>
      </c>
      <c r="K35" s="2" t="s">
        <v>967</v>
      </c>
      <c r="L35" s="2"/>
      <c r="M35" s="2">
        <v>80</v>
      </c>
      <c r="N35" s="2" t="s">
        <v>1225</v>
      </c>
      <c r="O35" s="2" t="s">
        <v>1225</v>
      </c>
      <c r="P35" s="2" t="s">
        <v>57</v>
      </c>
      <c r="Q35" s="2" t="s">
        <v>1226</v>
      </c>
      <c r="R35" s="2"/>
      <c r="S35" s="2" t="s">
        <v>62</v>
      </c>
      <c r="T35" s="2" t="s">
        <v>62</v>
      </c>
      <c r="U35" s="2" t="s">
        <v>62</v>
      </c>
      <c r="V35" s="2"/>
      <c r="W35" s="2"/>
      <c r="X35" s="2" t="s">
        <v>1227</v>
      </c>
      <c r="Y35" s="2" t="s">
        <v>939</v>
      </c>
      <c r="Z35" s="2" t="s">
        <v>1226</v>
      </c>
    </row>
    <row r="36" spans="1:26" ht="15" x14ac:dyDescent="0.2">
      <c r="A36" s="2" t="s">
        <v>531</v>
      </c>
      <c r="B36" s="2">
        <v>1</v>
      </c>
      <c r="C36" s="2" t="s">
        <v>1228</v>
      </c>
      <c r="D36" s="2" t="s">
        <v>1229</v>
      </c>
      <c r="E36" s="2" t="s">
        <v>1230</v>
      </c>
      <c r="F36" s="2" t="s">
        <v>981</v>
      </c>
      <c r="G36" s="2" t="s">
        <v>945</v>
      </c>
      <c r="H36" s="2" t="s">
        <v>1231</v>
      </c>
      <c r="I36" s="2"/>
      <c r="J36" s="2" t="s">
        <v>57</v>
      </c>
      <c r="K36" s="2" t="s">
        <v>967</v>
      </c>
      <c r="L36" s="2"/>
      <c r="M36" s="2">
        <v>80</v>
      </c>
      <c r="N36" s="2" t="s">
        <v>1232</v>
      </c>
      <c r="O36" s="2" t="s">
        <v>1233</v>
      </c>
      <c r="P36" s="2" t="s">
        <v>60</v>
      </c>
      <c r="Q36" s="2"/>
      <c r="R36" s="2" t="s">
        <v>892</v>
      </c>
      <c r="S36" s="2" t="s">
        <v>1234</v>
      </c>
      <c r="T36" s="2" t="s">
        <v>893</v>
      </c>
      <c r="U36" s="2" t="s">
        <v>1235</v>
      </c>
      <c r="V36" s="2" t="s">
        <v>1236</v>
      </c>
      <c r="W36" s="2" t="s">
        <v>1237</v>
      </c>
      <c r="X36" s="2" t="s">
        <v>1238</v>
      </c>
      <c r="Y36" s="2" t="s">
        <v>1239</v>
      </c>
      <c r="Z36" s="2"/>
    </row>
    <row r="37" spans="1:26" ht="15" x14ac:dyDescent="0.2">
      <c r="A37" s="2" t="s">
        <v>531</v>
      </c>
      <c r="B37" s="2">
        <v>2</v>
      </c>
      <c r="C37" s="2" t="s">
        <v>1240</v>
      </c>
      <c r="D37" s="2" t="s">
        <v>1241</v>
      </c>
      <c r="E37" s="2" t="s">
        <v>1242</v>
      </c>
      <c r="F37" s="2" t="s">
        <v>981</v>
      </c>
      <c r="G37" s="2" t="s">
        <v>945</v>
      </c>
      <c r="H37" s="2" t="s">
        <v>1243</v>
      </c>
      <c r="I37" s="2"/>
      <c r="J37" s="2" t="s">
        <v>57</v>
      </c>
      <c r="K37" s="2" t="s">
        <v>967</v>
      </c>
      <c r="L37" s="2"/>
      <c r="M37" s="2">
        <v>60</v>
      </c>
      <c r="N37" s="2" t="s">
        <v>1244</v>
      </c>
      <c r="O37" s="2" t="s">
        <v>1245</v>
      </c>
      <c r="P37" s="2" t="s">
        <v>60</v>
      </c>
      <c r="Q37" s="2"/>
      <c r="R37" s="2" t="s">
        <v>1246</v>
      </c>
      <c r="S37" s="2" t="s">
        <v>1234</v>
      </c>
      <c r="T37" s="2" t="s">
        <v>893</v>
      </c>
      <c r="U37" s="2" t="s">
        <v>1235</v>
      </c>
      <c r="V37" s="2" t="s">
        <v>1236</v>
      </c>
      <c r="W37" s="2" t="s">
        <v>1237</v>
      </c>
      <c r="X37" s="2" t="s">
        <v>1247</v>
      </c>
      <c r="Y37" s="2" t="s">
        <v>1239</v>
      </c>
      <c r="Z37" s="2"/>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R38"/>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85.25" bestFit="1" customWidth="1"/>
    <col min="4" max="4" width="255" bestFit="1" customWidth="1"/>
    <col min="5" max="5" width="82.75" bestFit="1" customWidth="1"/>
    <col min="6" max="6" width="252" bestFit="1" customWidth="1"/>
    <col min="7" max="7" width="51.625" bestFit="1" customWidth="1"/>
    <col min="8" max="8" width="103.25" bestFit="1" customWidth="1"/>
    <col min="9" max="9" width="45" bestFit="1" customWidth="1"/>
    <col min="10" max="10" width="82.75" bestFit="1" customWidth="1"/>
    <col min="11" max="11" width="55.25" bestFit="1" customWidth="1"/>
    <col min="12" max="12" width="34.25" bestFit="1" customWidth="1"/>
    <col min="13" max="13" width="57.625" bestFit="1" customWidth="1"/>
    <col min="14" max="14" width="77.375" bestFit="1" customWidth="1"/>
    <col min="15" max="15" width="79.25" bestFit="1" customWidth="1"/>
    <col min="16" max="16" width="146.375" bestFit="1" customWidth="1"/>
    <col min="17" max="17" width="70.25" bestFit="1" customWidth="1"/>
    <col min="18" max="18" width="97.25" bestFit="1" customWidth="1"/>
  </cols>
  <sheetData>
    <row r="1" spans="1:18" ht="15.75" x14ac:dyDescent="0.25">
      <c r="A1" s="1" t="s">
        <v>546</v>
      </c>
      <c r="B1" s="1" t="s">
        <v>908</v>
      </c>
      <c r="C1" s="1" t="s">
        <v>940</v>
      </c>
      <c r="D1" s="1" t="s">
        <v>941</v>
      </c>
      <c r="E1" s="1" t="s">
        <v>942</v>
      </c>
      <c r="F1" s="1" t="s">
        <v>943</v>
      </c>
      <c r="G1" s="1" t="s">
        <v>944</v>
      </c>
      <c r="H1" s="1" t="s">
        <v>945</v>
      </c>
      <c r="I1" s="1" t="s">
        <v>946</v>
      </c>
      <c r="J1" s="1" t="s">
        <v>947</v>
      </c>
      <c r="K1" s="1" t="s">
        <v>948</v>
      </c>
      <c r="L1" s="1" t="s">
        <v>949</v>
      </c>
      <c r="M1" s="1" t="s">
        <v>1248</v>
      </c>
      <c r="N1" s="1" t="s">
        <v>951</v>
      </c>
      <c r="O1" s="1" t="s">
        <v>952</v>
      </c>
      <c r="P1" s="1" t="s">
        <v>961</v>
      </c>
      <c r="Q1" s="1" t="s">
        <v>962</v>
      </c>
      <c r="R1" s="1" t="s">
        <v>963</v>
      </c>
    </row>
    <row r="2" spans="1:18" ht="15" x14ac:dyDescent="0.2">
      <c r="A2" s="2" t="s">
        <v>40</v>
      </c>
      <c r="B2" s="2">
        <v>1</v>
      </c>
      <c r="C2" s="2"/>
      <c r="D2" s="2"/>
      <c r="E2" s="2"/>
      <c r="F2" s="2"/>
      <c r="G2" s="2"/>
      <c r="H2" s="2"/>
      <c r="I2" s="2"/>
      <c r="J2" s="2" t="s">
        <v>60</v>
      </c>
      <c r="K2" s="2"/>
      <c r="L2" s="2"/>
      <c r="M2" s="2"/>
      <c r="N2" s="2"/>
      <c r="O2" s="2"/>
      <c r="P2" s="2"/>
      <c r="Q2" s="2"/>
      <c r="R2" s="2"/>
    </row>
    <row r="3" spans="1:18" ht="15" x14ac:dyDescent="0.2">
      <c r="A3" s="2" t="s">
        <v>64</v>
      </c>
      <c r="B3" s="2">
        <v>1</v>
      </c>
      <c r="C3" s="2"/>
      <c r="D3" s="2"/>
      <c r="E3" s="2"/>
      <c r="F3" s="2"/>
      <c r="G3" s="2"/>
      <c r="H3" s="2"/>
      <c r="I3" s="2"/>
      <c r="J3" s="2" t="s">
        <v>60</v>
      </c>
      <c r="K3" s="2"/>
      <c r="L3" s="2"/>
      <c r="M3" s="2"/>
      <c r="N3" s="2"/>
      <c r="O3" s="2"/>
      <c r="P3" s="2"/>
      <c r="Q3" s="2"/>
      <c r="R3" s="2"/>
    </row>
    <row r="4" spans="1:18" ht="15" x14ac:dyDescent="0.2">
      <c r="A4" s="2" t="s">
        <v>82</v>
      </c>
      <c r="B4" s="2">
        <v>1</v>
      </c>
      <c r="C4" s="2" t="s">
        <v>1249</v>
      </c>
      <c r="D4" s="2" t="s">
        <v>1250</v>
      </c>
      <c r="E4" s="2" t="s">
        <v>1251</v>
      </c>
      <c r="F4" s="2" t="s">
        <v>965</v>
      </c>
      <c r="G4" s="2" t="s">
        <v>945</v>
      </c>
      <c r="H4" s="2" t="s">
        <v>1102</v>
      </c>
      <c r="I4" s="2"/>
      <c r="J4" s="2" t="s">
        <v>57</v>
      </c>
      <c r="K4" s="2" t="s">
        <v>967</v>
      </c>
      <c r="L4" s="2"/>
      <c r="M4" s="2">
        <v>100</v>
      </c>
      <c r="N4" s="2" t="s">
        <v>968</v>
      </c>
      <c r="O4" s="2" t="s">
        <v>968</v>
      </c>
      <c r="P4" s="2" t="s">
        <v>1252</v>
      </c>
      <c r="Q4" s="2" t="s">
        <v>1253</v>
      </c>
      <c r="R4" s="2"/>
    </row>
    <row r="5" spans="1:18" ht="15" x14ac:dyDescent="0.2">
      <c r="A5" s="2" t="s">
        <v>82</v>
      </c>
      <c r="B5" s="2">
        <v>2</v>
      </c>
      <c r="C5" s="2" t="s">
        <v>1254</v>
      </c>
      <c r="D5" s="2" t="s">
        <v>1255</v>
      </c>
      <c r="E5" s="2" t="s">
        <v>1111</v>
      </c>
      <c r="F5" s="2" t="s">
        <v>965</v>
      </c>
      <c r="G5" s="2" t="s">
        <v>945</v>
      </c>
      <c r="H5" s="2" t="s">
        <v>1102</v>
      </c>
      <c r="I5" s="2"/>
      <c r="J5" s="2" t="s">
        <v>57</v>
      </c>
      <c r="K5" s="2" t="s">
        <v>967</v>
      </c>
      <c r="L5" s="2"/>
      <c r="M5" s="2">
        <v>36</v>
      </c>
      <c r="N5" s="2" t="s">
        <v>969</v>
      </c>
      <c r="O5" s="2" t="s">
        <v>969</v>
      </c>
      <c r="P5" s="2" t="s">
        <v>1252</v>
      </c>
      <c r="Q5" s="2" t="s">
        <v>1253</v>
      </c>
      <c r="R5" s="2"/>
    </row>
    <row r="6" spans="1:18" ht="15" x14ac:dyDescent="0.2">
      <c r="A6" s="2" t="s">
        <v>82</v>
      </c>
      <c r="B6" s="2">
        <v>3</v>
      </c>
      <c r="C6" s="2" t="s">
        <v>1256</v>
      </c>
      <c r="D6" s="2" t="s">
        <v>1257</v>
      </c>
      <c r="E6" s="2" t="s">
        <v>980</v>
      </c>
      <c r="F6" s="2" t="s">
        <v>965</v>
      </c>
      <c r="G6" s="2" t="s">
        <v>945</v>
      </c>
      <c r="H6" s="2" t="s">
        <v>1102</v>
      </c>
      <c r="I6" s="2"/>
      <c r="J6" s="2" t="s">
        <v>57</v>
      </c>
      <c r="K6" s="2" t="s">
        <v>967</v>
      </c>
      <c r="L6" s="2"/>
      <c r="M6" s="2">
        <v>200</v>
      </c>
      <c r="N6" s="2" t="s">
        <v>1258</v>
      </c>
      <c r="O6" s="2" t="s">
        <v>1259</v>
      </c>
      <c r="P6" s="2" t="s">
        <v>1252</v>
      </c>
      <c r="Q6" s="2" t="s">
        <v>1253</v>
      </c>
      <c r="R6" s="2"/>
    </row>
    <row r="7" spans="1:18" ht="15" x14ac:dyDescent="0.2">
      <c r="A7" s="2" t="s">
        <v>102</v>
      </c>
      <c r="B7" s="2">
        <v>1</v>
      </c>
      <c r="C7" s="2" t="s">
        <v>1260</v>
      </c>
      <c r="D7" s="2" t="s">
        <v>116</v>
      </c>
      <c r="E7" s="2" t="s">
        <v>1261</v>
      </c>
      <c r="F7" s="2" t="s">
        <v>1262</v>
      </c>
      <c r="G7" s="2" t="s">
        <v>945</v>
      </c>
      <c r="H7" s="2" t="s">
        <v>1263</v>
      </c>
      <c r="I7" s="2"/>
      <c r="J7" s="2" t="s">
        <v>57</v>
      </c>
      <c r="K7" s="2" t="s">
        <v>967</v>
      </c>
      <c r="L7" s="2"/>
      <c r="M7" s="2">
        <v>100</v>
      </c>
      <c r="N7" s="2" t="s">
        <v>1035</v>
      </c>
      <c r="O7" s="2" t="s">
        <v>968</v>
      </c>
      <c r="P7" s="2" t="s">
        <v>1264</v>
      </c>
      <c r="Q7" s="2" t="s">
        <v>103</v>
      </c>
      <c r="R7" s="2" t="s">
        <v>1265</v>
      </c>
    </row>
    <row r="8" spans="1:18" ht="15" x14ac:dyDescent="0.2">
      <c r="A8" s="2" t="s">
        <v>118</v>
      </c>
      <c r="B8" s="2">
        <v>1</v>
      </c>
      <c r="C8" s="2"/>
      <c r="D8" s="2"/>
      <c r="E8" s="2"/>
      <c r="F8" s="2"/>
      <c r="G8" s="2"/>
      <c r="H8" s="2"/>
      <c r="I8" s="2"/>
      <c r="J8" s="2" t="s">
        <v>60</v>
      </c>
      <c r="K8" s="2"/>
      <c r="L8" s="2"/>
      <c r="M8" s="2"/>
      <c r="N8" s="2"/>
      <c r="O8" s="2"/>
      <c r="P8" s="2"/>
      <c r="Q8" s="2"/>
      <c r="R8" s="2"/>
    </row>
    <row r="9" spans="1:18" ht="15" x14ac:dyDescent="0.2">
      <c r="A9" s="2" t="s">
        <v>133</v>
      </c>
      <c r="B9" s="2">
        <v>1</v>
      </c>
      <c r="C9" s="2"/>
      <c r="D9" s="2"/>
      <c r="E9" s="2"/>
      <c r="F9" s="2"/>
      <c r="G9" s="2"/>
      <c r="H9" s="2"/>
      <c r="I9" s="2"/>
      <c r="J9" s="2" t="s">
        <v>60</v>
      </c>
      <c r="K9" s="2"/>
      <c r="L9" s="2"/>
      <c r="M9" s="2"/>
      <c r="N9" s="2"/>
      <c r="O9" s="2"/>
      <c r="P9" s="2"/>
      <c r="Q9" s="2"/>
      <c r="R9" s="2"/>
    </row>
    <row r="10" spans="1:18" ht="15" x14ac:dyDescent="0.2">
      <c r="A10" s="2" t="s">
        <v>149</v>
      </c>
      <c r="B10" s="2">
        <v>1</v>
      </c>
      <c r="C10" s="2"/>
      <c r="D10" s="2"/>
      <c r="E10" s="2"/>
      <c r="F10" s="2"/>
      <c r="G10" s="2"/>
      <c r="H10" s="2"/>
      <c r="I10" s="2"/>
      <c r="J10" s="2" t="s">
        <v>60</v>
      </c>
      <c r="K10" s="2"/>
      <c r="L10" s="2"/>
      <c r="M10" s="2"/>
      <c r="N10" s="2"/>
      <c r="O10" s="2"/>
      <c r="P10" s="2"/>
      <c r="Q10" s="2"/>
      <c r="R10" s="2"/>
    </row>
    <row r="11" spans="1:18" ht="15" x14ac:dyDescent="0.2">
      <c r="A11" s="2" t="s">
        <v>163</v>
      </c>
      <c r="B11" s="2">
        <v>1</v>
      </c>
      <c r="C11" s="2"/>
      <c r="D11" s="2"/>
      <c r="E11" s="2"/>
      <c r="F11" s="2"/>
      <c r="G11" s="2"/>
      <c r="H11" s="2"/>
      <c r="I11" s="2"/>
      <c r="J11" s="2" t="s">
        <v>60</v>
      </c>
      <c r="K11" s="2"/>
      <c r="L11" s="2"/>
      <c r="M11" s="2"/>
      <c r="N11" s="2"/>
      <c r="O11" s="2"/>
      <c r="P11" s="2"/>
      <c r="Q11" s="2"/>
      <c r="R11" s="2"/>
    </row>
    <row r="12" spans="1:18" ht="15" x14ac:dyDescent="0.2">
      <c r="A12" s="2" t="s">
        <v>178</v>
      </c>
      <c r="B12" s="2">
        <v>1</v>
      </c>
      <c r="C12" s="2"/>
      <c r="D12" s="2"/>
      <c r="E12" s="2"/>
      <c r="F12" s="2"/>
      <c r="G12" s="2"/>
      <c r="H12" s="2"/>
      <c r="I12" s="2"/>
      <c r="J12" s="2" t="s">
        <v>60</v>
      </c>
      <c r="K12" s="2"/>
      <c r="L12" s="2"/>
      <c r="M12" s="2"/>
      <c r="N12" s="2"/>
      <c r="O12" s="2"/>
      <c r="P12" s="2"/>
      <c r="Q12" s="2"/>
      <c r="R12" s="2"/>
    </row>
    <row r="13" spans="1:18" ht="15" x14ac:dyDescent="0.2">
      <c r="A13" s="2" t="s">
        <v>197</v>
      </c>
      <c r="B13" s="2">
        <v>1</v>
      </c>
      <c r="C13" s="2"/>
      <c r="D13" s="2"/>
      <c r="E13" s="2"/>
      <c r="F13" s="2"/>
      <c r="G13" s="2"/>
      <c r="H13" s="2"/>
      <c r="I13" s="2"/>
      <c r="J13" s="2" t="s">
        <v>60</v>
      </c>
      <c r="K13" s="2"/>
      <c r="L13" s="2"/>
      <c r="M13" s="2"/>
      <c r="N13" s="2"/>
      <c r="O13" s="2"/>
      <c r="P13" s="2"/>
      <c r="Q13" s="2"/>
      <c r="R13" s="2"/>
    </row>
    <row r="14" spans="1:18" ht="15" x14ac:dyDescent="0.2">
      <c r="A14" s="2" t="s">
        <v>230</v>
      </c>
      <c r="B14" s="2">
        <v>1</v>
      </c>
      <c r="C14" s="2" t="s">
        <v>1266</v>
      </c>
      <c r="D14" s="2" t="s">
        <v>1267</v>
      </c>
      <c r="E14" s="2" t="s">
        <v>1268</v>
      </c>
      <c r="F14" s="2" t="s">
        <v>965</v>
      </c>
      <c r="G14" s="2" t="s">
        <v>945</v>
      </c>
      <c r="H14" s="2" t="s">
        <v>1269</v>
      </c>
      <c r="I14" s="2"/>
      <c r="J14" s="2" t="s">
        <v>57</v>
      </c>
      <c r="K14" s="2" t="s">
        <v>1022</v>
      </c>
      <c r="L14" s="2"/>
      <c r="M14" s="2">
        <v>3000</v>
      </c>
      <c r="N14" s="2" t="s">
        <v>1035</v>
      </c>
      <c r="O14" s="2" t="s">
        <v>969</v>
      </c>
      <c r="P14" s="2" t="s">
        <v>1270</v>
      </c>
      <c r="Q14" s="2" t="s">
        <v>231</v>
      </c>
      <c r="R14" s="2"/>
    </row>
    <row r="15" spans="1:18" ht="15" x14ac:dyDescent="0.2">
      <c r="A15" s="2" t="s">
        <v>245</v>
      </c>
      <c r="B15" s="2">
        <v>1</v>
      </c>
      <c r="C15" s="2"/>
      <c r="D15" s="2"/>
      <c r="E15" s="2"/>
      <c r="F15" s="2"/>
      <c r="G15" s="2"/>
      <c r="H15" s="2"/>
      <c r="I15" s="2"/>
      <c r="J15" s="2" t="s">
        <v>60</v>
      </c>
      <c r="K15" s="2"/>
      <c r="L15" s="2"/>
      <c r="M15" s="2"/>
      <c r="N15" s="2"/>
      <c r="O15" s="2"/>
      <c r="P15" s="2"/>
      <c r="Q15" s="2"/>
      <c r="R15" s="2"/>
    </row>
    <row r="16" spans="1:18" ht="15" x14ac:dyDescent="0.2">
      <c r="A16" s="2" t="s">
        <v>261</v>
      </c>
      <c r="B16" s="2">
        <v>1</v>
      </c>
      <c r="C16" s="2"/>
      <c r="D16" s="2"/>
      <c r="E16" s="2"/>
      <c r="F16" s="2"/>
      <c r="G16" s="2"/>
      <c r="H16" s="2"/>
      <c r="I16" s="2"/>
      <c r="J16" s="2" t="s">
        <v>60</v>
      </c>
      <c r="K16" s="2"/>
      <c r="L16" s="2"/>
      <c r="M16" s="2"/>
      <c r="N16" s="2"/>
      <c r="O16" s="2"/>
      <c r="P16" s="2"/>
      <c r="Q16" s="2"/>
      <c r="R16" s="2"/>
    </row>
    <row r="17" spans="1:18" ht="15" x14ac:dyDescent="0.2">
      <c r="A17" s="2" t="s">
        <v>278</v>
      </c>
      <c r="B17" s="2">
        <v>1</v>
      </c>
      <c r="C17" s="2"/>
      <c r="D17" s="2"/>
      <c r="E17" s="2"/>
      <c r="F17" s="2"/>
      <c r="G17" s="2"/>
      <c r="H17" s="2"/>
      <c r="I17" s="2"/>
      <c r="J17" s="2" t="s">
        <v>60</v>
      </c>
      <c r="K17" s="2"/>
      <c r="L17" s="2"/>
      <c r="M17" s="2"/>
      <c r="N17" s="2"/>
      <c r="O17" s="2"/>
      <c r="P17" s="2"/>
      <c r="Q17" s="2"/>
      <c r="R17" s="2"/>
    </row>
    <row r="18" spans="1:18" ht="15" x14ac:dyDescent="0.2">
      <c r="A18" s="2" t="s">
        <v>294</v>
      </c>
      <c r="B18" s="2">
        <v>1</v>
      </c>
      <c r="C18" s="2"/>
      <c r="D18" s="2"/>
      <c r="E18" s="2"/>
      <c r="F18" s="2"/>
      <c r="G18" s="2"/>
      <c r="H18" s="2"/>
      <c r="I18" s="2"/>
      <c r="J18" s="2" t="s">
        <v>60</v>
      </c>
      <c r="K18" s="2"/>
      <c r="L18" s="2"/>
      <c r="M18" s="2"/>
      <c r="N18" s="2"/>
      <c r="O18" s="2"/>
      <c r="P18" s="2"/>
      <c r="Q18" s="2"/>
      <c r="R18" s="2"/>
    </row>
    <row r="19" spans="1:18" ht="15" x14ac:dyDescent="0.2">
      <c r="A19" s="2" t="s">
        <v>310</v>
      </c>
      <c r="B19" s="2">
        <v>1</v>
      </c>
      <c r="C19" s="2" t="s">
        <v>333</v>
      </c>
      <c r="D19" s="2" t="s">
        <v>334</v>
      </c>
      <c r="E19" s="2" t="s">
        <v>1002</v>
      </c>
      <c r="F19" s="2" t="s">
        <v>981</v>
      </c>
      <c r="G19" s="2" t="s">
        <v>945</v>
      </c>
      <c r="H19" s="2" t="s">
        <v>1271</v>
      </c>
      <c r="I19" s="2"/>
      <c r="J19" s="2" t="s">
        <v>57</v>
      </c>
      <c r="K19" s="2" t="s">
        <v>1022</v>
      </c>
      <c r="L19" s="2"/>
      <c r="M19" s="2">
        <v>250</v>
      </c>
      <c r="N19" s="2" t="s">
        <v>1272</v>
      </c>
      <c r="O19" s="2" t="s">
        <v>1070</v>
      </c>
      <c r="P19" s="2" t="s">
        <v>1273</v>
      </c>
      <c r="Q19" s="2" t="s">
        <v>311</v>
      </c>
      <c r="R19" s="2" t="s">
        <v>1075</v>
      </c>
    </row>
    <row r="20" spans="1:18" ht="15" x14ac:dyDescent="0.2">
      <c r="A20" s="2" t="s">
        <v>325</v>
      </c>
      <c r="B20" s="2">
        <v>1</v>
      </c>
      <c r="C20" s="2" t="s">
        <v>333</v>
      </c>
      <c r="D20" s="2" t="s">
        <v>334</v>
      </c>
      <c r="E20" s="2" t="s">
        <v>1274</v>
      </c>
      <c r="F20" s="2" t="s">
        <v>981</v>
      </c>
      <c r="G20" s="2" t="s">
        <v>1060</v>
      </c>
      <c r="H20" s="2" t="s">
        <v>1275</v>
      </c>
      <c r="I20" s="2" t="s">
        <v>1077</v>
      </c>
      <c r="J20" s="2" t="s">
        <v>57</v>
      </c>
      <c r="K20" s="2" t="s">
        <v>1022</v>
      </c>
      <c r="L20" s="2"/>
      <c r="M20" s="2">
        <v>250</v>
      </c>
      <c r="N20" s="2" t="s">
        <v>1005</v>
      </c>
      <c r="O20" s="2" t="s">
        <v>1078</v>
      </c>
      <c r="P20" s="2" t="s">
        <v>1276</v>
      </c>
      <c r="Q20" s="2" t="s">
        <v>311</v>
      </c>
      <c r="R20" s="2" t="s">
        <v>1075</v>
      </c>
    </row>
    <row r="21" spans="1:18" ht="15" x14ac:dyDescent="0.2">
      <c r="A21" s="2" t="s">
        <v>336</v>
      </c>
      <c r="B21" s="2">
        <v>1</v>
      </c>
      <c r="C21" s="2"/>
      <c r="D21" s="2"/>
      <c r="E21" s="2"/>
      <c r="F21" s="2"/>
      <c r="G21" s="2"/>
      <c r="H21" s="2"/>
      <c r="I21" s="2"/>
      <c r="J21" s="2" t="s">
        <v>60</v>
      </c>
      <c r="K21" s="2"/>
      <c r="L21" s="2"/>
      <c r="M21" s="2"/>
      <c r="N21" s="2"/>
      <c r="O21" s="2"/>
      <c r="P21" s="2"/>
      <c r="Q21" s="2"/>
      <c r="R21" s="2"/>
    </row>
    <row r="22" spans="1:18" ht="15" x14ac:dyDescent="0.2">
      <c r="A22" s="2" t="s">
        <v>351</v>
      </c>
      <c r="B22" s="2">
        <v>1</v>
      </c>
      <c r="C22" s="2"/>
      <c r="D22" s="2"/>
      <c r="E22" s="2"/>
      <c r="F22" s="2"/>
      <c r="G22" s="2"/>
      <c r="H22" s="2"/>
      <c r="I22" s="2"/>
      <c r="J22" s="2" t="s">
        <v>60</v>
      </c>
      <c r="K22" s="2"/>
      <c r="L22" s="2"/>
      <c r="M22" s="2"/>
      <c r="N22" s="2"/>
      <c r="O22" s="2"/>
      <c r="P22" s="2"/>
      <c r="Q22" s="2"/>
      <c r="R22" s="2"/>
    </row>
    <row r="23" spans="1:18" ht="15" x14ac:dyDescent="0.2">
      <c r="A23" s="2" t="s">
        <v>365</v>
      </c>
      <c r="B23" s="2">
        <v>1</v>
      </c>
      <c r="C23" s="2"/>
      <c r="D23" s="2"/>
      <c r="E23" s="2"/>
      <c r="F23" s="2"/>
      <c r="G23" s="2"/>
      <c r="H23" s="2"/>
      <c r="I23" s="2"/>
      <c r="J23" s="2" t="s">
        <v>60</v>
      </c>
      <c r="K23" s="2"/>
      <c r="L23" s="2"/>
      <c r="M23" s="2"/>
      <c r="N23" s="2"/>
      <c r="O23" s="2"/>
      <c r="P23" s="2"/>
      <c r="Q23" s="2"/>
      <c r="R23" s="2"/>
    </row>
    <row r="24" spans="1:18" ht="15" x14ac:dyDescent="0.2">
      <c r="A24" s="2" t="s">
        <v>379</v>
      </c>
      <c r="B24" s="2">
        <v>1</v>
      </c>
      <c r="C24" s="2"/>
      <c r="D24" s="2"/>
      <c r="E24" s="2"/>
      <c r="F24" s="2"/>
      <c r="G24" s="2"/>
      <c r="H24" s="2"/>
      <c r="I24" s="2"/>
      <c r="J24" s="2" t="s">
        <v>60</v>
      </c>
      <c r="K24" s="2"/>
      <c r="L24" s="2"/>
      <c r="M24" s="2"/>
      <c r="N24" s="2"/>
      <c r="O24" s="2"/>
      <c r="P24" s="2"/>
      <c r="Q24" s="2"/>
      <c r="R24" s="2"/>
    </row>
    <row r="25" spans="1:18" ht="15" x14ac:dyDescent="0.2">
      <c r="A25" s="2" t="s">
        <v>395</v>
      </c>
      <c r="B25" s="2">
        <v>1</v>
      </c>
      <c r="C25" s="2" t="s">
        <v>408</v>
      </c>
      <c r="D25" s="2" t="s">
        <v>1277</v>
      </c>
      <c r="E25" s="2" t="s">
        <v>980</v>
      </c>
      <c r="F25" s="2" t="s">
        <v>965</v>
      </c>
      <c r="G25" s="2" t="s">
        <v>945</v>
      </c>
      <c r="H25" s="2" t="s">
        <v>1102</v>
      </c>
      <c r="I25" s="2"/>
      <c r="J25" s="2" t="s">
        <v>60</v>
      </c>
      <c r="K25" s="2"/>
      <c r="L25" s="2" t="s">
        <v>1157</v>
      </c>
      <c r="M25" s="2">
        <v>30</v>
      </c>
      <c r="N25" s="2" t="s">
        <v>1158</v>
      </c>
      <c r="O25" s="2" t="s">
        <v>1052</v>
      </c>
      <c r="P25" s="2" t="s">
        <v>1164</v>
      </c>
      <c r="Q25" s="2" t="s">
        <v>406</v>
      </c>
      <c r="R25" s="2" t="s">
        <v>1165</v>
      </c>
    </row>
    <row r="26" spans="1:18" ht="15" x14ac:dyDescent="0.2">
      <c r="A26" s="2" t="s">
        <v>411</v>
      </c>
      <c r="B26" s="2">
        <v>1</v>
      </c>
      <c r="C26" s="2"/>
      <c r="D26" s="2"/>
      <c r="E26" s="2"/>
      <c r="F26" s="2"/>
      <c r="G26" s="2"/>
      <c r="H26" s="2"/>
      <c r="I26" s="2"/>
      <c r="J26" s="2" t="s">
        <v>60</v>
      </c>
      <c r="K26" s="2"/>
      <c r="L26" s="2"/>
      <c r="M26" s="2"/>
      <c r="N26" s="2"/>
      <c r="O26" s="2"/>
      <c r="P26" s="2"/>
      <c r="Q26" s="2"/>
      <c r="R26" s="2"/>
    </row>
    <row r="27" spans="1:18" ht="15" x14ac:dyDescent="0.2">
      <c r="A27" s="2" t="s">
        <v>429</v>
      </c>
      <c r="B27" s="2">
        <v>1</v>
      </c>
      <c r="C27" s="2"/>
      <c r="D27" s="2"/>
      <c r="E27" s="2"/>
      <c r="F27" s="2"/>
      <c r="G27" s="2"/>
      <c r="H27" s="2"/>
      <c r="I27" s="2"/>
      <c r="J27" s="2" t="s">
        <v>60</v>
      </c>
      <c r="K27" s="2"/>
      <c r="L27" s="2"/>
      <c r="M27" s="2"/>
      <c r="N27" s="2"/>
      <c r="O27" s="2"/>
      <c r="P27" s="2"/>
      <c r="Q27" s="2"/>
      <c r="R27" s="2"/>
    </row>
    <row r="28" spans="1:18" ht="15" x14ac:dyDescent="0.2">
      <c r="A28" s="2" t="s">
        <v>445</v>
      </c>
      <c r="B28" s="2">
        <v>1</v>
      </c>
      <c r="C28" s="2"/>
      <c r="D28" s="2"/>
      <c r="E28" s="2"/>
      <c r="F28" s="2"/>
      <c r="G28" s="2"/>
      <c r="H28" s="2"/>
      <c r="I28" s="2"/>
      <c r="J28" s="2" t="s">
        <v>60</v>
      </c>
      <c r="K28" s="2"/>
      <c r="L28" s="2"/>
      <c r="M28" s="2"/>
      <c r="N28" s="2"/>
      <c r="O28" s="2"/>
      <c r="P28" s="2"/>
      <c r="Q28" s="2"/>
      <c r="R28" s="2"/>
    </row>
    <row r="29" spans="1:18" ht="15" x14ac:dyDescent="0.2">
      <c r="A29" s="2" t="s">
        <v>456</v>
      </c>
      <c r="B29" s="2">
        <v>1</v>
      </c>
      <c r="C29" s="2" t="s">
        <v>1278</v>
      </c>
      <c r="D29" s="2" t="s">
        <v>1279</v>
      </c>
      <c r="E29" s="2" t="s">
        <v>1019</v>
      </c>
      <c r="F29" s="2" t="s">
        <v>965</v>
      </c>
      <c r="G29" s="2" t="s">
        <v>945</v>
      </c>
      <c r="H29" s="2" t="s">
        <v>1102</v>
      </c>
      <c r="I29" s="2"/>
      <c r="J29" s="2" t="s">
        <v>57</v>
      </c>
      <c r="K29" s="2" t="s">
        <v>967</v>
      </c>
      <c r="L29" s="2"/>
      <c r="M29" s="2">
        <v>56000</v>
      </c>
      <c r="N29" s="2" t="s">
        <v>1035</v>
      </c>
      <c r="O29" s="2" t="s">
        <v>968</v>
      </c>
      <c r="P29" s="2" t="s">
        <v>1280</v>
      </c>
      <c r="Q29" s="2" t="s">
        <v>457</v>
      </c>
      <c r="R29" s="2"/>
    </row>
    <row r="30" spans="1:18" ht="15" x14ac:dyDescent="0.2">
      <c r="A30" s="2" t="s">
        <v>456</v>
      </c>
      <c r="B30" s="2">
        <v>2</v>
      </c>
      <c r="C30" s="2" t="s">
        <v>1281</v>
      </c>
      <c r="D30" s="2" t="s">
        <v>1282</v>
      </c>
      <c r="E30" s="2" t="s">
        <v>1283</v>
      </c>
      <c r="F30" s="2" t="s">
        <v>965</v>
      </c>
      <c r="G30" s="2" t="s">
        <v>945</v>
      </c>
      <c r="H30" s="2" t="s">
        <v>1102</v>
      </c>
      <c r="I30" s="2"/>
      <c r="J30" s="2" t="s">
        <v>57</v>
      </c>
      <c r="K30" s="2" t="s">
        <v>967</v>
      </c>
      <c r="L30" s="2"/>
      <c r="M30" s="2">
        <v>56000</v>
      </c>
      <c r="N30" s="2" t="s">
        <v>1035</v>
      </c>
      <c r="O30" s="2" t="s">
        <v>1284</v>
      </c>
      <c r="P30" s="2"/>
      <c r="Q30" s="2"/>
      <c r="R30" s="2"/>
    </row>
    <row r="31" spans="1:18" ht="15" x14ac:dyDescent="0.2">
      <c r="A31" s="2" t="s">
        <v>456</v>
      </c>
      <c r="B31" s="2">
        <v>3</v>
      </c>
      <c r="C31" s="2" t="s">
        <v>1285</v>
      </c>
      <c r="D31" s="2" t="s">
        <v>1286</v>
      </c>
      <c r="E31" s="2" t="s">
        <v>1135</v>
      </c>
      <c r="F31" s="2" t="s">
        <v>1083</v>
      </c>
      <c r="G31" s="2" t="s">
        <v>945</v>
      </c>
      <c r="H31" s="2" t="s">
        <v>1102</v>
      </c>
      <c r="I31" s="2"/>
      <c r="J31" s="2" t="s">
        <v>57</v>
      </c>
      <c r="K31" s="2" t="s">
        <v>1287</v>
      </c>
      <c r="L31" s="2"/>
      <c r="M31" s="2">
        <v>150</v>
      </c>
      <c r="N31" s="2" t="s">
        <v>1086</v>
      </c>
      <c r="O31" s="2" t="s">
        <v>1086</v>
      </c>
      <c r="P31" s="2"/>
      <c r="Q31" s="2"/>
      <c r="R31" s="2"/>
    </row>
    <row r="32" spans="1:18" ht="15" x14ac:dyDescent="0.2">
      <c r="A32" s="2" t="s">
        <v>456</v>
      </c>
      <c r="B32" s="2">
        <v>4</v>
      </c>
      <c r="C32" s="2" t="s">
        <v>1288</v>
      </c>
      <c r="D32" s="2" t="s">
        <v>1289</v>
      </c>
      <c r="E32" s="2" t="s">
        <v>1121</v>
      </c>
      <c r="F32" s="2" t="s">
        <v>965</v>
      </c>
      <c r="G32" s="2" t="s">
        <v>945</v>
      </c>
      <c r="H32" s="2" t="s">
        <v>1102</v>
      </c>
      <c r="I32" s="2"/>
      <c r="J32" s="2" t="s">
        <v>57</v>
      </c>
      <c r="K32" s="2" t="s">
        <v>1063</v>
      </c>
      <c r="L32" s="2"/>
      <c r="M32" s="2">
        <v>100</v>
      </c>
      <c r="N32" s="2" t="s">
        <v>1035</v>
      </c>
      <c r="O32" s="2" t="s">
        <v>968</v>
      </c>
      <c r="P32" s="2"/>
      <c r="Q32" s="2"/>
      <c r="R32" s="2"/>
    </row>
    <row r="33" spans="1:18" ht="15" x14ac:dyDescent="0.2">
      <c r="A33" s="2" t="s">
        <v>456</v>
      </c>
      <c r="B33" s="2">
        <v>5</v>
      </c>
      <c r="C33" s="2" t="s">
        <v>1290</v>
      </c>
      <c r="D33" s="2" t="s">
        <v>1291</v>
      </c>
      <c r="E33" s="2" t="s">
        <v>1292</v>
      </c>
      <c r="F33" s="2" t="s">
        <v>1020</v>
      </c>
      <c r="G33" s="2" t="s">
        <v>945</v>
      </c>
      <c r="H33" s="2" t="s">
        <v>1102</v>
      </c>
      <c r="I33" s="2"/>
      <c r="J33" s="2" t="s">
        <v>57</v>
      </c>
      <c r="K33" s="2" t="s">
        <v>967</v>
      </c>
      <c r="L33" s="2"/>
      <c r="M33" s="2">
        <v>5000</v>
      </c>
      <c r="N33" s="2" t="s">
        <v>1035</v>
      </c>
      <c r="O33" s="2" t="s">
        <v>968</v>
      </c>
      <c r="P33" s="2"/>
      <c r="Q33" s="2"/>
      <c r="R33" s="2"/>
    </row>
    <row r="34" spans="1:18" ht="15" x14ac:dyDescent="0.2">
      <c r="A34" s="2" t="s">
        <v>456</v>
      </c>
      <c r="B34" s="2">
        <v>6</v>
      </c>
      <c r="C34" s="2" t="s">
        <v>1293</v>
      </c>
      <c r="D34" s="2" t="s">
        <v>1294</v>
      </c>
      <c r="E34" s="2" t="s">
        <v>980</v>
      </c>
      <c r="F34" s="2" t="s">
        <v>965</v>
      </c>
      <c r="G34" s="2" t="s">
        <v>945</v>
      </c>
      <c r="H34" s="2" t="s">
        <v>1102</v>
      </c>
      <c r="I34" s="2"/>
      <c r="J34" s="2" t="s">
        <v>57</v>
      </c>
      <c r="K34" s="2" t="s">
        <v>1295</v>
      </c>
      <c r="L34" s="2"/>
      <c r="M34" s="2">
        <v>500</v>
      </c>
      <c r="N34" s="2" t="s">
        <v>1035</v>
      </c>
      <c r="O34" s="2" t="s">
        <v>968</v>
      </c>
      <c r="P34" s="2"/>
      <c r="Q34" s="2"/>
      <c r="R34" s="2"/>
    </row>
    <row r="35" spans="1:18" ht="15" x14ac:dyDescent="0.2">
      <c r="A35" s="2" t="s">
        <v>471</v>
      </c>
      <c r="B35" s="2">
        <v>1</v>
      </c>
      <c r="C35" s="2"/>
      <c r="D35" s="2"/>
      <c r="E35" s="2"/>
      <c r="F35" s="2"/>
      <c r="G35" s="2"/>
      <c r="H35" s="2"/>
      <c r="I35" s="2"/>
      <c r="J35" s="2" t="s">
        <v>60</v>
      </c>
      <c r="K35" s="2"/>
      <c r="L35" s="2"/>
      <c r="M35" s="2"/>
      <c r="N35" s="2"/>
      <c r="O35" s="2"/>
      <c r="P35" s="2"/>
      <c r="Q35" s="2"/>
      <c r="R35" s="2"/>
    </row>
    <row r="36" spans="1:18" ht="15" x14ac:dyDescent="0.2">
      <c r="A36" s="2" t="s">
        <v>486</v>
      </c>
      <c r="B36" s="2">
        <v>1</v>
      </c>
      <c r="C36" s="2"/>
      <c r="D36" s="2"/>
      <c r="E36" s="2"/>
      <c r="F36" s="2"/>
      <c r="G36" s="2"/>
      <c r="H36" s="2"/>
      <c r="I36" s="2"/>
      <c r="J36" s="2" t="s">
        <v>60</v>
      </c>
      <c r="K36" s="2"/>
      <c r="L36" s="2"/>
      <c r="M36" s="2"/>
      <c r="N36" s="2"/>
      <c r="O36" s="2"/>
      <c r="P36" s="2"/>
      <c r="Q36" s="2"/>
      <c r="R36" s="2"/>
    </row>
    <row r="37" spans="1:18" ht="15" x14ac:dyDescent="0.2">
      <c r="A37" s="2" t="s">
        <v>501</v>
      </c>
      <c r="B37" s="2">
        <v>1</v>
      </c>
      <c r="C37" s="2" t="s">
        <v>1296</v>
      </c>
      <c r="D37" s="2" t="s">
        <v>1297</v>
      </c>
      <c r="E37" s="2" t="s">
        <v>1298</v>
      </c>
      <c r="F37" s="2" t="s">
        <v>1020</v>
      </c>
      <c r="G37" s="2" t="s">
        <v>945</v>
      </c>
      <c r="H37" s="2" t="s">
        <v>1102</v>
      </c>
      <c r="I37" s="2"/>
      <c r="J37" s="2" t="s">
        <v>57</v>
      </c>
      <c r="K37" s="2" t="s">
        <v>1299</v>
      </c>
      <c r="L37" s="2"/>
      <c r="M37" s="2">
        <v>100</v>
      </c>
      <c r="N37" s="2" t="s">
        <v>969</v>
      </c>
      <c r="O37" s="2" t="s">
        <v>1023</v>
      </c>
      <c r="P37" s="2" t="s">
        <v>1300</v>
      </c>
      <c r="Q37" s="2"/>
      <c r="R37" s="2" t="s">
        <v>1301</v>
      </c>
    </row>
    <row r="38" spans="1:18" ht="15" x14ac:dyDescent="0.2">
      <c r="A38" s="2" t="s">
        <v>517</v>
      </c>
      <c r="B38" s="2">
        <v>1</v>
      </c>
      <c r="C38" s="2"/>
      <c r="D38" s="2"/>
      <c r="E38" s="2"/>
      <c r="F38" s="2"/>
      <c r="G38" s="2"/>
      <c r="H38" s="2"/>
      <c r="I38" s="2"/>
      <c r="J38" s="2" t="s">
        <v>60</v>
      </c>
      <c r="K38" s="2"/>
      <c r="L38" s="2"/>
      <c r="M38" s="2"/>
      <c r="N38" s="2"/>
      <c r="O38" s="2"/>
      <c r="P38" s="2"/>
      <c r="Q38" s="2"/>
      <c r="R38" s="2"/>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I35"/>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72" bestFit="1" customWidth="1"/>
    <col min="4" max="4" width="90" bestFit="1" customWidth="1"/>
    <col min="5" max="5" width="39.625" bestFit="1" customWidth="1"/>
    <col min="6" max="6" width="63" bestFit="1" customWidth="1"/>
    <col min="7" max="7" width="64.75" bestFit="1" customWidth="1"/>
    <col min="8" max="8" width="46.75" bestFit="1" customWidth="1"/>
    <col min="9" max="9" width="59.375" bestFit="1" customWidth="1"/>
  </cols>
  <sheetData>
    <row r="1" spans="1:9" ht="15.75" x14ac:dyDescent="0.25">
      <c r="A1" s="1" t="s">
        <v>546</v>
      </c>
      <c r="B1" s="1" t="s">
        <v>908</v>
      </c>
      <c r="C1" s="1" t="s">
        <v>940</v>
      </c>
      <c r="D1" s="1" t="s">
        <v>1302</v>
      </c>
      <c r="E1" s="1" t="s">
        <v>1303</v>
      </c>
      <c r="F1" s="1" t="s">
        <v>1304</v>
      </c>
      <c r="G1" s="1" t="s">
        <v>1305</v>
      </c>
      <c r="H1" s="1" t="s">
        <v>1306</v>
      </c>
      <c r="I1" s="1" t="s">
        <v>1307</v>
      </c>
    </row>
    <row r="2" spans="1:9" ht="15" x14ac:dyDescent="0.2">
      <c r="A2" s="2" t="s">
        <v>82</v>
      </c>
      <c r="B2" s="2">
        <v>1</v>
      </c>
      <c r="C2" s="2" t="s">
        <v>1249</v>
      </c>
      <c r="D2" s="2" t="s">
        <v>1308</v>
      </c>
      <c r="E2" s="2" t="s">
        <v>1309</v>
      </c>
      <c r="F2" s="2" t="s">
        <v>1310</v>
      </c>
      <c r="G2" s="2" t="s">
        <v>1115</v>
      </c>
      <c r="H2" s="2" t="s">
        <v>1116</v>
      </c>
      <c r="I2" s="2" t="s">
        <v>1117</v>
      </c>
    </row>
    <row r="3" spans="1:9" ht="15" x14ac:dyDescent="0.2">
      <c r="A3" s="2" t="s">
        <v>82</v>
      </c>
      <c r="B3" s="2">
        <v>2</v>
      </c>
      <c r="C3" s="2" t="s">
        <v>1254</v>
      </c>
      <c r="D3" s="2" t="s">
        <v>1311</v>
      </c>
      <c r="E3" s="2" t="s">
        <v>1312</v>
      </c>
      <c r="F3" s="2" t="s">
        <v>617</v>
      </c>
      <c r="G3" s="2" t="s">
        <v>1115</v>
      </c>
      <c r="H3" s="2" t="s">
        <v>1116</v>
      </c>
      <c r="I3" s="2" t="s">
        <v>1117</v>
      </c>
    </row>
    <row r="4" spans="1:9" ht="15" x14ac:dyDescent="0.2">
      <c r="A4" s="2" t="s">
        <v>82</v>
      </c>
      <c r="B4" s="2">
        <v>3</v>
      </c>
      <c r="C4" s="2" t="s">
        <v>1313</v>
      </c>
      <c r="D4" s="2" t="s">
        <v>1314</v>
      </c>
      <c r="E4" s="2" t="s">
        <v>1312</v>
      </c>
      <c r="F4" s="2" t="s">
        <v>617</v>
      </c>
      <c r="G4" s="2" t="s">
        <v>1115</v>
      </c>
      <c r="H4" s="2" t="s">
        <v>1116</v>
      </c>
      <c r="I4" s="2" t="s">
        <v>1117</v>
      </c>
    </row>
    <row r="5" spans="1:9" ht="15" x14ac:dyDescent="0.2">
      <c r="A5" s="2" t="s">
        <v>82</v>
      </c>
      <c r="B5" s="2">
        <v>4</v>
      </c>
      <c r="C5" s="2" t="s">
        <v>1315</v>
      </c>
      <c r="D5" s="2" t="s">
        <v>1316</v>
      </c>
      <c r="E5" s="2" t="s">
        <v>1309</v>
      </c>
      <c r="F5" s="2" t="s">
        <v>1310</v>
      </c>
      <c r="G5" s="2" t="s">
        <v>1115</v>
      </c>
      <c r="H5" s="2" t="s">
        <v>1116</v>
      </c>
      <c r="I5" s="2" t="s">
        <v>1117</v>
      </c>
    </row>
    <row r="6" spans="1:9" ht="15" x14ac:dyDescent="0.2">
      <c r="A6" s="2" t="s">
        <v>102</v>
      </c>
      <c r="B6" s="2">
        <v>1</v>
      </c>
      <c r="C6" s="2" t="s">
        <v>1317</v>
      </c>
      <c r="D6" s="2" t="s">
        <v>1318</v>
      </c>
      <c r="E6" s="2" t="s">
        <v>1319</v>
      </c>
      <c r="F6" s="2" t="s">
        <v>1320</v>
      </c>
      <c r="G6" s="2" t="s">
        <v>1321</v>
      </c>
      <c r="H6" s="2"/>
      <c r="I6" s="2"/>
    </row>
    <row r="7" spans="1:9" ht="15" x14ac:dyDescent="0.2">
      <c r="A7" s="2" t="s">
        <v>102</v>
      </c>
      <c r="B7" s="2">
        <v>2</v>
      </c>
      <c r="C7" s="2" t="s">
        <v>1260</v>
      </c>
      <c r="D7" s="2" t="s">
        <v>1322</v>
      </c>
      <c r="E7" s="2" t="s">
        <v>1323</v>
      </c>
      <c r="F7" s="2" t="s">
        <v>1324</v>
      </c>
      <c r="G7" s="2" t="s">
        <v>1321</v>
      </c>
      <c r="H7" s="2"/>
      <c r="I7" s="2"/>
    </row>
    <row r="8" spans="1:9" ht="15" x14ac:dyDescent="0.2">
      <c r="A8" s="2" t="s">
        <v>102</v>
      </c>
      <c r="B8" s="2">
        <v>3</v>
      </c>
      <c r="C8" s="2" t="s">
        <v>1260</v>
      </c>
      <c r="D8" s="2" t="s">
        <v>1325</v>
      </c>
      <c r="E8" s="2" t="s">
        <v>1326</v>
      </c>
      <c r="F8" s="2" t="s">
        <v>1327</v>
      </c>
      <c r="G8" s="2" t="s">
        <v>1321</v>
      </c>
      <c r="H8" s="2"/>
      <c r="I8" s="2"/>
    </row>
    <row r="9" spans="1:9" ht="15" x14ac:dyDescent="0.2">
      <c r="A9" s="2" t="s">
        <v>102</v>
      </c>
      <c r="B9" s="2">
        <v>4</v>
      </c>
      <c r="C9" s="2" t="s">
        <v>1260</v>
      </c>
      <c r="D9" s="2" t="s">
        <v>1328</v>
      </c>
      <c r="E9" s="2" t="s">
        <v>1329</v>
      </c>
      <c r="F9" s="2" t="s">
        <v>1330</v>
      </c>
      <c r="G9" s="2" t="s">
        <v>1321</v>
      </c>
      <c r="H9" s="2"/>
      <c r="I9" s="2"/>
    </row>
    <row r="10" spans="1:9" ht="15" x14ac:dyDescent="0.2">
      <c r="A10" s="2" t="s">
        <v>230</v>
      </c>
      <c r="B10" s="2">
        <v>1</v>
      </c>
      <c r="C10" s="2" t="s">
        <v>1331</v>
      </c>
      <c r="D10" s="2" t="s">
        <v>1332</v>
      </c>
      <c r="E10" s="2" t="s">
        <v>1333</v>
      </c>
      <c r="F10" s="2" t="s">
        <v>721</v>
      </c>
      <c r="G10" s="2" t="s">
        <v>996</v>
      </c>
      <c r="H10" s="2" t="s">
        <v>997</v>
      </c>
      <c r="I10" s="2" t="s">
        <v>998</v>
      </c>
    </row>
    <row r="11" spans="1:9" ht="15" x14ac:dyDescent="0.2">
      <c r="A11" s="2" t="s">
        <v>230</v>
      </c>
      <c r="B11" s="2">
        <v>2</v>
      </c>
      <c r="C11" s="2" t="s">
        <v>1334</v>
      </c>
      <c r="D11" s="2" t="s">
        <v>1332</v>
      </c>
      <c r="E11" s="2" t="s">
        <v>1333</v>
      </c>
      <c r="F11" s="2" t="s">
        <v>721</v>
      </c>
      <c r="G11" s="2" t="s">
        <v>996</v>
      </c>
      <c r="H11" s="2" t="s">
        <v>997</v>
      </c>
      <c r="I11" s="2" t="s">
        <v>998</v>
      </c>
    </row>
    <row r="12" spans="1:9" ht="15" x14ac:dyDescent="0.2">
      <c r="A12" s="2" t="s">
        <v>310</v>
      </c>
      <c r="B12" s="2">
        <v>1</v>
      </c>
      <c r="C12" s="2" t="s">
        <v>333</v>
      </c>
      <c r="D12" s="2" t="s">
        <v>1335</v>
      </c>
      <c r="E12" s="2" t="s">
        <v>1336</v>
      </c>
      <c r="F12" s="2" t="s">
        <v>1337</v>
      </c>
      <c r="G12" s="2" t="s">
        <v>996</v>
      </c>
      <c r="H12" s="2" t="s">
        <v>997</v>
      </c>
      <c r="I12" s="2" t="s">
        <v>998</v>
      </c>
    </row>
    <row r="13" spans="1:9" ht="15" x14ac:dyDescent="0.2">
      <c r="A13" s="2" t="s">
        <v>310</v>
      </c>
      <c r="B13" s="2">
        <v>2</v>
      </c>
      <c r="C13" s="2" t="s">
        <v>333</v>
      </c>
      <c r="D13" s="2" t="s">
        <v>1338</v>
      </c>
      <c r="E13" s="2" t="s">
        <v>1072</v>
      </c>
      <c r="F13" s="2" t="s">
        <v>1073</v>
      </c>
      <c r="G13" s="2" t="s">
        <v>996</v>
      </c>
      <c r="H13" s="2" t="s">
        <v>997</v>
      </c>
      <c r="I13" s="2" t="s">
        <v>998</v>
      </c>
    </row>
    <row r="14" spans="1:9" ht="15" x14ac:dyDescent="0.2">
      <c r="A14" s="2" t="s">
        <v>310</v>
      </c>
      <c r="B14" s="2">
        <v>3</v>
      </c>
      <c r="C14" s="2" t="s">
        <v>333</v>
      </c>
      <c r="D14" s="2" t="s">
        <v>1339</v>
      </c>
      <c r="E14" s="2" t="s">
        <v>1340</v>
      </c>
      <c r="F14" s="2" t="s">
        <v>1341</v>
      </c>
      <c r="G14" s="2" t="s">
        <v>996</v>
      </c>
      <c r="H14" s="2" t="s">
        <v>997</v>
      </c>
      <c r="I14" s="2" t="s">
        <v>998</v>
      </c>
    </row>
    <row r="15" spans="1:9" ht="15" x14ac:dyDescent="0.2">
      <c r="A15" s="2" t="s">
        <v>310</v>
      </c>
      <c r="B15" s="2">
        <v>4</v>
      </c>
      <c r="C15" s="2" t="s">
        <v>333</v>
      </c>
      <c r="D15" s="2" t="s">
        <v>1342</v>
      </c>
      <c r="E15" s="2" t="s">
        <v>995</v>
      </c>
      <c r="F15" s="2" t="s">
        <v>674</v>
      </c>
      <c r="G15" s="2" t="s">
        <v>996</v>
      </c>
      <c r="H15" s="2" t="s">
        <v>997</v>
      </c>
      <c r="I15" s="2" t="s">
        <v>998</v>
      </c>
    </row>
    <row r="16" spans="1:9" ht="15" x14ac:dyDescent="0.2">
      <c r="A16" s="2" t="s">
        <v>310</v>
      </c>
      <c r="B16" s="2">
        <v>5</v>
      </c>
      <c r="C16" s="2" t="s">
        <v>333</v>
      </c>
      <c r="D16" s="2" t="s">
        <v>1343</v>
      </c>
      <c r="E16" s="2" t="s">
        <v>1336</v>
      </c>
      <c r="F16" s="2" t="s">
        <v>1337</v>
      </c>
      <c r="G16" s="2" t="s">
        <v>996</v>
      </c>
      <c r="H16" s="2" t="s">
        <v>997</v>
      </c>
      <c r="I16" s="2" t="s">
        <v>998</v>
      </c>
    </row>
    <row r="17" spans="1:9" ht="15" x14ac:dyDescent="0.2">
      <c r="A17" s="2" t="s">
        <v>310</v>
      </c>
      <c r="B17" s="2">
        <v>6</v>
      </c>
      <c r="C17" s="2" t="s">
        <v>333</v>
      </c>
      <c r="D17" s="2" t="s">
        <v>1344</v>
      </c>
      <c r="E17" s="2" t="s">
        <v>1072</v>
      </c>
      <c r="F17" s="2" t="s">
        <v>1073</v>
      </c>
      <c r="G17" s="2" t="s">
        <v>996</v>
      </c>
      <c r="H17" s="2" t="s">
        <v>997</v>
      </c>
      <c r="I17" s="2" t="s">
        <v>998</v>
      </c>
    </row>
    <row r="18" spans="1:9" ht="15" x14ac:dyDescent="0.2">
      <c r="A18" s="2" t="s">
        <v>310</v>
      </c>
      <c r="B18" s="2">
        <v>7</v>
      </c>
      <c r="C18" s="2" t="s">
        <v>333</v>
      </c>
      <c r="D18" s="2" t="s">
        <v>1345</v>
      </c>
      <c r="E18" s="2" t="s">
        <v>1346</v>
      </c>
      <c r="F18" s="2" t="s">
        <v>775</v>
      </c>
      <c r="G18" s="2" t="s">
        <v>996</v>
      </c>
      <c r="H18" s="2" t="s">
        <v>997</v>
      </c>
      <c r="I18" s="2" t="s">
        <v>998</v>
      </c>
    </row>
    <row r="19" spans="1:9" ht="15" x14ac:dyDescent="0.2">
      <c r="A19" s="2" t="s">
        <v>325</v>
      </c>
      <c r="B19" s="2">
        <v>1</v>
      </c>
      <c r="C19" s="2" t="s">
        <v>333</v>
      </c>
      <c r="D19" s="2" t="s">
        <v>1347</v>
      </c>
      <c r="E19" s="2" t="s">
        <v>1348</v>
      </c>
      <c r="F19" s="2" t="s">
        <v>1349</v>
      </c>
      <c r="G19" s="2" t="s">
        <v>973</v>
      </c>
      <c r="H19" s="2" t="s">
        <v>974</v>
      </c>
      <c r="I19" s="2" t="s">
        <v>975</v>
      </c>
    </row>
    <row r="20" spans="1:9" ht="15" x14ac:dyDescent="0.2">
      <c r="A20" s="2" t="s">
        <v>325</v>
      </c>
      <c r="B20" s="2">
        <v>2</v>
      </c>
      <c r="C20" s="2" t="s">
        <v>333</v>
      </c>
      <c r="D20" s="2" t="s">
        <v>1350</v>
      </c>
      <c r="E20" s="2" t="s">
        <v>1351</v>
      </c>
      <c r="F20" s="2" t="s">
        <v>1352</v>
      </c>
      <c r="G20" s="2" t="s">
        <v>973</v>
      </c>
      <c r="H20" s="2" t="s">
        <v>974</v>
      </c>
      <c r="I20" s="2" t="s">
        <v>975</v>
      </c>
    </row>
    <row r="21" spans="1:9" ht="15" x14ac:dyDescent="0.2">
      <c r="A21" s="2" t="s">
        <v>325</v>
      </c>
      <c r="B21" s="2">
        <v>3</v>
      </c>
      <c r="C21" s="2" t="s">
        <v>333</v>
      </c>
      <c r="D21" s="2" t="s">
        <v>1353</v>
      </c>
      <c r="E21" s="2" t="s">
        <v>1351</v>
      </c>
      <c r="F21" s="2" t="s">
        <v>1352</v>
      </c>
      <c r="G21" s="2" t="s">
        <v>973</v>
      </c>
      <c r="H21" s="2" t="s">
        <v>974</v>
      </c>
      <c r="I21" s="2" t="s">
        <v>975</v>
      </c>
    </row>
    <row r="22" spans="1:9" ht="15" x14ac:dyDescent="0.2">
      <c r="A22" s="2" t="s">
        <v>325</v>
      </c>
      <c r="B22" s="2">
        <v>4</v>
      </c>
      <c r="C22" s="2" t="s">
        <v>333</v>
      </c>
      <c r="D22" s="2" t="s">
        <v>1354</v>
      </c>
      <c r="E22" s="2" t="s">
        <v>1351</v>
      </c>
      <c r="F22" s="2" t="s">
        <v>1352</v>
      </c>
      <c r="G22" s="2" t="s">
        <v>973</v>
      </c>
      <c r="H22" s="2" t="s">
        <v>974</v>
      </c>
      <c r="I22" s="2" t="s">
        <v>975</v>
      </c>
    </row>
    <row r="23" spans="1:9" ht="15" x14ac:dyDescent="0.2">
      <c r="A23" s="2" t="s">
        <v>325</v>
      </c>
      <c r="B23" s="2">
        <v>5</v>
      </c>
      <c r="C23" s="2" t="s">
        <v>333</v>
      </c>
      <c r="D23" s="2" t="s">
        <v>1355</v>
      </c>
      <c r="E23" s="2" t="s">
        <v>1356</v>
      </c>
      <c r="F23" s="2" t="s">
        <v>1357</v>
      </c>
      <c r="G23" s="2" t="s">
        <v>973</v>
      </c>
      <c r="H23" s="2" t="s">
        <v>974</v>
      </c>
      <c r="I23" s="2" t="s">
        <v>975</v>
      </c>
    </row>
    <row r="24" spans="1:9" ht="15" x14ac:dyDescent="0.2">
      <c r="A24" s="2" t="s">
        <v>325</v>
      </c>
      <c r="B24" s="2">
        <v>6</v>
      </c>
      <c r="C24" s="2" t="s">
        <v>333</v>
      </c>
      <c r="D24" s="2" t="s">
        <v>1358</v>
      </c>
      <c r="E24" s="2" t="s">
        <v>1234</v>
      </c>
      <c r="F24" s="2" t="s">
        <v>893</v>
      </c>
      <c r="G24" s="2" t="s">
        <v>1235</v>
      </c>
      <c r="H24" s="2" t="s">
        <v>974</v>
      </c>
      <c r="I24" s="2" t="s">
        <v>975</v>
      </c>
    </row>
    <row r="25" spans="1:9" ht="15" x14ac:dyDescent="0.2">
      <c r="A25" s="2" t="s">
        <v>325</v>
      </c>
      <c r="B25" s="2">
        <v>7</v>
      </c>
      <c r="C25" s="2" t="s">
        <v>333</v>
      </c>
      <c r="D25" s="2" t="s">
        <v>1359</v>
      </c>
      <c r="E25" s="2" t="s">
        <v>1360</v>
      </c>
      <c r="F25" s="2" t="s">
        <v>1361</v>
      </c>
      <c r="G25" s="2" t="s">
        <v>973</v>
      </c>
      <c r="H25" s="2" t="s">
        <v>974</v>
      </c>
      <c r="I25" s="2" t="s">
        <v>975</v>
      </c>
    </row>
    <row r="26" spans="1:9" ht="15" x14ac:dyDescent="0.2">
      <c r="A26" s="2" t="s">
        <v>351</v>
      </c>
      <c r="B26" s="2">
        <v>1</v>
      </c>
      <c r="C26" s="2"/>
      <c r="D26" s="2"/>
      <c r="E26" s="2" t="s">
        <v>62</v>
      </c>
      <c r="F26" s="2" t="s">
        <v>62</v>
      </c>
      <c r="G26" s="2" t="s">
        <v>62</v>
      </c>
      <c r="H26" s="2"/>
      <c r="I26" s="2"/>
    </row>
    <row r="27" spans="1:9" ht="15" x14ac:dyDescent="0.2">
      <c r="A27" s="2" t="s">
        <v>395</v>
      </c>
      <c r="B27" s="2">
        <v>1</v>
      </c>
      <c r="C27" s="2" t="s">
        <v>408</v>
      </c>
      <c r="D27" s="2" t="s">
        <v>1362</v>
      </c>
      <c r="E27" s="2" t="s">
        <v>1160</v>
      </c>
      <c r="F27" s="2" t="s">
        <v>826</v>
      </c>
      <c r="G27" s="2" t="s">
        <v>1161</v>
      </c>
      <c r="H27" s="2" t="s">
        <v>1162</v>
      </c>
      <c r="I27" s="2" t="s">
        <v>1163</v>
      </c>
    </row>
    <row r="28" spans="1:9" ht="15" x14ac:dyDescent="0.2">
      <c r="A28" s="2" t="s">
        <v>445</v>
      </c>
      <c r="B28" s="2">
        <v>1</v>
      </c>
      <c r="C28" s="2"/>
      <c r="D28" s="2"/>
      <c r="E28" s="2" t="s">
        <v>62</v>
      </c>
      <c r="F28" s="2" t="s">
        <v>62</v>
      </c>
      <c r="G28" s="2" t="s">
        <v>62</v>
      </c>
      <c r="H28" s="2"/>
      <c r="I28" s="2"/>
    </row>
    <row r="29" spans="1:9" ht="15" x14ac:dyDescent="0.2">
      <c r="A29" s="2" t="s">
        <v>456</v>
      </c>
      <c r="B29" s="2">
        <v>1</v>
      </c>
      <c r="C29" s="2" t="s">
        <v>1363</v>
      </c>
      <c r="D29" s="2" t="s">
        <v>1364</v>
      </c>
      <c r="E29" s="2" t="s">
        <v>1365</v>
      </c>
      <c r="F29" s="2" t="s">
        <v>860</v>
      </c>
      <c r="G29" s="2" t="s">
        <v>1366</v>
      </c>
      <c r="H29" s="2" t="s">
        <v>1367</v>
      </c>
      <c r="I29" s="2" t="s">
        <v>609</v>
      </c>
    </row>
    <row r="30" spans="1:9" ht="15" x14ac:dyDescent="0.2">
      <c r="A30" s="2" t="s">
        <v>456</v>
      </c>
      <c r="B30" s="2">
        <v>2</v>
      </c>
      <c r="C30" s="2" t="s">
        <v>1368</v>
      </c>
      <c r="D30" s="2" t="s">
        <v>1369</v>
      </c>
      <c r="E30" s="2" t="s">
        <v>1365</v>
      </c>
      <c r="F30" s="2" t="s">
        <v>860</v>
      </c>
      <c r="G30" s="2" t="s">
        <v>1366</v>
      </c>
      <c r="H30" s="2" t="s">
        <v>1367</v>
      </c>
      <c r="I30" s="2" t="s">
        <v>609</v>
      </c>
    </row>
    <row r="31" spans="1:9" ht="15" x14ac:dyDescent="0.2">
      <c r="A31" s="2" t="s">
        <v>471</v>
      </c>
      <c r="B31" s="2">
        <v>1</v>
      </c>
      <c r="C31" s="2"/>
      <c r="D31" s="2"/>
      <c r="E31" s="2" t="s">
        <v>62</v>
      </c>
      <c r="F31" s="2" t="s">
        <v>62</v>
      </c>
      <c r="G31" s="2" t="s">
        <v>62</v>
      </c>
      <c r="H31" s="2"/>
      <c r="I31" s="2"/>
    </row>
    <row r="32" spans="1:9" ht="15" x14ac:dyDescent="0.2">
      <c r="A32" s="2" t="s">
        <v>486</v>
      </c>
      <c r="B32" s="2">
        <v>1</v>
      </c>
      <c r="C32" s="2"/>
      <c r="D32" s="2"/>
      <c r="E32" s="2" t="s">
        <v>62</v>
      </c>
      <c r="F32" s="2" t="s">
        <v>62</v>
      </c>
      <c r="G32" s="2" t="s">
        <v>62</v>
      </c>
      <c r="H32" s="2"/>
      <c r="I32" s="2"/>
    </row>
    <row r="33" spans="1:9" ht="15" x14ac:dyDescent="0.2">
      <c r="A33" s="2" t="s">
        <v>501</v>
      </c>
      <c r="B33" s="2">
        <v>1</v>
      </c>
      <c r="C33" s="2" t="s">
        <v>1296</v>
      </c>
      <c r="D33" s="2" t="s">
        <v>1370</v>
      </c>
      <c r="E33" s="2" t="s">
        <v>1215</v>
      </c>
      <c r="F33" s="2" t="s">
        <v>885</v>
      </c>
      <c r="G33" s="2" t="s">
        <v>1216</v>
      </c>
      <c r="H33" s="2" t="s">
        <v>1217</v>
      </c>
      <c r="I33" s="2" t="s">
        <v>1218</v>
      </c>
    </row>
    <row r="34" spans="1:9" ht="15" x14ac:dyDescent="0.2">
      <c r="A34" s="2" t="s">
        <v>501</v>
      </c>
      <c r="B34" s="2">
        <v>2</v>
      </c>
      <c r="C34" s="2" t="s">
        <v>1296</v>
      </c>
      <c r="D34" s="2" t="s">
        <v>1371</v>
      </c>
      <c r="E34" s="2" t="s">
        <v>1215</v>
      </c>
      <c r="F34" s="2" t="s">
        <v>885</v>
      </c>
      <c r="G34" s="2" t="s">
        <v>1216</v>
      </c>
      <c r="H34" s="2" t="s">
        <v>1217</v>
      </c>
      <c r="I34" s="2" t="s">
        <v>1218</v>
      </c>
    </row>
    <row r="35" spans="1:9" ht="15" x14ac:dyDescent="0.2">
      <c r="A35" s="2" t="s">
        <v>517</v>
      </c>
      <c r="B35" s="2">
        <v>1</v>
      </c>
      <c r="C35" s="2"/>
      <c r="D35" s="2"/>
      <c r="E35" s="2" t="s">
        <v>62</v>
      </c>
      <c r="F35" s="2" t="s">
        <v>62</v>
      </c>
      <c r="G35" s="2" t="s">
        <v>62</v>
      </c>
      <c r="H35" s="2"/>
      <c r="I35" s="2"/>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D33"/>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54" bestFit="1" customWidth="1"/>
    <col min="4" max="4" width="80.375" bestFit="1" customWidth="1"/>
  </cols>
  <sheetData>
    <row r="1" spans="1:4" ht="15.75" x14ac:dyDescent="0.25">
      <c r="A1" s="1" t="s">
        <v>546</v>
      </c>
      <c r="B1" s="1" t="s">
        <v>908</v>
      </c>
      <c r="C1" s="1" t="s">
        <v>1372</v>
      </c>
      <c r="D1" s="1" t="s">
        <v>1373</v>
      </c>
    </row>
    <row r="2" spans="1:4" ht="15" x14ac:dyDescent="0.2">
      <c r="A2" s="2" t="s">
        <v>40</v>
      </c>
      <c r="B2" s="2">
        <v>1</v>
      </c>
      <c r="C2" s="2"/>
      <c r="D2" s="2"/>
    </row>
    <row r="3" spans="1:4" ht="15" x14ac:dyDescent="0.2">
      <c r="A3" s="2" t="s">
        <v>64</v>
      </c>
      <c r="B3" s="2">
        <v>1</v>
      </c>
      <c r="C3" s="2"/>
      <c r="D3" s="2"/>
    </row>
    <row r="4" spans="1:4" ht="15" x14ac:dyDescent="0.2">
      <c r="A4" s="2" t="s">
        <v>82</v>
      </c>
      <c r="B4" s="2">
        <v>1</v>
      </c>
      <c r="C4" s="2" t="s">
        <v>88</v>
      </c>
      <c r="D4" s="2" t="s">
        <v>1374</v>
      </c>
    </row>
    <row r="5" spans="1:4" ht="15" x14ac:dyDescent="0.2">
      <c r="A5" s="2" t="s">
        <v>102</v>
      </c>
      <c r="B5" s="2">
        <v>1</v>
      </c>
      <c r="C5" s="2"/>
      <c r="D5" s="2"/>
    </row>
    <row r="6" spans="1:4" ht="15" x14ac:dyDescent="0.2">
      <c r="A6" s="2" t="s">
        <v>118</v>
      </c>
      <c r="B6" s="2">
        <v>1</v>
      </c>
      <c r="C6" s="2"/>
      <c r="D6" s="2"/>
    </row>
    <row r="7" spans="1:4" ht="15" x14ac:dyDescent="0.2">
      <c r="A7" s="2" t="s">
        <v>133</v>
      </c>
      <c r="B7" s="2">
        <v>1</v>
      </c>
      <c r="C7" s="2" t="s">
        <v>1375</v>
      </c>
      <c r="D7" s="2" t="s">
        <v>1374</v>
      </c>
    </row>
    <row r="8" spans="1:4" ht="15" x14ac:dyDescent="0.2">
      <c r="A8" s="2" t="s">
        <v>149</v>
      </c>
      <c r="B8" s="2">
        <v>1</v>
      </c>
      <c r="C8" s="2"/>
      <c r="D8" s="2"/>
    </row>
    <row r="9" spans="1:4" ht="15" x14ac:dyDescent="0.2">
      <c r="A9" s="2" t="s">
        <v>163</v>
      </c>
      <c r="B9" s="2">
        <v>1</v>
      </c>
      <c r="C9" s="2"/>
      <c r="D9" s="2"/>
    </row>
    <row r="10" spans="1:4" ht="15" x14ac:dyDescent="0.2">
      <c r="A10" s="2" t="s">
        <v>178</v>
      </c>
      <c r="B10" s="2">
        <v>1</v>
      </c>
      <c r="C10" s="2"/>
      <c r="D10" s="2"/>
    </row>
    <row r="11" spans="1:4" ht="15" x14ac:dyDescent="0.2">
      <c r="A11" s="2" t="s">
        <v>197</v>
      </c>
      <c r="B11" s="2">
        <v>1</v>
      </c>
      <c r="C11" s="2"/>
      <c r="D11" s="2"/>
    </row>
    <row r="12" spans="1:4" ht="15" x14ac:dyDescent="0.2">
      <c r="A12" s="2" t="s">
        <v>213</v>
      </c>
      <c r="B12" s="2">
        <v>1</v>
      </c>
      <c r="C12" s="2"/>
      <c r="D12" s="2"/>
    </row>
    <row r="13" spans="1:4" ht="15" x14ac:dyDescent="0.2">
      <c r="A13" s="2" t="s">
        <v>230</v>
      </c>
      <c r="B13" s="2">
        <v>1</v>
      </c>
      <c r="C13" s="2"/>
      <c r="D13" s="2"/>
    </row>
    <row r="14" spans="1:4" ht="15" x14ac:dyDescent="0.2">
      <c r="A14" s="2" t="s">
        <v>245</v>
      </c>
      <c r="B14" s="2">
        <v>1</v>
      </c>
      <c r="C14" s="2"/>
      <c r="D14" s="2"/>
    </row>
    <row r="15" spans="1:4" ht="15" x14ac:dyDescent="0.2">
      <c r="A15" s="2" t="s">
        <v>261</v>
      </c>
      <c r="B15" s="2">
        <v>1</v>
      </c>
      <c r="C15" s="2"/>
      <c r="D15" s="2"/>
    </row>
    <row r="16" spans="1:4" ht="15" x14ac:dyDescent="0.2">
      <c r="A16" s="2" t="s">
        <v>278</v>
      </c>
      <c r="B16" s="2">
        <v>1</v>
      </c>
      <c r="C16" s="2"/>
      <c r="D16" s="2"/>
    </row>
    <row r="17" spans="1:4" ht="15" x14ac:dyDescent="0.2">
      <c r="A17" s="2" t="s">
        <v>294</v>
      </c>
      <c r="B17" s="2">
        <v>1</v>
      </c>
      <c r="C17" s="2"/>
      <c r="D17" s="2"/>
    </row>
    <row r="18" spans="1:4" ht="15" x14ac:dyDescent="0.2">
      <c r="A18" s="2" t="s">
        <v>310</v>
      </c>
      <c r="B18" s="2">
        <v>1</v>
      </c>
      <c r="C18" s="2"/>
      <c r="D18" s="2"/>
    </row>
    <row r="19" spans="1:4" ht="15" x14ac:dyDescent="0.2">
      <c r="A19" s="2" t="s">
        <v>325</v>
      </c>
      <c r="B19" s="2">
        <v>1</v>
      </c>
      <c r="C19" s="2"/>
      <c r="D19" s="2"/>
    </row>
    <row r="20" spans="1:4" ht="15" x14ac:dyDescent="0.2">
      <c r="A20" s="2" t="s">
        <v>336</v>
      </c>
      <c r="B20" s="2">
        <v>1</v>
      </c>
      <c r="C20" s="2"/>
      <c r="D20" s="2"/>
    </row>
    <row r="21" spans="1:4" ht="15" x14ac:dyDescent="0.2">
      <c r="A21" s="2" t="s">
        <v>351</v>
      </c>
      <c r="B21" s="2">
        <v>1</v>
      </c>
      <c r="C21" s="2"/>
      <c r="D21" s="2"/>
    </row>
    <row r="22" spans="1:4" ht="15" x14ac:dyDescent="0.2">
      <c r="A22" s="2" t="s">
        <v>365</v>
      </c>
      <c r="B22" s="2">
        <v>1</v>
      </c>
      <c r="C22" s="2"/>
      <c r="D22" s="2"/>
    </row>
    <row r="23" spans="1:4" ht="15" x14ac:dyDescent="0.2">
      <c r="A23" s="2" t="s">
        <v>379</v>
      </c>
      <c r="B23" s="2">
        <v>1</v>
      </c>
      <c r="C23" s="2"/>
      <c r="D23" s="2"/>
    </row>
    <row r="24" spans="1:4" ht="15" x14ac:dyDescent="0.2">
      <c r="A24" s="2" t="s">
        <v>395</v>
      </c>
      <c r="B24" s="2">
        <v>1</v>
      </c>
      <c r="C24" s="2"/>
      <c r="D24" s="2"/>
    </row>
    <row r="25" spans="1:4" ht="15" x14ac:dyDescent="0.2">
      <c r="A25" s="2" t="s">
        <v>411</v>
      </c>
      <c r="B25" s="2">
        <v>1</v>
      </c>
      <c r="C25" s="2"/>
      <c r="D25" s="2"/>
    </row>
    <row r="26" spans="1:4" ht="15" x14ac:dyDescent="0.2">
      <c r="A26" s="2" t="s">
        <v>429</v>
      </c>
      <c r="B26" s="2">
        <v>1</v>
      </c>
      <c r="C26" s="2"/>
      <c r="D26" s="2"/>
    </row>
    <row r="27" spans="1:4" ht="15" x14ac:dyDescent="0.2">
      <c r="A27" s="2" t="s">
        <v>445</v>
      </c>
      <c r="B27" s="2">
        <v>1</v>
      </c>
      <c r="C27" s="2"/>
      <c r="D27" s="2"/>
    </row>
    <row r="28" spans="1:4" ht="15" x14ac:dyDescent="0.2">
      <c r="A28" s="2" t="s">
        <v>456</v>
      </c>
      <c r="B28" s="2">
        <v>1</v>
      </c>
      <c r="C28" s="2"/>
      <c r="D28" s="2"/>
    </row>
    <row r="29" spans="1:4" ht="15" x14ac:dyDescent="0.2">
      <c r="A29" s="2" t="s">
        <v>471</v>
      </c>
      <c r="B29" s="2">
        <v>1</v>
      </c>
      <c r="C29" s="2"/>
      <c r="D29" s="2"/>
    </row>
    <row r="30" spans="1:4" ht="15" x14ac:dyDescent="0.2">
      <c r="A30" s="2" t="s">
        <v>486</v>
      </c>
      <c r="B30" s="2">
        <v>1</v>
      </c>
      <c r="C30" s="2"/>
      <c r="D30" s="2"/>
    </row>
    <row r="31" spans="1:4" ht="15" x14ac:dyDescent="0.2">
      <c r="A31" s="2" t="s">
        <v>501</v>
      </c>
      <c r="B31" s="2">
        <v>1</v>
      </c>
      <c r="C31" s="2"/>
      <c r="D31" s="2"/>
    </row>
    <row r="32" spans="1:4" ht="15" x14ac:dyDescent="0.2">
      <c r="A32" s="2" t="s">
        <v>517</v>
      </c>
      <c r="B32" s="2">
        <v>1</v>
      </c>
      <c r="C32" s="2"/>
      <c r="D32" s="2"/>
    </row>
    <row r="33" spans="1:4" ht="15" x14ac:dyDescent="0.2">
      <c r="A33" s="2" t="s">
        <v>531</v>
      </c>
      <c r="B33" s="2">
        <v>1</v>
      </c>
      <c r="C33" s="2"/>
      <c r="D33" s="2"/>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G33"/>
  <sheetViews>
    <sheetView showOutlineSymbols="0" showWhiteSpace="0" workbookViewId="0"/>
  </sheetViews>
  <sheetFormatPr baseColWidth="10" defaultColWidth="9" defaultRowHeight="14.25" x14ac:dyDescent="0.2"/>
  <cols>
    <col min="1" max="1" width="23.375" bestFit="1" customWidth="1"/>
    <col min="2" max="2" width="14.375" bestFit="1" customWidth="1"/>
    <col min="3" max="3" width="23.375" bestFit="1" customWidth="1"/>
    <col min="4" max="4" width="182.375" bestFit="1" customWidth="1"/>
    <col min="5" max="5" width="16.25" bestFit="1" customWidth="1"/>
    <col min="6" max="6" width="133.25" bestFit="1" customWidth="1"/>
    <col min="7" max="7" width="16.25" bestFit="1" customWidth="1"/>
  </cols>
  <sheetData>
    <row r="1" spans="1:7" ht="15.75" x14ac:dyDescent="0.25">
      <c r="A1" s="1" t="s">
        <v>546</v>
      </c>
      <c r="B1" s="1" t="s">
        <v>908</v>
      </c>
      <c r="C1" s="1" t="s">
        <v>1376</v>
      </c>
      <c r="D1" s="1" t="s">
        <v>1377</v>
      </c>
      <c r="E1" s="1" t="s">
        <v>1378</v>
      </c>
      <c r="F1" s="1" t="s">
        <v>1379</v>
      </c>
      <c r="G1" s="1" t="s">
        <v>1378</v>
      </c>
    </row>
    <row r="2" spans="1:7" ht="15" x14ac:dyDescent="0.2">
      <c r="A2" s="2" t="s">
        <v>40</v>
      </c>
      <c r="B2" s="2">
        <v>1</v>
      </c>
      <c r="C2" s="2"/>
      <c r="D2" s="2"/>
      <c r="E2" s="2"/>
      <c r="F2" s="2"/>
      <c r="G2" s="2"/>
    </row>
    <row r="3" spans="1:7" ht="15" x14ac:dyDescent="0.2">
      <c r="A3" s="2" t="s">
        <v>64</v>
      </c>
      <c r="B3" s="2">
        <v>1</v>
      </c>
      <c r="C3" s="2"/>
      <c r="D3" s="2"/>
      <c r="E3" s="2"/>
      <c r="F3" s="2"/>
      <c r="G3" s="2"/>
    </row>
    <row r="4" spans="1:7" ht="15" x14ac:dyDescent="0.2">
      <c r="A4" s="2" t="s">
        <v>82</v>
      </c>
      <c r="B4" s="2">
        <v>1</v>
      </c>
      <c r="C4" s="2">
        <v>4</v>
      </c>
      <c r="D4" s="2" t="s">
        <v>1380</v>
      </c>
      <c r="E4" s="2"/>
      <c r="F4" s="2" t="s">
        <v>1381</v>
      </c>
      <c r="G4" s="2"/>
    </row>
    <row r="5" spans="1:7" ht="15" x14ac:dyDescent="0.2">
      <c r="A5" s="2" t="s">
        <v>102</v>
      </c>
      <c r="B5" s="2">
        <v>1</v>
      </c>
      <c r="C5" s="2"/>
      <c r="D5" s="2"/>
      <c r="E5" s="2"/>
      <c r="F5" s="2"/>
      <c r="G5" s="2"/>
    </row>
    <row r="6" spans="1:7" ht="15" x14ac:dyDescent="0.2">
      <c r="A6" s="2" t="s">
        <v>118</v>
      </c>
      <c r="B6" s="2">
        <v>1</v>
      </c>
      <c r="C6" s="2"/>
      <c r="D6" s="2"/>
      <c r="E6" s="2"/>
      <c r="F6" s="2"/>
      <c r="G6" s="2"/>
    </row>
    <row r="7" spans="1:7" ht="15" x14ac:dyDescent="0.2">
      <c r="A7" s="2" t="s">
        <v>133</v>
      </c>
      <c r="B7" s="2">
        <v>1</v>
      </c>
      <c r="C7" s="2">
        <v>3</v>
      </c>
      <c r="D7" s="2" t="s">
        <v>1382</v>
      </c>
      <c r="E7" s="2"/>
      <c r="F7" s="2" t="s">
        <v>1383</v>
      </c>
      <c r="G7" s="2"/>
    </row>
    <row r="8" spans="1:7" ht="15" x14ac:dyDescent="0.2">
      <c r="A8" s="2" t="s">
        <v>149</v>
      </c>
      <c r="B8" s="2">
        <v>1</v>
      </c>
      <c r="C8" s="2"/>
      <c r="D8" s="2"/>
      <c r="E8" s="2"/>
      <c r="F8" s="2"/>
      <c r="G8" s="2"/>
    </row>
    <row r="9" spans="1:7" ht="15" x14ac:dyDescent="0.2">
      <c r="A9" s="2" t="s">
        <v>163</v>
      </c>
      <c r="B9" s="2">
        <v>1</v>
      </c>
      <c r="C9" s="2"/>
      <c r="D9" s="2"/>
      <c r="E9" s="2"/>
      <c r="F9" s="2"/>
      <c r="G9" s="2"/>
    </row>
    <row r="10" spans="1:7" ht="15" x14ac:dyDescent="0.2">
      <c r="A10" s="2" t="s">
        <v>178</v>
      </c>
      <c r="B10" s="2">
        <v>1</v>
      </c>
      <c r="C10" s="2"/>
      <c r="D10" s="2"/>
      <c r="E10" s="2"/>
      <c r="F10" s="2"/>
      <c r="G10" s="2"/>
    </row>
    <row r="11" spans="1:7" ht="15" x14ac:dyDescent="0.2">
      <c r="A11" s="2" t="s">
        <v>197</v>
      </c>
      <c r="B11" s="2">
        <v>1</v>
      </c>
      <c r="C11" s="2"/>
      <c r="D11" s="2"/>
      <c r="E11" s="2"/>
      <c r="F11" s="2"/>
      <c r="G11" s="2"/>
    </row>
    <row r="12" spans="1:7" ht="15" x14ac:dyDescent="0.2">
      <c r="A12" s="2" t="s">
        <v>213</v>
      </c>
      <c r="B12" s="2">
        <v>1</v>
      </c>
      <c r="C12" s="2"/>
      <c r="D12" s="2"/>
      <c r="E12" s="2"/>
      <c r="F12" s="2"/>
      <c r="G12" s="2"/>
    </row>
    <row r="13" spans="1:7" ht="15" x14ac:dyDescent="0.2">
      <c r="A13" s="2" t="s">
        <v>230</v>
      </c>
      <c r="B13" s="2">
        <v>1</v>
      </c>
      <c r="C13" s="2"/>
      <c r="D13" s="2"/>
      <c r="E13" s="2"/>
      <c r="F13" s="2"/>
      <c r="G13" s="2"/>
    </row>
    <row r="14" spans="1:7" ht="15" x14ac:dyDescent="0.2">
      <c r="A14" s="2" t="s">
        <v>245</v>
      </c>
      <c r="B14" s="2">
        <v>1</v>
      </c>
      <c r="C14" s="2"/>
      <c r="D14" s="2"/>
      <c r="E14" s="2"/>
      <c r="F14" s="2"/>
      <c r="G14" s="2"/>
    </row>
    <row r="15" spans="1:7" ht="15" x14ac:dyDescent="0.2">
      <c r="A15" s="2" t="s">
        <v>261</v>
      </c>
      <c r="B15" s="2">
        <v>1</v>
      </c>
      <c r="C15" s="2"/>
      <c r="D15" s="2"/>
      <c r="E15" s="2"/>
      <c r="F15" s="2"/>
      <c r="G15" s="2"/>
    </row>
    <row r="16" spans="1:7" ht="15" x14ac:dyDescent="0.2">
      <c r="A16" s="2" t="s">
        <v>278</v>
      </c>
      <c r="B16" s="2">
        <v>1</v>
      </c>
      <c r="C16" s="2"/>
      <c r="D16" s="2"/>
      <c r="E16" s="2"/>
      <c r="F16" s="2"/>
      <c r="G16" s="2"/>
    </row>
    <row r="17" spans="1:7" ht="15" x14ac:dyDescent="0.2">
      <c r="A17" s="2" t="s">
        <v>294</v>
      </c>
      <c r="B17" s="2">
        <v>1</v>
      </c>
      <c r="C17" s="2"/>
      <c r="D17" s="2"/>
      <c r="E17" s="2"/>
      <c r="F17" s="2"/>
      <c r="G17" s="2"/>
    </row>
    <row r="18" spans="1:7" ht="15" x14ac:dyDescent="0.2">
      <c r="A18" s="2" t="s">
        <v>310</v>
      </c>
      <c r="B18" s="2">
        <v>1</v>
      </c>
      <c r="C18" s="2"/>
      <c r="D18" s="2"/>
      <c r="E18" s="2"/>
      <c r="F18" s="2"/>
      <c r="G18" s="2"/>
    </row>
    <row r="19" spans="1:7" ht="15" x14ac:dyDescent="0.2">
      <c r="A19" s="2" t="s">
        <v>325</v>
      </c>
      <c r="B19" s="2">
        <v>1</v>
      </c>
      <c r="C19" s="2"/>
      <c r="D19" s="2"/>
      <c r="E19" s="2"/>
      <c r="F19" s="2"/>
      <c r="G19" s="2"/>
    </row>
    <row r="20" spans="1:7" ht="15" x14ac:dyDescent="0.2">
      <c r="A20" s="2" t="s">
        <v>336</v>
      </c>
      <c r="B20" s="2">
        <v>1</v>
      </c>
      <c r="C20" s="2"/>
      <c r="D20" s="2"/>
      <c r="E20" s="2"/>
      <c r="F20" s="2"/>
      <c r="G20" s="2"/>
    </row>
    <row r="21" spans="1:7" ht="15" x14ac:dyDescent="0.2">
      <c r="A21" s="2" t="s">
        <v>351</v>
      </c>
      <c r="B21" s="2">
        <v>1</v>
      </c>
      <c r="C21" s="2"/>
      <c r="D21" s="2"/>
      <c r="E21" s="2"/>
      <c r="F21" s="2"/>
      <c r="G21" s="2"/>
    </row>
    <row r="22" spans="1:7" ht="15" x14ac:dyDescent="0.2">
      <c r="A22" s="2" t="s">
        <v>365</v>
      </c>
      <c r="B22" s="2">
        <v>1</v>
      </c>
      <c r="C22" s="2"/>
      <c r="D22" s="2"/>
      <c r="E22" s="2"/>
      <c r="F22" s="2"/>
      <c r="G22" s="2"/>
    </row>
    <row r="23" spans="1:7" ht="15" x14ac:dyDescent="0.2">
      <c r="A23" s="2" t="s">
        <v>379</v>
      </c>
      <c r="B23" s="2">
        <v>1</v>
      </c>
      <c r="C23" s="2"/>
      <c r="D23" s="2"/>
      <c r="E23" s="2"/>
      <c r="F23" s="2"/>
      <c r="G23" s="2"/>
    </row>
    <row r="24" spans="1:7" ht="15" x14ac:dyDescent="0.2">
      <c r="A24" s="2" t="s">
        <v>395</v>
      </c>
      <c r="B24" s="2">
        <v>1</v>
      </c>
      <c r="C24" s="2"/>
      <c r="D24" s="2"/>
      <c r="E24" s="2"/>
      <c r="F24" s="2"/>
      <c r="G24" s="2"/>
    </row>
    <row r="25" spans="1:7" ht="15" x14ac:dyDescent="0.2">
      <c r="A25" s="2" t="s">
        <v>411</v>
      </c>
      <c r="B25" s="2">
        <v>1</v>
      </c>
      <c r="C25" s="2"/>
      <c r="D25" s="2"/>
      <c r="E25" s="2"/>
      <c r="F25" s="2"/>
      <c r="G25" s="2"/>
    </row>
    <row r="26" spans="1:7" ht="15" x14ac:dyDescent="0.2">
      <c r="A26" s="2" t="s">
        <v>429</v>
      </c>
      <c r="B26" s="2">
        <v>1</v>
      </c>
      <c r="C26" s="2"/>
      <c r="D26" s="2"/>
      <c r="E26" s="2"/>
      <c r="F26" s="2"/>
      <c r="G26" s="2"/>
    </row>
    <row r="27" spans="1:7" ht="15" x14ac:dyDescent="0.2">
      <c r="A27" s="2" t="s">
        <v>445</v>
      </c>
      <c r="B27" s="2">
        <v>1</v>
      </c>
      <c r="C27" s="2"/>
      <c r="D27" s="2"/>
      <c r="E27" s="2"/>
      <c r="F27" s="2"/>
      <c r="G27" s="2"/>
    </row>
    <row r="28" spans="1:7" ht="15" x14ac:dyDescent="0.2">
      <c r="A28" s="2" t="s">
        <v>456</v>
      </c>
      <c r="B28" s="2">
        <v>1</v>
      </c>
      <c r="C28" s="2"/>
      <c r="D28" s="2"/>
      <c r="E28" s="2"/>
      <c r="F28" s="2"/>
      <c r="G28" s="2"/>
    </row>
    <row r="29" spans="1:7" ht="15" x14ac:dyDescent="0.2">
      <c r="A29" s="2" t="s">
        <v>471</v>
      </c>
      <c r="B29" s="2">
        <v>1</v>
      </c>
      <c r="C29" s="2"/>
      <c r="D29" s="2"/>
      <c r="E29" s="2"/>
      <c r="F29" s="2"/>
      <c r="G29" s="2"/>
    </row>
    <row r="30" spans="1:7" ht="15" x14ac:dyDescent="0.2">
      <c r="A30" s="2" t="s">
        <v>486</v>
      </c>
      <c r="B30" s="2">
        <v>1</v>
      </c>
      <c r="C30" s="2"/>
      <c r="D30" s="2"/>
      <c r="E30" s="2"/>
      <c r="F30" s="2"/>
      <c r="G30" s="2"/>
    </row>
    <row r="31" spans="1:7" ht="15" x14ac:dyDescent="0.2">
      <c r="A31" s="2" t="s">
        <v>501</v>
      </c>
      <c r="B31" s="2">
        <v>1</v>
      </c>
      <c r="C31" s="2"/>
      <c r="D31" s="2"/>
      <c r="E31" s="2"/>
      <c r="F31" s="2"/>
      <c r="G31" s="2"/>
    </row>
    <row r="32" spans="1:7" ht="15" x14ac:dyDescent="0.2">
      <c r="A32" s="2" t="s">
        <v>517</v>
      </c>
      <c r="B32" s="2">
        <v>1</v>
      </c>
      <c r="C32" s="2"/>
      <c r="D32" s="2"/>
      <c r="E32" s="2"/>
      <c r="F32" s="2"/>
      <c r="G32" s="2"/>
    </row>
    <row r="33" spans="1:7" ht="15" x14ac:dyDescent="0.2">
      <c r="A33" s="2" t="s">
        <v>531</v>
      </c>
      <c r="B33" s="2">
        <v>1</v>
      </c>
      <c r="C33" s="2"/>
      <c r="D33" s="2"/>
      <c r="E33" s="2"/>
      <c r="F33" s="2"/>
      <c r="G33" s="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Dossiers</vt:lpstr>
      <vt:lpstr>Etablissements</vt:lpstr>
      <vt:lpstr>Avis</vt:lpstr>
      <vt:lpstr>(3286580) Co-porteur de projet</vt:lpstr>
      <vt:lpstr>(3344502) Action</vt:lpstr>
      <vt:lpstr>(3308253) Action</vt:lpstr>
      <vt:lpstr>(3308215) Localisation</vt:lpstr>
      <vt:lpstr>(2220045) Criteres d'eligibili</vt:lpstr>
      <vt:lpstr>(2218489) Analyse du critere n</vt:lpstr>
      <vt:lpstr>(2218492) Pertinence du projet</vt:lpstr>
      <vt:lpstr>(2636179) Analyse du critere n</vt:lpstr>
      <vt:lpstr>(2218493) Avis</vt:lpstr>
      <vt:lpstr>Feuil1</vt:lpstr>
      <vt:lpstr>Feuil6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FIRRINGERI David</cp:lastModifiedBy>
  <cp:revision>0</cp:revision>
  <dcterms:created xsi:type="dcterms:W3CDTF">2023-07-26T05:58:24Z</dcterms:created>
  <dcterms:modified xsi:type="dcterms:W3CDTF">2023-07-26T15:51:39Z</dcterms:modified>
</cp:coreProperties>
</file>