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fe987bdc2b39076/Desktop/Finance Projects/"/>
    </mc:Choice>
  </mc:AlternateContent>
  <xr:revisionPtr revIDLastSave="0" documentId="8_{62C2E03B-D78B-4052-BB6E-708E1D373B92}" xr6:coauthVersionLast="47" xr6:coauthVersionMax="47" xr10:uidLastSave="{00000000-0000-0000-0000-000000000000}"/>
  <bookViews>
    <workbookView xWindow="-120" yWindow="-120" windowWidth="29040" windowHeight="15720" tabRatio="612" activeTab="4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  <sheet name="Dashboard" sheetId="9" r:id="rId5"/>
    <sheet name="Dashboard 3" sheetId="8" state="hidden" r:id="rId6"/>
    <sheet name="Data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D7" i="4" l="1"/>
  <c r="B28" i="7"/>
  <c r="A17" i="7"/>
  <c r="B2" i="7"/>
  <c r="D8" i="7"/>
  <c r="E8" i="7"/>
  <c r="F8" i="7"/>
  <c r="G8" i="7"/>
  <c r="C8" i="7"/>
  <c r="D5" i="2"/>
  <c r="D11" i="2" s="1"/>
  <c r="E5" i="2"/>
  <c r="E10" i="2" s="1"/>
  <c r="F5" i="2"/>
  <c r="F11" i="2" s="1"/>
  <c r="G5" i="2"/>
  <c r="G6" i="2" s="1"/>
  <c r="G7" i="2" s="1"/>
  <c r="B4" i="7"/>
  <c r="B3" i="7"/>
  <c r="E16" i="5"/>
  <c r="F16" i="5"/>
  <c r="G16" i="5"/>
  <c r="H16" i="5"/>
  <c r="D16" i="5"/>
  <c r="E9" i="5"/>
  <c r="D12" i="4" s="1"/>
  <c r="D13" i="4" s="1"/>
  <c r="F9" i="5"/>
  <c r="E12" i="4" s="1"/>
  <c r="E13" i="4" s="1"/>
  <c r="G9" i="5"/>
  <c r="F12" i="4" s="1"/>
  <c r="F13" i="4" s="1"/>
  <c r="H9" i="5"/>
  <c r="G12" i="4" s="1"/>
  <c r="G13" i="4" s="1"/>
  <c r="D9" i="5"/>
  <c r="D9" i="3" s="1"/>
  <c r="B16" i="5"/>
  <c r="C1" i="7"/>
  <c r="D1" i="7" s="1"/>
  <c r="E1" i="7" s="1"/>
  <c r="F1" i="7" s="1"/>
  <c r="G1" i="7" s="1"/>
  <c r="D15" i="4"/>
  <c r="E15" i="4"/>
  <c r="F15" i="4"/>
  <c r="G15" i="4"/>
  <c r="D16" i="4"/>
  <c r="E16" i="4"/>
  <c r="F16" i="4"/>
  <c r="G16" i="4"/>
  <c r="E17" i="4"/>
  <c r="F17" i="4"/>
  <c r="C16" i="4"/>
  <c r="C15" i="4"/>
  <c r="C17" i="4" s="1"/>
  <c r="D3" i="4"/>
  <c r="E3" i="4" s="1"/>
  <c r="F3" i="4" s="1"/>
  <c r="G3" i="4" s="1"/>
  <c r="D24" i="3"/>
  <c r="E24" i="3" s="1"/>
  <c r="F24" i="3" s="1"/>
  <c r="G24" i="3" s="1"/>
  <c r="H24" i="3" s="1"/>
  <c r="C21" i="3"/>
  <c r="D20" i="3"/>
  <c r="D42" i="3" s="1"/>
  <c r="C23" i="2" s="1"/>
  <c r="C36" i="3"/>
  <c r="D36" i="3" s="1"/>
  <c r="E36" i="3" s="1"/>
  <c r="F36" i="3" s="1"/>
  <c r="G36" i="3" s="1"/>
  <c r="H36" i="3" s="1"/>
  <c r="C35" i="3"/>
  <c r="D35" i="3" s="1"/>
  <c r="E35" i="3" s="1"/>
  <c r="F35" i="3" s="1"/>
  <c r="G35" i="3" s="1"/>
  <c r="H35" i="3" s="1"/>
  <c r="C34" i="3"/>
  <c r="D34" i="3" s="1"/>
  <c r="E34" i="3" s="1"/>
  <c r="F34" i="3" s="1"/>
  <c r="G34" i="3" s="1"/>
  <c r="H34" i="3" s="1"/>
  <c r="B36" i="3"/>
  <c r="B35" i="3"/>
  <c r="B34" i="3"/>
  <c r="C26" i="3"/>
  <c r="C18" i="3"/>
  <c r="C11" i="3"/>
  <c r="C12" i="3" s="1"/>
  <c r="C7" i="3"/>
  <c r="H15" i="5"/>
  <c r="G15" i="5"/>
  <c r="H14" i="5"/>
  <c r="G14" i="5"/>
  <c r="H13" i="5"/>
  <c r="G13" i="5"/>
  <c r="F15" i="5"/>
  <c r="E15" i="5"/>
  <c r="F14" i="5"/>
  <c r="E14" i="5"/>
  <c r="F13" i="5"/>
  <c r="E13" i="5"/>
  <c r="E17" i="5" s="1"/>
  <c r="D14" i="5"/>
  <c r="D15" i="5"/>
  <c r="D13" i="5"/>
  <c r="D17" i="5" s="1"/>
  <c r="E3" i="5"/>
  <c r="F3" i="5" s="1"/>
  <c r="G3" i="5" s="1"/>
  <c r="H3" i="5" s="1"/>
  <c r="E17" i="2"/>
  <c r="C5" i="2"/>
  <c r="C16" i="2" s="1"/>
  <c r="B44" i="2"/>
  <c r="B43" i="2"/>
  <c r="B42" i="2"/>
  <c r="B39" i="2"/>
  <c r="B38" i="2"/>
  <c r="B37" i="2"/>
  <c r="B34" i="2"/>
  <c r="D3" i="2"/>
  <c r="E3" i="2" s="1"/>
  <c r="F3" i="2" s="1"/>
  <c r="G3" i="2" s="1"/>
  <c r="B15" i="5"/>
  <c r="B14" i="5"/>
  <c r="B13" i="5"/>
  <c r="B9" i="4"/>
  <c r="B8" i="4"/>
  <c r="B7" i="4"/>
  <c r="D3" i="3"/>
  <c r="E3" i="3" s="1"/>
  <c r="F3" i="3" s="1"/>
  <c r="G3" i="3" s="1"/>
  <c r="H3" i="3" s="1"/>
  <c r="F17" i="5" l="1"/>
  <c r="E6" i="4" s="1"/>
  <c r="D17" i="4"/>
  <c r="C13" i="3"/>
  <c r="G9" i="2"/>
  <c r="F9" i="2"/>
  <c r="E9" i="2"/>
  <c r="D9" i="2"/>
  <c r="F10" i="2"/>
  <c r="F12" i="2" s="1"/>
  <c r="G11" i="2"/>
  <c r="F6" i="2"/>
  <c r="F7" i="2" s="1"/>
  <c r="E6" i="2"/>
  <c r="E7" i="2" s="1"/>
  <c r="E11" i="2"/>
  <c r="G10" i="2"/>
  <c r="G12" i="2" s="1"/>
  <c r="G13" i="2" s="1"/>
  <c r="D10" i="2"/>
  <c r="D6" i="2"/>
  <c r="D7" i="2" s="1"/>
  <c r="B5" i="7"/>
  <c r="F28" i="7" s="1"/>
  <c r="G17" i="4"/>
  <c r="C22" i="3"/>
  <c r="C27" i="3" s="1"/>
  <c r="H17" i="5"/>
  <c r="G6" i="4" s="1"/>
  <c r="G17" i="5"/>
  <c r="F21" i="2" s="1"/>
  <c r="C29" i="3"/>
  <c r="E20" i="3"/>
  <c r="D21" i="3"/>
  <c r="C21" i="2"/>
  <c r="C12" i="4"/>
  <c r="C13" i="4" s="1"/>
  <c r="E9" i="3"/>
  <c r="F9" i="3" s="1"/>
  <c r="G9" i="3" s="1"/>
  <c r="H9" i="3" s="1"/>
  <c r="D17" i="2"/>
  <c r="F18" i="2"/>
  <c r="E18" i="2"/>
  <c r="D18" i="2"/>
  <c r="F17" i="2"/>
  <c r="F16" i="2"/>
  <c r="E16" i="2"/>
  <c r="E19" i="2" s="1"/>
  <c r="D16" i="2"/>
  <c r="D6" i="4"/>
  <c r="C6" i="4"/>
  <c r="D10" i="3"/>
  <c r="G16" i="2"/>
  <c r="G2" i="7"/>
  <c r="G18" i="2"/>
  <c r="G17" i="2"/>
  <c r="C18" i="2"/>
  <c r="C6" i="2"/>
  <c r="C7" i="2" s="1"/>
  <c r="C11" i="2"/>
  <c r="C17" i="2"/>
  <c r="C9" i="2"/>
  <c r="C10" i="2"/>
  <c r="E21" i="2" l="1"/>
  <c r="F13" i="2"/>
  <c r="E12" i="2"/>
  <c r="D12" i="2"/>
  <c r="D13" i="2" s="1"/>
  <c r="E13" i="2"/>
  <c r="G32" i="3"/>
  <c r="G17" i="3" s="1"/>
  <c r="F2" i="7"/>
  <c r="F19" i="2"/>
  <c r="F20" i="3"/>
  <c r="E21" i="3"/>
  <c r="E42" i="3"/>
  <c r="D23" i="2" s="1"/>
  <c r="F32" i="3"/>
  <c r="F6" i="3" s="1"/>
  <c r="E2" i="7"/>
  <c r="F3" i="7"/>
  <c r="C2" i="7"/>
  <c r="E32" i="3"/>
  <c r="E17" i="3" s="1"/>
  <c r="D2" i="7"/>
  <c r="C19" i="2"/>
  <c r="D21" i="2"/>
  <c r="F6" i="4"/>
  <c r="G21" i="2"/>
  <c r="E3" i="7"/>
  <c r="D19" i="2"/>
  <c r="D11" i="3"/>
  <c r="D12" i="3" s="1"/>
  <c r="E10" i="3"/>
  <c r="G19" i="2"/>
  <c r="H32" i="3"/>
  <c r="D32" i="3"/>
  <c r="C12" i="2"/>
  <c r="C13" i="2" s="1"/>
  <c r="D3" i="7" l="1"/>
  <c r="C14" i="2"/>
  <c r="F17" i="3"/>
  <c r="E9" i="4" s="1"/>
  <c r="G6" i="3"/>
  <c r="F7" i="4" s="1"/>
  <c r="G20" i="3"/>
  <c r="F21" i="3"/>
  <c r="F42" i="3"/>
  <c r="E23" i="2" s="1"/>
  <c r="E33" i="3"/>
  <c r="E16" i="3" s="1"/>
  <c r="E18" i="3" s="1"/>
  <c r="E22" i="3" s="1"/>
  <c r="D20" i="2"/>
  <c r="D22" i="2" s="1"/>
  <c r="H33" i="3"/>
  <c r="H16" i="3" s="1"/>
  <c r="G3" i="7"/>
  <c r="E6" i="3"/>
  <c r="E7" i="4" s="1"/>
  <c r="G33" i="3"/>
  <c r="G16" i="3" s="1"/>
  <c r="G18" i="3" s="1"/>
  <c r="F20" i="2"/>
  <c r="F22" i="2" s="1"/>
  <c r="D33" i="3"/>
  <c r="D16" i="3" s="1"/>
  <c r="C3" i="7"/>
  <c r="G20" i="2"/>
  <c r="G22" i="2" s="1"/>
  <c r="F33" i="3"/>
  <c r="F16" i="3" s="1"/>
  <c r="F10" i="3"/>
  <c r="E11" i="3"/>
  <c r="E12" i="3" s="1"/>
  <c r="H6" i="3"/>
  <c r="G7" i="4" s="1"/>
  <c r="H17" i="3"/>
  <c r="C4" i="7"/>
  <c r="C5" i="7" s="1"/>
  <c r="F29" i="7" s="1"/>
  <c r="D6" i="3"/>
  <c r="D17" i="3"/>
  <c r="D24" i="2" l="1"/>
  <c r="D25" i="2" s="1"/>
  <c r="D26" i="2" s="1"/>
  <c r="D6" i="7" s="1"/>
  <c r="F9" i="4"/>
  <c r="D8" i="4"/>
  <c r="E14" i="2"/>
  <c r="E4" i="7"/>
  <c r="E5" i="7" s="1"/>
  <c r="F31" i="7" s="1"/>
  <c r="G14" i="2"/>
  <c r="G4" i="7"/>
  <c r="G5" i="7" s="1"/>
  <c r="F33" i="7" s="1"/>
  <c r="F14" i="2"/>
  <c r="F4" i="7"/>
  <c r="F5" i="7" s="1"/>
  <c r="F32" i="7" s="1"/>
  <c r="G8" i="4"/>
  <c r="G10" i="4" s="1"/>
  <c r="G7" i="7" s="1"/>
  <c r="B33" i="7" s="1"/>
  <c r="D4" i="7"/>
  <c r="D5" i="7" s="1"/>
  <c r="F30" i="7" s="1"/>
  <c r="D14" i="2"/>
  <c r="H20" i="3"/>
  <c r="G21" i="3"/>
  <c r="G22" i="3" s="1"/>
  <c r="G42" i="3"/>
  <c r="C8" i="4"/>
  <c r="E8" i="4"/>
  <c r="E10" i="4" s="1"/>
  <c r="E7" i="7" s="1"/>
  <c r="B31" i="7" s="1"/>
  <c r="F18" i="3"/>
  <c r="F22" i="3" s="1"/>
  <c r="F8" i="4"/>
  <c r="F10" i="4" s="1"/>
  <c r="F7" i="7" s="1"/>
  <c r="B32" i="7" s="1"/>
  <c r="E20" i="2"/>
  <c r="E22" i="2" s="1"/>
  <c r="G10" i="3"/>
  <c r="F11" i="3"/>
  <c r="F12" i="3" s="1"/>
  <c r="G9" i="4"/>
  <c r="H18" i="3"/>
  <c r="C9" i="4"/>
  <c r="D9" i="4"/>
  <c r="C20" i="2"/>
  <c r="C22" i="2" s="1"/>
  <c r="C24" i="2" s="1"/>
  <c r="C25" i="2" s="1"/>
  <c r="C26" i="2" s="1"/>
  <c r="D18" i="3"/>
  <c r="D22" i="3" s="1"/>
  <c r="C7" i="4"/>
  <c r="A23" i="7" l="1"/>
  <c r="C6" i="7"/>
  <c r="A20" i="7"/>
  <c r="F23" i="2"/>
  <c r="F24" i="2" s="1"/>
  <c r="F25" i="2" s="1"/>
  <c r="F26" i="2" s="1"/>
  <c r="F6" i="7" s="1"/>
  <c r="D4" i="4"/>
  <c r="D28" i="2"/>
  <c r="E24" i="2"/>
  <c r="E25" i="2" s="1"/>
  <c r="E26" i="2" s="1"/>
  <c r="E6" i="7" s="1"/>
  <c r="H42" i="3"/>
  <c r="H21" i="3"/>
  <c r="D10" i="4"/>
  <c r="D7" i="7" s="1"/>
  <c r="B30" i="7" s="1"/>
  <c r="H22" i="3"/>
  <c r="C10" i="4"/>
  <c r="C7" i="7" s="1"/>
  <c r="B29" i="7" s="1"/>
  <c r="G11" i="3"/>
  <c r="G12" i="3" s="1"/>
  <c r="H10" i="3"/>
  <c r="H11" i="3" s="1"/>
  <c r="H12" i="3" s="1"/>
  <c r="C4" i="4"/>
  <c r="C28" i="2"/>
  <c r="D25" i="3"/>
  <c r="F28" i="2" l="1"/>
  <c r="F4" i="4"/>
  <c r="F18" i="4" s="1"/>
  <c r="G23" i="2"/>
  <c r="G24" i="2" s="1"/>
  <c r="G25" i="2" s="1"/>
  <c r="G26" i="2" s="1"/>
  <c r="G6" i="7" s="1"/>
  <c r="D18" i="4"/>
  <c r="E28" i="2"/>
  <c r="E4" i="4"/>
  <c r="E18" i="4" s="1"/>
  <c r="C18" i="4"/>
  <c r="D5" i="3" s="1"/>
  <c r="D26" i="3"/>
  <c r="D27" i="3" s="1"/>
  <c r="E25" i="3"/>
  <c r="G28" i="2" l="1"/>
  <c r="G4" i="4"/>
  <c r="G18" i="4" s="1"/>
  <c r="E5" i="3"/>
  <c r="F5" i="3" s="1"/>
  <c r="D7" i="3"/>
  <c r="D13" i="3" s="1"/>
  <c r="D29" i="3" s="1"/>
  <c r="E26" i="3"/>
  <c r="E27" i="3" s="1"/>
  <c r="F25" i="3"/>
  <c r="E7" i="3" l="1"/>
  <c r="E13" i="3" s="1"/>
  <c r="E29" i="3"/>
  <c r="F26" i="3"/>
  <c r="F27" i="3" s="1"/>
  <c r="G25" i="3"/>
  <c r="G5" i="3"/>
  <c r="F7" i="3"/>
  <c r="F13" i="3" s="1"/>
  <c r="H5" i="3" l="1"/>
  <c r="H7" i="3" s="1"/>
  <c r="H13" i="3" s="1"/>
  <c r="G7" i="3"/>
  <c r="G13" i="3" s="1"/>
  <c r="H25" i="3"/>
  <c r="H26" i="3" s="1"/>
  <c r="H27" i="3" s="1"/>
  <c r="G26" i="3"/>
  <c r="G27" i="3" s="1"/>
  <c r="F29" i="3"/>
  <c r="G29" i="3" l="1"/>
  <c r="H29" i="3"/>
</calcChain>
</file>

<file path=xl/sharedStrings.xml><?xml version="1.0" encoding="utf-8"?>
<sst xmlns="http://schemas.openxmlformats.org/spreadsheetml/2006/main" count="136" uniqueCount="105">
  <si>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</si>
  <si>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</si>
  <si>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</si>
  <si>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</si>
  <si>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</si>
  <si>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</si>
  <si>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</si>
  <si>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</si>
  <si>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</si>
  <si>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</si>
  <si>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</si>
  <si>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</si>
  <si>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</si>
  <si>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</si>
  <si>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</si>
  <si>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</si>
  <si>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</si>
  <si>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</si>
  <si>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</si>
  <si>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</si>
  <si>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</si>
  <si>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</si>
  <si>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</si>
  <si>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</si>
  <si>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</si>
  <si>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</si>
  <si>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</si>
  <si>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</si>
  <si>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</si>
  <si>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</si>
  <si>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</si>
  <si>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</si>
  <si>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</si>
  <si>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</si>
  <si>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</si>
  <si>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</si>
  <si>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</si>
  <si>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</si>
  <si>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</si>
  <si>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</si>
  <si>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</si>
  <si>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</si>
  <si>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</si>
  <si>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</si>
  <si>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</si>
  <si>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</si>
  <si>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</si>
  <si>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</si>
  <si>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</si>
  <si>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</si>
  <si>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</si>
  <si>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</si>
  <si>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</si>
  <si>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</si>
  <si>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</si>
  <si>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</si>
  <si>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</si>
  <si>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</si>
  <si>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</si>
  <si>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</si>
  <si>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</si>
  <si>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</si>
  <si>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</si>
  <si>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</si>
  <si>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</si>
  <si>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</si>
  <si>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</si>
  <si>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</si>
  <si>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</si>
  <si>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</si>
  <si>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</si>
  <si>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</si>
  <si>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</si>
  <si>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Total CapEx</t>
  </si>
  <si>
    <t>Existing Equipment</t>
  </si>
  <si>
    <t>Total D&amp;A</t>
  </si>
  <si>
    <t>Blender Station</t>
  </si>
  <si>
    <t xml:space="preserve">Flash Freezer </t>
  </si>
  <si>
    <t>Dairy Refrigerator</t>
  </si>
  <si>
    <t>Metric</t>
  </si>
  <si>
    <t>POS System</t>
  </si>
  <si>
    <t>Gross Profit Margin (%)</t>
  </si>
  <si>
    <t>Target GPM</t>
  </si>
  <si>
    <t>Net Revenue (Yearly)</t>
  </si>
  <si>
    <t>Column Chart</t>
  </si>
  <si>
    <t>Gross Margin %</t>
  </si>
  <si>
    <t>Line Chart</t>
  </si>
  <si>
    <t>Column or Line</t>
  </si>
  <si>
    <t>KPI</t>
  </si>
  <si>
    <t>Revenue Trend</t>
  </si>
  <si>
    <t>Net Income Margin %</t>
  </si>
  <si>
    <t>Cash Flow Waterfall</t>
  </si>
  <si>
    <t>(Bar/Column</t>
  </si>
  <si>
    <t>Bar or Line</t>
  </si>
  <si>
    <t>Operating Cashflow</t>
  </si>
  <si>
    <t>Year</t>
  </si>
  <si>
    <t>Smoothed OCF</t>
  </si>
  <si>
    <t>2024</t>
  </si>
  <si>
    <t>2025</t>
  </si>
  <si>
    <t>2026</t>
  </si>
  <si>
    <t>2027</t>
  </si>
  <si>
    <t>2028</t>
  </si>
  <si>
    <t>2029</t>
  </si>
  <si>
    <t>Financial Performance Dashboard: 2024–2029</t>
  </si>
  <si>
    <t>2024–2025 Actuals | 2026–2029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</si>
</sst>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yyyy\E"/>
    <numFmt numFmtId="168" formatCode="mmm\-yy\A"/>
    <numFmt numFmtId="169" formatCode="mmm\-yy\E"/>
    <numFmt numFmtId="170" formatCode="yyyy"/>
    <numFmt numFmtId="171" formatCode="&quot;$&quot;#,##0"/>
    <numFmt numFmtId="172" formatCode="&quot;$&quot;#,##0.00"/>
  </numFmts>
  <fonts count="19" x14ac:knownFonts="1">
    <font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0432FF"/>
      <name val="Calibri"/>
      <family val="2"/>
    </font>
    <font>
      <sz val="12"/>
      <color rgb="FF2741EE"/>
      <name val="Calibri"/>
      <family val="2"/>
    </font>
    <font>
      <b/>
      <sz val="11"/>
      <color theme="1"/>
      <name val="Calibri"/>
    </font>
    <font>
      <sz val="11"/>
      <color theme="1"/>
      <name val="Calibri"/>
    </font>
    <font>
      <i/>
      <sz val="10"/>
      <color theme="1"/>
      <name val="Calibri"/>
      <family val="2"/>
    </font>
    <font>
      <b/>
      <sz val="24"/>
      <color theme="4"/>
      <name val="Calibri"/>
      <family val="2"/>
    </font>
    <font>
      <sz val="24"/>
      <color theme="1"/>
      <name val="Calibri"/>
      <family val="2"/>
    </font>
    <font>
      <sz val="12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7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5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6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5" fontId="0" fillId="3" borderId="1" xfId="0" applyNumberFormat="1" applyFill="1" applyBorder="1"/>
    <xf numFmtId="0" fontId="6" fillId="3" borderId="1" xfId="0" applyFont="1" applyFill="1" applyBorder="1"/>
    <xf numFmtId="0" fontId="2" fillId="0" borderId="0" xfId="0" applyFont="1" applyAlignment="1">
      <alignment horizontal="left"/>
    </xf>
    <xf numFmtId="164" fontId="1" fillId="0" borderId="4" xfId="0" applyNumberFormat="1" applyFont="1" applyBorder="1"/>
    <xf numFmtId="0" fontId="0" fillId="3" borderId="1" xfId="0" applyFill="1" applyBorder="1" applyAlignment="1">
      <alignment horizontal="left" indent="1"/>
    </xf>
    <xf numFmtId="0" fontId="1" fillId="0" borderId="4" xfId="0" applyFont="1" applyBorder="1"/>
    <xf numFmtId="0" fontId="1" fillId="0" borderId="0" xfId="0" applyFont="1"/>
    <xf numFmtId="0" fontId="7" fillId="2" borderId="1" xfId="0" applyFont="1" applyFill="1" applyBorder="1"/>
    <xf numFmtId="0" fontId="8" fillId="2" borderId="2" xfId="0" applyFont="1" applyFill="1" applyBorder="1"/>
    <xf numFmtId="167" fontId="7" fillId="2" borderId="2" xfId="0" applyNumberFormat="1" applyFont="1" applyFill="1" applyBorder="1"/>
    <xf numFmtId="0" fontId="9" fillId="0" borderId="0" xfId="0" applyFont="1"/>
    <xf numFmtId="0" fontId="9" fillId="0" borderId="0" xfId="0" applyFont="1" applyAlignment="1">
      <alignment horizontal="left" indent="1"/>
    </xf>
    <xf numFmtId="164" fontId="9" fillId="0" borderId="0" xfId="0" applyNumberFormat="1" applyFont="1"/>
    <xf numFmtId="0" fontId="7" fillId="0" borderId="3" xfId="0" applyFont="1" applyBorder="1" applyAlignment="1">
      <alignment horizontal="left"/>
    </xf>
    <xf numFmtId="164" fontId="7" fillId="0" borderId="3" xfId="0" applyNumberFormat="1" applyFont="1" applyBorder="1"/>
    <xf numFmtId="0" fontId="8" fillId="0" borderId="0" xfId="0" applyFont="1" applyAlignment="1">
      <alignment horizontal="left"/>
    </xf>
    <xf numFmtId="9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left"/>
    </xf>
    <xf numFmtId="164" fontId="9" fillId="0" borderId="5" xfId="0" applyNumberFormat="1" applyFont="1" applyBorder="1"/>
    <xf numFmtId="0" fontId="7" fillId="0" borderId="4" xfId="0" applyFont="1" applyBorder="1" applyAlignment="1">
      <alignment horizontal="left"/>
    </xf>
    <xf numFmtId="164" fontId="7" fillId="0" borderId="4" xfId="0" applyNumberFormat="1" applyFont="1" applyBorder="1"/>
    <xf numFmtId="0" fontId="10" fillId="2" borderId="2" xfId="0" applyFont="1" applyFill="1" applyBorder="1"/>
    <xf numFmtId="0" fontId="11" fillId="3" borderId="1" xfId="0" applyFont="1" applyFill="1" applyBorder="1" applyAlignment="1">
      <alignment horizontal="center"/>
    </xf>
    <xf numFmtId="166" fontId="12" fillId="0" borderId="0" xfId="0" applyNumberFormat="1" applyFont="1"/>
    <xf numFmtId="0" fontId="12" fillId="0" borderId="0" xfId="0" applyFont="1"/>
    <xf numFmtId="0" fontId="7" fillId="0" borderId="4" xfId="0" applyFont="1" applyBorder="1"/>
    <xf numFmtId="166" fontId="7" fillId="0" borderId="4" xfId="0" applyNumberFormat="1" applyFont="1" applyBorder="1"/>
    <xf numFmtId="166" fontId="9" fillId="0" borderId="0" xfId="0" applyNumberFormat="1" applyFont="1"/>
    <xf numFmtId="0" fontId="9" fillId="0" borderId="5" xfId="0" applyFont="1" applyBorder="1" applyAlignment="1">
      <alignment horizontal="left" indent="1"/>
    </xf>
    <xf numFmtId="0" fontId="7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164" fontId="7" fillId="0" borderId="6" xfId="0" applyNumberFormat="1" applyFont="1" applyBorder="1"/>
    <xf numFmtId="0" fontId="8" fillId="2" borderId="1" xfId="0" applyFont="1" applyFill="1" applyBorder="1" applyAlignment="1">
      <alignment horizontal="right"/>
    </xf>
    <xf numFmtId="168" fontId="7" fillId="2" borderId="2" xfId="0" applyNumberFormat="1" applyFont="1" applyFill="1" applyBorder="1"/>
    <xf numFmtId="169" fontId="7" fillId="2" borderId="2" xfId="0" applyNumberFormat="1" applyFont="1" applyFill="1" applyBorder="1"/>
    <xf numFmtId="164" fontId="11" fillId="0" borderId="0" xfId="0" applyNumberFormat="1" applyFont="1"/>
    <xf numFmtId="164" fontId="11" fillId="0" borderId="5" xfId="0" applyNumberFormat="1" applyFont="1" applyBorder="1"/>
    <xf numFmtId="0" fontId="7" fillId="0" borderId="6" xfId="0" applyFont="1" applyBorder="1"/>
    <xf numFmtId="0" fontId="11" fillId="0" borderId="0" xfId="0" applyFont="1"/>
    <xf numFmtId="0" fontId="7" fillId="0" borderId="3" xfId="0" applyFont="1" applyBorder="1"/>
    <xf numFmtId="1" fontId="7" fillId="0" borderId="3" xfId="0" applyNumberFormat="1" applyFont="1" applyBorder="1"/>
    <xf numFmtId="0" fontId="7" fillId="0" borderId="7" xfId="0" applyFont="1" applyBorder="1"/>
    <xf numFmtId="164" fontId="7" fillId="0" borderId="7" xfId="0" applyNumberFormat="1" applyFont="1" applyBorder="1"/>
    <xf numFmtId="0" fontId="9" fillId="0" borderId="6" xfId="0" applyFont="1" applyBorder="1"/>
    <xf numFmtId="164" fontId="9" fillId="0" borderId="6" xfId="0" applyNumberFormat="1" applyFont="1" applyBorder="1"/>
    <xf numFmtId="170" fontId="0" fillId="0" borderId="0" xfId="0" applyNumberFormat="1"/>
    <xf numFmtId="170" fontId="1" fillId="0" borderId="0" xfId="0" applyNumberFormat="1" applyFont="1"/>
    <xf numFmtId="37" fontId="7" fillId="0" borderId="3" xfId="0" applyNumberFormat="1" applyFont="1" applyBorder="1"/>
    <xf numFmtId="3" fontId="7" fillId="0" borderId="3" xfId="0" applyNumberFormat="1" applyFont="1" applyBorder="1"/>
    <xf numFmtId="10" fontId="9" fillId="0" borderId="0" xfId="0" applyNumberFormat="1" applyFont="1"/>
    <xf numFmtId="43" fontId="0" fillId="0" borderId="0" xfId="0" applyNumberFormat="1"/>
    <xf numFmtId="37" fontId="9" fillId="0" borderId="0" xfId="0" applyNumberFormat="1" applyFont="1"/>
    <xf numFmtId="37" fontId="9" fillId="0" borderId="5" xfId="0" applyNumberFormat="1" applyFont="1" applyBorder="1"/>
    <xf numFmtId="37" fontId="7" fillId="0" borderId="4" xfId="0" applyNumberFormat="1" applyFont="1" applyBorder="1"/>
    <xf numFmtId="3" fontId="4" fillId="3" borderId="1" xfId="0" applyNumberFormat="1" applyFont="1" applyFill="1" applyBorder="1"/>
    <xf numFmtId="3" fontId="0" fillId="0" borderId="0" xfId="0" applyNumberFormat="1"/>
    <xf numFmtId="37" fontId="0" fillId="0" borderId="0" xfId="0" applyNumberFormat="1"/>
    <xf numFmtId="1" fontId="0" fillId="0" borderId="0" xfId="0" applyNumberFormat="1"/>
    <xf numFmtId="0" fontId="0" fillId="4" borderId="0" xfId="0" applyFill="1"/>
    <xf numFmtId="0" fontId="1" fillId="4" borderId="0" xfId="0" applyFont="1" applyFill="1"/>
    <xf numFmtId="0" fontId="13" fillId="0" borderId="0" xfId="0" applyFont="1"/>
    <xf numFmtId="171" fontId="0" fillId="0" borderId="0" xfId="0" applyNumberFormat="1"/>
    <xf numFmtId="171" fontId="3" fillId="0" borderId="0" xfId="1" applyNumberFormat="1" applyFont="1"/>
    <xf numFmtId="172" fontId="3" fillId="0" borderId="0" xfId="0" applyNumberFormat="1" applyFont="1"/>
    <xf numFmtId="171" fontId="0" fillId="0" borderId="0" xfId="1" applyNumberFormat="1" applyFont="1"/>
    <xf numFmtId="1" fontId="3" fillId="0" borderId="0" xfId="0" applyNumberFormat="1" applyFont="1"/>
    <xf numFmtId="49" fontId="3" fillId="0" borderId="0" xfId="0" quotePrefix="1" applyNumberFormat="1" applyFont="1"/>
    <xf numFmtId="0" fontId="9" fillId="3" borderId="1" xfId="0" applyFont="1" applyFill="1" applyBorder="1"/>
    <xf numFmtId="164" fontId="9" fillId="3" borderId="1" xfId="0" applyNumberFormat="1" applyFont="1" applyFill="1" applyBorder="1"/>
    <xf numFmtId="165" fontId="9" fillId="3" borderId="1" xfId="0" applyNumberFormat="1" applyFont="1" applyFill="1" applyBorder="1"/>
    <xf numFmtId="0" fontId="18" fillId="3" borderId="1" xfId="0" applyFont="1" applyFill="1" applyBorder="1"/>
    <xf numFmtId="164" fontId="11" fillId="3" borderId="1" xfId="0" applyNumberFormat="1" applyFont="1" applyFill="1" applyBorder="1"/>
    <xf numFmtId="9" fontId="11" fillId="3" borderId="1" xfId="0" applyNumberFormat="1" applyFont="1" applyFill="1" applyBorder="1"/>
    <xf numFmtId="0" fontId="16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Performance</a:t>
            </a:r>
            <a:r>
              <a:rPr lang="en-US" baseline="0"/>
              <a:t> Overview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Revenue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Data!$E$28:$E$33</c:f>
              <c:strCache>
                <c:ptCount val="6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</c:strCache>
            </c:strRef>
          </c:cat>
          <c:val>
            <c:numRef>
              <c:f>Data!$B$2:$G$2</c:f>
              <c:numCache>
                <c:formatCode>#,##0</c:formatCode>
                <c:ptCount val="6"/>
                <c:pt idx="0">
                  <c:v>15000</c:v>
                </c:pt>
                <c:pt idx="1">
                  <c:v>26880</c:v>
                </c:pt>
                <c:pt idx="2">
                  <c:v>38400</c:v>
                </c:pt>
                <c:pt idx="3">
                  <c:v>49920</c:v>
                </c:pt>
                <c:pt idx="4">
                  <c:v>53760</c:v>
                </c:pt>
                <c:pt idx="5">
                  <c:v>65280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49-464E-8074-8754D6CE52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8654752"/>
        <c:axId val="1438650432"/>
      </c:lineChart>
      <c:catAx>
        <c:axId val="14386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50432"/>
        <c:crosses val="autoZero"/>
        <c:auto val="1"/>
        <c:lblAlgn val="ctr"/>
        <c:lblOffset val="100"/>
        <c:noMultiLvlLbl val="0"/>
      </c:catAx>
      <c:valAx>
        <c:axId val="1438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Margin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Gross Profit Margin (%)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Data!$E$28:$E$33</c:f>
              <c:strCache>
                <c:ptCount val="6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</c:strCache>
            </c:strRef>
          </c:cat>
          <c:val>
            <c:numRef>
              <c:f>Data!$B$5:$G$5</c:f>
              <c:numCache>
                <c:formatCode>0%</c:formatCode>
                <c:ptCount val="6"/>
                <c:pt idx="0">
                  <c:v>0.41</c:v>
                </c:pt>
                <c:pt idx="1">
                  <c:v>0.44791666666666669</c:v>
                </c:pt>
                <c:pt idx="2">
                  <c:v>0.48333333333333334</c:v>
                </c:pt>
                <c:pt idx="3">
                  <c:v>0.51041666666666663</c:v>
                </c:pt>
                <c:pt idx="4">
                  <c:v>0.54166666666666663</c:v>
                </c:pt>
                <c:pt idx="5">
                  <c:v>0.59375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CF-4AE5-90C0-23AD26C7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992608"/>
        <c:axId val="1639254176"/>
      </c:lineChart>
      <c:catAx>
        <c:axId val="16319926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54176"/>
        <c:crosses val="autoZero"/>
        <c:auto val="1"/>
        <c:lblAlgn val="ctr"/>
        <c:lblOffset val="100"/>
        <c:noMultiLvlLbl val="0"/>
      </c:catAx>
      <c:valAx>
        <c:axId val="16392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Operating Cash Flow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Data!$A$28:$A$33</c:f>
              <c:numCache>
                <c:formatCode>0</c:formatCode>
                <c:ptCount val="6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</c:numCache>
            </c:numRef>
          </c:cat>
          <c:val>
            <c:numRef>
              <c:f>Data!$C$28:$C$33</c:f>
              <c:numCache>
                <c:formatCode>"$"#,##0</c:formatCode>
                <c:ptCount val="6"/>
                <c:pt idx="0">
                  <c:v>1700</c:v>
                </c:pt>
                <c:pt idx="1">
                  <c:v>3200</c:v>
                </c:pt>
                <c:pt idx="2">
                  <c:v>3800</c:v>
                </c:pt>
                <c:pt idx="3">
                  <c:v>4400</c:v>
                </c:pt>
                <c:pt idx="4">
                  <c:v>4900</c:v>
                </c:pt>
                <c:pt idx="5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D-4F56-BB60-E262D1B6E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258335"/>
        <c:axId val="2121256895"/>
      </c:barChart>
      <c:catAx>
        <c:axId val="21212583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56895"/>
        <c:crosses val="autoZero"/>
        <c:auto val="1"/>
        <c:lblAlgn val="ctr"/>
        <c:lblOffset val="100"/>
        <c:noMultiLvlLbl val="0"/>
      </c:catAx>
      <c:valAx>
        <c:axId val="21212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5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Revenue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Data!$B$2:$G$2</c:f>
              <c:numCache>
                <c:formatCode>#,##0</c:formatCode>
                <c:ptCount val="6"/>
                <c:pt idx="0">
                  <c:v>15000</c:v>
                </c:pt>
                <c:pt idx="1">
                  <c:v>26880</c:v>
                </c:pt>
                <c:pt idx="2">
                  <c:v>38400</c:v>
                </c:pt>
                <c:pt idx="3">
                  <c:v>49920</c:v>
                </c:pt>
                <c:pt idx="4">
                  <c:v>53760</c:v>
                </c:pt>
                <c:pt idx="5">
                  <c:v>65280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E3-4E62-944D-2A65FC0D8F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8654752"/>
        <c:axId val="1438650432"/>
      </c:lineChart>
      <c:catAx>
        <c:axId val="143865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50432"/>
        <c:crosses val="autoZero"/>
        <c:auto val="1"/>
        <c:lblAlgn val="ctr"/>
        <c:lblOffset val="100"/>
        <c:noMultiLvlLbl val="0"/>
      </c:catAx>
      <c:valAx>
        <c:axId val="1438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Margin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Gross Profit Margin (%)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Data!$B$5:$G$5</c:f>
              <c:numCache>
                <c:formatCode>0%</c:formatCode>
                <c:ptCount val="6"/>
                <c:pt idx="0">
                  <c:v>0.41</c:v>
                </c:pt>
                <c:pt idx="1">
                  <c:v>0.44791666666666669</c:v>
                </c:pt>
                <c:pt idx="2">
                  <c:v>0.48333333333333334</c:v>
                </c:pt>
                <c:pt idx="3">
                  <c:v>0.51041666666666663</c:v>
                </c:pt>
                <c:pt idx="4">
                  <c:v>0.54166666666666663</c:v>
                </c:pt>
                <c:pt idx="5">
                  <c:v>0.59375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93-4B73-9CDA-94DD8FA7C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992608"/>
        <c:axId val="1639254176"/>
      </c:lineChart>
      <c:catAx>
        <c:axId val="16319926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54176"/>
        <c:crosses val="autoZero"/>
        <c:auto val="1"/>
        <c:lblAlgn val="ctr"/>
        <c:lblOffset val="100"/>
        <c:noMultiLvlLbl val="0"/>
      </c:catAx>
      <c:valAx>
        <c:axId val="16392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Data!$A$28:$A$33</c:f>
              <c:numCache>
                <c:formatCode>0</c:formatCode>
                <c:ptCount val="6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</c:numCache>
            </c:numRef>
          </c:cat>
          <c:val>
            <c:numRef>
              <c:f>Data!$C$28:$C$33</c:f>
              <c:numCache>
                <c:formatCode>"$"#,##0</c:formatCode>
                <c:ptCount val="6"/>
                <c:pt idx="0">
                  <c:v>1700</c:v>
                </c:pt>
                <c:pt idx="1">
                  <c:v>3200</c:v>
                </c:pt>
                <c:pt idx="2">
                  <c:v>3800</c:v>
                </c:pt>
                <c:pt idx="3">
                  <c:v>4400</c:v>
                </c:pt>
                <c:pt idx="4">
                  <c:v>4900</c:v>
                </c:pt>
                <c:pt idx="5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7-4BF8-8EA1-87770EF4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258335"/>
        <c:axId val="2121256895"/>
      </c:barChart>
      <c:catAx>
        <c:axId val="21212583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56895"/>
        <c:crosses val="autoZero"/>
        <c:auto val="1"/>
        <c:lblAlgn val="ctr"/>
        <c:lblOffset val="100"/>
        <c:noMultiLvlLbl val="0"/>
      </c:catAx>
      <c:valAx>
        <c:axId val="21212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5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</xdr:row>
      <xdr:rowOff>171450</xdr:rowOff>
    </xdr:from>
    <xdr:to>
      <xdr:col>24</xdr:col>
      <xdr:colOff>468630</xdr:colOff>
      <xdr:row>8</xdr:row>
      <xdr:rowOff>23622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D62240F0-EDF0-1BF6-1FA4-9D0D08A153C7}"/>
            </a:ext>
          </a:extLst>
        </xdr:cNvPr>
        <xdr:cNvGrpSpPr/>
      </xdr:nvGrpSpPr>
      <xdr:grpSpPr>
        <a:xfrm>
          <a:off x="66674" y="952500"/>
          <a:ext cx="15032356" cy="804672"/>
          <a:chOff x="57149" y="38100"/>
          <a:chExt cx="15032356" cy="804672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B66C2984-B1B1-BA98-D3D1-9A51A6EC5435}"/>
              </a:ext>
            </a:extLst>
          </xdr:cNvPr>
          <xdr:cNvGrpSpPr/>
        </xdr:nvGrpSpPr>
        <xdr:grpSpPr>
          <a:xfrm>
            <a:off x="10151745" y="38100"/>
            <a:ext cx="4937760" cy="804672"/>
            <a:chOff x="9875520" y="47625"/>
            <a:chExt cx="4754880" cy="804672"/>
          </a:xfrm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9A7D8027-8BF4-4C42-BC1D-4E8A175C48E4}"/>
                </a:ext>
              </a:extLst>
            </xdr:cNvPr>
            <xdr:cNvSpPr/>
          </xdr:nvSpPr>
          <xdr:spPr>
            <a:xfrm>
              <a:off x="9875520" y="47625"/>
              <a:ext cx="4754880" cy="804672"/>
            </a:xfrm>
            <a:prstGeom prst="rect">
              <a:avLst/>
            </a:prstGeom>
            <a:solidFill>
              <a:schemeClr val="bg2">
                <a:lumMod val="85000"/>
              </a:schemeClr>
            </a:solidFill>
            <a:ln>
              <a:noFill/>
            </a:ln>
          </xdr:spPr>
          <xdr:style>
            <a:lnRef idx="2">
              <a:schemeClr val="accent3">
                <a:shade val="15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0A91DBAB-3513-4028-9990-EA72E8DF5A64}"/>
                </a:ext>
              </a:extLst>
            </xdr:cNvPr>
            <xdr:cNvGrpSpPr/>
          </xdr:nvGrpSpPr>
          <xdr:grpSpPr>
            <a:xfrm>
              <a:off x="9875520" y="52197"/>
              <a:ext cx="4754880" cy="800100"/>
              <a:chOff x="10363200" y="47625"/>
              <a:chExt cx="4619625" cy="800100"/>
            </a:xfrm>
          </xdr:grpSpPr>
          <xdr:sp macro="" textlink="Data!C23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8670E367-481A-4740-BF12-E96759432D55}"/>
                  </a:ext>
                </a:extLst>
              </xdr:cNvPr>
              <xdr:cNvSpPr txBox="1"/>
            </xdr:nvSpPr>
            <xdr:spPr>
              <a:xfrm>
                <a:off x="10365105" y="381000"/>
                <a:ext cx="4617720" cy="466725"/>
              </a:xfrm>
              <a:prstGeom prst="rect">
                <a:avLst/>
              </a:prstGeom>
              <a:solidFill>
                <a:schemeClr val="bg2">
                  <a:lumMod val="85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9F78EB11-3318-42B4-BDB9-958036F18F08}" type="TxLink">
                  <a:rPr lang="en-US" sz="2400" b="1" i="0" u="none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pPr marL="0" indent="0" algn="ctr"/>
                  <a:t>$3,200</a:t>
                </a:fld>
                <a:endParaRPr lang="en-US" sz="24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endParaRPr>
              </a:p>
            </xdr:txBody>
          </xdr:sp>
          <xdr:sp macro="" textlink="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C9A1A13E-4F61-4D4D-9BC1-8AECCC460AAE}"/>
                  </a:ext>
                </a:extLst>
              </xdr:cNvPr>
              <xdr:cNvSpPr txBox="1"/>
            </xdr:nvSpPr>
            <xdr:spPr>
              <a:xfrm>
                <a:off x="10363200" y="47625"/>
                <a:ext cx="4619625" cy="247650"/>
              </a:xfrm>
              <a:prstGeom prst="rect">
                <a:avLst/>
              </a:prstGeom>
              <a:solidFill>
                <a:schemeClr val="bg2">
                  <a:lumMod val="85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200" b="1"/>
                  <a:t>Operating</a:t>
                </a:r>
                <a:r>
                  <a:rPr lang="en-US" sz="1200" b="1" baseline="0"/>
                  <a:t> Cashflow</a:t>
                </a:r>
                <a:endParaRPr lang="en-US" sz="1200" b="1"/>
              </a:p>
            </xdr:txBody>
          </xdr:sp>
        </xdr:grpSp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B44BFE52-5E2E-E2C8-50D8-A89F3655F222}"/>
              </a:ext>
            </a:extLst>
          </xdr:cNvPr>
          <xdr:cNvGrpSpPr/>
        </xdr:nvGrpSpPr>
        <xdr:grpSpPr>
          <a:xfrm>
            <a:off x="57149" y="38100"/>
            <a:ext cx="4937760" cy="804672"/>
            <a:chOff x="57149" y="47625"/>
            <a:chExt cx="4754880" cy="804672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91F88346-5BAA-41F2-A54A-FF8A2FC3F48F}"/>
                </a:ext>
              </a:extLst>
            </xdr:cNvPr>
            <xdr:cNvSpPr/>
          </xdr:nvSpPr>
          <xdr:spPr>
            <a:xfrm>
              <a:off x="57149" y="47625"/>
              <a:ext cx="4754880" cy="804672"/>
            </a:xfrm>
            <a:prstGeom prst="rect">
              <a:avLst/>
            </a:prstGeom>
            <a:solidFill>
              <a:schemeClr val="bg2">
                <a:lumMod val="85000"/>
              </a:schemeClr>
            </a:solidFill>
            <a:ln>
              <a:noFill/>
            </a:ln>
          </xdr:spPr>
          <xdr:style>
            <a:lnRef idx="2">
              <a:schemeClr val="accent3">
                <a:shade val="15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0" name="Group 19">
              <a:extLst>
                <a:ext uri="{FF2B5EF4-FFF2-40B4-BE49-F238E27FC236}">
                  <a16:creationId xmlns:a16="http://schemas.microsoft.com/office/drawing/2014/main" id="{85298234-F18E-792E-3978-A7B94F131F32}"/>
                </a:ext>
              </a:extLst>
            </xdr:cNvPr>
            <xdr:cNvGrpSpPr/>
          </xdr:nvGrpSpPr>
          <xdr:grpSpPr>
            <a:xfrm>
              <a:off x="57149" y="47625"/>
              <a:ext cx="4754880" cy="800100"/>
              <a:chOff x="57150" y="47625"/>
              <a:chExt cx="4619625" cy="800100"/>
            </a:xfrm>
          </xdr:grpSpPr>
          <xdr:sp macro="" textlink="Data!A17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B222D340-29A5-445F-A096-1B7ABA8581E3}"/>
                  </a:ext>
                </a:extLst>
              </xdr:cNvPr>
              <xdr:cNvSpPr txBox="1"/>
            </xdr:nvSpPr>
            <xdr:spPr>
              <a:xfrm>
                <a:off x="57151" y="381000"/>
                <a:ext cx="4617720" cy="466725"/>
              </a:xfrm>
              <a:prstGeom prst="rect">
                <a:avLst/>
              </a:prstGeom>
              <a:solidFill>
                <a:schemeClr val="bg2">
                  <a:lumMod val="85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C42A43AA-EB98-472B-9880-2F73C42EB1E7}" type="TxLink">
                  <a:rPr lang="en-US" sz="2400" b="1" i="0" u="none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pPr algn="ctr"/>
                  <a:t>$26,880</a:t>
                </a:fld>
                <a:endParaRPr lang="en-US" sz="2400" b="1"/>
              </a:p>
            </xdr:txBody>
          </xdr:sp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0E9B2437-F299-4100-A0CE-189BFF76A659}"/>
                  </a:ext>
                </a:extLst>
              </xdr:cNvPr>
              <xdr:cNvSpPr txBox="1"/>
            </xdr:nvSpPr>
            <xdr:spPr>
              <a:xfrm>
                <a:off x="57150" y="47625"/>
                <a:ext cx="4619625" cy="247650"/>
              </a:xfrm>
              <a:prstGeom prst="rect">
                <a:avLst/>
              </a:prstGeom>
              <a:solidFill>
                <a:schemeClr val="bg2">
                  <a:lumMod val="85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200" b="1"/>
                  <a:t>Revenue</a:t>
                </a:r>
              </a:p>
            </xdr:txBody>
          </xdr:sp>
        </xdr:grp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2104CCCF-9BE6-1984-381A-F6FDC270A400}"/>
              </a:ext>
            </a:extLst>
          </xdr:cNvPr>
          <xdr:cNvGrpSpPr/>
        </xdr:nvGrpSpPr>
        <xdr:grpSpPr>
          <a:xfrm>
            <a:off x="5104447" y="38100"/>
            <a:ext cx="4937760" cy="804672"/>
            <a:chOff x="5042535" y="47625"/>
            <a:chExt cx="4754880" cy="804672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8472AA7D-0F46-4C13-9BC7-F5D536EC881C}"/>
                </a:ext>
              </a:extLst>
            </xdr:cNvPr>
            <xdr:cNvSpPr/>
          </xdr:nvSpPr>
          <xdr:spPr>
            <a:xfrm>
              <a:off x="5042535" y="47625"/>
              <a:ext cx="4754880" cy="804672"/>
            </a:xfrm>
            <a:prstGeom prst="rect">
              <a:avLst/>
            </a:prstGeom>
            <a:solidFill>
              <a:schemeClr val="bg2">
                <a:lumMod val="85000"/>
              </a:schemeClr>
            </a:solidFill>
            <a:ln>
              <a:noFill/>
            </a:ln>
          </xdr:spPr>
          <xdr:style>
            <a:lnRef idx="2">
              <a:schemeClr val="accent3">
                <a:shade val="15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D749E976-2494-1900-37F3-AD96BA32FEAD}"/>
                </a:ext>
              </a:extLst>
            </xdr:cNvPr>
            <xdr:cNvGrpSpPr/>
          </xdr:nvGrpSpPr>
          <xdr:grpSpPr>
            <a:xfrm>
              <a:off x="5042535" y="47625"/>
              <a:ext cx="4754880" cy="800100"/>
              <a:chOff x="5210175" y="47625"/>
              <a:chExt cx="4619625" cy="800100"/>
            </a:xfrm>
          </xdr:grpSpPr>
          <xdr:sp macro="" textlink="Data!A20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7E939E22-FD9D-4FD4-B4C4-CFBFB9A6FD46}"/>
                  </a:ext>
                </a:extLst>
              </xdr:cNvPr>
              <xdr:cNvSpPr txBox="1"/>
            </xdr:nvSpPr>
            <xdr:spPr>
              <a:xfrm>
                <a:off x="5210176" y="381000"/>
                <a:ext cx="4617720" cy="466725"/>
              </a:xfrm>
              <a:prstGeom prst="rect">
                <a:avLst/>
              </a:prstGeom>
              <a:solidFill>
                <a:schemeClr val="bg2">
                  <a:lumMod val="85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2913BB97-82CA-450A-8621-545370501BEB}" type="TxLink">
                  <a:rPr lang="en-US" sz="2400" b="1" i="0" u="none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pPr algn="ctr"/>
                  <a:t>$742</a:t>
                </a:fld>
                <a:endParaRPr lang="en-US" sz="24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endParaRPr>
              </a:p>
            </xdr:txBody>
          </xdr:sp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116EC7CD-6966-4466-940A-83868B58C90A}"/>
                  </a:ext>
                </a:extLst>
              </xdr:cNvPr>
              <xdr:cNvSpPr txBox="1"/>
            </xdr:nvSpPr>
            <xdr:spPr>
              <a:xfrm>
                <a:off x="5210175" y="47625"/>
                <a:ext cx="4619625" cy="247650"/>
              </a:xfrm>
              <a:prstGeom prst="rect">
                <a:avLst/>
              </a:prstGeom>
              <a:solidFill>
                <a:schemeClr val="bg2">
                  <a:lumMod val="85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200" b="1"/>
                  <a:t>Net Income</a:t>
                </a:r>
              </a:p>
            </xdr:txBody>
          </xdr:sp>
        </xdr:grpSp>
      </xdr:grpSp>
    </xdr:grpSp>
    <xdr:clientData/>
  </xdr:twoCellAnchor>
  <xdr:twoCellAnchor>
    <xdr:from>
      <xdr:col>0</xdr:col>
      <xdr:colOff>57149</xdr:colOff>
      <xdr:row>8</xdr:row>
      <xdr:rowOff>142874</xdr:rowOff>
    </xdr:from>
    <xdr:to>
      <xdr:col>24</xdr:col>
      <xdr:colOff>459105</xdr:colOff>
      <xdr:row>22</xdr:row>
      <xdr:rowOff>127635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15EE583F-FC49-8FD5-A58C-B9FED23D2D17}"/>
            </a:ext>
          </a:extLst>
        </xdr:cNvPr>
        <xdr:cNvGrpSpPr/>
      </xdr:nvGrpSpPr>
      <xdr:grpSpPr>
        <a:xfrm>
          <a:off x="57149" y="1876424"/>
          <a:ext cx="15032356" cy="2651761"/>
          <a:chOff x="57149" y="952499"/>
          <a:chExt cx="15032356" cy="2651761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E9A8B841-EE77-4CA5-B87A-27F5074AAB5D}"/>
              </a:ext>
            </a:extLst>
          </xdr:cNvPr>
          <xdr:cNvGraphicFramePr>
            <a:graphicFrameLocks/>
          </xdr:cNvGraphicFramePr>
        </xdr:nvGraphicFramePr>
        <xdr:xfrm>
          <a:off x="57149" y="952500"/>
          <a:ext cx="4937760" cy="26517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BA9D2E3C-41AC-4F9C-8052-FC0BDE9D6D26}"/>
              </a:ext>
            </a:extLst>
          </xdr:cNvPr>
          <xdr:cNvGraphicFramePr>
            <a:graphicFrameLocks/>
          </xdr:cNvGraphicFramePr>
        </xdr:nvGraphicFramePr>
        <xdr:xfrm>
          <a:off x="5104447" y="952500"/>
          <a:ext cx="4937760" cy="26517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81D3A117-AAF0-4B9F-84B6-29C8F4C341C4}"/>
              </a:ext>
            </a:extLst>
          </xdr:cNvPr>
          <xdr:cNvGraphicFramePr>
            <a:graphicFrameLocks/>
          </xdr:cNvGraphicFramePr>
        </xdr:nvGraphicFramePr>
        <xdr:xfrm>
          <a:off x="10151745" y="952499"/>
          <a:ext cx="4937760" cy="26517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104775</xdr:rowOff>
    </xdr:from>
    <xdr:to>
      <xdr:col>8</xdr:col>
      <xdr:colOff>19050</xdr:colOff>
      <xdr:row>18</xdr:row>
      <xdr:rowOff>57150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B7FEAF7-61CD-EE0F-1C89-3082019839A5}"/>
            </a:ext>
          </a:extLst>
        </xdr:cNvPr>
        <xdr:cNvSpPr/>
      </xdr:nvSpPr>
      <xdr:spPr>
        <a:xfrm>
          <a:off x="28575" y="1019175"/>
          <a:ext cx="4867275" cy="232981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28575</xdr:colOff>
      <xdr:row>0</xdr:row>
      <xdr:rowOff>38100</xdr:rowOff>
    </xdr:from>
    <xdr:to>
      <xdr:col>8</xdr:col>
      <xdr:colOff>0</xdr:colOff>
      <xdr:row>5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E29CBED-C917-732F-0024-E53451745741}"/>
            </a:ext>
          </a:extLst>
        </xdr:cNvPr>
        <xdr:cNvSpPr/>
      </xdr:nvSpPr>
      <xdr:spPr>
        <a:xfrm>
          <a:off x="28575" y="38100"/>
          <a:ext cx="4848225" cy="952500"/>
        </a:xfrm>
        <a:prstGeom prst="roundRect">
          <a:avLst/>
        </a:prstGeom>
        <a:solidFill>
          <a:schemeClr val="bg2">
            <a:lumMod val="85000"/>
          </a:schemeClr>
        </a:solidFill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114300</xdr:colOff>
      <xdr:row>0</xdr:row>
      <xdr:rowOff>38100</xdr:rowOff>
    </xdr:from>
    <xdr:to>
      <xdr:col>24</xdr:col>
      <xdr:colOff>85725</xdr:colOff>
      <xdr:row>5</xdr:row>
      <xdr:rowOff>38100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AC2F58F-2213-440D-8973-2568852AEC99}"/>
            </a:ext>
          </a:extLst>
        </xdr:cNvPr>
        <xdr:cNvSpPr/>
      </xdr:nvSpPr>
      <xdr:spPr>
        <a:xfrm>
          <a:off x="9867900" y="38100"/>
          <a:ext cx="4848225" cy="952500"/>
        </a:xfrm>
        <a:prstGeom prst="roundRect">
          <a:avLst/>
        </a:prstGeom>
        <a:solidFill>
          <a:schemeClr val="bg2">
            <a:lumMod val="85000"/>
          </a:schemeClr>
        </a:solidFill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104775</xdr:colOff>
      <xdr:row>5</xdr:row>
      <xdr:rowOff>123825</xdr:rowOff>
    </xdr:from>
    <xdr:to>
      <xdr:col>16</xdr:col>
      <xdr:colOff>95250</xdr:colOff>
      <xdr:row>18</xdr:row>
      <xdr:rowOff>76200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4960FC8-283A-AF66-1A37-9F361F1815CD}"/>
            </a:ext>
          </a:extLst>
        </xdr:cNvPr>
        <xdr:cNvSpPr/>
      </xdr:nvSpPr>
      <xdr:spPr>
        <a:xfrm>
          <a:off x="4981575" y="1076325"/>
          <a:ext cx="4867275" cy="24288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180975</xdr:colOff>
      <xdr:row>5</xdr:row>
      <xdr:rowOff>133350</xdr:rowOff>
    </xdr:from>
    <xdr:to>
      <xdr:col>24</xdr:col>
      <xdr:colOff>171450</xdr:colOff>
      <xdr:row>18</xdr:row>
      <xdr:rowOff>85725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A3895CB-D081-09A7-E041-CF204A517D8C}"/>
            </a:ext>
          </a:extLst>
        </xdr:cNvPr>
        <xdr:cNvSpPr/>
      </xdr:nvSpPr>
      <xdr:spPr>
        <a:xfrm>
          <a:off x="9934575" y="1085850"/>
          <a:ext cx="4867275" cy="24288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76200</xdr:colOff>
      <xdr:row>0</xdr:row>
      <xdr:rowOff>28575</xdr:rowOff>
    </xdr:from>
    <xdr:to>
      <xdr:col>16</xdr:col>
      <xdr:colOff>47625</xdr:colOff>
      <xdr:row>5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D3F9355-4C02-4EEC-B051-D28D350D9FC9}"/>
            </a:ext>
          </a:extLst>
        </xdr:cNvPr>
        <xdr:cNvSpPr/>
      </xdr:nvSpPr>
      <xdr:spPr>
        <a:xfrm>
          <a:off x="4953000" y="28575"/>
          <a:ext cx="4848225" cy="952500"/>
        </a:xfrm>
        <a:prstGeom prst="roundRect">
          <a:avLst/>
        </a:prstGeom>
        <a:solidFill>
          <a:schemeClr val="bg2">
            <a:lumMod val="85000"/>
          </a:schemeClr>
        </a:solidFill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171451</xdr:colOff>
      <xdr:row>2</xdr:row>
      <xdr:rowOff>28575</xdr:rowOff>
    </xdr:from>
    <xdr:to>
      <xdr:col>7</xdr:col>
      <xdr:colOff>495301</xdr:colOff>
      <xdr:row>4</xdr:row>
      <xdr:rowOff>114300</xdr:rowOff>
    </xdr:to>
    <xdr:sp macro="" textlink="Data!A17">
      <xdr:nvSpPr>
        <xdr:cNvPr id="8" name="TextBox 7">
          <a:extLst>
            <a:ext uri="{FF2B5EF4-FFF2-40B4-BE49-F238E27FC236}">
              <a16:creationId xmlns:a16="http://schemas.microsoft.com/office/drawing/2014/main" id="{5C28FD0C-E610-4331-3743-391FC612F442}"/>
            </a:ext>
          </a:extLst>
        </xdr:cNvPr>
        <xdr:cNvSpPr txBox="1"/>
      </xdr:nvSpPr>
      <xdr:spPr>
        <a:xfrm>
          <a:off x="171451" y="409575"/>
          <a:ext cx="4591050" cy="466725"/>
        </a:xfrm>
        <a:prstGeom prst="rect">
          <a:avLst/>
        </a:prstGeom>
        <a:solidFill>
          <a:schemeClr val="bg2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42A43AA-EB98-472B-9880-2F73C42EB1E7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$26,880</a:t>
          </a:fld>
          <a:endParaRPr lang="en-US" sz="2400" b="1"/>
        </a:p>
      </xdr:txBody>
    </xdr:sp>
    <xdr:clientData/>
  </xdr:twoCellAnchor>
  <xdr:twoCellAnchor>
    <xdr:from>
      <xdr:col>0</xdr:col>
      <xdr:colOff>171450</xdr:colOff>
      <xdr:row>0</xdr:row>
      <xdr:rowOff>76200</xdr:rowOff>
    </xdr:from>
    <xdr:to>
      <xdr:col>7</xdr:col>
      <xdr:colOff>523875</xdr:colOff>
      <xdr:row>1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8091961-30D5-39C7-6813-E6C8E644D222}"/>
            </a:ext>
          </a:extLst>
        </xdr:cNvPr>
        <xdr:cNvSpPr txBox="1"/>
      </xdr:nvSpPr>
      <xdr:spPr>
        <a:xfrm>
          <a:off x="171450" y="76200"/>
          <a:ext cx="4619625" cy="247650"/>
        </a:xfrm>
        <a:prstGeom prst="rect">
          <a:avLst/>
        </a:prstGeom>
        <a:solidFill>
          <a:schemeClr val="bg2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Revenue</a:t>
          </a:r>
        </a:p>
      </xdr:txBody>
    </xdr:sp>
    <xdr:clientData/>
  </xdr:twoCellAnchor>
  <xdr:twoCellAnchor>
    <xdr:from>
      <xdr:col>8</xdr:col>
      <xdr:colOff>228601</xdr:colOff>
      <xdr:row>2</xdr:row>
      <xdr:rowOff>9525</xdr:rowOff>
    </xdr:from>
    <xdr:to>
      <xdr:col>15</xdr:col>
      <xdr:colOff>552451</xdr:colOff>
      <xdr:row>4</xdr:row>
      <xdr:rowOff>95250</xdr:rowOff>
    </xdr:to>
    <xdr:sp macro="" textlink="Data!A20">
      <xdr:nvSpPr>
        <xdr:cNvPr id="15" name="TextBox 14">
          <a:extLst>
            <a:ext uri="{FF2B5EF4-FFF2-40B4-BE49-F238E27FC236}">
              <a16:creationId xmlns:a16="http://schemas.microsoft.com/office/drawing/2014/main" id="{CCF91297-7130-4A47-B511-CE7CE276981D}"/>
            </a:ext>
          </a:extLst>
        </xdr:cNvPr>
        <xdr:cNvSpPr txBox="1"/>
      </xdr:nvSpPr>
      <xdr:spPr>
        <a:xfrm>
          <a:off x="5105401" y="390525"/>
          <a:ext cx="4591050" cy="466725"/>
        </a:xfrm>
        <a:prstGeom prst="rect">
          <a:avLst/>
        </a:prstGeom>
        <a:solidFill>
          <a:schemeClr val="bg2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913BB97-82CA-450A-8621-545370501BEB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$742</a:t>
          </a:fld>
          <a:endParaRPr lang="en-US" sz="2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228600</xdr:colOff>
      <xdr:row>0</xdr:row>
      <xdr:rowOff>57150</xdr:rowOff>
    </xdr:from>
    <xdr:to>
      <xdr:col>15</xdr:col>
      <xdr:colOff>581025</xdr:colOff>
      <xdr:row>1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ADFB92-481A-4CEA-A8E0-87D5F2FC4EEA}"/>
            </a:ext>
          </a:extLst>
        </xdr:cNvPr>
        <xdr:cNvSpPr txBox="1"/>
      </xdr:nvSpPr>
      <xdr:spPr>
        <a:xfrm>
          <a:off x="5105400" y="57150"/>
          <a:ext cx="4619625" cy="247650"/>
        </a:xfrm>
        <a:prstGeom prst="rect">
          <a:avLst/>
        </a:prstGeom>
        <a:solidFill>
          <a:schemeClr val="bg2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Net Income</a:t>
          </a:r>
        </a:p>
      </xdr:txBody>
    </xdr:sp>
    <xdr:clientData/>
  </xdr:twoCellAnchor>
  <xdr:twoCellAnchor>
    <xdr:from>
      <xdr:col>16</xdr:col>
      <xdr:colOff>209551</xdr:colOff>
      <xdr:row>2</xdr:row>
      <xdr:rowOff>28575</xdr:rowOff>
    </xdr:from>
    <xdr:to>
      <xdr:col>23</xdr:col>
      <xdr:colOff>533401</xdr:colOff>
      <xdr:row>4</xdr:row>
      <xdr:rowOff>114300</xdr:rowOff>
    </xdr:to>
    <xdr:sp macro="" textlink="Data!C23">
      <xdr:nvSpPr>
        <xdr:cNvPr id="19" name="TextBox 18">
          <a:extLst>
            <a:ext uri="{FF2B5EF4-FFF2-40B4-BE49-F238E27FC236}">
              <a16:creationId xmlns:a16="http://schemas.microsoft.com/office/drawing/2014/main" id="{4D5DF82E-A1E7-4476-9D6C-BF0B69111AB6}"/>
            </a:ext>
          </a:extLst>
        </xdr:cNvPr>
        <xdr:cNvSpPr txBox="1"/>
      </xdr:nvSpPr>
      <xdr:spPr>
        <a:xfrm>
          <a:off x="9963151" y="409575"/>
          <a:ext cx="4591050" cy="466725"/>
        </a:xfrm>
        <a:prstGeom prst="rect">
          <a:avLst/>
        </a:prstGeom>
        <a:solidFill>
          <a:schemeClr val="bg2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0EE6AAA-2EBA-4673-A6A0-EB417EA64154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$3,200</a:t>
          </a:fld>
          <a:endParaRPr lang="en-US" sz="2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16</xdr:col>
      <xdr:colOff>209550</xdr:colOff>
      <xdr:row>0</xdr:row>
      <xdr:rowOff>76200</xdr:rowOff>
    </xdr:from>
    <xdr:to>
      <xdr:col>23</xdr:col>
      <xdr:colOff>561975</xdr:colOff>
      <xdr:row>1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B93B390-2F35-4F30-BD3F-1BEE783C3F6F}"/>
            </a:ext>
          </a:extLst>
        </xdr:cNvPr>
        <xdr:cNvSpPr txBox="1"/>
      </xdr:nvSpPr>
      <xdr:spPr>
        <a:xfrm>
          <a:off x="9963150" y="76200"/>
          <a:ext cx="4619625" cy="247650"/>
        </a:xfrm>
        <a:prstGeom prst="rect">
          <a:avLst/>
        </a:prstGeom>
        <a:solidFill>
          <a:schemeClr val="bg2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Operating</a:t>
          </a:r>
          <a:r>
            <a:rPr lang="en-US" sz="1200" b="1" baseline="0"/>
            <a:t> Cashflow</a:t>
          </a:r>
          <a:endParaRPr lang="en-US" sz="1200" b="1"/>
        </a:p>
      </xdr:txBody>
    </xdr:sp>
    <xdr:clientData/>
  </xdr:twoCellAnchor>
  <xdr:twoCellAnchor>
    <xdr:from>
      <xdr:col>0</xdr:col>
      <xdr:colOff>324802</xdr:colOff>
      <xdr:row>5</xdr:row>
      <xdr:rowOff>151923</xdr:rowOff>
    </xdr:from>
    <xdr:to>
      <xdr:col>7</xdr:col>
      <xdr:colOff>332422</xdr:colOff>
      <xdr:row>18</xdr:row>
      <xdr:rowOff>10001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BFD9A9-FD95-4217-9951-8C7C03047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396239</xdr:colOff>
      <xdr:row>5</xdr:row>
      <xdr:rowOff>167639</xdr:rowOff>
    </xdr:from>
    <xdr:to>
      <xdr:col>15</xdr:col>
      <xdr:colOff>396240</xdr:colOff>
      <xdr:row>18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DFF2BC-428C-4E24-ABA3-522888749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488156</xdr:colOff>
      <xdr:row>5</xdr:row>
      <xdr:rowOff>178593</xdr:rowOff>
    </xdr:from>
    <xdr:to>
      <xdr:col>23</xdr:col>
      <xdr:colOff>473868</xdr:colOff>
      <xdr:row>18</xdr:row>
      <xdr:rowOff>40481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8B94FF-29C1-44B6-8147-2A7A2E8B3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9A2B565-C590-467E-9BD1-C29FB41EDDAB}">
  <we:reference id="wa200003692" version="1.0.0.1" store="en-US" storeType="OMEX"/>
  <we:alternateReferences>
    <we:reference id="WA200003692" version="1.0.0.1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000"/>
  <sheetViews>
    <sheetView showGridLines="0" topLeftCell="A12" workbookViewId="0">
      <selection activeCell="C26" sqref="C26"/>
    </sheetView>
  </sheetViews>
  <sheetFormatPr defaultColWidth="14.42578125" defaultRowHeight="15" customHeight="1" x14ac:dyDescent="0.25"/>
  <cols>
    <col min="1" max="1" width="8.85546875" customWidth="1"/>
    <col min="2" max="2" width="28.7109375" customWidth="1"/>
    <col min="3" max="5" width="9.85546875" customWidth="1"/>
    <col min="6" max="7" width="10.140625" customWidth="1"/>
    <col min="8" max="26" width="8.85546875" customWidth="1"/>
  </cols>
  <sheetData>
    <row r="1" spans="2:26" ht="15" customHeight="1" x14ac:dyDescent="0.25">
      <c r="Z1" s="68"/>
    </row>
    <row r="2" spans="2:26" ht="15.75" x14ac:dyDescent="0.25">
      <c r="B2" s="22" t="s">
        <v>0</v>
      </c>
      <c r="C2" s="22"/>
      <c r="D2" s="22"/>
      <c r="E2" s="22"/>
      <c r="F2" s="22"/>
      <c r="G2" s="22"/>
      <c r="Z2" s="5"/>
    </row>
    <row r="3" spans="2:26" ht="15.75" x14ac:dyDescent="0.25">
      <c r="B3" s="23" t="s">
        <v>1</v>
      </c>
      <c r="C3" s="24">
        <v>45658</v>
      </c>
      <c r="D3" s="24">
        <f>EDATE(C3,12)</f>
        <v>46023</v>
      </c>
      <c r="E3" s="24">
        <f t="shared" ref="E3:G3" si="0">EDATE(D3,12)</f>
        <v>46388</v>
      </c>
      <c r="F3" s="24">
        <f t="shared" si="0"/>
        <v>46753</v>
      </c>
      <c r="G3" s="24">
        <f t="shared" si="0"/>
        <v>47119</v>
      </c>
    </row>
    <row r="4" spans="2:26" ht="15.75" x14ac:dyDescent="0.25">
      <c r="B4" s="25" t="s">
        <v>2</v>
      </c>
      <c r="C4" s="25"/>
      <c r="D4" s="25"/>
      <c r="E4" s="25"/>
      <c r="F4" s="25"/>
      <c r="G4" s="25"/>
    </row>
    <row r="5" spans="2:26" ht="15.75" x14ac:dyDescent="0.25">
      <c r="B5" s="26" t="s">
        <v>3</v>
      </c>
      <c r="C5" s="69">
        <f>C32*C33</f>
        <v>28000</v>
      </c>
      <c r="D5" s="69">
        <f t="shared" ref="D5:G5" si="1">D32*D33</f>
        <v>40000</v>
      </c>
      <c r="E5" s="69">
        <f t="shared" si="1"/>
        <v>52000</v>
      </c>
      <c r="F5" s="69">
        <f t="shared" si="1"/>
        <v>56000</v>
      </c>
      <c r="G5" s="69">
        <f t="shared" si="1"/>
        <v>68000</v>
      </c>
    </row>
    <row r="6" spans="2:26" ht="15.75" x14ac:dyDescent="0.25">
      <c r="B6" s="26" t="s">
        <v>4</v>
      </c>
      <c r="C6" s="69">
        <f>C5*-C34</f>
        <v>-1120</v>
      </c>
      <c r="D6" s="69">
        <f t="shared" ref="D6:G6" si="2">D5*-D34</f>
        <v>-1600</v>
      </c>
      <c r="E6" s="69">
        <f t="shared" si="2"/>
        <v>-2080</v>
      </c>
      <c r="F6" s="69">
        <f t="shared" si="2"/>
        <v>-2240</v>
      </c>
      <c r="G6" s="69">
        <f t="shared" si="2"/>
        <v>-2720</v>
      </c>
    </row>
    <row r="7" spans="2:26" ht="15.75" x14ac:dyDescent="0.25">
      <c r="B7" s="28" t="s">
        <v>5</v>
      </c>
      <c r="C7" s="66">
        <f>SUM(C5:C6)</f>
        <v>26880</v>
      </c>
      <c r="D7" s="66">
        <f t="shared" ref="D7:G7" si="3">SUM(D5:D6)</f>
        <v>38400</v>
      </c>
      <c r="E7" s="66">
        <f t="shared" si="3"/>
        <v>49920</v>
      </c>
      <c r="F7" s="66">
        <f t="shared" si="3"/>
        <v>53760</v>
      </c>
      <c r="G7" s="66">
        <f t="shared" si="3"/>
        <v>65280</v>
      </c>
    </row>
    <row r="8" spans="2:26" ht="15.75" x14ac:dyDescent="0.25">
      <c r="B8" s="25" t="s">
        <v>6</v>
      </c>
      <c r="C8" s="25"/>
      <c r="D8" s="25"/>
      <c r="E8" s="25"/>
      <c r="F8" s="25"/>
      <c r="G8" s="25"/>
    </row>
    <row r="9" spans="2:26" ht="15.75" x14ac:dyDescent="0.25">
      <c r="B9" s="26" t="s">
        <v>7</v>
      </c>
      <c r="C9" s="69">
        <f>-C$5*C37</f>
        <v>-9800</v>
      </c>
      <c r="D9" s="69">
        <f t="shared" ref="D9:G9" si="4">-D$5*D37</f>
        <v>-14800</v>
      </c>
      <c r="E9" s="69">
        <f t="shared" si="4"/>
        <v>-18720</v>
      </c>
      <c r="F9" s="69">
        <f t="shared" si="4"/>
        <v>-20160</v>
      </c>
      <c r="G9" s="69">
        <f t="shared" si="4"/>
        <v>-21760</v>
      </c>
    </row>
    <row r="10" spans="2:26" ht="15.75" x14ac:dyDescent="0.25">
      <c r="B10" s="26" t="s">
        <v>8</v>
      </c>
      <c r="C10" s="69">
        <f t="shared" ref="C10:G11" si="5">-C$5*C38</f>
        <v>-3640</v>
      </c>
      <c r="D10" s="69">
        <f t="shared" si="5"/>
        <v>-3439.9999999999995</v>
      </c>
      <c r="E10" s="69">
        <f t="shared" si="5"/>
        <v>-4160</v>
      </c>
      <c r="F10" s="69">
        <f t="shared" si="5"/>
        <v>-3360</v>
      </c>
      <c r="G10" s="69">
        <f t="shared" si="5"/>
        <v>-3400</v>
      </c>
    </row>
    <row r="11" spans="2:26" ht="15.75" x14ac:dyDescent="0.25">
      <c r="B11" s="26" t="s">
        <v>9</v>
      </c>
      <c r="C11" s="69">
        <f t="shared" si="5"/>
        <v>-1400</v>
      </c>
      <c r="D11" s="69">
        <f t="shared" si="5"/>
        <v>-1600</v>
      </c>
      <c r="E11" s="69">
        <f t="shared" si="5"/>
        <v>-1560</v>
      </c>
      <c r="F11" s="69">
        <f t="shared" si="5"/>
        <v>-1120</v>
      </c>
      <c r="G11" s="69">
        <f t="shared" si="5"/>
        <v>-1360</v>
      </c>
    </row>
    <row r="12" spans="2:26" ht="15.75" x14ac:dyDescent="0.25">
      <c r="B12" s="26" t="s">
        <v>10</v>
      </c>
      <c r="C12" s="69">
        <f>SUM(C9:C11)</f>
        <v>-14840</v>
      </c>
      <c r="D12" s="69">
        <f t="shared" ref="D12:G12" si="6">SUM(D9:D11)</f>
        <v>-19840</v>
      </c>
      <c r="E12" s="69">
        <f t="shared" si="6"/>
        <v>-24440</v>
      </c>
      <c r="F12" s="69">
        <f t="shared" si="6"/>
        <v>-24640</v>
      </c>
      <c r="G12" s="69">
        <f t="shared" si="6"/>
        <v>-26520</v>
      </c>
      <c r="I12" s="27"/>
    </row>
    <row r="13" spans="2:26" ht="15.75" x14ac:dyDescent="0.25">
      <c r="B13" s="28" t="s">
        <v>11</v>
      </c>
      <c r="C13" s="65">
        <f>C7+C12</f>
        <v>12040</v>
      </c>
      <c r="D13" s="65">
        <f t="shared" ref="D13:G13" si="7">D7+D12</f>
        <v>18560</v>
      </c>
      <c r="E13" s="65">
        <f t="shared" si="7"/>
        <v>25480</v>
      </c>
      <c r="F13" s="65">
        <f t="shared" si="7"/>
        <v>29120</v>
      </c>
      <c r="G13" s="65">
        <f t="shared" si="7"/>
        <v>38760</v>
      </c>
    </row>
    <row r="14" spans="2:26" ht="15.75" x14ac:dyDescent="0.25">
      <c r="B14" s="30" t="s">
        <v>12</v>
      </c>
      <c r="C14" s="31">
        <f>C13/C7</f>
        <v>0.44791666666666669</v>
      </c>
      <c r="D14" s="31">
        <f t="shared" ref="D14:G14" si="8">D13/D7</f>
        <v>0.48333333333333334</v>
      </c>
      <c r="E14" s="31">
        <f t="shared" si="8"/>
        <v>0.51041666666666663</v>
      </c>
      <c r="F14" s="31">
        <f t="shared" si="8"/>
        <v>0.54166666666666663</v>
      </c>
      <c r="G14" s="31">
        <f t="shared" si="8"/>
        <v>0.59375</v>
      </c>
      <c r="I14" s="31"/>
    </row>
    <row r="15" spans="2:26" ht="15.75" x14ac:dyDescent="0.25">
      <c r="B15" s="25" t="s">
        <v>13</v>
      </c>
      <c r="C15" s="25"/>
      <c r="D15" s="25"/>
      <c r="E15" s="25"/>
      <c r="F15" s="25"/>
      <c r="G15" s="25"/>
    </row>
    <row r="16" spans="2:26" ht="15.75" x14ac:dyDescent="0.25">
      <c r="B16" s="26" t="s">
        <v>14</v>
      </c>
      <c r="C16" s="69">
        <f>-C$5*C42</f>
        <v>-4200</v>
      </c>
      <c r="D16" s="69">
        <f t="shared" ref="D16:G16" si="9">-D$5*D42</f>
        <v>-6000</v>
      </c>
      <c r="E16" s="69">
        <f t="shared" si="9"/>
        <v>-7800</v>
      </c>
      <c r="F16" s="69">
        <f t="shared" si="9"/>
        <v>-8400</v>
      </c>
      <c r="G16" s="69">
        <f t="shared" si="9"/>
        <v>-10200</v>
      </c>
      <c r="I16" s="67"/>
    </row>
    <row r="17" spans="2:7" ht="15.75" x14ac:dyDescent="0.25">
      <c r="B17" s="26" t="s">
        <v>15</v>
      </c>
      <c r="C17" s="69">
        <f t="shared" ref="C17:G18" si="10">-C$5*C43</f>
        <v>-1400</v>
      </c>
      <c r="D17" s="69">
        <f t="shared" si="10"/>
        <v>-2000</v>
      </c>
      <c r="E17" s="69">
        <f t="shared" si="10"/>
        <v>-2600</v>
      </c>
      <c r="F17" s="69">
        <f t="shared" si="10"/>
        <v>-2800</v>
      </c>
      <c r="G17" s="69">
        <f t="shared" si="10"/>
        <v>-3400</v>
      </c>
    </row>
    <row r="18" spans="2:7" ht="15.75" x14ac:dyDescent="0.25">
      <c r="B18" s="26" t="s">
        <v>16</v>
      </c>
      <c r="C18" s="69">
        <f t="shared" si="10"/>
        <v>-1400</v>
      </c>
      <c r="D18" s="69">
        <f t="shared" si="10"/>
        <v>-2000</v>
      </c>
      <c r="E18" s="69">
        <f t="shared" si="10"/>
        <v>-2600</v>
      </c>
      <c r="F18" s="69">
        <f t="shared" si="10"/>
        <v>-2800</v>
      </c>
      <c r="G18" s="69">
        <f t="shared" si="10"/>
        <v>-3400</v>
      </c>
    </row>
    <row r="19" spans="2:7" ht="15.75" x14ac:dyDescent="0.25">
      <c r="B19" s="32" t="s">
        <v>17</v>
      </c>
      <c r="C19" s="69">
        <f>SUM(C16:C18)</f>
        <v>-7000</v>
      </c>
      <c r="D19" s="69">
        <f t="shared" ref="D19:G19" si="11">SUM(D16:D18)</f>
        <v>-10000</v>
      </c>
      <c r="E19" s="69">
        <f t="shared" si="11"/>
        <v>-13000</v>
      </c>
      <c r="F19" s="69">
        <f t="shared" si="11"/>
        <v>-14000</v>
      </c>
      <c r="G19" s="69">
        <f t="shared" si="11"/>
        <v>-17000</v>
      </c>
    </row>
    <row r="20" spans="2:7" ht="15.75" x14ac:dyDescent="0.25">
      <c r="B20" s="28" t="s">
        <v>18</v>
      </c>
      <c r="C20" s="65">
        <f>C13+C19</f>
        <v>5040</v>
      </c>
      <c r="D20" s="65">
        <f t="shared" ref="D20:G20" si="12">D13+D19</f>
        <v>8560</v>
      </c>
      <c r="E20" s="65">
        <f t="shared" si="12"/>
        <v>12480</v>
      </c>
      <c r="F20" s="65">
        <f t="shared" si="12"/>
        <v>15120</v>
      </c>
      <c r="G20" s="65">
        <f t="shared" si="12"/>
        <v>21760</v>
      </c>
    </row>
    <row r="21" spans="2:7" ht="15.75" customHeight="1" x14ac:dyDescent="0.25">
      <c r="B21" s="32" t="s">
        <v>19</v>
      </c>
      <c r="C21" s="69">
        <f>-'Fixed Assets'!D17</f>
        <v>-3470.238095238095</v>
      </c>
      <c r="D21" s="69">
        <f>-'Fixed Assets'!E17</f>
        <v>-3470.238095238095</v>
      </c>
      <c r="E21" s="69">
        <f>-'Fixed Assets'!F17</f>
        <v>-3470.238095238095</v>
      </c>
      <c r="F21" s="69">
        <f>-'Fixed Assets'!G17</f>
        <v>-3470.238095238095</v>
      </c>
      <c r="G21" s="69">
        <f>-'Fixed Assets'!H17</f>
        <v>-3470.238095238095</v>
      </c>
    </row>
    <row r="22" spans="2:7" ht="15.75" customHeight="1" x14ac:dyDescent="0.25">
      <c r="B22" s="28" t="s">
        <v>20</v>
      </c>
      <c r="C22" s="65">
        <f>SUM(C20:C21)</f>
        <v>1569.761904761905</v>
      </c>
      <c r="D22" s="65">
        <f t="shared" ref="D22:G22" si="13">SUM(D20:D21)</f>
        <v>5089.7619047619046</v>
      </c>
      <c r="E22" s="65">
        <f t="shared" si="13"/>
        <v>9009.7619047619046</v>
      </c>
      <c r="F22" s="65">
        <f t="shared" si="13"/>
        <v>11649.761904761905</v>
      </c>
      <c r="G22" s="65">
        <f t="shared" si="13"/>
        <v>18289.761904761905</v>
      </c>
    </row>
    <row r="23" spans="2:7" ht="15.75" customHeight="1" x14ac:dyDescent="0.25">
      <c r="B23" s="33" t="s">
        <v>21</v>
      </c>
      <c r="C23" s="70">
        <f>-'Balance Sheet'!D42</f>
        <v>-665.00000000000011</v>
      </c>
      <c r="D23" s="70">
        <f>-'Balance Sheet'!E42</f>
        <v>-630.00000000000011</v>
      </c>
      <c r="E23" s="70">
        <f>-'Balance Sheet'!F42</f>
        <v>-927.50000000000011</v>
      </c>
      <c r="F23" s="70">
        <f>-'Balance Sheet'!G42</f>
        <v>-875.00000000000011</v>
      </c>
      <c r="G23" s="70">
        <f>-'Balance Sheet'!H42</f>
        <v>-822.50000000000011</v>
      </c>
    </row>
    <row r="24" spans="2:7" ht="15.75" customHeight="1" x14ac:dyDescent="0.25">
      <c r="B24" s="28" t="s">
        <v>22</v>
      </c>
      <c r="C24" s="65">
        <f>SUM(C22:C23)</f>
        <v>904.76190476190493</v>
      </c>
      <c r="D24" s="65">
        <f t="shared" ref="D24:G24" si="14">SUM(D22:D23)</f>
        <v>4459.7619047619046</v>
      </c>
      <c r="E24" s="65">
        <f t="shared" si="14"/>
        <v>8082.2619047619046</v>
      </c>
      <c r="F24" s="65">
        <f t="shared" si="14"/>
        <v>10774.761904761905</v>
      </c>
      <c r="G24" s="65">
        <f t="shared" si="14"/>
        <v>17467.261904761905</v>
      </c>
    </row>
    <row r="25" spans="2:7" ht="15.75" customHeight="1" x14ac:dyDescent="0.25">
      <c r="B25" s="32" t="s">
        <v>23</v>
      </c>
      <c r="C25" s="69">
        <f>-C24*C46</f>
        <v>-162.85714285714289</v>
      </c>
      <c r="D25" s="69">
        <f t="shared" ref="D25:G25" si="15">-D24*D46</f>
        <v>-802.75714285714275</v>
      </c>
      <c r="E25" s="69">
        <f t="shared" si="15"/>
        <v>-1454.8071428571427</v>
      </c>
      <c r="F25" s="69">
        <f t="shared" si="15"/>
        <v>-1939.4571428571428</v>
      </c>
      <c r="G25" s="69">
        <f t="shared" si="15"/>
        <v>-3144.1071428571427</v>
      </c>
    </row>
    <row r="26" spans="2:7" ht="15.75" customHeight="1" thickBot="1" x14ac:dyDescent="0.3">
      <c r="B26" s="35" t="s">
        <v>24</v>
      </c>
      <c r="C26" s="71">
        <f>SUM(C24:C25)</f>
        <v>741.90476190476204</v>
      </c>
      <c r="D26" s="71">
        <f t="shared" ref="D26:G26" si="16">SUM(D24:D25)</f>
        <v>3657.0047619047618</v>
      </c>
      <c r="E26" s="71">
        <f t="shared" si="16"/>
        <v>6627.4547619047617</v>
      </c>
      <c r="F26" s="71">
        <f t="shared" si="16"/>
        <v>8835.3047619047611</v>
      </c>
      <c r="G26" s="71">
        <f t="shared" si="16"/>
        <v>14323.154761904761</v>
      </c>
    </row>
    <row r="27" spans="2:7" ht="15.75" customHeight="1" x14ac:dyDescent="0.25">
      <c r="B27" s="3"/>
      <c r="C27" s="4"/>
      <c r="D27" s="4"/>
      <c r="E27" s="4"/>
      <c r="F27" s="4"/>
      <c r="G27" s="4"/>
    </row>
    <row r="28" spans="2:7" ht="15.75" customHeight="1" x14ac:dyDescent="0.25">
      <c r="B28" s="17" t="s">
        <v>25</v>
      </c>
      <c r="C28" s="5">
        <f>C26/C7</f>
        <v>2.7600623582766444E-2</v>
      </c>
      <c r="D28" s="5">
        <f t="shared" ref="D28:G28" si="17">D26/D7</f>
        <v>9.5234499007936513E-2</v>
      </c>
      <c r="E28" s="5">
        <f t="shared" si="17"/>
        <v>0.13276151365995115</v>
      </c>
      <c r="F28" s="5">
        <f t="shared" si="17"/>
        <v>0.16434718679138322</v>
      </c>
      <c r="G28" s="5">
        <f t="shared" si="17"/>
        <v>0.21941107172035479</v>
      </c>
    </row>
    <row r="29" spans="2:7" ht="15.75" customHeight="1" x14ac:dyDescent="0.25"/>
    <row r="30" spans="2:7" ht="15.75" customHeight="1" x14ac:dyDescent="0.25">
      <c r="B30" s="6" t="s">
        <v>26</v>
      </c>
      <c r="C30" s="7"/>
      <c r="D30" s="7"/>
      <c r="E30" s="7"/>
      <c r="F30" s="7"/>
      <c r="G30" s="7"/>
    </row>
    <row r="31" spans="2:7" ht="15.75" customHeight="1" x14ac:dyDescent="0.25">
      <c r="B31" s="7" t="s">
        <v>2</v>
      </c>
      <c r="C31" s="7"/>
      <c r="D31" s="7"/>
      <c r="E31" s="7"/>
      <c r="F31" s="7"/>
      <c r="G31" s="7"/>
    </row>
    <row r="32" spans="2:7" ht="15.75" customHeight="1" x14ac:dyDescent="0.25">
      <c r="B32" s="19" t="s">
        <v>27</v>
      </c>
      <c r="C32" s="72">
        <v>4000</v>
      </c>
      <c r="D32" s="72">
        <v>5000</v>
      </c>
      <c r="E32" s="72">
        <v>6500</v>
      </c>
      <c r="F32" s="72">
        <v>7000</v>
      </c>
      <c r="G32" s="72">
        <v>8500</v>
      </c>
    </row>
    <row r="33" spans="2:7" ht="15.75" customHeight="1" x14ac:dyDescent="0.25">
      <c r="B33" s="19" t="s">
        <v>28</v>
      </c>
      <c r="C33" s="10">
        <v>7</v>
      </c>
      <c r="D33" s="10">
        <v>8</v>
      </c>
      <c r="E33" s="10">
        <v>8</v>
      </c>
      <c r="F33" s="10">
        <v>8</v>
      </c>
      <c r="G33" s="10">
        <v>8</v>
      </c>
    </row>
    <row r="34" spans="2:7" ht="15.75" customHeight="1" x14ac:dyDescent="0.25">
      <c r="B34" s="19" t="str">
        <f>B6&amp;" (as a % of rev)"</f>
        <v>Discounts (as a % of rev)</v>
      </c>
      <c r="C34" s="11">
        <v>0.04</v>
      </c>
      <c r="D34" s="11">
        <v>0.04</v>
      </c>
      <c r="E34" s="11">
        <v>0.04</v>
      </c>
      <c r="F34" s="11">
        <v>0.04</v>
      </c>
      <c r="G34" s="11">
        <v>0.04</v>
      </c>
    </row>
    <row r="35" spans="2:7" ht="15.75" customHeight="1" x14ac:dyDescent="0.25">
      <c r="B35" s="7"/>
      <c r="C35" s="12"/>
      <c r="D35" s="12"/>
      <c r="E35" s="12"/>
      <c r="F35" s="12"/>
      <c r="G35" s="12"/>
    </row>
    <row r="36" spans="2:7" ht="15.75" customHeight="1" x14ac:dyDescent="0.25">
      <c r="B36" s="7" t="s">
        <v>6</v>
      </c>
      <c r="C36" s="12"/>
      <c r="D36" s="12"/>
      <c r="E36" s="12"/>
      <c r="F36" s="12"/>
      <c r="G36" s="12"/>
    </row>
    <row r="37" spans="2:7" ht="15.75" customHeight="1" x14ac:dyDescent="0.25">
      <c r="B37" s="19" t="str">
        <f t="shared" ref="B37:B39" si="18">B9&amp;" (as a % of rev)"</f>
        <v>Raw Materials (as a % of rev)</v>
      </c>
      <c r="C37" s="11">
        <v>0.35</v>
      </c>
      <c r="D37" s="11">
        <v>0.37</v>
      </c>
      <c r="E37" s="11">
        <v>0.36</v>
      </c>
      <c r="F37" s="11">
        <v>0.36</v>
      </c>
      <c r="G37" s="11">
        <v>0.32</v>
      </c>
    </row>
    <row r="38" spans="2:7" ht="15.75" customHeight="1" x14ac:dyDescent="0.25">
      <c r="B38" s="19" t="str">
        <f t="shared" si="18"/>
        <v>Fulfillment (as a % of rev)</v>
      </c>
      <c r="C38" s="11">
        <v>0.13</v>
      </c>
      <c r="D38" s="11">
        <v>8.5999999999999993E-2</v>
      </c>
      <c r="E38" s="11">
        <v>0.08</v>
      </c>
      <c r="F38" s="11">
        <v>0.06</v>
      </c>
      <c r="G38" s="11">
        <v>0.05</v>
      </c>
    </row>
    <row r="39" spans="2:7" ht="15.75" customHeight="1" x14ac:dyDescent="0.25">
      <c r="B39" s="19" t="str">
        <f t="shared" si="18"/>
        <v>Transaction Fees (as a % of rev)</v>
      </c>
      <c r="C39" s="11">
        <v>0.05</v>
      </c>
      <c r="D39" s="11">
        <v>0.04</v>
      </c>
      <c r="E39" s="11">
        <v>0.03</v>
      </c>
      <c r="F39" s="11">
        <v>0.02</v>
      </c>
      <c r="G39" s="11">
        <v>0.02</v>
      </c>
    </row>
    <row r="40" spans="2:7" ht="15.75" customHeight="1" x14ac:dyDescent="0.25">
      <c r="B40" s="7"/>
      <c r="C40" s="12"/>
      <c r="D40" s="12"/>
      <c r="E40" s="12"/>
      <c r="F40" s="12"/>
      <c r="G40" s="12"/>
    </row>
    <row r="41" spans="2:7" ht="15.75" customHeight="1" x14ac:dyDescent="0.25">
      <c r="B41" s="7" t="s">
        <v>13</v>
      </c>
      <c r="C41" s="12"/>
      <c r="D41" s="12"/>
      <c r="E41" s="12"/>
      <c r="F41" s="12"/>
      <c r="G41" s="12"/>
    </row>
    <row r="42" spans="2:7" ht="15.75" customHeight="1" x14ac:dyDescent="0.25">
      <c r="B42" s="19" t="str">
        <f>B16&amp;" (as a % of rev)"</f>
        <v>Labor (as a % of rev)</v>
      </c>
      <c r="C42" s="11">
        <v>0.15</v>
      </c>
      <c r="D42" s="11">
        <v>0.15</v>
      </c>
      <c r="E42" s="11">
        <v>0.15</v>
      </c>
      <c r="F42" s="11">
        <v>0.15</v>
      </c>
      <c r="G42" s="11">
        <v>0.15</v>
      </c>
    </row>
    <row r="43" spans="2:7" ht="15.75" customHeight="1" x14ac:dyDescent="0.25">
      <c r="B43" s="19" t="str">
        <f>B17&amp;" (as a % of rev)"</f>
        <v>Marketing (as a % of rev)</v>
      </c>
      <c r="C43" s="11">
        <v>0.05</v>
      </c>
      <c r="D43" s="11">
        <v>0.05</v>
      </c>
      <c r="E43" s="11">
        <v>0.05</v>
      </c>
      <c r="F43" s="11">
        <v>0.05</v>
      </c>
      <c r="G43" s="11">
        <v>0.05</v>
      </c>
    </row>
    <row r="44" spans="2:7" ht="15.75" customHeight="1" x14ac:dyDescent="0.25">
      <c r="B44" s="19" t="str">
        <f>B18&amp;" (as a % of rev)"</f>
        <v>SGA &amp; Other (as a % of rev)</v>
      </c>
      <c r="C44" s="11">
        <v>0.05</v>
      </c>
      <c r="D44" s="11">
        <v>0.05</v>
      </c>
      <c r="E44" s="11">
        <v>0.05</v>
      </c>
      <c r="F44" s="11">
        <v>0.05</v>
      </c>
      <c r="G44" s="11">
        <v>0.05</v>
      </c>
    </row>
    <row r="45" spans="2:7" ht="15.75" customHeight="1" x14ac:dyDescent="0.25">
      <c r="B45" s="7"/>
      <c r="C45" s="11"/>
      <c r="D45" s="11"/>
      <c r="E45" s="11"/>
      <c r="F45" s="11"/>
      <c r="G45" s="11"/>
    </row>
    <row r="46" spans="2:7" ht="15.75" customHeight="1" x14ac:dyDescent="0.25">
      <c r="B46" s="7" t="s">
        <v>29</v>
      </c>
      <c r="C46" s="11">
        <v>0.18</v>
      </c>
      <c r="D46" s="11">
        <v>0.18</v>
      </c>
      <c r="E46" s="11">
        <v>0.18</v>
      </c>
      <c r="F46" s="11">
        <v>0.18</v>
      </c>
      <c r="G46" s="11">
        <v>0.18</v>
      </c>
    </row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workbookViewId="0">
      <selection activeCell="M37" sqref="M37"/>
    </sheetView>
  </sheetViews>
  <sheetFormatPr defaultColWidth="14.42578125" defaultRowHeight="15" customHeight="1" x14ac:dyDescent="0.25"/>
  <cols>
    <col min="1" max="1" width="8.85546875" customWidth="1"/>
    <col min="2" max="2" width="34" bestFit="1" customWidth="1"/>
    <col min="3" max="3" width="10.85546875" customWidth="1"/>
    <col min="4" max="4" width="10.85546875" bestFit="1" customWidth="1"/>
    <col min="5" max="8" width="10.42578125" customWidth="1"/>
    <col min="9" max="26" width="8.85546875" customWidth="1"/>
  </cols>
  <sheetData>
    <row r="2" spans="2:8" ht="15.75" x14ac:dyDescent="0.25">
      <c r="B2" s="22" t="s">
        <v>30</v>
      </c>
      <c r="C2" s="50" t="s">
        <v>31</v>
      </c>
      <c r="D2" s="22"/>
      <c r="E2" s="22"/>
      <c r="F2" s="22"/>
      <c r="G2" s="22"/>
      <c r="H2" s="1"/>
    </row>
    <row r="3" spans="2:8" ht="15.75" x14ac:dyDescent="0.25">
      <c r="B3" s="23" t="s">
        <v>1</v>
      </c>
      <c r="C3" s="51">
        <v>45657</v>
      </c>
      <c r="D3" s="52">
        <f t="shared" ref="D3:H3" si="0">EDATE(C3,12)</f>
        <v>46022</v>
      </c>
      <c r="E3" s="52">
        <f t="shared" si="0"/>
        <v>46387</v>
      </c>
      <c r="F3" s="52">
        <f t="shared" si="0"/>
        <v>46752</v>
      </c>
      <c r="G3" s="52">
        <f t="shared" si="0"/>
        <v>47118</v>
      </c>
      <c r="H3" s="52">
        <f t="shared" si="0"/>
        <v>47483</v>
      </c>
    </row>
    <row r="4" spans="2:8" ht="15.75" x14ac:dyDescent="0.25">
      <c r="B4" s="25" t="s">
        <v>32</v>
      </c>
      <c r="C4" s="25"/>
      <c r="D4" s="25"/>
      <c r="E4" s="25"/>
      <c r="F4" s="25"/>
      <c r="G4" s="25"/>
      <c r="H4" s="25"/>
    </row>
    <row r="5" spans="2:8" ht="15.75" x14ac:dyDescent="0.25">
      <c r="B5" s="26" t="s">
        <v>33</v>
      </c>
      <c r="C5" s="53">
        <v>5000</v>
      </c>
      <c r="D5" s="27">
        <f>C5+'Statement of Cashflows'!C18</f>
        <v>2307.9100887812747</v>
      </c>
      <c r="E5" s="27">
        <f>D5+'Statement of Cashflows'!D18</f>
        <v>9009.7472962066167</v>
      </c>
      <c r="F5" s="27">
        <f>E5+'Statement of Cashflows'!E18</f>
        <v>23422.99495560936</v>
      </c>
      <c r="G5" s="27">
        <f>F5+'Statement of Cashflows'!F18</f>
        <v>32970.257586763517</v>
      </c>
      <c r="H5" s="27">
        <f>G5+'Statement of Cashflows'!G18</f>
        <v>48517.736319612588</v>
      </c>
    </row>
    <row r="6" spans="2:8" ht="15.75" x14ac:dyDescent="0.25">
      <c r="B6" s="44" t="s">
        <v>34</v>
      </c>
      <c r="C6" s="54">
        <v>150</v>
      </c>
      <c r="D6" s="34">
        <f>D34*D32</f>
        <v>268.8</v>
      </c>
      <c r="E6" s="34">
        <f t="shared" ref="E6:H6" si="1">E34*E32</f>
        <v>384</v>
      </c>
      <c r="F6" s="34">
        <f t="shared" si="1"/>
        <v>499.2</v>
      </c>
      <c r="G6" s="34">
        <f t="shared" si="1"/>
        <v>537.6</v>
      </c>
      <c r="H6" s="34">
        <f t="shared" si="1"/>
        <v>652.80000000000007</v>
      </c>
    </row>
    <row r="7" spans="2:8" ht="15.75" x14ac:dyDescent="0.25">
      <c r="B7" s="45" t="s">
        <v>35</v>
      </c>
      <c r="C7" s="46">
        <f>SUM(C5:C6)</f>
        <v>5150</v>
      </c>
      <c r="D7" s="46">
        <f t="shared" ref="D7:H7" si="2">SUM(D5:D6)</f>
        <v>2576.7100887812749</v>
      </c>
      <c r="E7" s="46">
        <f t="shared" si="2"/>
        <v>9393.7472962066167</v>
      </c>
      <c r="F7" s="46">
        <f t="shared" si="2"/>
        <v>23922.19495560936</v>
      </c>
      <c r="G7" s="46">
        <f t="shared" si="2"/>
        <v>33507.857586763515</v>
      </c>
      <c r="H7" s="46">
        <f t="shared" si="2"/>
        <v>49170.536319612591</v>
      </c>
    </row>
    <row r="8" spans="2:8" ht="15.75" x14ac:dyDescent="0.25">
      <c r="B8" s="25" t="s">
        <v>36</v>
      </c>
      <c r="C8" s="25"/>
      <c r="D8" s="25"/>
      <c r="E8" s="25"/>
      <c r="F8" s="25"/>
      <c r="G8" s="25"/>
      <c r="H8" s="25"/>
    </row>
    <row r="9" spans="2:8" ht="15.75" x14ac:dyDescent="0.25">
      <c r="B9" s="26" t="s">
        <v>37</v>
      </c>
      <c r="C9" s="53">
        <v>10000</v>
      </c>
      <c r="D9" s="27">
        <f>C9+'Fixed Assets'!D9</f>
        <v>16500</v>
      </c>
      <c r="E9" s="27">
        <f>D9+'Fixed Assets'!E9</f>
        <v>16500</v>
      </c>
      <c r="F9" s="27">
        <f>E9+'Fixed Assets'!F9</f>
        <v>16500</v>
      </c>
      <c r="G9" s="27">
        <f>F9+'Fixed Assets'!G9</f>
        <v>18500</v>
      </c>
      <c r="H9" s="27">
        <f>G9+'Fixed Assets'!H9</f>
        <v>20000</v>
      </c>
    </row>
    <row r="10" spans="2:8" ht="15.75" x14ac:dyDescent="0.25">
      <c r="B10" s="26" t="s">
        <v>38</v>
      </c>
      <c r="C10" s="53">
        <v>-2000</v>
      </c>
      <c r="D10" s="27">
        <f>C10-'Fixed Assets'!D17</f>
        <v>-5470.2380952380954</v>
      </c>
      <c r="E10" s="27">
        <f>D10-'Fixed Assets'!E17</f>
        <v>-8940.4761904761908</v>
      </c>
      <c r="F10" s="27">
        <f>E10-'Fixed Assets'!F17</f>
        <v>-12410.714285714286</v>
      </c>
      <c r="G10" s="27">
        <f>F10-'Fixed Assets'!G17</f>
        <v>-15880.952380952382</v>
      </c>
      <c r="H10" s="27">
        <f>G10-'Fixed Assets'!H17</f>
        <v>-19351.190476190477</v>
      </c>
    </row>
    <row r="11" spans="2:8" ht="15.75" x14ac:dyDescent="0.25">
      <c r="B11" s="25" t="s">
        <v>39</v>
      </c>
      <c r="C11" s="27">
        <f>SUM(C9:C10)</f>
        <v>8000</v>
      </c>
      <c r="D11" s="27">
        <f t="shared" ref="D11:H11" si="3">SUM(D9:D10)</f>
        <v>11029.761904761905</v>
      </c>
      <c r="E11" s="27">
        <f t="shared" si="3"/>
        <v>7559.5238095238092</v>
      </c>
      <c r="F11" s="27">
        <f t="shared" si="3"/>
        <v>4089.2857142857138</v>
      </c>
      <c r="G11" s="27">
        <f t="shared" si="3"/>
        <v>2619.0476190476184</v>
      </c>
      <c r="H11" s="27">
        <f t="shared" si="3"/>
        <v>648.80952380952294</v>
      </c>
    </row>
    <row r="12" spans="2:8" s="21" customFormat="1" ht="15.75" x14ac:dyDescent="0.25">
      <c r="B12" s="55" t="s">
        <v>40</v>
      </c>
      <c r="C12" s="49">
        <f>C11</f>
        <v>8000</v>
      </c>
      <c r="D12" s="49">
        <f t="shared" ref="D12:H12" si="4">D11</f>
        <v>11029.761904761905</v>
      </c>
      <c r="E12" s="49">
        <f t="shared" si="4"/>
        <v>7559.5238095238092</v>
      </c>
      <c r="F12" s="49">
        <f t="shared" si="4"/>
        <v>4089.2857142857138</v>
      </c>
      <c r="G12" s="49">
        <f t="shared" si="4"/>
        <v>2619.0476190476184</v>
      </c>
      <c r="H12" s="49">
        <f t="shared" si="4"/>
        <v>648.80952380952294</v>
      </c>
    </row>
    <row r="13" spans="2:8" ht="16.5" thickBot="1" x14ac:dyDescent="0.3">
      <c r="B13" s="41" t="s">
        <v>41</v>
      </c>
      <c r="C13" s="36">
        <f>C7+C12</f>
        <v>13150</v>
      </c>
      <c r="D13" s="36">
        <f t="shared" ref="D13:H13" si="5">D7+D12</f>
        <v>13606.471993543179</v>
      </c>
      <c r="E13" s="36">
        <f t="shared" si="5"/>
        <v>16953.271105730426</v>
      </c>
      <c r="F13" s="36">
        <f t="shared" si="5"/>
        <v>28011.480669895074</v>
      </c>
      <c r="G13" s="36">
        <f t="shared" si="5"/>
        <v>36126.905205811134</v>
      </c>
      <c r="H13" s="36">
        <f t="shared" si="5"/>
        <v>49819.34584342211</v>
      </c>
    </row>
    <row r="14" spans="2:8" ht="15" customHeight="1" x14ac:dyDescent="0.25">
      <c r="B14" s="25"/>
      <c r="C14" s="25"/>
      <c r="D14" s="25"/>
      <c r="E14" s="25"/>
      <c r="F14" s="25"/>
      <c r="G14" s="25"/>
      <c r="H14" s="25"/>
    </row>
    <row r="15" spans="2:8" ht="15.75" x14ac:dyDescent="0.25">
      <c r="B15" s="25" t="s">
        <v>42</v>
      </c>
      <c r="C15" s="25"/>
      <c r="D15" s="25"/>
      <c r="E15" s="25"/>
      <c r="F15" s="25"/>
      <c r="G15" s="25"/>
      <c r="H15" s="25"/>
    </row>
    <row r="16" spans="2:8" ht="15.75" x14ac:dyDescent="0.25">
      <c r="B16" s="26" t="s">
        <v>43</v>
      </c>
      <c r="C16" s="56">
        <v>200</v>
      </c>
      <c r="D16" s="27">
        <f>D35*D33</f>
        <v>335.3672316384181</v>
      </c>
      <c r="E16" s="27">
        <f t="shared" ref="E16:H16" si="6">E35*E33</f>
        <v>448.36158192090397</v>
      </c>
      <c r="F16" s="27">
        <f t="shared" si="6"/>
        <v>552.31638418079092</v>
      </c>
      <c r="G16" s="27">
        <f t="shared" si="6"/>
        <v>556.83615819209035</v>
      </c>
      <c r="H16" s="27">
        <f t="shared" si="6"/>
        <v>599.32203389830511</v>
      </c>
    </row>
    <row r="17" spans="2:8" ht="15.75" x14ac:dyDescent="0.25">
      <c r="B17" s="26" t="s">
        <v>44</v>
      </c>
      <c r="C17" s="56">
        <v>100</v>
      </c>
      <c r="D17" s="27">
        <f>D36*D32</f>
        <v>179.20000000000002</v>
      </c>
      <c r="E17" s="27">
        <f t="shared" ref="E17:H17" si="7">E36*E32</f>
        <v>256</v>
      </c>
      <c r="F17" s="27">
        <f t="shared" si="7"/>
        <v>332.8</v>
      </c>
      <c r="G17" s="27">
        <f t="shared" si="7"/>
        <v>358.40000000000003</v>
      </c>
      <c r="H17" s="27">
        <f t="shared" si="7"/>
        <v>435.20000000000005</v>
      </c>
    </row>
    <row r="18" spans="2:8" ht="15.75" x14ac:dyDescent="0.25">
      <c r="B18" s="57" t="s">
        <v>45</v>
      </c>
      <c r="C18" s="57">
        <f>SUM(C16:C17)</f>
        <v>300</v>
      </c>
      <c r="D18" s="58">
        <f t="shared" ref="D18:H18" si="8">SUM(D16:D17)</f>
        <v>514.56723163841809</v>
      </c>
      <c r="E18" s="58">
        <f t="shared" si="8"/>
        <v>704.36158192090397</v>
      </c>
      <c r="F18" s="58">
        <f t="shared" si="8"/>
        <v>885.11638418079087</v>
      </c>
      <c r="G18" s="58">
        <f t="shared" si="8"/>
        <v>915.23615819209044</v>
      </c>
      <c r="H18" s="58">
        <f t="shared" si="8"/>
        <v>1034.5220338983052</v>
      </c>
    </row>
    <row r="19" spans="2:8" ht="15.75" x14ac:dyDescent="0.25">
      <c r="B19" s="25" t="s">
        <v>46</v>
      </c>
      <c r="C19" s="25"/>
      <c r="D19" s="25"/>
      <c r="E19" s="25"/>
      <c r="F19" s="25"/>
      <c r="G19" s="25"/>
      <c r="H19" s="25"/>
    </row>
    <row r="20" spans="2:8" ht="15.75" x14ac:dyDescent="0.25">
      <c r="B20" s="26" t="s">
        <v>47</v>
      </c>
      <c r="C20" s="53">
        <v>10000</v>
      </c>
      <c r="D20" s="27">
        <f>C20+D39-D40</f>
        <v>9500</v>
      </c>
      <c r="E20" s="27">
        <f t="shared" ref="E20:H20" si="9">D20+E39-E40</f>
        <v>9000</v>
      </c>
      <c r="F20" s="27">
        <f t="shared" si="9"/>
        <v>13250</v>
      </c>
      <c r="G20" s="27">
        <f t="shared" si="9"/>
        <v>12500</v>
      </c>
      <c r="H20" s="27">
        <f t="shared" si="9"/>
        <v>11750</v>
      </c>
    </row>
    <row r="21" spans="2:8" ht="15.75" customHeight="1" x14ac:dyDescent="0.25">
      <c r="B21" s="28" t="s">
        <v>48</v>
      </c>
      <c r="C21" s="29">
        <f>C20</f>
        <v>10000</v>
      </c>
      <c r="D21" s="29">
        <f t="shared" ref="D21:H21" si="10">D20</f>
        <v>9500</v>
      </c>
      <c r="E21" s="29">
        <f t="shared" si="10"/>
        <v>9000</v>
      </c>
      <c r="F21" s="29">
        <f t="shared" si="10"/>
        <v>13250</v>
      </c>
      <c r="G21" s="29">
        <f t="shared" si="10"/>
        <v>12500</v>
      </c>
      <c r="H21" s="29">
        <f t="shared" si="10"/>
        <v>11750</v>
      </c>
    </row>
    <row r="22" spans="2:8" ht="15.75" customHeight="1" thickBot="1" x14ac:dyDescent="0.3">
      <c r="B22" s="59" t="s">
        <v>49</v>
      </c>
      <c r="C22" s="60">
        <f>C18+C21</f>
        <v>10300</v>
      </c>
      <c r="D22" s="60">
        <f t="shared" ref="D22:H22" si="11">D18+D21</f>
        <v>10014.567231638419</v>
      </c>
      <c r="E22" s="60">
        <f t="shared" si="11"/>
        <v>9704.3615819209044</v>
      </c>
      <c r="F22" s="60">
        <f t="shared" si="11"/>
        <v>14135.11638418079</v>
      </c>
      <c r="G22" s="60">
        <f t="shared" si="11"/>
        <v>13415.23615819209</v>
      </c>
      <c r="H22" s="60">
        <f t="shared" si="11"/>
        <v>12784.522033898305</v>
      </c>
    </row>
    <row r="23" spans="2:8" ht="15.75" customHeight="1" x14ac:dyDescent="0.25">
      <c r="B23" s="25" t="s">
        <v>50</v>
      </c>
      <c r="C23" s="25"/>
      <c r="D23" s="25"/>
      <c r="E23" s="25"/>
      <c r="F23" s="25"/>
      <c r="G23" s="25"/>
      <c r="H23" s="25"/>
    </row>
    <row r="24" spans="2:8" ht="15.75" customHeight="1" x14ac:dyDescent="0.25">
      <c r="B24" s="26" t="s">
        <v>51</v>
      </c>
      <c r="C24" s="53">
        <v>300</v>
      </c>
      <c r="D24" s="27">
        <f>C24</f>
        <v>300</v>
      </c>
      <c r="E24" s="27">
        <f t="shared" ref="E24:H24" si="12">D24</f>
        <v>300</v>
      </c>
      <c r="F24" s="27">
        <f t="shared" si="12"/>
        <v>300</v>
      </c>
      <c r="G24" s="27">
        <f t="shared" si="12"/>
        <v>300</v>
      </c>
      <c r="H24" s="27">
        <f t="shared" si="12"/>
        <v>300</v>
      </c>
    </row>
    <row r="25" spans="2:8" ht="15.75" customHeight="1" x14ac:dyDescent="0.25">
      <c r="B25" s="26" t="s">
        <v>52</v>
      </c>
      <c r="C25" s="53">
        <v>2550</v>
      </c>
      <c r="D25" s="27">
        <f>C25+'Income Statement'!C26</f>
        <v>3291.9047619047619</v>
      </c>
      <c r="E25" s="27">
        <f>D25+'Income Statement'!D26</f>
        <v>6948.9095238095233</v>
      </c>
      <c r="F25" s="27">
        <f>E25+'Income Statement'!E26</f>
        <v>13576.364285714284</v>
      </c>
      <c r="G25" s="27">
        <f>F25+'Income Statement'!F26</f>
        <v>22411.669047619045</v>
      </c>
      <c r="H25" s="27">
        <f>G25+'Income Statement'!G26</f>
        <v>36734.823809523805</v>
      </c>
    </row>
    <row r="26" spans="2:8" ht="15.75" customHeight="1" x14ac:dyDescent="0.25">
      <c r="B26" s="61" t="s">
        <v>53</v>
      </c>
      <c r="C26" s="62">
        <f>SUM(C24:C25)</f>
        <v>2850</v>
      </c>
      <c r="D26" s="62">
        <f t="shared" ref="D26:H26" si="13">SUM(D24:D25)</f>
        <v>3591.9047619047619</v>
      </c>
      <c r="E26" s="62">
        <f t="shared" si="13"/>
        <v>7248.9095238095233</v>
      </c>
      <c r="F26" s="62">
        <f t="shared" si="13"/>
        <v>13876.364285714284</v>
      </c>
      <c r="G26" s="62">
        <f t="shared" si="13"/>
        <v>22711.669047619045</v>
      </c>
      <c r="H26" s="62">
        <f t="shared" si="13"/>
        <v>37034.823809523805</v>
      </c>
    </row>
    <row r="27" spans="2:8" ht="15.75" customHeight="1" thickBot="1" x14ac:dyDescent="0.3">
      <c r="B27" s="20" t="s">
        <v>54</v>
      </c>
      <c r="C27" s="18">
        <f>C22+C26</f>
        <v>13150</v>
      </c>
      <c r="D27" s="18">
        <f t="shared" ref="D27:H27" si="14">D22+D26</f>
        <v>13606.47199354318</v>
      </c>
      <c r="E27" s="18">
        <f t="shared" si="14"/>
        <v>16953.271105730426</v>
      </c>
      <c r="F27" s="18">
        <f t="shared" si="14"/>
        <v>28011.480669895074</v>
      </c>
      <c r="G27" s="18">
        <f t="shared" si="14"/>
        <v>36126.905205811134</v>
      </c>
      <c r="H27" s="36">
        <f t="shared" si="14"/>
        <v>49819.34584342211</v>
      </c>
    </row>
    <row r="28" spans="2:8" ht="15.75" customHeight="1" x14ac:dyDescent="0.25">
      <c r="H28" s="25"/>
    </row>
    <row r="29" spans="2:8" ht="15.75" customHeight="1" x14ac:dyDescent="0.25">
      <c r="B29" s="2" t="s">
        <v>55</v>
      </c>
      <c r="C29" s="4">
        <f>C13-C27</f>
        <v>0</v>
      </c>
      <c r="D29" s="4">
        <f t="shared" ref="D29:H29" si="15">D13-D27</f>
        <v>0</v>
      </c>
      <c r="E29" s="4">
        <f t="shared" si="15"/>
        <v>0</v>
      </c>
      <c r="F29" s="4">
        <f t="shared" si="15"/>
        <v>0</v>
      </c>
      <c r="G29" s="4">
        <f t="shared" si="15"/>
        <v>0</v>
      </c>
      <c r="H29" s="27">
        <f t="shared" si="15"/>
        <v>0</v>
      </c>
    </row>
    <row r="30" spans="2:8" ht="15.75" customHeight="1" x14ac:dyDescent="0.25">
      <c r="H30" s="25"/>
    </row>
    <row r="31" spans="2:8" ht="15.75" customHeight="1" x14ac:dyDescent="0.25">
      <c r="B31" s="6" t="s">
        <v>26</v>
      </c>
      <c r="C31" s="7"/>
      <c r="D31" s="7"/>
      <c r="E31" s="7"/>
      <c r="F31" s="7"/>
      <c r="G31" s="7"/>
      <c r="H31" s="85"/>
    </row>
    <row r="32" spans="2:8" ht="15.75" customHeight="1" x14ac:dyDescent="0.25">
      <c r="B32" s="7" t="s">
        <v>5</v>
      </c>
      <c r="C32" s="9">
        <v>15000</v>
      </c>
      <c r="D32" s="13">
        <f>'Income Statement'!C7</f>
        <v>26880</v>
      </c>
      <c r="E32" s="13">
        <f>'Income Statement'!D7</f>
        <v>38400</v>
      </c>
      <c r="F32" s="13">
        <f>'Income Statement'!E7</f>
        <v>49920</v>
      </c>
      <c r="G32" s="13">
        <f>'Income Statement'!F7</f>
        <v>53760</v>
      </c>
      <c r="H32" s="86">
        <f>'Income Statement'!G7</f>
        <v>65280</v>
      </c>
    </row>
    <row r="33" spans="2:8" ht="15.75" customHeight="1" x14ac:dyDescent="0.25">
      <c r="B33" s="7" t="s">
        <v>56</v>
      </c>
      <c r="C33" s="14">
        <v>8850</v>
      </c>
      <c r="D33" s="13">
        <f>-'Income Statement'!C12</f>
        <v>14840</v>
      </c>
      <c r="E33" s="13">
        <f>-'Income Statement'!D12</f>
        <v>19840</v>
      </c>
      <c r="F33" s="13">
        <f>-'Income Statement'!E12</f>
        <v>24440</v>
      </c>
      <c r="G33" s="13">
        <f>-'Income Statement'!F12</f>
        <v>24640</v>
      </c>
      <c r="H33" s="86">
        <f>-'Income Statement'!G12</f>
        <v>26520</v>
      </c>
    </row>
    <row r="34" spans="2:8" ht="15.75" customHeight="1" x14ac:dyDescent="0.25">
      <c r="B34" s="19" t="str">
        <f>B6&amp;" (as a % of rev)"</f>
        <v>Accounts Receivable (as a % of rev)</v>
      </c>
      <c r="C34" s="15">
        <f>C6/C32</f>
        <v>0.01</v>
      </c>
      <c r="D34" s="15">
        <f>C34</f>
        <v>0.01</v>
      </c>
      <c r="E34" s="15">
        <f t="shared" ref="E34:H34" si="16">D34</f>
        <v>0.01</v>
      </c>
      <c r="F34" s="15">
        <f t="shared" si="16"/>
        <v>0.01</v>
      </c>
      <c r="G34" s="15">
        <f t="shared" si="16"/>
        <v>0.01</v>
      </c>
      <c r="H34" s="87">
        <f t="shared" si="16"/>
        <v>0.01</v>
      </c>
    </row>
    <row r="35" spans="2:8" ht="15.75" customHeight="1" x14ac:dyDescent="0.25">
      <c r="B35" s="19" t="str">
        <f>B16&amp;" (as a % of COGS)"</f>
        <v>Accounts Payable (as a % of COGS)</v>
      </c>
      <c r="C35" s="15">
        <f>C16/C33</f>
        <v>2.2598870056497175E-2</v>
      </c>
      <c r="D35" s="15">
        <f t="shared" ref="D35:H35" si="17">C35</f>
        <v>2.2598870056497175E-2</v>
      </c>
      <c r="E35" s="15">
        <f t="shared" si="17"/>
        <v>2.2598870056497175E-2</v>
      </c>
      <c r="F35" s="15">
        <f t="shared" si="17"/>
        <v>2.2598870056497175E-2</v>
      </c>
      <c r="G35" s="15">
        <f t="shared" si="17"/>
        <v>2.2598870056497175E-2</v>
      </c>
      <c r="H35" s="87">
        <f t="shared" si="17"/>
        <v>2.2598870056497175E-2</v>
      </c>
    </row>
    <row r="36" spans="2:8" ht="15.75" customHeight="1" x14ac:dyDescent="0.25">
      <c r="B36" s="19" t="str">
        <f>B17&amp;" (as a % of rev)"</f>
        <v>Deferred Revenue (as a % of rev)</v>
      </c>
      <c r="C36" s="15">
        <f>C17/C32</f>
        <v>6.6666666666666671E-3</v>
      </c>
      <c r="D36" s="15">
        <f t="shared" ref="D36:H36" si="18">C36</f>
        <v>6.6666666666666671E-3</v>
      </c>
      <c r="E36" s="15">
        <f t="shared" si="18"/>
        <v>6.6666666666666671E-3</v>
      </c>
      <c r="F36" s="15">
        <f t="shared" si="18"/>
        <v>6.6666666666666671E-3</v>
      </c>
      <c r="G36" s="15">
        <f t="shared" si="18"/>
        <v>6.6666666666666671E-3</v>
      </c>
      <c r="H36" s="87">
        <f t="shared" si="18"/>
        <v>6.6666666666666671E-3</v>
      </c>
    </row>
    <row r="37" spans="2:8" ht="15.75" customHeight="1" x14ac:dyDescent="0.25">
      <c r="B37" s="7"/>
      <c r="C37" s="7"/>
      <c r="D37" s="7"/>
      <c r="E37" s="7"/>
      <c r="F37" s="7"/>
      <c r="G37" s="7"/>
      <c r="H37" s="85"/>
    </row>
    <row r="38" spans="2:8" ht="15.75" customHeight="1" x14ac:dyDescent="0.25">
      <c r="B38" s="7" t="s">
        <v>47</v>
      </c>
      <c r="C38" s="7"/>
      <c r="D38" s="7"/>
      <c r="E38" s="7"/>
      <c r="F38" s="7"/>
      <c r="G38" s="7"/>
      <c r="H38" s="85"/>
    </row>
    <row r="39" spans="2:8" ht="15.75" customHeight="1" x14ac:dyDescent="0.25">
      <c r="B39" s="8" t="s">
        <v>57</v>
      </c>
      <c r="C39" s="7"/>
      <c r="D39" s="16"/>
      <c r="E39" s="16"/>
      <c r="F39" s="9">
        <v>5000</v>
      </c>
      <c r="G39" s="16"/>
      <c r="H39" s="88"/>
    </row>
    <row r="40" spans="2:8" ht="15.75" customHeight="1" x14ac:dyDescent="0.25">
      <c r="B40" s="8" t="s">
        <v>58</v>
      </c>
      <c r="C40" s="7"/>
      <c r="D40" s="9">
        <v>500</v>
      </c>
      <c r="E40" s="9">
        <v>500</v>
      </c>
      <c r="F40" s="9">
        <v>750</v>
      </c>
      <c r="G40" s="9">
        <v>750</v>
      </c>
      <c r="H40" s="89">
        <v>750</v>
      </c>
    </row>
    <row r="41" spans="2:8" ht="15.75" customHeight="1" x14ac:dyDescent="0.25">
      <c r="B41" s="8" t="s">
        <v>59</v>
      </c>
      <c r="C41" s="7"/>
      <c r="D41" s="11">
        <v>7.0000000000000007E-2</v>
      </c>
      <c r="E41" s="11">
        <v>7.0000000000000007E-2</v>
      </c>
      <c r="F41" s="11">
        <v>7.0000000000000007E-2</v>
      </c>
      <c r="G41" s="11">
        <v>7.0000000000000007E-2</v>
      </c>
      <c r="H41" s="90">
        <v>7.0000000000000007E-2</v>
      </c>
    </row>
    <row r="42" spans="2:8" ht="15.75" customHeight="1" x14ac:dyDescent="0.25">
      <c r="B42" s="8" t="s">
        <v>60</v>
      </c>
      <c r="C42" s="7"/>
      <c r="D42" s="13">
        <f>D41*D20</f>
        <v>665.00000000000011</v>
      </c>
      <c r="E42" s="13">
        <f t="shared" ref="E42:H42" si="19">E41*E20</f>
        <v>630.00000000000011</v>
      </c>
      <c r="F42" s="13">
        <f t="shared" si="19"/>
        <v>927.50000000000011</v>
      </c>
      <c r="G42" s="13">
        <f t="shared" si="19"/>
        <v>875.00000000000011</v>
      </c>
      <c r="H42" s="86">
        <f t="shared" si="19"/>
        <v>822.50000000000011</v>
      </c>
    </row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K11" sqref="K11"/>
    </sheetView>
  </sheetViews>
  <sheetFormatPr defaultColWidth="14.42578125" defaultRowHeight="15" customHeight="1" x14ac:dyDescent="0.25"/>
  <cols>
    <col min="1" max="1" width="8.85546875" customWidth="1"/>
    <col min="2" max="2" width="31.5703125" bestFit="1" customWidth="1"/>
    <col min="3" max="3" width="9.42578125" bestFit="1" customWidth="1"/>
    <col min="4" max="4" width="8.85546875" customWidth="1"/>
    <col min="5" max="5" width="9.140625" customWidth="1"/>
    <col min="6" max="26" width="8.85546875" customWidth="1"/>
  </cols>
  <sheetData>
    <row r="2" spans="2:7" ht="15.75" x14ac:dyDescent="0.25">
      <c r="B2" s="22" t="s">
        <v>61</v>
      </c>
      <c r="C2" s="22"/>
      <c r="D2" s="22"/>
      <c r="E2" s="22"/>
      <c r="F2" s="22"/>
      <c r="G2" s="22"/>
    </row>
    <row r="3" spans="2:7" ht="15.75" x14ac:dyDescent="0.25">
      <c r="B3" s="23" t="s">
        <v>1</v>
      </c>
      <c r="C3" s="24">
        <v>45658</v>
      </c>
      <c r="D3" s="24">
        <f t="shared" ref="D3" si="0">EDATE(C3,12)</f>
        <v>46023</v>
      </c>
      <c r="E3" s="24">
        <f t="shared" ref="E3" si="1">EDATE(D3,12)</f>
        <v>46388</v>
      </c>
      <c r="F3" s="24">
        <f t="shared" ref="F3" si="2">EDATE(E3,12)</f>
        <v>46753</v>
      </c>
      <c r="G3" s="24">
        <f t="shared" ref="G3" si="3">EDATE(F3,12)</f>
        <v>47119</v>
      </c>
    </row>
    <row r="4" spans="2:7" ht="15.75" x14ac:dyDescent="0.25">
      <c r="B4" s="25" t="s">
        <v>24</v>
      </c>
      <c r="C4" s="27">
        <f>'Income Statement'!C26</f>
        <v>741.90476190476204</v>
      </c>
      <c r="D4" s="27">
        <f>'Income Statement'!D26</f>
        <v>3657.0047619047618</v>
      </c>
      <c r="E4" s="27">
        <f>'Income Statement'!E26</f>
        <v>6627.4547619047617</v>
      </c>
      <c r="F4" s="27">
        <f>'Income Statement'!F26</f>
        <v>8835.3047619047611</v>
      </c>
      <c r="G4" s="27">
        <f>'Income Statement'!G26</f>
        <v>14323.154761904761</v>
      </c>
    </row>
    <row r="5" spans="2:7" ht="15.75" x14ac:dyDescent="0.25">
      <c r="B5" s="25" t="s">
        <v>62</v>
      </c>
      <c r="C5" s="25"/>
      <c r="D5" s="25"/>
      <c r="E5" s="25"/>
      <c r="F5" s="25"/>
      <c r="G5" s="25"/>
    </row>
    <row r="6" spans="2:7" ht="15.75" x14ac:dyDescent="0.25">
      <c r="B6" s="26" t="s">
        <v>63</v>
      </c>
      <c r="C6" s="27">
        <f>'Fixed Assets'!D17</f>
        <v>3470.238095238095</v>
      </c>
      <c r="D6" s="27">
        <f>'Fixed Assets'!E17</f>
        <v>3470.238095238095</v>
      </c>
      <c r="E6" s="27">
        <f>'Fixed Assets'!F17</f>
        <v>3470.238095238095</v>
      </c>
      <c r="F6" s="27">
        <f>'Fixed Assets'!G17</f>
        <v>3470.238095238095</v>
      </c>
      <c r="G6" s="27">
        <f>'Fixed Assets'!H17</f>
        <v>3470.238095238095</v>
      </c>
    </row>
    <row r="7" spans="2:7" ht="15.75" x14ac:dyDescent="0.25">
      <c r="B7" s="26" t="str">
        <f>"Change in "&amp;'Balance Sheet'!B6</f>
        <v>Change in Accounts Receivable</v>
      </c>
      <c r="C7" s="27">
        <f>-('Balance Sheet'!D6-'Balance Sheet'!C6)</f>
        <v>-118.80000000000001</v>
      </c>
      <c r="D7" s="27">
        <f>-('Balance Sheet'!E6-'Balance Sheet'!D6)</f>
        <v>-115.19999999999999</v>
      </c>
      <c r="E7" s="27">
        <f>-('Balance Sheet'!F6-'Balance Sheet'!E6)</f>
        <v>-115.19999999999999</v>
      </c>
      <c r="F7" s="27">
        <f>-('Balance Sheet'!G6-'Balance Sheet'!F6)</f>
        <v>-38.400000000000034</v>
      </c>
      <c r="G7" s="27">
        <f>-('Balance Sheet'!H6-'Balance Sheet'!G6)</f>
        <v>-115.20000000000005</v>
      </c>
    </row>
    <row r="8" spans="2:7" ht="15.75" x14ac:dyDescent="0.25">
      <c r="B8" s="26" t="str">
        <f>"Change in "&amp;'Balance Sheet'!B16</f>
        <v>Change in Accounts Payable</v>
      </c>
      <c r="C8" s="27">
        <f>'Balance Sheet'!D16-'Balance Sheet'!C16</f>
        <v>135.3672316384181</v>
      </c>
      <c r="D8" s="27">
        <f>'Balance Sheet'!E16-'Balance Sheet'!D16</f>
        <v>112.99435028248587</v>
      </c>
      <c r="E8" s="27">
        <f>'Balance Sheet'!F16-'Balance Sheet'!E16</f>
        <v>103.95480225988695</v>
      </c>
      <c r="F8" s="27">
        <f>'Balance Sheet'!G16-'Balance Sheet'!F16</f>
        <v>4.5197740112994325</v>
      </c>
      <c r="G8" s="27">
        <f>'Balance Sheet'!H16-'Balance Sheet'!G16</f>
        <v>42.485875706214756</v>
      </c>
    </row>
    <row r="9" spans="2:7" ht="15.75" x14ac:dyDescent="0.25">
      <c r="B9" s="44" t="str">
        <f>"Change in "&amp;'Balance Sheet'!B17</f>
        <v>Change in Deferred Revenue</v>
      </c>
      <c r="C9" s="34">
        <f>'Balance Sheet'!D17-'Balance Sheet'!C17</f>
        <v>79.200000000000017</v>
      </c>
      <c r="D9" s="34">
        <f>'Balance Sheet'!E17-'Balance Sheet'!D17</f>
        <v>76.799999999999983</v>
      </c>
      <c r="E9" s="34">
        <f>'Balance Sheet'!F17-'Balance Sheet'!E17</f>
        <v>76.800000000000011</v>
      </c>
      <c r="F9" s="34">
        <f>'Balance Sheet'!G17-'Balance Sheet'!F17</f>
        <v>25.600000000000023</v>
      </c>
      <c r="G9" s="34">
        <f>'Balance Sheet'!H17-'Balance Sheet'!G17</f>
        <v>76.800000000000011</v>
      </c>
    </row>
    <row r="10" spans="2:7" s="21" customFormat="1" ht="15.75" x14ac:dyDescent="0.25">
      <c r="B10" s="45" t="s">
        <v>64</v>
      </c>
      <c r="C10" s="46">
        <f>SUM(C6:C9)</f>
        <v>3566.0053268765128</v>
      </c>
      <c r="D10" s="46">
        <f t="shared" ref="D10:G10" si="4">SUM(D6:D9)</f>
        <v>3544.8324455205811</v>
      </c>
      <c r="E10" s="46">
        <f t="shared" si="4"/>
        <v>3535.7928974979823</v>
      </c>
      <c r="F10" s="46">
        <f t="shared" si="4"/>
        <v>3461.9578692493942</v>
      </c>
      <c r="G10" s="46">
        <f t="shared" si="4"/>
        <v>3474.3239709443096</v>
      </c>
    </row>
    <row r="11" spans="2:7" ht="15.75" x14ac:dyDescent="0.25">
      <c r="B11" s="25" t="s">
        <v>65</v>
      </c>
      <c r="C11" s="25"/>
      <c r="D11" s="25"/>
      <c r="E11" s="25"/>
      <c r="F11" s="25"/>
      <c r="G11" s="25"/>
    </row>
    <row r="12" spans="2:7" ht="15.75" x14ac:dyDescent="0.25">
      <c r="B12" s="44" t="s">
        <v>66</v>
      </c>
      <c r="C12" s="34">
        <f>-'Fixed Assets'!D9</f>
        <v>-6500</v>
      </c>
      <c r="D12" s="34">
        <f>-'Fixed Assets'!E9</f>
        <v>0</v>
      </c>
      <c r="E12" s="34">
        <f>-'Fixed Assets'!F9</f>
        <v>0</v>
      </c>
      <c r="F12" s="34">
        <f>-'Fixed Assets'!G9</f>
        <v>-2000</v>
      </c>
      <c r="G12" s="34">
        <f>-'Fixed Assets'!H9</f>
        <v>-1500</v>
      </c>
    </row>
    <row r="13" spans="2:7" s="21" customFormat="1" ht="15.75" x14ac:dyDescent="0.25">
      <c r="B13" s="47" t="s">
        <v>67</v>
      </c>
      <c r="C13" s="46">
        <f>C12</f>
        <v>-6500</v>
      </c>
      <c r="D13" s="46">
        <f t="shared" ref="D13:G13" si="5">D12</f>
        <v>0</v>
      </c>
      <c r="E13" s="46">
        <f t="shared" si="5"/>
        <v>0</v>
      </c>
      <c r="F13" s="46">
        <f t="shared" si="5"/>
        <v>-2000</v>
      </c>
      <c r="G13" s="46">
        <f t="shared" si="5"/>
        <v>-1500</v>
      </c>
    </row>
    <row r="14" spans="2:7" ht="15.75" x14ac:dyDescent="0.25">
      <c r="B14" s="25" t="s">
        <v>68</v>
      </c>
      <c r="C14" s="25"/>
      <c r="D14" s="25"/>
      <c r="E14" s="25"/>
      <c r="F14" s="25"/>
      <c r="G14" s="25"/>
    </row>
    <row r="15" spans="2:7" ht="15.75" x14ac:dyDescent="0.25">
      <c r="B15" s="26" t="s">
        <v>58</v>
      </c>
      <c r="C15" s="27">
        <f>-'Balance Sheet'!D40</f>
        <v>-500</v>
      </c>
      <c r="D15" s="27">
        <f>-'Balance Sheet'!E40</f>
        <v>-500</v>
      </c>
      <c r="E15" s="27">
        <f>-'Balance Sheet'!F40</f>
        <v>-750</v>
      </c>
      <c r="F15" s="27">
        <f>-'Balance Sheet'!G40</f>
        <v>-750</v>
      </c>
      <c r="G15" s="27">
        <f>-'Balance Sheet'!H40</f>
        <v>-750</v>
      </c>
    </row>
    <row r="16" spans="2:7" ht="15.75" x14ac:dyDescent="0.25">
      <c r="B16" s="26" t="s">
        <v>69</v>
      </c>
      <c r="C16" s="27">
        <f>'Balance Sheet'!D39</f>
        <v>0</v>
      </c>
      <c r="D16" s="27">
        <f>'Balance Sheet'!E39</f>
        <v>0</v>
      </c>
      <c r="E16" s="27">
        <f>'Balance Sheet'!F39</f>
        <v>5000</v>
      </c>
      <c r="F16" s="27">
        <f>'Balance Sheet'!G39</f>
        <v>0</v>
      </c>
      <c r="G16" s="27">
        <f>'Balance Sheet'!H39</f>
        <v>0</v>
      </c>
    </row>
    <row r="17" spans="2:7" s="21" customFormat="1" ht="15.75" x14ac:dyDescent="0.25">
      <c r="B17" s="48" t="s">
        <v>70</v>
      </c>
      <c r="C17" s="49">
        <f>SUM(C15:C16)</f>
        <v>-500</v>
      </c>
      <c r="D17" s="49">
        <f t="shared" ref="D17:G17" si="6">SUM(D15:D16)</f>
        <v>-500</v>
      </c>
      <c r="E17" s="49">
        <f t="shared" si="6"/>
        <v>4250</v>
      </c>
      <c r="F17" s="49">
        <f t="shared" si="6"/>
        <v>-750</v>
      </c>
      <c r="G17" s="49">
        <f t="shared" si="6"/>
        <v>-750</v>
      </c>
    </row>
    <row r="18" spans="2:7" s="21" customFormat="1" ht="16.5" thickBot="1" x14ac:dyDescent="0.3">
      <c r="B18" s="41" t="s">
        <v>71</v>
      </c>
      <c r="C18" s="36">
        <f>C4+C10+C13+C17</f>
        <v>-2692.0899112187253</v>
      </c>
      <c r="D18" s="36">
        <f t="shared" ref="D18:G18" si="7">D4+D10+D13+D17</f>
        <v>6701.837207425343</v>
      </c>
      <c r="E18" s="36">
        <f t="shared" si="7"/>
        <v>14413.247659402743</v>
      </c>
      <c r="F18" s="36">
        <f t="shared" si="7"/>
        <v>9547.2626311541553</v>
      </c>
      <c r="G18" s="36">
        <f t="shared" si="7"/>
        <v>15547.478732849071</v>
      </c>
    </row>
    <row r="19" spans="2:7" ht="15" customHeight="1" x14ac:dyDescent="0.25">
      <c r="B19" s="25"/>
      <c r="C19" s="25"/>
      <c r="D19" s="25"/>
      <c r="E19" s="25"/>
      <c r="F19" s="25"/>
      <c r="G19" s="25"/>
    </row>
    <row r="20" spans="2:7" ht="15" customHeight="1" x14ac:dyDescent="0.25">
      <c r="B20" s="25"/>
      <c r="C20" s="25"/>
      <c r="D20" s="25"/>
      <c r="E20" s="25"/>
      <c r="F20" s="25"/>
      <c r="G20" s="25"/>
    </row>
    <row r="21" spans="2:7" ht="15.75" customHeight="1" x14ac:dyDescent="0.25">
      <c r="B21" s="25"/>
      <c r="C21" s="25"/>
      <c r="D21" s="25"/>
      <c r="E21" s="25"/>
      <c r="F21" s="25"/>
      <c r="G21" s="25"/>
    </row>
    <row r="22" spans="2:7" ht="15.75" customHeight="1" x14ac:dyDescent="0.25">
      <c r="B22" s="25"/>
      <c r="C22" s="25"/>
      <c r="D22" s="25"/>
      <c r="E22" s="25"/>
      <c r="F22" s="25"/>
      <c r="G22" s="25"/>
    </row>
    <row r="23" spans="2:7" ht="15.75" customHeight="1" x14ac:dyDescent="0.25">
      <c r="B23" s="25"/>
      <c r="C23" s="25"/>
      <c r="D23" s="25"/>
      <c r="E23" s="25"/>
      <c r="F23" s="25"/>
      <c r="G23" s="25"/>
    </row>
    <row r="24" spans="2:7" ht="15.75" customHeight="1" x14ac:dyDescent="0.25">
      <c r="B24" s="25"/>
      <c r="C24" s="25"/>
      <c r="D24" s="25"/>
      <c r="E24" s="25"/>
      <c r="F24" s="25"/>
      <c r="G24" s="25"/>
    </row>
    <row r="25" spans="2:7" ht="15.75" customHeight="1" x14ac:dyDescent="0.25">
      <c r="B25" s="25"/>
      <c r="C25" s="25"/>
      <c r="D25" s="25"/>
      <c r="E25" s="25"/>
      <c r="F25" s="25"/>
      <c r="G25" s="25"/>
    </row>
    <row r="26" spans="2:7" ht="15.75" customHeight="1" x14ac:dyDescent="0.25">
      <c r="B26" s="25"/>
      <c r="C26" s="25"/>
      <c r="D26" s="25"/>
      <c r="E26" s="25"/>
      <c r="F26" s="25"/>
      <c r="G26" s="25"/>
    </row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2"/>
  <sheetViews>
    <sheetView showGridLines="0" workbookViewId="0">
      <selection activeCell="D12" sqref="D12"/>
    </sheetView>
  </sheetViews>
  <sheetFormatPr defaultColWidth="14.42578125" defaultRowHeight="15" customHeight="1" x14ac:dyDescent="0.25"/>
  <cols>
    <col min="1" max="1" width="8.85546875" customWidth="1"/>
    <col min="2" max="2" width="20.28515625" bestFit="1" customWidth="1"/>
    <col min="3" max="3" width="18.42578125" bestFit="1" customWidth="1"/>
    <col min="4" max="8" width="10.42578125" customWidth="1"/>
    <col min="9" max="26" width="8.85546875" customWidth="1"/>
  </cols>
  <sheetData>
    <row r="2" spans="2:8" ht="15.75" x14ac:dyDescent="0.25">
      <c r="B2" s="22" t="s">
        <v>37</v>
      </c>
      <c r="C2" s="22"/>
      <c r="D2" s="22"/>
      <c r="E2" s="22"/>
      <c r="F2" s="22"/>
      <c r="G2" s="22"/>
      <c r="H2" s="1"/>
    </row>
    <row r="3" spans="2:8" ht="15.75" x14ac:dyDescent="0.25">
      <c r="B3" s="23" t="s">
        <v>1</v>
      </c>
      <c r="C3" s="37" t="s">
        <v>72</v>
      </c>
      <c r="D3" s="24">
        <v>45658</v>
      </c>
      <c r="E3" s="24">
        <f>EDATE(D3,12)</f>
        <v>46023</v>
      </c>
      <c r="F3" s="24">
        <f t="shared" ref="F3:H3" si="0">EDATE(E3,12)</f>
        <v>46388</v>
      </c>
      <c r="G3" s="24">
        <f t="shared" si="0"/>
        <v>46753</v>
      </c>
      <c r="H3" s="24">
        <f t="shared" si="0"/>
        <v>47119</v>
      </c>
    </row>
    <row r="4" spans="2:8" ht="15.75" x14ac:dyDescent="0.25">
      <c r="B4" s="25" t="s">
        <v>66</v>
      </c>
      <c r="C4" s="25"/>
      <c r="D4" s="25"/>
      <c r="E4" s="25"/>
      <c r="F4" s="25"/>
      <c r="G4" s="25"/>
    </row>
    <row r="5" spans="2:8" ht="15.75" x14ac:dyDescent="0.25">
      <c r="B5" s="26" t="s">
        <v>76</v>
      </c>
      <c r="C5" s="38">
        <v>3</v>
      </c>
      <c r="D5" s="39">
        <v>2000</v>
      </c>
      <c r="E5" s="39"/>
      <c r="F5" s="40"/>
      <c r="G5" s="39">
        <v>2000</v>
      </c>
    </row>
    <row r="6" spans="2:8" ht="15.75" x14ac:dyDescent="0.25">
      <c r="B6" s="26" t="s">
        <v>77</v>
      </c>
      <c r="C6" s="38">
        <v>7</v>
      </c>
      <c r="D6" s="39">
        <v>1000</v>
      </c>
      <c r="E6" s="39"/>
      <c r="F6" s="39"/>
      <c r="G6" s="40"/>
    </row>
    <row r="7" spans="2:8" ht="15.75" x14ac:dyDescent="0.25">
      <c r="B7" s="26" t="s">
        <v>78</v>
      </c>
      <c r="C7" s="38">
        <v>7</v>
      </c>
      <c r="D7" s="39">
        <v>2000</v>
      </c>
      <c r="E7" s="39"/>
      <c r="F7" s="39"/>
      <c r="G7" s="40"/>
    </row>
    <row r="8" spans="2:8" ht="15.75" x14ac:dyDescent="0.25">
      <c r="B8" s="26" t="s">
        <v>80</v>
      </c>
      <c r="C8" s="38">
        <v>4</v>
      </c>
      <c r="D8" s="39">
        <v>1500</v>
      </c>
      <c r="E8" s="39"/>
      <c r="F8" s="39"/>
      <c r="G8" s="40"/>
      <c r="H8" s="39">
        <v>1500</v>
      </c>
    </row>
    <row r="9" spans="2:8" ht="16.5" thickBot="1" x14ac:dyDescent="0.3">
      <c r="B9" s="41" t="s">
        <v>73</v>
      </c>
      <c r="C9" s="41"/>
      <c r="D9" s="42">
        <f>SUM(D5:D8)</f>
        <v>6500</v>
      </c>
      <c r="E9" s="42">
        <f t="shared" ref="E9:H9" si="1">SUM(E5:E8)</f>
        <v>0</v>
      </c>
      <c r="F9" s="42">
        <f t="shared" si="1"/>
        <v>0</v>
      </c>
      <c r="G9" s="42">
        <f t="shared" si="1"/>
        <v>2000</v>
      </c>
      <c r="H9" s="42">
        <f t="shared" si="1"/>
        <v>1500</v>
      </c>
    </row>
    <row r="10" spans="2:8" ht="15" customHeight="1" x14ac:dyDescent="0.25">
      <c r="B10" s="25"/>
      <c r="C10" s="25"/>
      <c r="D10" s="25"/>
      <c r="E10" s="25"/>
      <c r="F10" s="25"/>
      <c r="G10" s="25"/>
    </row>
    <row r="11" spans="2:8" ht="15.75" x14ac:dyDescent="0.25">
      <c r="B11" s="32" t="s">
        <v>63</v>
      </c>
      <c r="C11" s="25"/>
      <c r="D11" s="25"/>
      <c r="E11" s="25"/>
      <c r="F11" s="25"/>
      <c r="G11" s="25"/>
    </row>
    <row r="12" spans="2:8" ht="15.75" x14ac:dyDescent="0.25">
      <c r="B12" s="26" t="s">
        <v>74</v>
      </c>
      <c r="C12" s="25"/>
      <c r="D12" s="39">
        <v>2000</v>
      </c>
      <c r="E12" s="39">
        <v>2000</v>
      </c>
      <c r="F12" s="39">
        <v>2000</v>
      </c>
      <c r="G12" s="39">
        <v>2000</v>
      </c>
      <c r="H12" s="39">
        <v>2000</v>
      </c>
    </row>
    <row r="13" spans="2:8" ht="15.75" x14ac:dyDescent="0.25">
      <c r="B13" s="26" t="str">
        <f>B5</f>
        <v>Blender Station</v>
      </c>
      <c r="C13" s="25"/>
      <c r="D13" s="43">
        <f t="shared" ref="D13:H14" si="2">$D5/$C5</f>
        <v>666.66666666666663</v>
      </c>
      <c r="E13" s="43">
        <f t="shared" si="2"/>
        <v>666.66666666666663</v>
      </c>
      <c r="F13" s="43">
        <f t="shared" si="2"/>
        <v>666.66666666666663</v>
      </c>
      <c r="G13" s="43">
        <f t="shared" si="2"/>
        <v>666.66666666666663</v>
      </c>
      <c r="H13" s="43">
        <f t="shared" si="2"/>
        <v>666.66666666666663</v>
      </c>
    </row>
    <row r="14" spans="2:8" ht="15.75" x14ac:dyDescent="0.25">
      <c r="B14" s="26" t="str">
        <f>B6</f>
        <v xml:space="preserve">Flash Freezer </v>
      </c>
      <c r="C14" s="25"/>
      <c r="D14" s="43">
        <f t="shared" si="2"/>
        <v>142.85714285714286</v>
      </c>
      <c r="E14" s="43">
        <f t="shared" si="2"/>
        <v>142.85714285714286</v>
      </c>
      <c r="F14" s="43">
        <f t="shared" si="2"/>
        <v>142.85714285714286</v>
      </c>
      <c r="G14" s="43">
        <f t="shared" si="2"/>
        <v>142.85714285714286</v>
      </c>
      <c r="H14" s="43">
        <f t="shared" si="2"/>
        <v>142.85714285714286</v>
      </c>
    </row>
    <row r="15" spans="2:8" ht="15.75" x14ac:dyDescent="0.25">
      <c r="B15" s="26" t="str">
        <f t="shared" ref="B15" si="3">B7</f>
        <v>Dairy Refrigerator</v>
      </c>
      <c r="C15" s="25"/>
      <c r="D15" s="43">
        <f>$D7/$C7</f>
        <v>285.71428571428572</v>
      </c>
      <c r="E15" s="43">
        <f t="shared" ref="E15:G15" si="4">$D7/$C7</f>
        <v>285.71428571428572</v>
      </c>
      <c r="F15" s="43">
        <f t="shared" si="4"/>
        <v>285.71428571428572</v>
      </c>
      <c r="G15" s="43">
        <f t="shared" si="4"/>
        <v>285.71428571428572</v>
      </c>
      <c r="H15" s="43">
        <f t="shared" ref="H15:H16" si="5">$D7/$C7</f>
        <v>285.71428571428572</v>
      </c>
    </row>
    <row r="16" spans="2:8" ht="15.75" x14ac:dyDescent="0.25">
      <c r="B16" s="26" t="str">
        <f>B8</f>
        <v>POS System</v>
      </c>
      <c r="C16" s="25"/>
      <c r="D16" s="43">
        <f>$D8/$C8</f>
        <v>375</v>
      </c>
      <c r="E16" s="43">
        <f t="shared" ref="E16:G16" si="6">$D8/$C8</f>
        <v>375</v>
      </c>
      <c r="F16" s="43">
        <f t="shared" si="6"/>
        <v>375</v>
      </c>
      <c r="G16" s="43">
        <f t="shared" si="6"/>
        <v>375</v>
      </c>
      <c r="H16" s="43">
        <f t="shared" si="5"/>
        <v>375</v>
      </c>
    </row>
    <row r="17" spans="2:8" ht="16.5" thickBot="1" x14ac:dyDescent="0.3">
      <c r="B17" s="41" t="s">
        <v>75</v>
      </c>
      <c r="C17" s="41"/>
      <c r="D17" s="42">
        <f>SUM(D12:D16)</f>
        <v>3470.238095238095</v>
      </c>
      <c r="E17" s="42">
        <f t="shared" ref="E17:H17" si="7">SUM(E12:E16)</f>
        <v>3470.238095238095</v>
      </c>
      <c r="F17" s="42">
        <f t="shared" si="7"/>
        <v>3470.238095238095</v>
      </c>
      <c r="G17" s="42">
        <f t="shared" si="7"/>
        <v>3470.238095238095</v>
      </c>
      <c r="H17" s="42">
        <f t="shared" si="7"/>
        <v>3470.238095238095</v>
      </c>
    </row>
    <row r="18" spans="2:8" ht="15" customHeight="1" x14ac:dyDescent="0.25">
      <c r="B18" s="25"/>
      <c r="C18" s="25"/>
      <c r="D18" s="25"/>
      <c r="E18" s="25"/>
      <c r="F18" s="25"/>
      <c r="G18" s="25"/>
    </row>
    <row r="19" spans="2:8" ht="15" customHeight="1" x14ac:dyDescent="0.25">
      <c r="B19" s="25"/>
      <c r="C19" s="25"/>
      <c r="D19" s="25"/>
      <c r="E19" s="25"/>
      <c r="F19" s="25"/>
      <c r="G19" s="25"/>
    </row>
    <row r="20" spans="2:8" ht="15" customHeight="1" x14ac:dyDescent="0.25">
      <c r="B20" s="25"/>
      <c r="C20" s="25"/>
      <c r="D20" s="25"/>
      <c r="E20" s="25"/>
      <c r="F20" s="25"/>
      <c r="G20" s="25"/>
    </row>
    <row r="21" spans="2:8" ht="15" customHeight="1" x14ac:dyDescent="0.25">
      <c r="B21" s="25"/>
      <c r="C21" s="25"/>
      <c r="D21" s="25"/>
      <c r="E21" s="25"/>
      <c r="F21" s="25"/>
      <c r="G21" s="25"/>
    </row>
    <row r="22" spans="2:8" ht="15" customHeight="1" x14ac:dyDescent="0.25">
      <c r="B22" s="25"/>
      <c r="C22" s="25"/>
      <c r="D22" s="25"/>
      <c r="E22" s="25"/>
      <c r="F22" s="25"/>
      <c r="G22" s="25"/>
    </row>
    <row r="23" spans="2:8" ht="15.75" customHeight="1" x14ac:dyDescent="0.25">
      <c r="B23" s="25"/>
      <c r="C23" s="25"/>
      <c r="D23" s="25"/>
      <c r="E23" s="25"/>
      <c r="F23" s="25"/>
      <c r="G23" s="25"/>
    </row>
    <row r="24" spans="2:8" ht="15.75" customHeight="1" x14ac:dyDescent="0.25">
      <c r="B24" s="25"/>
      <c r="C24" s="25"/>
      <c r="D24" s="25"/>
      <c r="E24" s="25"/>
      <c r="F24" s="25"/>
      <c r="G24" s="25"/>
    </row>
    <row r="25" spans="2:8" ht="15.75" customHeight="1" x14ac:dyDescent="0.25">
      <c r="B25" s="25"/>
      <c r="C25" s="25"/>
      <c r="D25" s="25"/>
      <c r="E25" s="25"/>
      <c r="F25" s="25"/>
      <c r="G25" s="25"/>
    </row>
    <row r="26" spans="2:8" ht="15.75" customHeight="1" x14ac:dyDescent="0.25">
      <c r="B26" s="25"/>
      <c r="C26" s="25"/>
      <c r="D26" s="25"/>
      <c r="E26" s="25"/>
      <c r="F26" s="25"/>
      <c r="G26" s="25"/>
    </row>
    <row r="27" spans="2:8" ht="15.75" customHeight="1" x14ac:dyDescent="0.25">
      <c r="B27" s="25"/>
      <c r="C27" s="25"/>
      <c r="D27" s="25"/>
      <c r="E27" s="25"/>
      <c r="F27" s="25"/>
      <c r="G27" s="25"/>
    </row>
    <row r="28" spans="2:8" ht="15.75" customHeight="1" x14ac:dyDescent="0.25">
      <c r="B28" s="25"/>
      <c r="C28" s="25"/>
      <c r="D28" s="25"/>
      <c r="E28" s="25"/>
      <c r="F28" s="25"/>
      <c r="G28" s="25"/>
    </row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88A8-3111-41E2-A69E-2B5A622E88FF}">
  <dimension ref="A1:Y2"/>
  <sheetViews>
    <sheetView showGridLines="0" tabSelected="1" workbookViewId="0">
      <selection activeCell="O30" sqref="O30"/>
    </sheetView>
  </sheetViews>
  <sheetFormatPr defaultRowHeight="15" x14ac:dyDescent="0.25"/>
  <sheetData>
    <row r="1" spans="1:25" ht="31.5" x14ac:dyDescent="0.5">
      <c r="A1" s="91" t="s">
        <v>103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spans="1:25" x14ac:dyDescent="0.25">
      <c r="A2" s="93" t="s">
        <v>104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</sheetData>
  <mergeCells count="2">
    <mergeCell ref="A1:Y1"/>
    <mergeCell ref="A2:Y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A495-C848-4CB1-B0C9-45D9CE6F08C0}">
  <dimension ref="A1"/>
  <sheetViews>
    <sheetView showGridLines="0" workbookViewId="0">
      <selection activeCell="J29" sqref="J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CE37-8F61-4EB7-85D1-969161613386}">
  <dimension ref="A1:G44"/>
  <sheetViews>
    <sheetView workbookViewId="0">
      <selection activeCell="G19" sqref="G19"/>
    </sheetView>
  </sheetViews>
  <sheetFormatPr defaultRowHeight="15" x14ac:dyDescent="0.25"/>
  <cols>
    <col min="1" max="1" width="22" style="21" bestFit="1" customWidth="1"/>
    <col min="2" max="2" width="19.42578125" bestFit="1" customWidth="1"/>
    <col min="3" max="3" width="14.28515625" bestFit="1" customWidth="1"/>
    <col min="4" max="4" width="10.5703125" bestFit="1" customWidth="1"/>
    <col min="5" max="6" width="22" bestFit="1" customWidth="1"/>
    <col min="7" max="7" width="10.5703125" bestFit="1" customWidth="1"/>
  </cols>
  <sheetData>
    <row r="1" spans="1:7" x14ac:dyDescent="0.25">
      <c r="A1" s="64" t="s">
        <v>79</v>
      </c>
      <c r="B1" s="63">
        <v>45489</v>
      </c>
      <c r="C1" s="63">
        <f>EDATE(B1,12)</f>
        <v>45854</v>
      </c>
      <c r="D1" s="63">
        <f t="shared" ref="D1:G1" si="0">EDATE(C1,12)</f>
        <v>46219</v>
      </c>
      <c r="E1" s="63">
        <f t="shared" si="0"/>
        <v>46584</v>
      </c>
      <c r="F1" s="63">
        <f t="shared" si="0"/>
        <v>46950</v>
      </c>
      <c r="G1" s="63">
        <f t="shared" si="0"/>
        <v>47315</v>
      </c>
    </row>
    <row r="2" spans="1:7" x14ac:dyDescent="0.25">
      <c r="A2" s="21" t="s">
        <v>2</v>
      </c>
      <c r="B2" s="73">
        <f>'Balance Sheet'!C32</f>
        <v>15000</v>
      </c>
      <c r="C2" s="73">
        <f>'Income Statement'!C7</f>
        <v>26880</v>
      </c>
      <c r="D2" s="73">
        <f>'Income Statement'!D7</f>
        <v>38400</v>
      </c>
      <c r="E2" s="73">
        <f>'Income Statement'!E7</f>
        <v>49920</v>
      </c>
      <c r="F2" s="73">
        <f>'Income Statement'!F7</f>
        <v>53760</v>
      </c>
      <c r="G2" s="73">
        <f>'Income Statement'!G7</f>
        <v>65280</v>
      </c>
    </row>
    <row r="3" spans="1:7" x14ac:dyDescent="0.25">
      <c r="A3" s="21" t="s">
        <v>56</v>
      </c>
      <c r="B3" s="73">
        <f>'Balance Sheet'!C33</f>
        <v>8850</v>
      </c>
      <c r="C3" s="73">
        <f>-'Income Statement'!C12</f>
        <v>14840</v>
      </c>
      <c r="D3" s="73">
        <f>-'Income Statement'!D12</f>
        <v>19840</v>
      </c>
      <c r="E3" s="73">
        <f>-'Income Statement'!E12</f>
        <v>24440</v>
      </c>
      <c r="F3" s="73">
        <f>-'Income Statement'!F12</f>
        <v>24640</v>
      </c>
      <c r="G3" s="73">
        <f>-'Income Statement'!G12</f>
        <v>26520</v>
      </c>
    </row>
    <row r="4" spans="1:7" x14ac:dyDescent="0.25">
      <c r="A4" s="21" t="s">
        <v>11</v>
      </c>
      <c r="B4" s="73">
        <f>'Balance Sheet'!C32-'Balance Sheet'!C33</f>
        <v>6150</v>
      </c>
      <c r="C4" s="73">
        <f>'Income Statement'!C13</f>
        <v>12040</v>
      </c>
      <c r="D4" s="73">
        <f>'Income Statement'!D13</f>
        <v>18560</v>
      </c>
      <c r="E4" s="73">
        <f>'Income Statement'!E13</f>
        <v>25480</v>
      </c>
      <c r="F4" s="73">
        <f>'Income Statement'!F13</f>
        <v>29120</v>
      </c>
      <c r="G4" s="73">
        <f>'Income Statement'!G13</f>
        <v>38760</v>
      </c>
    </row>
    <row r="5" spans="1:7" x14ac:dyDescent="0.25">
      <c r="A5" s="21" t="s">
        <v>81</v>
      </c>
      <c r="B5" s="5">
        <f>B4/B2</f>
        <v>0.41</v>
      </c>
      <c r="C5" s="5">
        <f>C4/C2</f>
        <v>0.44791666666666669</v>
      </c>
      <c r="D5" s="5">
        <f t="shared" ref="D5:G5" si="1">D4/D2</f>
        <v>0.48333333333333334</v>
      </c>
      <c r="E5" s="5">
        <f t="shared" si="1"/>
        <v>0.51041666666666663</v>
      </c>
      <c r="F5" s="5">
        <f t="shared" si="1"/>
        <v>0.54166666666666663</v>
      </c>
      <c r="G5" s="5">
        <f t="shared" si="1"/>
        <v>0.59375</v>
      </c>
    </row>
    <row r="6" spans="1:7" x14ac:dyDescent="0.25">
      <c r="A6" s="21" t="s">
        <v>24</v>
      </c>
      <c r="B6" s="75">
        <v>425</v>
      </c>
      <c r="C6" s="75">
        <f>'Income Statement'!C26</f>
        <v>741.90476190476204</v>
      </c>
      <c r="D6" s="74">
        <f>'Income Statement'!D26</f>
        <v>3657.0047619047618</v>
      </c>
      <c r="E6" s="74">
        <f>'Income Statement'!E26</f>
        <v>6627.4547619047617</v>
      </c>
      <c r="F6" s="74">
        <f>'Income Statement'!F26</f>
        <v>8835.3047619047611</v>
      </c>
      <c r="G6" s="74">
        <f>'Income Statement'!G26</f>
        <v>14323.154761904761</v>
      </c>
    </row>
    <row r="7" spans="1:7" x14ac:dyDescent="0.25">
      <c r="A7" s="21" t="s">
        <v>64</v>
      </c>
      <c r="B7" s="82">
        <v>1735</v>
      </c>
      <c r="C7" s="82">
        <f>'Statement of Cashflows'!C10</f>
        <v>3566.0053268765128</v>
      </c>
      <c r="D7" s="82">
        <f>'Statement of Cashflows'!D10</f>
        <v>3544.8324455205811</v>
      </c>
      <c r="E7" s="82">
        <f>'Statement of Cashflows'!E10</f>
        <v>3535.7928974979823</v>
      </c>
      <c r="F7" s="82">
        <f>'Statement of Cashflows'!F10</f>
        <v>3461.9578692493942</v>
      </c>
      <c r="G7" s="82">
        <f>'Statement of Cashflows'!G10</f>
        <v>3474.3239709443096</v>
      </c>
    </row>
    <row r="8" spans="1:7" x14ac:dyDescent="0.25">
      <c r="A8" s="21" t="s">
        <v>18</v>
      </c>
      <c r="B8" s="75">
        <v>2400</v>
      </c>
      <c r="C8" s="74">
        <f>'Income Statement'!C20</f>
        <v>5040</v>
      </c>
      <c r="D8" s="74">
        <f>'Income Statement'!D20</f>
        <v>8560</v>
      </c>
      <c r="E8" s="74">
        <f>'Income Statement'!E20</f>
        <v>12480</v>
      </c>
      <c r="F8" s="74">
        <f>'Income Statement'!F20</f>
        <v>15120</v>
      </c>
      <c r="G8" s="74">
        <f>'Income Statement'!G20</f>
        <v>21760</v>
      </c>
    </row>
    <row r="9" spans="1:7" x14ac:dyDescent="0.25">
      <c r="A9" s="21" t="s">
        <v>82</v>
      </c>
      <c r="B9" s="5">
        <v>0.41</v>
      </c>
      <c r="C9" s="5">
        <v>0.42</v>
      </c>
      <c r="D9" s="5">
        <v>0.45</v>
      </c>
      <c r="E9" s="5">
        <v>0.5</v>
      </c>
      <c r="F9" s="5">
        <v>0.51</v>
      </c>
      <c r="G9" s="5">
        <v>0.54</v>
      </c>
    </row>
    <row r="14" spans="1:7" x14ac:dyDescent="0.25">
      <c r="A14" s="77" t="s">
        <v>88</v>
      </c>
    </row>
    <row r="15" spans="1:7" x14ac:dyDescent="0.25">
      <c r="A15"/>
    </row>
    <row r="16" spans="1:7" x14ac:dyDescent="0.25">
      <c r="A16" s="21" t="s">
        <v>5</v>
      </c>
    </row>
    <row r="17" spans="1:6" x14ac:dyDescent="0.25">
      <c r="A17" s="79">
        <f>'Income Statement'!C7</f>
        <v>26880</v>
      </c>
    </row>
    <row r="18" spans="1:6" x14ac:dyDescent="0.25">
      <c r="A18"/>
    </row>
    <row r="19" spans="1:6" x14ac:dyDescent="0.25">
      <c r="A19" s="21" t="s">
        <v>24</v>
      </c>
    </row>
    <row r="20" spans="1:6" x14ac:dyDescent="0.25">
      <c r="A20" s="81" t="str">
        <f>TEXT('Income Statement'!C26, "$#,##0;-$#,##0")</f>
        <v>$742</v>
      </c>
    </row>
    <row r="22" spans="1:6" x14ac:dyDescent="0.25">
      <c r="A22" s="21" t="s">
        <v>94</v>
      </c>
      <c r="C22" s="21" t="s">
        <v>96</v>
      </c>
    </row>
    <row r="23" spans="1:6" x14ac:dyDescent="0.25">
      <c r="A23" s="80">
        <f>'Income Statement'!C26+'Fixed Assets'!D17</f>
        <v>4212.1428571428569</v>
      </c>
      <c r="C23" s="79">
        <v>3200</v>
      </c>
    </row>
    <row r="25" spans="1:6" x14ac:dyDescent="0.25">
      <c r="A25" s="21" t="s">
        <v>64</v>
      </c>
    </row>
    <row r="27" spans="1:6" x14ac:dyDescent="0.25">
      <c r="A27" s="21" t="s">
        <v>95</v>
      </c>
      <c r="B27" s="21" t="s">
        <v>64</v>
      </c>
      <c r="C27" s="21" t="s">
        <v>96</v>
      </c>
      <c r="E27" s="21" t="s">
        <v>95</v>
      </c>
      <c r="F27" s="21" t="s">
        <v>81</v>
      </c>
    </row>
    <row r="28" spans="1:6" x14ac:dyDescent="0.25">
      <c r="A28" s="83">
        <v>2024</v>
      </c>
      <c r="B28" s="79">
        <f>B7</f>
        <v>1735</v>
      </c>
      <c r="C28" s="79">
        <v>1700</v>
      </c>
      <c r="E28" s="84" t="s">
        <v>97</v>
      </c>
      <c r="F28" s="5">
        <f>B5</f>
        <v>0.41</v>
      </c>
    </row>
    <row r="29" spans="1:6" x14ac:dyDescent="0.25">
      <c r="A29" s="83">
        <v>2025</v>
      </c>
      <c r="B29" s="79">
        <f>C7</f>
        <v>3566.0053268765128</v>
      </c>
      <c r="C29" s="79">
        <v>3200</v>
      </c>
      <c r="E29" s="84" t="s">
        <v>98</v>
      </c>
      <c r="F29" s="5">
        <f>C5</f>
        <v>0.44791666666666669</v>
      </c>
    </row>
    <row r="30" spans="1:6" x14ac:dyDescent="0.25">
      <c r="A30" s="83">
        <v>2026</v>
      </c>
      <c r="B30" s="79">
        <f>D7</f>
        <v>3544.8324455205811</v>
      </c>
      <c r="C30" s="79">
        <v>3800</v>
      </c>
      <c r="E30" s="84" t="s">
        <v>99</v>
      </c>
      <c r="F30" s="5">
        <f>D5</f>
        <v>0.48333333333333334</v>
      </c>
    </row>
    <row r="31" spans="1:6" x14ac:dyDescent="0.25">
      <c r="A31" s="83">
        <v>2027</v>
      </c>
      <c r="B31" s="79">
        <f>E7</f>
        <v>3535.7928974979823</v>
      </c>
      <c r="C31" s="79">
        <v>4400</v>
      </c>
      <c r="E31" s="84" t="s">
        <v>100</v>
      </c>
      <c r="F31" s="5">
        <f>E5</f>
        <v>0.51041666666666663</v>
      </c>
    </row>
    <row r="32" spans="1:6" x14ac:dyDescent="0.25">
      <c r="A32" s="83">
        <v>2028</v>
      </c>
      <c r="B32" s="79">
        <f>F7</f>
        <v>3461.9578692493942</v>
      </c>
      <c r="C32" s="79">
        <v>4900</v>
      </c>
      <c r="E32" s="84" t="s">
        <v>101</v>
      </c>
      <c r="F32" s="5">
        <f>F5</f>
        <v>0.54166666666666663</v>
      </c>
    </row>
    <row r="33" spans="1:6" x14ac:dyDescent="0.25">
      <c r="A33" s="83">
        <v>2029</v>
      </c>
      <c r="B33" s="79">
        <f>G7</f>
        <v>3474.3239709443096</v>
      </c>
      <c r="C33" s="79">
        <v>5300</v>
      </c>
      <c r="E33" s="84" t="s">
        <v>102</v>
      </c>
      <c r="F33" s="5">
        <f>G5</f>
        <v>0.59375</v>
      </c>
    </row>
    <row r="37" spans="1:6" x14ac:dyDescent="0.25">
      <c r="A37" s="76" t="s">
        <v>83</v>
      </c>
      <c r="B37" t="s">
        <v>84</v>
      </c>
    </row>
    <row r="38" spans="1:6" x14ac:dyDescent="0.25">
      <c r="A38" s="76" t="s">
        <v>85</v>
      </c>
      <c r="B38" t="s">
        <v>86</v>
      </c>
    </row>
    <row r="39" spans="1:6" x14ac:dyDescent="0.25">
      <c r="A39" t="s">
        <v>64</v>
      </c>
      <c r="B39" t="s">
        <v>87</v>
      </c>
    </row>
    <row r="40" spans="1:6" x14ac:dyDescent="0.25">
      <c r="A40" s="76" t="s">
        <v>24</v>
      </c>
      <c r="B40" t="s">
        <v>86</v>
      </c>
    </row>
    <row r="42" spans="1:6" x14ac:dyDescent="0.25">
      <c r="A42" s="21" t="s">
        <v>89</v>
      </c>
      <c r="B42" t="s">
        <v>86</v>
      </c>
    </row>
    <row r="43" spans="1:6" x14ac:dyDescent="0.25">
      <c r="A43" s="78" t="s">
        <v>90</v>
      </c>
      <c r="B43" t="s">
        <v>93</v>
      </c>
    </row>
    <row r="44" spans="1:6" x14ac:dyDescent="0.25">
      <c r="A44" t="s">
        <v>91</v>
      </c>
      <c r="B44" t="s">
        <v>92</v>
      </c>
    </row>
  </sheetData>
  <sheetProtection sheet="1" objects="1" scenario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 Statement</vt:lpstr>
      <vt:lpstr>Balance Sheet</vt:lpstr>
      <vt:lpstr>Statement of Cashflows</vt:lpstr>
      <vt:lpstr>Fixed Assets</vt:lpstr>
      <vt:lpstr>Dashboard</vt:lpstr>
      <vt:lpstr>Dashboard 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Brown</dc:creator>
  <cp:lastModifiedBy>SIR SR</cp:lastModifiedBy>
  <cp:lastPrinted>2025-06-05T06:39:13Z</cp:lastPrinted>
  <dcterms:created xsi:type="dcterms:W3CDTF">2022-02-07T12:02:58Z</dcterms:created>
  <dcterms:modified xsi:type="dcterms:W3CDTF">2025-06-14T05:39:39Z</dcterms:modified>
</cp:coreProperties>
</file>